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ms-office.activeX" PartName="/xl/activeX/activeX5.bin"/>
  <Override ContentType="application/vnd.ms-office.activeX+xml" PartName="/xl/activeX/activeX5.xml"/>
  <Override ContentType="application/vnd.ms-office.activeX" PartName="/xl/activeX/activeX6.bin"/>
  <Override ContentType="application/vnd.ms-office.activeX+xml" PartName="/xl/activeX/activeX6.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20.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0" yWindow="915" windowWidth="18960" windowHeight="7230" tabRatio="847"/>
  </bookViews>
  <sheets>
    <sheet name="ImportantDisclosures" sheetId="69" r:id="rId1"/>
    <sheet name="BullBaseBear" sheetId="21" r:id="rId2"/>
    <sheet name="earnings" sheetId="39" r:id="rId3"/>
    <sheet name="sumry" sheetId="11" state="hidden" r:id="rId4"/>
    <sheet name="yrP&amp;L" sheetId="5" state="hidden" r:id="rId5"/>
    <sheet name="qtrP&amp;L" sheetId="1" state="hidden" r:id="rId6"/>
    <sheet name="sumry_new" sheetId="47" r:id="rId7"/>
    <sheet name="Estimate Changes" sheetId="53" state="hidden" r:id="rId8"/>
    <sheet name="qtrP&amp;L_new" sheetId="46" r:id="rId9"/>
    <sheet name="sumry (2)" sheetId="48" state="hidden" r:id="rId10"/>
    <sheet name="qtrSales" sheetId="3" r:id="rId11"/>
    <sheet name="turn" sheetId="8" r:id="rId12"/>
    <sheet name="bal" sheetId="9" r:id="rId13"/>
    <sheet name="flow" sheetId="10" r:id="rId14"/>
    <sheet name="work" sheetId="6" r:id="rId15"/>
    <sheet name="yrP&amp;L_new" sheetId="49" r:id="rId16"/>
    <sheet name="yrSales" sheetId="4" r:id="rId17"/>
    <sheet name="DCF (old)" sheetId="32" state="hidden" r:id="rId18"/>
    <sheet name="DCF_2 (old)" sheetId="31" state="hidden" r:id="rId19"/>
    <sheet name="dtc" sheetId="7" r:id="rId20"/>
    <sheet name="MWA Lease" sheetId="38" r:id="rId21"/>
    <sheet name="DebtSchedule" sheetId="30" state="hidden" r:id="rId22"/>
    <sheet name="MW Valuation" sheetId="44" r:id="rId23"/>
    <sheet name="MW-Cache" sheetId="15" state="veryHidden" r:id="rId24"/>
    <sheet name="__FDSCACHE__" sheetId="17" state="veryHidden" r:id="rId25"/>
    <sheet name="Flowthrough" sheetId="55" r:id="rId26"/>
    <sheet name="Sheet1" sheetId="45" state="hidden" r:id="rId27"/>
    <sheet name="Sheet2" sheetId="50" state="hidden" r:id="rId28"/>
    <sheet name="Sheet3" sheetId="51" state="hidden" r:id="rId29"/>
    <sheet name="Sheet4" sheetId="54" state="hidden" r:id="rId30"/>
    <sheet name="Sheet5" sheetId="56" state="hidden" r:id="rId31"/>
    <sheet name="Sheet6" sheetId="57" state="hidden" r:id="rId32"/>
    <sheet name="DCF" sheetId="60" r:id="rId33"/>
    <sheet name="New vs. Old" sheetId="58" state="hidden" r:id="rId34"/>
    <sheet name="Sheet10" sheetId="61" state="hidden" r:id="rId35"/>
    <sheet name="inv vs. fwd sales" sheetId="62" r:id="rId36"/>
    <sheet name="53rd week calcs" sheetId="63" r:id="rId37"/>
    <sheet name="4Q17 &amp; 2017 EPS adj" sheetId="65" r:id="rId38"/>
    <sheet name="IndexInformation" sheetId="70" r:id="rId39"/>
    <sheet name="ModPubIndex" sheetId="71" r:id="rId40"/>
  </sheets>
  <functionGroups builtInGroupCount="17"/>
  <externalReferences>
    <externalReference r:id="rId41"/>
    <externalReference r:id="rId42"/>
    <externalReference r:id="rId43"/>
  </externalReferences>
  <definedNames>
    <definedName name="__FDS_HYPERLINK_TOGGLE_STATE__" hidden="1">"ON"</definedName>
    <definedName name="__FDS_UNIQUE_RANGE_ID_GENERATOR_COUNTER" hidden="1">1</definedName>
    <definedName name="__FDS_USED_FOR_REUSING_RANGE_IDS_RECYCLE" localSheetId="32">{1,1,1,1}</definedName>
    <definedName name="__FDS_USED_FOR_REUSING_RANGE_IDS_RECYCLE" localSheetId="8">{1,1,1,1}</definedName>
    <definedName name="__FDS_USED_FOR_REUSING_RANGE_IDS_RECYCLE" localSheetId="9">{1,1,1,1}</definedName>
    <definedName name="__FDS_USED_FOR_REUSING_RANGE_IDS_RECYCLE">{1,1,1,1}</definedName>
    <definedName name="_17__123Graph_Aｸﾞﾗﾌ_1" hidden="1">[1]ｾｸﾞﾒﾝﾄ!$E$164:$I$164</definedName>
    <definedName name="_18__123Graph_Aｸﾞﾗﾌ_2" hidden="1">[1]単独!$AR$14:$AR$18</definedName>
    <definedName name="_23__123Graph_Bｸﾞﾗﾌ_1" hidden="1">[1]ｾｸﾞﾒﾝﾄ!$E$165:$I$165</definedName>
    <definedName name="_24__123Graph_Dｸﾞﾗﾌ_1" hidden="1">[1]ｾｸﾞﾒﾝﾄ!$E$167:$I$167</definedName>
    <definedName name="_29__123Graph_XLIQUIDS" hidden="1">[2]P!$R$29:$AK$29</definedName>
    <definedName name="_34__123Graph_XR_M_MARG" hidden="1">[2]P!$R$29:$AK$29</definedName>
    <definedName name="_bdm.09DBC74CAE674B3CAC031D0496B6D320.edm" localSheetId="3" hidden="1">sumry!$A$7:$BO$67</definedName>
    <definedName name="_bdm.09DBC74CAE674B3CAC031D0496B6D320.edm" localSheetId="9" hidden="1">'sumry (2)'!$A$7:$BO$73</definedName>
    <definedName name="_bdm.09DBC74CAE674B3CAC031D0496B6D320.edm" localSheetId="6" hidden="1">sumry_new!$A$7:$CC$85</definedName>
    <definedName name="_bdm.659514DB8CBF4FF7992D4722A33E0F0B.edm" localSheetId="9" hidden="1">'sumry (2)'!$1:$1048576</definedName>
    <definedName name="_bdm.659514DB8CBF4FF7992D4722A33E0F0B.edm" localSheetId="6" hidden="1">sumry_new!$1:$1048576</definedName>
    <definedName name="_bdm.659514DB8CBF4FF7992D4722A33E0F0B.edm" hidden="1">sumry!$1:$1048576</definedName>
    <definedName name="Act_Price" localSheetId="32">OFFSET(Date_Range,0,1,,1)</definedName>
    <definedName name="Act_Price" localSheetId="2">OFFSET(Date_Range,0,1,,1)</definedName>
    <definedName name="Act_Price" localSheetId="8">OFFSET(Date_Range,0,1,,1)</definedName>
    <definedName name="Act_Price" localSheetId="9">OFFSET(Date_Range,0,1,,1)</definedName>
    <definedName name="Act_Price" localSheetId="6">OFFSET(Date_Range,0,1,,1)</definedName>
    <definedName name="Act_Price" localSheetId="15">OFFSET(Date_Range,0,1,,1)</definedName>
    <definedName name="Act_Price">OFFSET(Date_Range,0,1,,1)</definedName>
    <definedName name="AdditionalInstructions">IndexInformation!$B$42</definedName>
    <definedName name="Address" localSheetId="0">ImportantDisclosures!$A$2:$A$2</definedName>
    <definedName name="ANA" localSheetId="39">ModPubIndex!$A$7</definedName>
    <definedName name="Authors" localSheetId="0">ImportantDisclosures!$A$7</definedName>
    <definedName name="Authors" localSheetId="38">IndexInformation!$B$18</definedName>
    <definedName name="BRO" localSheetId="39">ModPubIndex!$A$1</definedName>
    <definedName name="Chart_COE" localSheetId="22">'MW Valuation'!$C$128:OFFSET('MW Valuation'!$C$128,0,'MW Valuation'!$C$22)</definedName>
    <definedName name="Chart_FCFO" localSheetId="22">'MW Valuation'!$C$68:OFFSET('MW Valuation'!$C$68,0,'MW Valuation'!$I$20-1)</definedName>
    <definedName name="Chart_NetDebt" localSheetId="22">'MW Valuation'!$C$76:OFFSET('MW Valuation'!$C$76,0,'MW Valuation'!$I$20-1)</definedName>
    <definedName name="Chart_Nopat" localSheetId="22">'MW Valuation'!$C$64:OFFSET('MW Valuation'!$C$64,0,'MW Valuation'!$I$20-1)</definedName>
    <definedName name="Chart_NopatMargin" localSheetId="22">'MW Valuation'!$C$65:OFFSET('MW Valuation'!$C$65,0,'MW Valuation'!$I$20-1)</definedName>
    <definedName name="Chart_RNOA" localSheetId="22">'MW Valuation'!$C$67:OFFSET('MW Valuation'!$C$67,0,'MW Valuation'!$C$22)</definedName>
    <definedName name="Chart_ROE" localSheetId="22">'MW Valuation'!$C$83:OFFSET('MW Valuation'!$C$83,0,'MW Valuation'!$C$22)</definedName>
    <definedName name="Chart_WACC" localSheetId="22">'MW Valuation'!$C$127:OFFSET('MW Valuation'!$C$127,0,'MW Valuation'!$C$22)</definedName>
    <definedName name="check" localSheetId="20">'MWA Lease'!$H$190:$P$190</definedName>
    <definedName name="CopyrightStamp">ImportantDisclosures!$A$27</definedName>
    <definedName name="COU" localSheetId="39">ModPubIndex!$A$5</definedName>
    <definedName name="CQEnd" localSheetId="38">IndexInformation!$B$31</definedName>
    <definedName name="Currency" localSheetId="38">IndexInformation!$B$24</definedName>
    <definedName name="CurrentStockPrice" localSheetId="38">IndexInformation!$B$23</definedName>
    <definedName name="CurrQtrEPS" localSheetId="38">IndexInformation!$B$29</definedName>
    <definedName name="CurrYearEPS" localSheetId="38">IndexInformation!$B$11</definedName>
    <definedName name="CurrYearTotalRevenue" localSheetId="38">IndexInformation!$B$10</definedName>
    <definedName name="CurrYearTotalRevenueActual" localSheetId="38">IndexInformation!$B$32</definedName>
    <definedName name="CUSIP" localSheetId="38">IndexInformation!$B$20</definedName>
    <definedName name="CYEnd" localSheetId="38">IndexInformation!$B$30</definedName>
    <definedName name="Date" localSheetId="0">ImportantDisclosures!$A$8</definedName>
    <definedName name="Deleted" localSheetId="38">IndexInformation!$B$27</definedName>
    <definedName name="Description" localSheetId="38">IndexInformation!$B$7</definedName>
    <definedName name="Discipline" localSheetId="38">IndexInformation!$B$3</definedName>
    <definedName name="DISCIPLINE" localSheetId="39">ModPubIndex!$A$12</definedName>
    <definedName name="DisclosuresText">ImportantDisclosures!$A$22</definedName>
    <definedName name="Distribution" localSheetId="38">IndexInformation!$B$26</definedName>
    <definedName name="DistTable" localSheetId="0">ImportantDisclosures!#REF!</definedName>
    <definedName name="DistTablePreamble" localSheetId="0">ImportantDisclosures!#REF!</definedName>
    <definedName name="DOCDAT" localSheetId="39">ModPubIndex!$A$2</definedName>
    <definedName name="DOCTIME" localSheetId="39">ModPubIndex!$A$3</definedName>
    <definedName name="DocType" localSheetId="38">IndexInformation!$B$5</definedName>
    <definedName name="Download_series" localSheetId="8">[3]!Download_series</definedName>
    <definedName name="Download_series" localSheetId="6">[3]!Download_series</definedName>
    <definedName name="Download_series" localSheetId="15">[3]!Download_series</definedName>
    <definedName name="Download_series">[3]!Download_series</definedName>
    <definedName name="EMAIL_ALERT" localSheetId="39">ModPubIndex!$A$10</definedName>
    <definedName name="EmailAlert" localSheetId="38">IndexInformation!$B$28</definedName>
    <definedName name="FINCopyDirection">1</definedName>
    <definedName name="FINCriteriaType">1</definedName>
    <definedName name="FiveYearGrowthRate" localSheetId="38">IndexInformation!$B$16</definedName>
    <definedName name="FollowingYearEPS" localSheetId="38">IndexInformation!$B$15</definedName>
    <definedName name="FollowingYearTotalRevenue" localSheetId="38">IndexInformation!$B$14</definedName>
    <definedName name="FollowingYearTotalRevenueActual" localSheetId="38">IndexInformation!$B$34</definedName>
    <definedName name="Growth_ROIC" localSheetId="20">OFFSET([0]!XRange,10,0)</definedName>
    <definedName name="HL" localSheetId="39">ModPubIndex!$A$8</definedName>
    <definedName name="IND" localSheetId="39">ModPubIndex!$A$9</definedName>
    <definedName name="Industry" localSheetId="0">ImportantDisclosures!$A$12</definedName>
    <definedName name="IndustryId">IndexInformation!$B$40</definedName>
    <definedName name="IndustryRating" localSheetId="0">ImportantDisclosures!$A$13</definedName>
    <definedName name="InvestCapGrowth" localSheetId="20">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38">IndexInformation!$B$8</definedName>
    <definedName name="LanguageCode">IndexInformation!$B$38</definedName>
    <definedName name="LastCell" localSheetId="0">ImportantDisclosures!$A$22</definedName>
    <definedName name="Linking_1">'Estimate Changes'!$E$28:$R$41</definedName>
    <definedName name="Linking_10">bal!$A$6:$AW$47</definedName>
    <definedName name="Linking_11">flow!$A$5:$AW$71</definedName>
    <definedName name="Linking_12">'4Q17 &amp; 2017 EPS adj'!$A$2:$B$25</definedName>
    <definedName name="Linking_2">sumry_new!$A$7:$CJ$76</definedName>
    <definedName name="Linking_3">bal!$A$6:$AQ$47</definedName>
    <definedName name="Linking_4">flow!$A$7:$AQ$71</definedName>
    <definedName name="Linking_5">'New vs. Old'!$A$3:$F$5</definedName>
    <definedName name="Linking_6">sumry_new!$A$7:$CL$76</definedName>
    <definedName name="Linking_7">bal!$A$6:$AU$47</definedName>
    <definedName name="Linking_8">flow!$B$5:$AU$73</definedName>
    <definedName name="Linking_9">sumry_new!$A$7:$CM$76</definedName>
    <definedName name="Linking_Range_1" localSheetId="9">'sumry (2)'!$A$7:$BQ$65</definedName>
    <definedName name="Linking_Range_1" localSheetId="6">sumry_new!$A$7:$CE$76</definedName>
    <definedName name="Linking_Range_1">sumry!$A$7:$BQ$59</definedName>
    <definedName name="Linking_Range_10">flow!$A$1:$AO$71</definedName>
    <definedName name="Linking_Range_11" localSheetId="15">'yrP&amp;L_new'!$A$1:$Q$81</definedName>
    <definedName name="Linking_Range_11">'yrP&amp;L'!$A$1:$AA$23</definedName>
    <definedName name="Linking_Range_12" localSheetId="15">'yrP&amp;L_new'!$A$5:$Q$81</definedName>
    <definedName name="Linking_Range_12">'yrP&amp;L'!$A$5:$AA$59</definedName>
    <definedName name="Linking_Range_13">flow!$A$1:$AO$72</definedName>
    <definedName name="Linking_Range_14" localSheetId="9">'sumry (2)'!$A$7:$BU$65</definedName>
    <definedName name="Linking_Range_14" localSheetId="6">sumry_new!$A$7:$CI$76</definedName>
    <definedName name="Linking_Range_14">sumry!$A$7:$BU$59</definedName>
    <definedName name="Linking_Range_15">bal!$A$6:$AO$47</definedName>
    <definedName name="Linking_Range_16">flow!$A$7:$AO$71</definedName>
    <definedName name="Linking_Range_17" localSheetId="8">'qtrP&amp;L_new'!$A$38:$BD$140</definedName>
    <definedName name="Linking_Range_17">'qtrP&amp;L'!$A$6:$BE$80</definedName>
    <definedName name="Linking_Range_18" localSheetId="8">'qtrP&amp;L_new'!$A$38:$BD$140</definedName>
    <definedName name="Linking_Range_18">'qtrP&amp;L'!$A$6:$BE$177</definedName>
    <definedName name="Linking_Range_19" localSheetId="8">'qtrP&amp;L_new'!$A$38:$BD$140</definedName>
    <definedName name="Linking_Range_19">'qtrP&amp;L'!$A$6:$BE$249</definedName>
    <definedName name="Linking_Range_2">bal!$A$6:$AG$48</definedName>
    <definedName name="Linking_Range_20" localSheetId="9">'sumry (2)'!$A$6:$BU$65</definedName>
    <definedName name="Linking_Range_20" localSheetId="6">sumry_new!$A$6:$CI$76</definedName>
    <definedName name="Linking_Range_20">sumry!$A$6:$BU$59</definedName>
    <definedName name="Linking_Range_21">flow!$A$5:$AO$69</definedName>
    <definedName name="Linking_Range_22">bal!$A$5:$AO$49</definedName>
    <definedName name="Linking_Range_23">flow!$A$5:$AO$74</definedName>
    <definedName name="Linking_Range_24" localSheetId="9">'sumry (2)'!$A$6:$BU$74</definedName>
    <definedName name="Linking_Range_24" localSheetId="6">sumry_new!$A$6:$CI$86</definedName>
    <definedName name="Linking_Range_24">sumry!$A$6:$BU$68</definedName>
    <definedName name="Linking_Range_25">'yrP&amp;L_new'!$A$5:$U$58</definedName>
    <definedName name="Linking_Range_26">bal!$A$6:$AO$48</definedName>
    <definedName name="Linking_Range_27">'yrP&amp;L_new'!$A$5:$U$71</definedName>
    <definedName name="Linking_Range_3">flow!$A$7:$AG$72</definedName>
    <definedName name="Linking_Range_4">bal!$A$6:$AI$47</definedName>
    <definedName name="Linking_Range_5">flow!$A$7:$AG$71</definedName>
    <definedName name="Linking_Range_6">bal!$A$6:$AG$47</definedName>
    <definedName name="Linking_Range_7" localSheetId="15">'yrP&amp;L_new'!$A$1:$Q$83</definedName>
    <definedName name="Linking_Range_7">'yrP&amp;L'!$A$1:$AA$62</definedName>
    <definedName name="Linking_Range_8" localSheetId="9">'sumry (2)'!$A$1:$BU$65</definedName>
    <definedName name="Linking_Range_8" localSheetId="6">sumry_new!$A$1:$CI$76</definedName>
    <definedName name="Linking_Range_8">sumry!$A$1:$BU$59</definedName>
    <definedName name="Linking_Range_9">bal!$A$1:$AO$51</definedName>
    <definedName name="MacroVersion" localSheetId="38">IndexInformation!$B$1</definedName>
    <definedName name="MExbrlDates" localSheetId="22">'MW Valuation'!$344:$344</definedName>
    <definedName name="ModelPrice" localSheetId="0">ImportantDisclosures!$A$14</definedName>
    <definedName name="Multiplier" localSheetId="38">IndexInformation!$B$35</definedName>
    <definedName name="MWxbrlDates" localSheetId="22">'MW Valuation'!$38:$38</definedName>
    <definedName name="NextYearEPS" localSheetId="38">IndexInformation!$B$13</definedName>
    <definedName name="NextYearTotalRevenue" localSheetId="38">IndexInformation!$B$12</definedName>
    <definedName name="NextYearTotalRevenueActual" localSheetId="38">IndexInformation!$B$33</definedName>
    <definedName name="ObjectType">IndexInformation!$B$37</definedName>
    <definedName name="OpMargin" localSheetId="20">OFFSET([0]!XRange2,5,0)</definedName>
    <definedName name="PANA" localSheetId="39">ModPubIndex!$A$11</definedName>
    <definedName name="PathName" localSheetId="38">IndexInformation!$B$25</definedName>
    <definedName name="Phase1NPVFCF" localSheetId="20">OFFSET([0]!XRange,39,0)</definedName>
    <definedName name="Phase2NPVFCF" localSheetId="20">OFFSET([0]!XRange,40,0)</definedName>
    <definedName name="Phase3NPVFCF" localSheetId="20">OFFSET([0]!XRange,41,0)</definedName>
    <definedName name="_xlnm.Print_Area" localSheetId="12">bal!$A$1:$AM$48</definedName>
    <definedName name="_xlnm.Print_Area" localSheetId="1">BullBaseBear!$A$69:$Q$262</definedName>
    <definedName name="_xlnm.Print_Area" localSheetId="21">DebtSchedule!$A$1:$U$66</definedName>
    <definedName name="_xlnm.Print_Area" localSheetId="19">dtc!$A$1:$AC$61</definedName>
    <definedName name="_xlnm.Print_Area" localSheetId="13">flow!$A$1:$AM$72</definedName>
    <definedName name="_xlnm.Print_Area" localSheetId="22">'MW Valuation'!$1:$88</definedName>
    <definedName name="_xlnm.Print_Area" localSheetId="5">'qtrP&amp;L'!$A$1:$BK$249</definedName>
    <definedName name="_xlnm.Print_Area" localSheetId="8">'qtrP&amp;L_new'!$A$1:$BM$345</definedName>
    <definedName name="_xlnm.Print_Area" localSheetId="10">qtrSales!$A$2:$AL$122</definedName>
    <definedName name="_xlnm.Print_Area" localSheetId="3">sumry!$A$1:$BU$67</definedName>
    <definedName name="_xlnm.Print_Area" localSheetId="9">'sumry (2)'!$A$7:$BU$65</definedName>
    <definedName name="_xlnm.Print_Area" localSheetId="6">sumry_new!$A$1:$CI$85</definedName>
    <definedName name="_xlnm.Print_Area" localSheetId="11">turn!$A$1:$AJ$128</definedName>
    <definedName name="_xlnm.Print_Area" localSheetId="14">work!$A$1:$BB$44</definedName>
    <definedName name="_xlnm.Print_Area" localSheetId="4">'yrP&amp;L'!$A$1:$AC$88</definedName>
    <definedName name="_xlnm.Print_Area" localSheetId="15">'yrP&amp;L_new'!$A$1:$U$83</definedName>
    <definedName name="_xlnm.Print_Area" localSheetId="16">yrSales!$A$1:$AF$48</definedName>
    <definedName name="_xlnm.Print_Area">#REF!</definedName>
    <definedName name="_xlnm.Print_Titles">#REF!</definedName>
    <definedName name="PRODUCT" localSheetId="39">ModPubIndex!$A$6</definedName>
    <definedName name="ProjectName" localSheetId="32">{"Client Name or Project Name"}</definedName>
    <definedName name="ProjectName" localSheetId="2">{"Client Name or Project Name"}</definedName>
    <definedName name="ProjectName" localSheetId="8">{"Client Name or Project Name"}</definedName>
    <definedName name="ProjectName" localSheetId="9">{"Client Name or Project Name"}</definedName>
    <definedName name="ProjectName">{"Client Name or Project Name"}</definedName>
    <definedName name="PSYM" localSheetId="39">ModPubIndex!$A$4</definedName>
    <definedName name="PublishDate" localSheetId="38">IndexInformation!$B$2</definedName>
    <definedName name="Rating" localSheetId="3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32">OFFSET(Date_Range,0,10,,1)</definedName>
    <definedName name="Rel_Forw" localSheetId="2">OFFSET(Date_Range,0,10,,1)</definedName>
    <definedName name="Rel_Forw" localSheetId="8">OFFSET(Date_Range,0,10,,1)</definedName>
    <definedName name="Rel_Forw" localSheetId="9">OFFSET(Date_Range,0,10,,1)</definedName>
    <definedName name="Rel_Forw" localSheetId="6">OFFSET(Date_Range,0,10,,1)</definedName>
    <definedName name="Rel_Forw" localSheetId="15">OFFSET(Date_Range,0,10,,1)</definedName>
    <definedName name="Rel_Forw">OFFSET(Date_Range,0,10,,1)</definedName>
    <definedName name="Rem_Bus_ROIC" localSheetId="20">OFFSET([0]!XRange,11,0)</definedName>
    <definedName name="ResearchTopic" localSheetId="38">IndexInformation!$B$4</definedName>
    <definedName name="RIC" localSheetId="38">IndexInformation!$B$21</definedName>
    <definedName name="rng_IVStockPrice" localSheetId="22">'MW Valuation'!$I$12</definedName>
    <definedName name="rng_XaxisDataSource" localSheetId="22">'MW Valuation'!$B$61:$G$87</definedName>
    <definedName name="rng_XaxisRowIndex" localSheetId="22">'MW Valuation'!$AF$10</definedName>
    <definedName name="rng_YaxisDataSource" localSheetId="22">'MW Valuation'!$B$61:$G$87</definedName>
    <definedName name="rng_YaxisRowIndex" localSheetId="22">'MW Valuation'!$AF$11</definedName>
    <definedName name="rng_YearIndex" localSheetId="22">'MW Valuation'!$AJ$8</definedName>
    <definedName name="rngAppName" localSheetId="22">'MW Valuation'!$B$1</definedName>
    <definedName name="rngAppName" localSheetId="20">'MWA Lease'!$A$1</definedName>
    <definedName name="rngBalanceSheet" localSheetId="22">'MW Valuation'!$53:$56</definedName>
    <definedName name="rngCompany" localSheetId="22">'MW Valuation'!$R$21</definedName>
    <definedName name="rngCompany" localSheetId="20">'MWA Lease'!$F$6</definedName>
    <definedName name="rngForecastYears" localSheetId="22">'MW Valuation'!$I$20</definedName>
    <definedName name="rngFXInput" localSheetId="22">'MW Valuation'!$B$59</definedName>
    <definedName name="rngIncomeStatement" localSheetId="22">'MW Valuation'!$42:$50</definedName>
    <definedName name="rngInput1" localSheetId="22">'MW Valuation'!$C$12</definedName>
    <definedName name="rngInput2" localSheetId="22">'MW Valuation'!$C$13</definedName>
    <definedName name="rngInput4" localSheetId="22">'MW Valuation'!$C$14</definedName>
    <definedName name="rngInput5" localSheetId="22">'MW Valuation'!$C$15</definedName>
    <definedName name="rngInput6" localSheetId="22">'MW Valuation'!$C$17</definedName>
    <definedName name="rngInput7" localSheetId="22">'MW Valuation'!$C$18</definedName>
    <definedName name="rngInput9" localSheetId="22">'MW Valuation'!$V$22</definedName>
    <definedName name="rngStartYear" localSheetId="22">'MW Valuation'!$C$333</definedName>
    <definedName name="rngTicker" localSheetId="22">'MW Valuation'!$B$38</definedName>
    <definedName name="rngTicker" localSheetId="20">'MWA Lease'!$I$3</definedName>
    <definedName name="rngWACC" localSheetId="22">'MW Valuation'!$I$18</definedName>
    <definedName name="rngXaxis" localSheetId="22">'MW Valuation'!$AJ$10:$AN$10</definedName>
    <definedName name="rngYaxis" localSheetId="22">'MW Valuation'!$AJ$11:$AN$11</definedName>
    <definedName name="SECSettlement" localSheetId="0">ImportantDisclosures!#REF!</definedName>
    <definedName name="SEDOL" localSheetId="38">IndexInformation!$B$22</definedName>
    <definedName name="SedolTicker" localSheetId="20">'MWA Lease'!$F$4</definedName>
    <definedName name="SourceDefined" localSheetId="0">ImportantDisclosures!$A$19</definedName>
    <definedName name="StockRating" localSheetId="0">ImportantDisclosures!$A$11</definedName>
    <definedName name="SubjectCode" localSheetId="38">IndexInformation!$B$6</definedName>
    <definedName name="SubmitterUserId">IndexInformation!$B$39</definedName>
    <definedName name="SUPPRESSED" localSheetId="3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38">IndexInformation!$B$19</definedName>
    <definedName name="Total_Bus_ROIC" localSheetId="20">OFFSET([0]!XRange,12,0)</definedName>
    <definedName name="TRNR_5c29e4fade6e489b8e3d4b9112e087f9_0_0" hidden="1">DCF!$I$30</definedName>
    <definedName name="TRSLTicker">'MW Valuation'!$AD$33</definedName>
    <definedName name="Update_This" localSheetId="8">[3]!Update_This</definedName>
    <definedName name="Update_This" localSheetId="6">[3]!Update_This</definedName>
    <definedName name="Update_This" localSheetId="15">[3]!Update_This</definedName>
    <definedName name="Update_This">[3]!Update_This</definedName>
    <definedName name="UpdateReason" localSheetId="38">IndexInformation!$B$17</definedName>
    <definedName name="USRegDisclosures" localSheetId="0">ImportantDisclosures!#REF!</definedName>
    <definedName name="Version">"June 29, 2004"</definedName>
    <definedName name="WACC" localSheetId="20">OFFSET([0]!XRange,13,0)</definedName>
  </definedNames>
  <calcPr calcId="145621" iterateCount="1000"/>
</workbook>
</file>

<file path=xl/calcChain.xml><?xml version="1.0" encoding="utf-8"?>
<calcChain xmlns="http://schemas.openxmlformats.org/spreadsheetml/2006/main">
  <c r="AG6" i="55" l="1"/>
  <c r="AG7" i="55"/>
  <c r="AG9" i="55"/>
  <c r="AG4" i="55"/>
  <c r="AG3" i="55"/>
  <c r="BL37" i="6"/>
  <c r="BM37" i="6"/>
  <c r="BN37" i="6"/>
  <c r="BM31" i="6"/>
  <c r="BN31" i="6"/>
  <c r="BM25" i="6"/>
  <c r="BN25" i="6"/>
  <c r="BM19" i="6"/>
  <c r="BN19" i="6"/>
  <c r="BL19" i="6"/>
  <c r="AM63" i="9"/>
  <c r="AM45" i="9"/>
  <c r="AM44" i="9"/>
  <c r="T35" i="5" l="1"/>
  <c r="BS310" i="46" l="1"/>
  <c r="BS309" i="46"/>
  <c r="BS226" i="46"/>
  <c r="D37" i="60"/>
  <c r="C37" i="60" l="1"/>
  <c r="C34" i="60"/>
  <c r="I30" i="60"/>
  <c r="H30" i="60" l="1"/>
  <c r="H33" i="60" s="1"/>
  <c r="E23" i="60"/>
  <c r="F23" i="60" s="1"/>
  <c r="G23" i="60" s="1"/>
  <c r="H23" i="60" s="1"/>
  <c r="I23" i="60" s="1"/>
  <c r="J23" i="60" s="1"/>
  <c r="G15" i="60"/>
  <c r="H15" i="60" s="1"/>
  <c r="F15" i="60"/>
  <c r="D15" i="60"/>
  <c r="C15" i="60"/>
  <c r="C53" i="39"/>
  <c r="B53" i="39"/>
  <c r="E25" i="39"/>
  <c r="I15" i="60" l="1"/>
  <c r="E22" i="39"/>
  <c r="J15" i="60" l="1"/>
  <c r="E26" i="39"/>
  <c r="E18" i="39"/>
  <c r="E20" i="39" l="1"/>
  <c r="E33" i="39" s="1"/>
  <c r="E14" i="39"/>
  <c r="E16" i="39" l="1"/>
  <c r="E13" i="39"/>
  <c r="E8" i="39"/>
  <c r="E9" i="39" l="1"/>
  <c r="E4" i="39"/>
  <c r="E34" i="39" l="1"/>
  <c r="E32" i="39"/>
  <c r="E31" i="39"/>
  <c r="E6" i="39"/>
  <c r="E29" i="39"/>
  <c r="E30" i="39"/>
  <c r="E3" i="39"/>
  <c r="H3" i="39"/>
  <c r="G3" i="39"/>
  <c r="BO284" i="46" l="1"/>
  <c r="BZ14" i="46"/>
  <c r="AQ31" i="10"/>
  <c r="E15" i="60" s="1"/>
  <c r="AM33" i="10"/>
  <c r="AM45" i="10"/>
  <c r="AM53" i="10"/>
  <c r="BW96" i="46"/>
  <c r="BN282" i="46"/>
  <c r="H194" i="38"/>
  <c r="H196" i="38"/>
  <c r="H195" i="38"/>
  <c r="O149" i="38" l="1"/>
  <c r="P149" i="38" s="1"/>
  <c r="Q149" i="38" s="1"/>
  <c r="R149" i="38" s="1"/>
  <c r="S149" i="38" s="1"/>
  <c r="T149" i="38" s="1"/>
  <c r="U149" i="38" s="1"/>
  <c r="V149" i="38" s="1"/>
  <c r="W149" i="38" s="1"/>
  <c r="N149" i="38"/>
  <c r="M149" i="38"/>
  <c r="L149" i="38"/>
  <c r="K149" i="38"/>
  <c r="J149" i="38"/>
  <c r="I149" i="38"/>
  <c r="H149" i="38"/>
  <c r="C131" i="38"/>
  <c r="B131" i="38"/>
  <c r="B132" i="38" s="1"/>
  <c r="B133" i="38" s="1"/>
  <c r="C130" i="38"/>
  <c r="C129" i="38"/>
  <c r="C128" i="38"/>
  <c r="C127" i="38"/>
  <c r="C126" i="38"/>
  <c r="C125" i="38"/>
  <c r="C124" i="38"/>
  <c r="C123" i="38"/>
  <c r="C122" i="38"/>
  <c r="C121" i="38"/>
  <c r="C120" i="38"/>
  <c r="C119" i="38"/>
  <c r="C118" i="38"/>
  <c r="C117" i="38"/>
  <c r="C116" i="38"/>
  <c r="C115" i="38"/>
  <c r="C114" i="38"/>
  <c r="C113" i="38"/>
  <c r="P116" i="38"/>
  <c r="O116" i="38"/>
  <c r="N116" i="38"/>
  <c r="M116" i="38"/>
  <c r="L116" i="38"/>
  <c r="K116" i="38"/>
  <c r="J116" i="38"/>
  <c r="P115" i="38"/>
  <c r="O115" i="38"/>
  <c r="N115" i="38"/>
  <c r="M115" i="38"/>
  <c r="L115" i="38"/>
  <c r="K115" i="38"/>
  <c r="J115" i="38"/>
  <c r="P114" i="38"/>
  <c r="O114" i="38"/>
  <c r="N114" i="38"/>
  <c r="M114" i="38"/>
  <c r="L114" i="38"/>
  <c r="K114" i="38"/>
  <c r="J114" i="38"/>
  <c r="P113" i="38"/>
  <c r="O113" i="38"/>
  <c r="N113" i="38"/>
  <c r="M113" i="38"/>
  <c r="L113" i="38"/>
  <c r="K113" i="38"/>
  <c r="J113" i="38"/>
  <c r="P112" i="38"/>
  <c r="O112" i="38"/>
  <c r="N112" i="38"/>
  <c r="M112" i="38"/>
  <c r="L112" i="38"/>
  <c r="K112" i="38"/>
  <c r="J112" i="38"/>
  <c r="P82" i="38"/>
  <c r="O82" i="38"/>
  <c r="N82" i="38"/>
  <c r="O117" i="38" s="1"/>
  <c r="M82" i="38"/>
  <c r="L82" i="38"/>
  <c r="K82" i="38"/>
  <c r="J82" i="38"/>
  <c r="I82" i="38"/>
  <c r="H77" i="38"/>
  <c r="H80" i="38"/>
  <c r="H76" i="38"/>
  <c r="H79" i="38"/>
  <c r="H81" i="38"/>
  <c r="H78" i="38"/>
  <c r="H112" i="38" l="1"/>
  <c r="I112" i="38"/>
  <c r="H113" i="38"/>
  <c r="I113" i="38"/>
  <c r="H114" i="38"/>
  <c r="I114" i="38"/>
  <c r="H115" i="38"/>
  <c r="I115" i="38"/>
  <c r="H116" i="38"/>
  <c r="I116" i="38"/>
  <c r="H117" i="38"/>
  <c r="P117" i="38"/>
  <c r="O83" i="38"/>
  <c r="O84" i="38" s="1"/>
  <c r="M117" i="38"/>
  <c r="Q82" i="38"/>
  <c r="P83" i="38"/>
  <c r="K83" i="38"/>
  <c r="L83" i="38"/>
  <c r="M118" i="38" s="1"/>
  <c r="L84" i="38"/>
  <c r="L117" i="38"/>
  <c r="I83" i="38"/>
  <c r="I84" i="38" s="1"/>
  <c r="J83" i="38"/>
  <c r="K118" i="38" s="1"/>
  <c r="N83" i="38"/>
  <c r="N84" i="38" s="1"/>
  <c r="N85" i="38" s="1"/>
  <c r="K117" i="38"/>
  <c r="N117" i="38"/>
  <c r="M83" i="38"/>
  <c r="J117" i="38"/>
  <c r="C133" i="38"/>
  <c r="B134" i="38"/>
  <c r="C134" i="38"/>
  <c r="C132" i="38"/>
  <c r="Q81" i="38"/>
  <c r="R81" i="38" s="1"/>
  <c r="Q80" i="38"/>
  <c r="Q79" i="38"/>
  <c r="R79" i="38" s="1"/>
  <c r="Q78" i="38"/>
  <c r="Q77" i="38"/>
  <c r="Q76" i="38"/>
  <c r="R76" i="38" s="1"/>
  <c r="P72" i="38"/>
  <c r="O72" i="38"/>
  <c r="N72" i="38"/>
  <c r="M72" i="38"/>
  <c r="L72" i="38"/>
  <c r="K72" i="38"/>
  <c r="J72" i="38"/>
  <c r="I72" i="38"/>
  <c r="H72" i="38"/>
  <c r="H68" i="38"/>
  <c r="P118" i="38" l="1"/>
  <c r="O85" i="38"/>
  <c r="M119" i="38"/>
  <c r="H82" i="38"/>
  <c r="S81" i="38"/>
  <c r="S76" i="38"/>
  <c r="N86" i="38"/>
  <c r="N87" i="38" s="1"/>
  <c r="N88" i="38" s="1"/>
  <c r="J84" i="38"/>
  <c r="K119" i="38" s="1"/>
  <c r="R80" i="38"/>
  <c r="J118" i="38"/>
  <c r="K84" i="38"/>
  <c r="L119" i="38" s="1"/>
  <c r="O119" i="38"/>
  <c r="N118" i="38"/>
  <c r="J119" i="38"/>
  <c r="L85" i="38"/>
  <c r="L86" i="38" s="1"/>
  <c r="L87" i="38" s="1"/>
  <c r="P84" i="38"/>
  <c r="R82" i="38"/>
  <c r="O86" i="38"/>
  <c r="O87" i="38" s="1"/>
  <c r="O88" i="38" s="1"/>
  <c r="I85" i="38"/>
  <c r="P119" i="38"/>
  <c r="Q83" i="38"/>
  <c r="R78" i="38"/>
  <c r="S79" i="38"/>
  <c r="R77" i="38"/>
  <c r="B135" i="38"/>
  <c r="C135" i="38"/>
  <c r="M84" i="38"/>
  <c r="L118" i="38"/>
  <c r="O120" i="38"/>
  <c r="O118" i="38"/>
  <c r="P66" i="38"/>
  <c r="O66" i="38"/>
  <c r="N66" i="38"/>
  <c r="M66" i="38"/>
  <c r="L66" i="38"/>
  <c r="K66" i="38"/>
  <c r="J66" i="38"/>
  <c r="I66" i="38"/>
  <c r="H66" i="38"/>
  <c r="P63" i="38"/>
  <c r="Q63" i="38" s="1"/>
  <c r="R63" i="38" s="1"/>
  <c r="S63" i="38" s="1"/>
  <c r="T63" i="38" s="1"/>
  <c r="U63" i="38" s="1"/>
  <c r="V63" i="38" s="1"/>
  <c r="W63" i="38" s="1"/>
  <c r="O63" i="38"/>
  <c r="N63" i="38"/>
  <c r="M63" i="38"/>
  <c r="L63" i="38"/>
  <c r="K63" i="38"/>
  <c r="J63" i="38"/>
  <c r="I63" i="38"/>
  <c r="H63" i="38"/>
  <c r="G56" i="38"/>
  <c r="P64" i="38" l="1"/>
  <c r="K85" i="38"/>
  <c r="L120" i="38" s="1"/>
  <c r="M120" i="38"/>
  <c r="L64" i="38"/>
  <c r="I67" i="38"/>
  <c r="O121" i="38"/>
  <c r="I64" i="38"/>
  <c r="M64" i="38"/>
  <c r="K64" i="38"/>
  <c r="N64" i="38"/>
  <c r="K67" i="38"/>
  <c r="O67" i="38"/>
  <c r="L67" i="38"/>
  <c r="P67" i="38"/>
  <c r="M67" i="38"/>
  <c r="J67" i="38"/>
  <c r="N67" i="38"/>
  <c r="O64" i="38"/>
  <c r="J64" i="38"/>
  <c r="S77" i="38"/>
  <c r="R83" i="38"/>
  <c r="O122" i="38"/>
  <c r="O89" i="38"/>
  <c r="S80" i="38"/>
  <c r="S82" i="38"/>
  <c r="Q84" i="38"/>
  <c r="P120" i="38"/>
  <c r="P85" i="38"/>
  <c r="N119" i="38"/>
  <c r="M85" i="38"/>
  <c r="I86" i="38"/>
  <c r="T79" i="38"/>
  <c r="O123" i="38"/>
  <c r="T76" i="38"/>
  <c r="T81" i="38"/>
  <c r="B136" i="38"/>
  <c r="C136" i="38"/>
  <c r="S78" i="38"/>
  <c r="L88" i="38"/>
  <c r="N89" i="38"/>
  <c r="O124" i="38" s="1"/>
  <c r="J120" i="38"/>
  <c r="J85" i="38"/>
  <c r="K120" i="38" s="1"/>
  <c r="I117" i="38"/>
  <c r="H118" i="38"/>
  <c r="H83" i="38"/>
  <c r="P48" i="38"/>
  <c r="O48" i="38"/>
  <c r="N48" i="38"/>
  <c r="M48" i="38"/>
  <c r="L48" i="38"/>
  <c r="K48" i="38"/>
  <c r="J48" i="38"/>
  <c r="I48" i="38"/>
  <c r="Q47" i="38"/>
  <c r="R47" i="38" s="1"/>
  <c r="S47" i="38" s="1"/>
  <c r="T47" i="38" s="1"/>
  <c r="U47" i="38" s="1"/>
  <c r="V47" i="38" s="1"/>
  <c r="W47" i="38" s="1"/>
  <c r="Q45" i="38"/>
  <c r="Q119" i="38" s="1"/>
  <c r="Q7" i="38"/>
  <c r="R7" i="38" s="1"/>
  <c r="S7" i="38" s="1"/>
  <c r="T7" i="38" s="1"/>
  <c r="U7" i="38" s="1"/>
  <c r="V7" i="38" s="1"/>
  <c r="W7" i="38" s="1"/>
  <c r="O7" i="38"/>
  <c r="O5" i="38" s="1"/>
  <c r="P5" i="38"/>
  <c r="I4" i="38"/>
  <c r="P190" i="38"/>
  <c r="O190" i="38"/>
  <c r="N7" i="38" l="1"/>
  <c r="N5" i="38" s="1"/>
  <c r="K86" i="38"/>
  <c r="L121" i="38" s="1"/>
  <c r="N90" i="38"/>
  <c r="N91" i="38" s="1"/>
  <c r="I87" i="38"/>
  <c r="I88" i="38" s="1"/>
  <c r="K87" i="38"/>
  <c r="T9" i="38"/>
  <c r="U9" i="38"/>
  <c r="Q9" i="38"/>
  <c r="P9" i="38"/>
  <c r="R9" i="38"/>
  <c r="W9" i="38"/>
  <c r="O9" i="38"/>
  <c r="V9" i="38"/>
  <c r="N9" i="38"/>
  <c r="S9" i="38"/>
  <c r="M7" i="38"/>
  <c r="M9" i="38" s="1"/>
  <c r="R45" i="38"/>
  <c r="H84" i="38"/>
  <c r="J121" i="38"/>
  <c r="J86" i="38"/>
  <c r="B137" i="38"/>
  <c r="C137" i="38"/>
  <c r="U76" i="38"/>
  <c r="U79" i="38"/>
  <c r="L89" i="38"/>
  <c r="T82" i="38"/>
  <c r="R119" i="38"/>
  <c r="S83" i="38"/>
  <c r="T77" i="38"/>
  <c r="T78" i="38"/>
  <c r="M121" i="38"/>
  <c r="M86" i="38"/>
  <c r="N120" i="38"/>
  <c r="P121" i="38"/>
  <c r="Q85" i="38"/>
  <c r="P86" i="38"/>
  <c r="Q116" i="38"/>
  <c r="Q118" i="38"/>
  <c r="Q115" i="38"/>
  <c r="Q114" i="38"/>
  <c r="Q117" i="38"/>
  <c r="Q112" i="38"/>
  <c r="Q113" i="38"/>
  <c r="U81" i="38"/>
  <c r="O90" i="38"/>
  <c r="T80" i="38"/>
  <c r="H119" i="38"/>
  <c r="I118" i="38"/>
  <c r="L122" i="38"/>
  <c r="Q120" i="38"/>
  <c r="R84" i="38"/>
  <c r="K88" i="38"/>
  <c r="H4" i="38"/>
  <c r="C4" i="38"/>
  <c r="N190" i="38"/>
  <c r="O125" i="38" l="1"/>
  <c r="P87" i="38"/>
  <c r="P88" i="38" s="1"/>
  <c r="I89" i="38"/>
  <c r="I90" i="38" s="1"/>
  <c r="I91" i="38" s="1"/>
  <c r="R120" i="38"/>
  <c r="S84" i="38"/>
  <c r="U80" i="38"/>
  <c r="V81" i="38"/>
  <c r="K89" i="38"/>
  <c r="M87" i="38"/>
  <c r="U78" i="38"/>
  <c r="N92" i="38"/>
  <c r="T83" i="38"/>
  <c r="J122" i="38"/>
  <c r="J87" i="38"/>
  <c r="K121" i="38"/>
  <c r="R117" i="38"/>
  <c r="R112" i="38"/>
  <c r="R115" i="38"/>
  <c r="R116" i="38"/>
  <c r="R114" i="38"/>
  <c r="R113" i="38"/>
  <c r="R118" i="38"/>
  <c r="S45" i="38"/>
  <c r="S119" i="38" s="1"/>
  <c r="M5" i="38"/>
  <c r="L7" i="38"/>
  <c r="O187" i="38"/>
  <c r="O74" i="38"/>
  <c r="O110" i="38" s="1"/>
  <c r="O147" i="38" s="1"/>
  <c r="O8" i="38"/>
  <c r="Q74" i="38"/>
  <c r="Q110" i="38" s="1"/>
  <c r="Q147" i="38" s="1"/>
  <c r="Q8" i="38"/>
  <c r="U77" i="38"/>
  <c r="S74" i="38"/>
  <c r="S110" i="38" s="1"/>
  <c r="S147" i="38" s="1"/>
  <c r="S8" i="38"/>
  <c r="W74" i="38"/>
  <c r="W110" i="38" s="1"/>
  <c r="W147" i="38" s="1"/>
  <c r="W8" i="38"/>
  <c r="P187" i="38"/>
  <c r="P74" i="38"/>
  <c r="P110" i="38" s="1"/>
  <c r="P147" i="38" s="1"/>
  <c r="P8" i="38"/>
  <c r="U74" i="38"/>
  <c r="U110" i="38" s="1"/>
  <c r="U147" i="38" s="1"/>
  <c r="U8" i="38"/>
  <c r="O126" i="38"/>
  <c r="O91" i="38"/>
  <c r="P123" i="38"/>
  <c r="Q121" i="38"/>
  <c r="R85" i="38"/>
  <c r="M122" i="38"/>
  <c r="N121" i="38"/>
  <c r="V79" i="38"/>
  <c r="V76" i="38"/>
  <c r="B138" i="38"/>
  <c r="C138" i="38"/>
  <c r="N187" i="38"/>
  <c r="N74" i="38"/>
  <c r="N110" i="38" s="1"/>
  <c r="N147" i="38" s="1"/>
  <c r="N8" i="38"/>
  <c r="L123" i="38"/>
  <c r="L90" i="38"/>
  <c r="Q86" i="38"/>
  <c r="P122" i="38"/>
  <c r="U82" i="38"/>
  <c r="H120" i="38"/>
  <c r="I119" i="38"/>
  <c r="H85" i="38"/>
  <c r="V74" i="38"/>
  <c r="V110" i="38" s="1"/>
  <c r="V147" i="38" s="1"/>
  <c r="V8" i="38"/>
  <c r="R74" i="38"/>
  <c r="R110" i="38" s="1"/>
  <c r="R147" i="38" s="1"/>
  <c r="R8" i="38"/>
  <c r="M187" i="38"/>
  <c r="M74" i="38"/>
  <c r="M110" i="38" s="1"/>
  <c r="M147" i="38" s="1"/>
  <c r="M8" i="38"/>
  <c r="T74" i="38"/>
  <c r="T110" i="38" s="1"/>
  <c r="T147" i="38" s="1"/>
  <c r="T8" i="38"/>
  <c r="M190" i="38"/>
  <c r="Q87" i="38" l="1"/>
  <c r="Q123" i="38" s="1"/>
  <c r="O127" i="38"/>
  <c r="P89" i="38"/>
  <c r="P90" i="38" s="1"/>
  <c r="P124" i="38"/>
  <c r="Q88" i="38"/>
  <c r="R88" i="38" s="1"/>
  <c r="O92" i="38"/>
  <c r="O93" i="38" s="1"/>
  <c r="H121" i="38"/>
  <c r="I120" i="38"/>
  <c r="W76" i="38"/>
  <c r="K7" i="38"/>
  <c r="L5" i="38"/>
  <c r="L9" i="38"/>
  <c r="W81" i="38"/>
  <c r="H86" i="38"/>
  <c r="V82" i="38"/>
  <c r="Q122" i="38"/>
  <c r="R86" i="38"/>
  <c r="R87" i="38"/>
  <c r="I92" i="38"/>
  <c r="M123" i="38"/>
  <c r="N122" i="38"/>
  <c r="M88" i="38"/>
  <c r="V80" i="38"/>
  <c r="S120" i="38"/>
  <c r="T84" i="38"/>
  <c r="L91" i="38"/>
  <c r="W79" i="38"/>
  <c r="R121" i="38"/>
  <c r="S85" i="38"/>
  <c r="V77" i="38"/>
  <c r="S117" i="38"/>
  <c r="S115" i="38"/>
  <c r="S112" i="38"/>
  <c r="T45" i="38"/>
  <c r="T119" i="38" s="1"/>
  <c r="S113" i="38"/>
  <c r="S114" i="38"/>
  <c r="S118" i="38"/>
  <c r="S116" i="38"/>
  <c r="J123" i="38"/>
  <c r="K122" i="38"/>
  <c r="J88" i="38"/>
  <c r="V78" i="38"/>
  <c r="N93" i="38"/>
  <c r="O128" i="38" s="1"/>
  <c r="B139" i="38"/>
  <c r="C139" i="38"/>
  <c r="U83" i="38"/>
  <c r="L124" i="38"/>
  <c r="K90" i="38"/>
  <c r="AA36" i="21"/>
  <c r="L190" i="38"/>
  <c r="Q124" i="38" l="1"/>
  <c r="P91" i="38"/>
  <c r="P92" i="38" s="1"/>
  <c r="Q90" i="38"/>
  <c r="R90" i="38" s="1"/>
  <c r="P126" i="38"/>
  <c r="Q89" i="38"/>
  <c r="R124" i="38" s="1"/>
  <c r="P125" i="38"/>
  <c r="N94" i="38"/>
  <c r="O129" i="38" s="1"/>
  <c r="W80" i="38"/>
  <c r="K91" i="38"/>
  <c r="L125" i="38"/>
  <c r="W78" i="38"/>
  <c r="B140" i="38"/>
  <c r="C140" i="38"/>
  <c r="M124" i="38"/>
  <c r="N123" i="38"/>
  <c r="M89" i="38"/>
  <c r="M90" i="38" s="1"/>
  <c r="I93" i="38"/>
  <c r="R123" i="38"/>
  <c r="S87" i="38"/>
  <c r="S88" i="38"/>
  <c r="H122" i="38"/>
  <c r="I121" i="38"/>
  <c r="L187" i="38"/>
  <c r="L74" i="38"/>
  <c r="L110" i="38" s="1"/>
  <c r="L147" i="38" s="1"/>
  <c r="L8" i="38"/>
  <c r="J124" i="38"/>
  <c r="K123" i="38"/>
  <c r="W82" i="38"/>
  <c r="H87" i="38"/>
  <c r="H88" i="38" s="1"/>
  <c r="J89" i="38"/>
  <c r="J90" i="38" s="1"/>
  <c r="J91" i="38" s="1"/>
  <c r="J127" i="38" s="1"/>
  <c r="V83" i="38"/>
  <c r="U45" i="38"/>
  <c r="T112" i="38"/>
  <c r="T115" i="38"/>
  <c r="T117" i="38"/>
  <c r="T114" i="38"/>
  <c r="T113" i="38"/>
  <c r="T116" i="38"/>
  <c r="T118" i="38"/>
  <c r="O94" i="38"/>
  <c r="W77" i="38"/>
  <c r="S121" i="38"/>
  <c r="T85" i="38"/>
  <c r="L92" i="38"/>
  <c r="T120" i="38"/>
  <c r="U84" i="38"/>
  <c r="R122" i="38"/>
  <c r="S86" i="38"/>
  <c r="K5" i="38"/>
  <c r="J7" i="38"/>
  <c r="K9" i="38"/>
  <c r="K190" i="38"/>
  <c r="Q91" i="38" l="1"/>
  <c r="P127" i="38"/>
  <c r="Q126" i="38"/>
  <c r="Q125" i="38"/>
  <c r="R89" i="38"/>
  <c r="H124" i="38"/>
  <c r="I123" i="38"/>
  <c r="M126" i="38"/>
  <c r="N125" i="38"/>
  <c r="O95" i="38"/>
  <c r="V45" i="38"/>
  <c r="U115" i="38"/>
  <c r="U117" i="38"/>
  <c r="U112" i="38"/>
  <c r="U118" i="38"/>
  <c r="U116" i="38"/>
  <c r="U113" i="38"/>
  <c r="U114" i="38"/>
  <c r="U119" i="38"/>
  <c r="H89" i="38"/>
  <c r="H90" i="38" s="1"/>
  <c r="U120" i="38"/>
  <c r="V84" i="38"/>
  <c r="K187" i="38"/>
  <c r="K74" i="38"/>
  <c r="K110" i="38" s="1"/>
  <c r="K147" i="38" s="1"/>
  <c r="K8" i="38"/>
  <c r="S122" i="38"/>
  <c r="T86" i="38"/>
  <c r="J125" i="38"/>
  <c r="K124" i="38"/>
  <c r="Q127" i="38"/>
  <c r="R91" i="38"/>
  <c r="S124" i="38"/>
  <c r="T88" i="38"/>
  <c r="S123" i="38"/>
  <c r="T87" i="38"/>
  <c r="B141" i="38"/>
  <c r="C141" i="38"/>
  <c r="V119" i="38"/>
  <c r="W83" i="38"/>
  <c r="L126" i="38"/>
  <c r="K126" i="38"/>
  <c r="N95" i="38"/>
  <c r="O130" i="38" s="1"/>
  <c r="H123" i="38"/>
  <c r="I122" i="38"/>
  <c r="M125" i="38"/>
  <c r="N124" i="38"/>
  <c r="M91" i="38"/>
  <c r="J126" i="38"/>
  <c r="K125" i="38"/>
  <c r="J92" i="38"/>
  <c r="J5" i="38"/>
  <c r="I7" i="38"/>
  <c r="J9" i="38"/>
  <c r="L93" i="38"/>
  <c r="P128" i="38"/>
  <c r="Q92" i="38"/>
  <c r="R126" i="38"/>
  <c r="S90" i="38"/>
  <c r="T121" i="38"/>
  <c r="U85" i="38"/>
  <c r="P93" i="38"/>
  <c r="I94" i="38"/>
  <c r="K92" i="38"/>
  <c r="J190" i="38"/>
  <c r="R125" i="38" l="1"/>
  <c r="S89" i="38"/>
  <c r="T124" i="38" s="1"/>
  <c r="H126" i="38"/>
  <c r="I125" i="38"/>
  <c r="H91" i="38"/>
  <c r="P129" i="38"/>
  <c r="Q93" i="38"/>
  <c r="P94" i="38"/>
  <c r="S126" i="38"/>
  <c r="T90" i="38"/>
  <c r="H7" i="38"/>
  <c r="I5" i="38"/>
  <c r="I9" i="38"/>
  <c r="U121" i="38"/>
  <c r="V85" i="38"/>
  <c r="R127" i="38"/>
  <c r="S91" i="38"/>
  <c r="T122" i="38"/>
  <c r="U86" i="38"/>
  <c r="V120" i="38"/>
  <c r="W84" i="38"/>
  <c r="L94" i="38"/>
  <c r="M127" i="38"/>
  <c r="N126" i="38"/>
  <c r="M92" i="38"/>
  <c r="Q128" i="38"/>
  <c r="R92" i="38"/>
  <c r="N96" i="38"/>
  <c r="O131" i="38" s="1"/>
  <c r="K127" i="38"/>
  <c r="T123" i="38"/>
  <c r="U87" i="38"/>
  <c r="K93" i="38"/>
  <c r="K94" i="38" s="1"/>
  <c r="L129" i="38" s="1"/>
  <c r="L127" i="38"/>
  <c r="J187" i="38"/>
  <c r="J74" i="38"/>
  <c r="J110" i="38" s="1"/>
  <c r="J147" i="38" s="1"/>
  <c r="J8" i="38"/>
  <c r="H125" i="38"/>
  <c r="I124" i="38"/>
  <c r="W45" i="38"/>
  <c r="V115" i="38"/>
  <c r="V112" i="38"/>
  <c r="V117" i="38"/>
  <c r="V116" i="38"/>
  <c r="V113" i="38"/>
  <c r="V118" i="38"/>
  <c r="V114" i="38"/>
  <c r="I95" i="38"/>
  <c r="J128" i="38"/>
  <c r="J93" i="38"/>
  <c r="U88" i="38"/>
  <c r="O96" i="38"/>
  <c r="I190" i="38"/>
  <c r="I191" i="38"/>
  <c r="S125" i="38" l="1"/>
  <c r="T89" i="38"/>
  <c r="U124" i="38" s="1"/>
  <c r="J129" i="38"/>
  <c r="J94" i="38"/>
  <c r="P130" i="38"/>
  <c r="Q94" i="38"/>
  <c r="P95" i="38"/>
  <c r="K129" i="38"/>
  <c r="L128" i="38"/>
  <c r="U123" i="38"/>
  <c r="V87" i="38"/>
  <c r="N97" i="38"/>
  <c r="O132" i="38" s="1"/>
  <c r="L95" i="38"/>
  <c r="T91" i="38"/>
  <c r="S127" i="38"/>
  <c r="H5" i="38"/>
  <c r="H9" i="38"/>
  <c r="Q129" i="38"/>
  <c r="R93" i="38"/>
  <c r="H127" i="38"/>
  <c r="I126" i="38"/>
  <c r="H92" i="38"/>
  <c r="O97" i="38"/>
  <c r="I96" i="38"/>
  <c r="K128" i="38"/>
  <c r="M128" i="38"/>
  <c r="N127" i="38"/>
  <c r="M93" i="38"/>
  <c r="U122" i="38"/>
  <c r="V86" i="38"/>
  <c r="T126" i="38"/>
  <c r="U90" i="38"/>
  <c r="V88" i="38"/>
  <c r="W112" i="38"/>
  <c r="W117" i="38"/>
  <c r="W115" i="38"/>
  <c r="W118" i="38"/>
  <c r="W116" i="38"/>
  <c r="W113" i="38"/>
  <c r="W114" i="38"/>
  <c r="K95" i="38"/>
  <c r="W119" i="38"/>
  <c r="R128" i="38"/>
  <c r="S92" i="38"/>
  <c r="W120" i="38"/>
  <c r="V121" i="38"/>
  <c r="W85" i="38"/>
  <c r="W121" i="38" s="1"/>
  <c r="I187" i="38"/>
  <c r="I74" i="38"/>
  <c r="I110" i="38" s="1"/>
  <c r="I147" i="38" s="1"/>
  <c r="I8" i="38"/>
  <c r="H190" i="38"/>
  <c r="T125" i="38" l="1"/>
  <c r="U89" i="38"/>
  <c r="R129" i="38"/>
  <c r="S93" i="38"/>
  <c r="L96" i="38"/>
  <c r="V123" i="38"/>
  <c r="W87" i="38"/>
  <c r="W123" i="38" s="1"/>
  <c r="J130" i="38"/>
  <c r="J95" i="38"/>
  <c r="K96" i="38"/>
  <c r="U126" i="38"/>
  <c r="V90" i="38"/>
  <c r="M129" i="38"/>
  <c r="N128" i="38"/>
  <c r="M94" i="38"/>
  <c r="I97" i="38"/>
  <c r="H128" i="38"/>
  <c r="I127" i="38"/>
  <c r="H93" i="38"/>
  <c r="L130" i="38"/>
  <c r="P131" i="38"/>
  <c r="Q95" i="38"/>
  <c r="P96" i="38"/>
  <c r="T92" i="38"/>
  <c r="S128" i="38"/>
  <c r="H187" i="38"/>
  <c r="H74" i="38"/>
  <c r="H110" i="38" s="1"/>
  <c r="H147" i="38" s="1"/>
  <c r="C155" i="38" s="1" a="1"/>
  <c r="H8" i="38"/>
  <c r="N98" i="38"/>
  <c r="O133" i="38" s="1"/>
  <c r="Q130" i="38"/>
  <c r="R94" i="38"/>
  <c r="V124" i="38"/>
  <c r="W88" i="38"/>
  <c r="V122" i="38"/>
  <c r="W86" i="38"/>
  <c r="W122" i="38" s="1"/>
  <c r="O98" i="38"/>
  <c r="T127" i="38"/>
  <c r="U91" i="38"/>
  <c r="BX282" i="46"/>
  <c r="V89" i="38" l="1"/>
  <c r="U125" i="38"/>
  <c r="U127" i="38"/>
  <c r="V91" i="38"/>
  <c r="C167" i="38"/>
  <c r="C163" i="38"/>
  <c r="C159" i="38"/>
  <c r="C155" i="38"/>
  <c r="C166" i="38"/>
  <c r="C162" i="38"/>
  <c r="C158" i="38"/>
  <c r="C169" i="38"/>
  <c r="C165" i="38"/>
  <c r="C161" i="38"/>
  <c r="C157" i="38"/>
  <c r="C168" i="38"/>
  <c r="C164" i="38"/>
  <c r="C160" i="38"/>
  <c r="C156" i="38"/>
  <c r="K97" i="38"/>
  <c r="L132" i="38" s="1"/>
  <c r="L131" i="38"/>
  <c r="R130" i="38"/>
  <c r="S94" i="38"/>
  <c r="T128" i="38"/>
  <c r="U92" i="38"/>
  <c r="I98" i="38"/>
  <c r="O99" i="38"/>
  <c r="P132" i="38"/>
  <c r="Q96" i="38"/>
  <c r="P97" i="38"/>
  <c r="H129" i="38"/>
  <c r="I128" i="38"/>
  <c r="H94" i="38"/>
  <c r="V126" i="38"/>
  <c r="W90" i="38"/>
  <c r="N99" i="38"/>
  <c r="O134" i="38" s="1"/>
  <c r="F5" i="38"/>
  <c r="H30" i="38" s="1"/>
  <c r="Q131" i="38"/>
  <c r="R95" i="38"/>
  <c r="Q68" i="38"/>
  <c r="Q66" i="38" s="1"/>
  <c r="Q67" i="38" s="1"/>
  <c r="M130" i="38"/>
  <c r="M95" i="38"/>
  <c r="N129" i="38"/>
  <c r="J131" i="38"/>
  <c r="J96" i="38"/>
  <c r="K130" i="38"/>
  <c r="L97" i="38"/>
  <c r="S129" i="38"/>
  <c r="T93" i="38"/>
  <c r="W17" i="4"/>
  <c r="W16" i="4"/>
  <c r="X16" i="4"/>
  <c r="X17" i="4"/>
  <c r="P160" i="21"/>
  <c r="P157" i="21"/>
  <c r="P69" i="21"/>
  <c r="P138" i="21" s="1"/>
  <c r="P88" i="21"/>
  <c r="W126" i="38" l="1"/>
  <c r="V125" i="38"/>
  <c r="W89" i="38"/>
  <c r="W125" i="38" s="1"/>
  <c r="W124" i="38"/>
  <c r="J132" i="38"/>
  <c r="J97" i="38"/>
  <c r="K131" i="38"/>
  <c r="H35" i="38"/>
  <c r="V11" i="38"/>
  <c r="W11" i="38"/>
  <c r="T11" i="38"/>
  <c r="U11" i="38"/>
  <c r="N11" i="38"/>
  <c r="O11" i="38"/>
  <c r="M11" i="38"/>
  <c r="S11" i="38"/>
  <c r="R11" i="38"/>
  <c r="P11" i="38"/>
  <c r="Q11" i="38"/>
  <c r="L11" i="38"/>
  <c r="K11" i="38"/>
  <c r="J11" i="38"/>
  <c r="I11" i="38"/>
  <c r="R131" i="38"/>
  <c r="S95" i="38"/>
  <c r="R68" i="38"/>
  <c r="R66" i="38" s="1"/>
  <c r="R67" i="38" s="1"/>
  <c r="O100" i="38"/>
  <c r="V127" i="38"/>
  <c r="W91" i="38"/>
  <c r="P133" i="38"/>
  <c r="Q97" i="38"/>
  <c r="P98" i="38"/>
  <c r="U128" i="38"/>
  <c r="V92" i="38"/>
  <c r="M131" i="38"/>
  <c r="M96" i="38"/>
  <c r="N130" i="38"/>
  <c r="N100" i="38"/>
  <c r="O135" i="38" s="1"/>
  <c r="H130" i="38"/>
  <c r="H95" i="38"/>
  <c r="H33" i="38" s="1"/>
  <c r="I29" i="38" s="1"/>
  <c r="I129" i="38"/>
  <c r="Q132" i="38"/>
  <c r="R96" i="38"/>
  <c r="K98" i="38"/>
  <c r="L133" i="38" s="1"/>
  <c r="T129" i="38"/>
  <c r="U93" i="38"/>
  <c r="L98" i="38"/>
  <c r="I99" i="38"/>
  <c r="S130" i="38"/>
  <c r="T94" i="38"/>
  <c r="W127" i="38" l="1"/>
  <c r="R132" i="38"/>
  <c r="S96" i="38"/>
  <c r="L99" i="38"/>
  <c r="I100" i="38"/>
  <c r="H131" i="38"/>
  <c r="H96" i="38"/>
  <c r="I130" i="38"/>
  <c r="V128" i="38"/>
  <c r="W92" i="38"/>
  <c r="T31" i="38"/>
  <c r="V31" i="38"/>
  <c r="M132" i="38"/>
  <c r="M97" i="38"/>
  <c r="N131" i="38"/>
  <c r="H24" i="38"/>
  <c r="J31" i="38"/>
  <c r="K31" i="38"/>
  <c r="L31" i="38"/>
  <c r="Q31" i="38"/>
  <c r="P38" i="38"/>
  <c r="P31" i="38"/>
  <c r="R31" i="38"/>
  <c r="N38" i="38"/>
  <c r="N31" i="38"/>
  <c r="W31" i="38"/>
  <c r="J133" i="38"/>
  <c r="J98" i="38"/>
  <c r="K132" i="38"/>
  <c r="T130" i="38"/>
  <c r="U94" i="38"/>
  <c r="N101" i="38"/>
  <c r="P134" i="38"/>
  <c r="Q98" i="38"/>
  <c r="P99" i="38"/>
  <c r="M38" i="38"/>
  <c r="M31" i="38"/>
  <c r="O31" i="38"/>
  <c r="O38" i="38"/>
  <c r="U129" i="38"/>
  <c r="V93" i="38"/>
  <c r="K99" i="38"/>
  <c r="Q133" i="38"/>
  <c r="R97" i="38"/>
  <c r="O101" i="38"/>
  <c r="S131" i="38"/>
  <c r="T95" i="38"/>
  <c r="S68" i="38"/>
  <c r="S66" i="38" s="1"/>
  <c r="S67" i="38" s="1"/>
  <c r="I31" i="38"/>
  <c r="S31" i="38"/>
  <c r="U31" i="38"/>
  <c r="BX279" i="46"/>
  <c r="K100" i="38" l="1"/>
  <c r="N102" i="38"/>
  <c r="O137" i="38" s="1"/>
  <c r="P135" i="38"/>
  <c r="Q99" i="38"/>
  <c r="P100" i="38"/>
  <c r="J134" i="38"/>
  <c r="J99" i="38"/>
  <c r="K133" i="38"/>
  <c r="H132" i="38"/>
  <c r="H97" i="38"/>
  <c r="I131" i="38"/>
  <c r="Q134" i="38"/>
  <c r="R98" i="38"/>
  <c r="U130" i="38"/>
  <c r="V94" i="38"/>
  <c r="W128" i="38"/>
  <c r="L134" i="38"/>
  <c r="I101" i="38"/>
  <c r="S132" i="38"/>
  <c r="T96" i="38"/>
  <c r="O102" i="38"/>
  <c r="H153" i="38"/>
  <c r="H154" i="38"/>
  <c r="H37" i="38"/>
  <c r="I21" i="38"/>
  <c r="O136" i="38"/>
  <c r="T131" i="38"/>
  <c r="U95" i="38"/>
  <c r="T68" i="38"/>
  <c r="T66" i="38" s="1"/>
  <c r="T67" i="38" s="1"/>
  <c r="R133" i="38"/>
  <c r="S97" i="38"/>
  <c r="V129" i="38"/>
  <c r="W93" i="38"/>
  <c r="M133" i="38"/>
  <c r="M98" i="38"/>
  <c r="N132" i="38"/>
  <c r="L135" i="38"/>
  <c r="L100" i="38"/>
  <c r="G135" i="3"/>
  <c r="B7" i="65"/>
  <c r="B9" i="65" s="1"/>
  <c r="B19" i="65"/>
  <c r="B21" i="65" s="1"/>
  <c r="B23" i="65" s="1"/>
  <c r="B25" i="65" s="1"/>
  <c r="B5" i="65"/>
  <c r="S128" i="3"/>
  <c r="BP146" i="46"/>
  <c r="BO15" i="46"/>
  <c r="BQ38" i="46" s="1"/>
  <c r="BZ197" i="46"/>
  <c r="BO96" i="46"/>
  <c r="BP96" i="46" s="1"/>
  <c r="BP34" i="46"/>
  <c r="BP24" i="46"/>
  <c r="W129" i="38" l="1"/>
  <c r="M134" i="38"/>
  <c r="M99" i="38"/>
  <c r="N133" i="38"/>
  <c r="L101" i="38"/>
  <c r="U131" i="38"/>
  <c r="V95" i="38"/>
  <c r="U68" i="38"/>
  <c r="U66" i="38" s="1"/>
  <c r="U67" i="38" s="1"/>
  <c r="H133" i="38"/>
  <c r="H98" i="38"/>
  <c r="I132" i="38"/>
  <c r="N103" i="38"/>
  <c r="T132" i="38"/>
  <c r="U96" i="38"/>
  <c r="P136" i="38"/>
  <c r="Q100" i="38"/>
  <c r="P101" i="38"/>
  <c r="S133" i="38"/>
  <c r="T97" i="38"/>
  <c r="R134" i="38"/>
  <c r="S98" i="38"/>
  <c r="Q135" i="38"/>
  <c r="R99" i="38"/>
  <c r="K101" i="38"/>
  <c r="L136" i="38" s="1"/>
  <c r="H171" i="38"/>
  <c r="I154" i="38"/>
  <c r="J154" i="38" s="1"/>
  <c r="O103" i="38"/>
  <c r="I102" i="38"/>
  <c r="V130" i="38"/>
  <c r="W94" i="38"/>
  <c r="J135" i="38"/>
  <c r="J100" i="38"/>
  <c r="K134" i="38"/>
  <c r="B12" i="65"/>
  <c r="B14" i="65" s="1"/>
  <c r="K154" i="38" l="1"/>
  <c r="L154" i="38" s="1"/>
  <c r="W130" i="38"/>
  <c r="J136" i="38"/>
  <c r="J101" i="38"/>
  <c r="K135" i="38"/>
  <c r="S134" i="38"/>
  <c r="T98" i="38"/>
  <c r="N104" i="38"/>
  <c r="O139" i="38" s="1"/>
  <c r="O104" i="38"/>
  <c r="R135" i="38"/>
  <c r="S99" i="38"/>
  <c r="L102" i="38"/>
  <c r="O138" i="38"/>
  <c r="U132" i="38"/>
  <c r="V96" i="38"/>
  <c r="V131" i="38"/>
  <c r="W95" i="38"/>
  <c r="V68" i="38"/>
  <c r="V66" i="38" s="1"/>
  <c r="V67" i="38" s="1"/>
  <c r="H134" i="38"/>
  <c r="H99" i="38"/>
  <c r="I133" i="38"/>
  <c r="P137" i="38"/>
  <c r="Q101" i="38"/>
  <c r="P102" i="38"/>
  <c r="M135" i="38"/>
  <c r="M100" i="38"/>
  <c r="N134" i="38"/>
  <c r="I103" i="38"/>
  <c r="K102" i="38"/>
  <c r="L137" i="38" s="1"/>
  <c r="Q136" i="38"/>
  <c r="R100" i="38"/>
  <c r="T133" i="38"/>
  <c r="U97" i="38"/>
  <c r="BS256" i="46"/>
  <c r="U133" i="38" l="1"/>
  <c r="V97" i="38"/>
  <c r="P138" i="38"/>
  <c r="Q102" i="38"/>
  <c r="P103" i="38"/>
  <c r="M136" i="38"/>
  <c r="M101" i="38"/>
  <c r="N135" i="38"/>
  <c r="Q137" i="38"/>
  <c r="R101" i="38"/>
  <c r="V132" i="38"/>
  <c r="W96" i="38"/>
  <c r="S135" i="38"/>
  <c r="T99" i="38"/>
  <c r="I104" i="38"/>
  <c r="O105" i="38"/>
  <c r="T134" i="38"/>
  <c r="U98" i="38"/>
  <c r="W131" i="38"/>
  <c r="W68" i="38"/>
  <c r="W66" i="38" s="1"/>
  <c r="W67" i="38" s="1"/>
  <c r="L103" i="38"/>
  <c r="N105" i="38"/>
  <c r="O140" i="38" s="1"/>
  <c r="J137" i="38"/>
  <c r="J102" i="38"/>
  <c r="K136" i="38"/>
  <c r="R136" i="38"/>
  <c r="S100" i="38"/>
  <c r="K103" i="38"/>
  <c r="L138" i="38" s="1"/>
  <c r="H135" i="38"/>
  <c r="H100" i="38"/>
  <c r="I134" i="38"/>
  <c r="M154" i="38"/>
  <c r="BQ74" i="46"/>
  <c r="BP13" i="46"/>
  <c r="BU13" i="46"/>
  <c r="BW13" i="46"/>
  <c r="BP14" i="46"/>
  <c r="BU14" i="46"/>
  <c r="BW14" i="46"/>
  <c r="BP21" i="46"/>
  <c r="BU21" i="46" s="1"/>
  <c r="BP22" i="46"/>
  <c r="BU22" i="46" s="1"/>
  <c r="BP23" i="46"/>
  <c r="BU23" i="46"/>
  <c r="BU24" i="46"/>
  <c r="BP31" i="46"/>
  <c r="BQ31" i="46"/>
  <c r="BP32" i="46"/>
  <c r="BQ32" i="46"/>
  <c r="BP33" i="46"/>
  <c r="BQ33" i="46"/>
  <c r="BP41" i="46"/>
  <c r="BQ41" i="46"/>
  <c r="BU41" i="46"/>
  <c r="BP42" i="46"/>
  <c r="BQ42" i="46"/>
  <c r="BU42" i="46"/>
  <c r="BP43" i="46"/>
  <c r="BQ43" i="46"/>
  <c r="BU43" i="46"/>
  <c r="BP44" i="46"/>
  <c r="BQ44" i="46"/>
  <c r="BU44" i="46"/>
  <c r="BS45" i="46"/>
  <c r="BS46" i="46"/>
  <c r="BS47" i="46"/>
  <c r="BP51" i="46"/>
  <c r="BQ51" i="46"/>
  <c r="BU51" i="46"/>
  <c r="BP52" i="46"/>
  <c r="BQ52" i="46"/>
  <c r="BU52" i="46"/>
  <c r="BP53" i="46"/>
  <c r="BQ53" i="46"/>
  <c r="BU53" i="46"/>
  <c r="BP54" i="46"/>
  <c r="BQ54" i="46"/>
  <c r="BU54" i="46"/>
  <c r="BS55" i="46"/>
  <c r="BS56" i="46"/>
  <c r="BS57" i="46"/>
  <c r="BP61" i="46"/>
  <c r="BQ61" i="46"/>
  <c r="BU61" i="46"/>
  <c r="BP62" i="46"/>
  <c r="BQ62" i="46"/>
  <c r="BU62" i="46"/>
  <c r="BP63" i="46"/>
  <c r="BQ63" i="46"/>
  <c r="BU63" i="46"/>
  <c r="BP64" i="46"/>
  <c r="BQ64" i="46"/>
  <c r="BU64" i="46"/>
  <c r="BS65" i="46"/>
  <c r="BS66" i="46"/>
  <c r="BS67" i="46"/>
  <c r="BP72" i="46"/>
  <c r="BQ72" i="46"/>
  <c r="BS72" i="46"/>
  <c r="BP73" i="46"/>
  <c r="BQ73" i="46"/>
  <c r="BS73" i="46"/>
  <c r="BP74" i="46"/>
  <c r="BS74" i="46"/>
  <c r="BP75" i="46"/>
  <c r="BS75" i="46"/>
  <c r="BP83" i="46"/>
  <c r="BQ83" i="46"/>
  <c r="BU83" i="46"/>
  <c r="BP84" i="46"/>
  <c r="BQ84" i="46"/>
  <c r="BU84" i="46"/>
  <c r="BP85" i="46"/>
  <c r="BQ85" i="46"/>
  <c r="BU85" i="46"/>
  <c r="BP86" i="46"/>
  <c r="BQ86" i="46"/>
  <c r="BU86" i="46"/>
  <c r="BS87" i="46"/>
  <c r="BS88" i="46"/>
  <c r="BS89" i="46"/>
  <c r="BP103" i="46"/>
  <c r="BQ103" i="46"/>
  <c r="BU103" i="46"/>
  <c r="BP104" i="46"/>
  <c r="BQ104" i="46"/>
  <c r="BU104" i="46"/>
  <c r="BP105" i="46"/>
  <c r="BQ105" i="46"/>
  <c r="BU105" i="46"/>
  <c r="BP106" i="46"/>
  <c r="BQ106" i="46"/>
  <c r="BU106" i="46"/>
  <c r="BS107" i="46"/>
  <c r="BS108" i="46"/>
  <c r="BS109" i="46"/>
  <c r="BP123" i="46"/>
  <c r="BP124" i="46"/>
  <c r="BP125" i="46"/>
  <c r="BP126" i="46"/>
  <c r="BS127" i="46"/>
  <c r="BS128" i="46"/>
  <c r="BS129" i="46"/>
  <c r="BS78" i="46" l="1"/>
  <c r="BY14" i="46"/>
  <c r="W132" i="38"/>
  <c r="K104" i="38"/>
  <c r="L139" i="38" s="1"/>
  <c r="M137" i="38"/>
  <c r="M102" i="38"/>
  <c r="N136" i="38"/>
  <c r="J138" i="38"/>
  <c r="J103" i="38"/>
  <c r="K137" i="38"/>
  <c r="L104" i="38"/>
  <c r="U134" i="38"/>
  <c r="V98" i="38"/>
  <c r="I105" i="38"/>
  <c r="T135" i="38"/>
  <c r="U99" i="38"/>
  <c r="R137" i="38"/>
  <c r="S101" i="38"/>
  <c r="V133" i="38"/>
  <c r="W97" i="38"/>
  <c r="H136" i="38"/>
  <c r="H101" i="38"/>
  <c r="I135" i="38"/>
  <c r="S136" i="38"/>
  <c r="T100" i="38"/>
  <c r="P139" i="38"/>
  <c r="Q103" i="38"/>
  <c r="P104" i="38"/>
  <c r="N154" i="38"/>
  <c r="N106" i="38"/>
  <c r="O141" i="38" s="1"/>
  <c r="O143" i="38" s="1"/>
  <c r="O106" i="38"/>
  <c r="Q138" i="38"/>
  <c r="R102" i="38"/>
  <c r="BS77" i="46"/>
  <c r="BS76" i="46"/>
  <c r="W133" i="38" l="1"/>
  <c r="O153" i="38"/>
  <c r="O54" i="38"/>
  <c r="O22" i="38"/>
  <c r="O154" i="38"/>
  <c r="P140" i="38"/>
  <c r="Q104" i="38"/>
  <c r="P105" i="38"/>
  <c r="U135" i="38"/>
  <c r="V99" i="38"/>
  <c r="V134" i="38"/>
  <c r="W98" i="38"/>
  <c r="M138" i="38"/>
  <c r="M103" i="38"/>
  <c r="N137" i="38"/>
  <c r="R138" i="38"/>
  <c r="S102" i="38"/>
  <c r="Q139" i="38"/>
  <c r="R103" i="38"/>
  <c r="J139" i="38"/>
  <c r="J104" i="38"/>
  <c r="K138" i="38"/>
  <c r="H137" i="38"/>
  <c r="H102" i="38"/>
  <c r="I136" i="38"/>
  <c r="S137" i="38"/>
  <c r="T101" i="38"/>
  <c r="I106" i="38"/>
  <c r="L105" i="38"/>
  <c r="K105" i="38"/>
  <c r="L140" i="38" s="1"/>
  <c r="T136" i="38"/>
  <c r="U100" i="38"/>
  <c r="CC24" i="46"/>
  <c r="BZ208" i="46"/>
  <c r="M139" i="38" l="1"/>
  <c r="M104" i="38"/>
  <c r="N138" i="38"/>
  <c r="K106" i="38"/>
  <c r="L141" i="38" s="1"/>
  <c r="L143" i="38" s="1"/>
  <c r="J140" i="38"/>
  <c r="J105" i="38"/>
  <c r="K139" i="38"/>
  <c r="Q140" i="38"/>
  <c r="R104" i="38"/>
  <c r="H138" i="38"/>
  <c r="H103" i="38"/>
  <c r="I137" i="38"/>
  <c r="V135" i="38"/>
  <c r="W99" i="38"/>
  <c r="L106" i="38"/>
  <c r="T137" i="38"/>
  <c r="U101" i="38"/>
  <c r="R139" i="38"/>
  <c r="S103" i="38"/>
  <c r="S138" i="38"/>
  <c r="T102" i="38"/>
  <c r="O59" i="38"/>
  <c r="O60" i="38" s="1"/>
  <c r="O51" i="38"/>
  <c r="O161" i="38"/>
  <c r="O32" i="38"/>
  <c r="U136" i="38"/>
  <c r="V100" i="38"/>
  <c r="W134" i="38"/>
  <c r="P141" i="38"/>
  <c r="P143" i="38" s="1"/>
  <c r="Q105" i="38"/>
  <c r="P106" i="38"/>
  <c r="Q106" i="38" s="1"/>
  <c r="R106" i="38" s="1"/>
  <c r="S106" i="38" s="1"/>
  <c r="T106" i="38" s="1"/>
  <c r="U106" i="38" s="1"/>
  <c r="V106" i="38" s="1"/>
  <c r="W106" i="38" s="1"/>
  <c r="P154" i="38"/>
  <c r="CA279" i="46"/>
  <c r="BX280" i="46"/>
  <c r="BY280" i="46" s="1"/>
  <c r="P153" i="38" l="1"/>
  <c r="P54" i="38"/>
  <c r="P22" i="38"/>
  <c r="Q141" i="38"/>
  <c r="Q143" i="38" s="1"/>
  <c r="R105" i="38"/>
  <c r="T138" i="38"/>
  <c r="U102" i="38"/>
  <c r="U137" i="38"/>
  <c r="V101" i="38"/>
  <c r="W135" i="38"/>
  <c r="J141" i="38"/>
  <c r="J143" i="38" s="1"/>
  <c r="J106" i="38"/>
  <c r="K141" i="38" s="1"/>
  <c r="K140" i="38"/>
  <c r="M140" i="38"/>
  <c r="M105" i="38"/>
  <c r="N139" i="38"/>
  <c r="R140" i="38"/>
  <c r="S104" i="38"/>
  <c r="Q154" i="38"/>
  <c r="P161" i="38"/>
  <c r="S139" i="38"/>
  <c r="T103" i="38"/>
  <c r="V136" i="38"/>
  <c r="W100" i="38"/>
  <c r="L153" i="38"/>
  <c r="L54" i="38"/>
  <c r="L22" i="38"/>
  <c r="H139" i="38"/>
  <c r="H104" i="38"/>
  <c r="I138" i="38"/>
  <c r="CB44" i="46"/>
  <c r="K143" i="38" l="1"/>
  <c r="W136" i="38"/>
  <c r="Q161" i="38"/>
  <c r="R161" i="38" s="1"/>
  <c r="S161" i="38" s="1"/>
  <c r="T161" i="38" s="1"/>
  <c r="H140" i="38"/>
  <c r="H105" i="38"/>
  <c r="I139" i="38"/>
  <c r="M141" i="38"/>
  <c r="M143" i="38" s="1"/>
  <c r="M106" i="38"/>
  <c r="N141" i="38" s="1"/>
  <c r="N140" i="38"/>
  <c r="J153" i="38"/>
  <c r="J54" i="38"/>
  <c r="J22" i="38"/>
  <c r="U138" i="38"/>
  <c r="V102" i="38"/>
  <c r="Q153" i="38"/>
  <c r="Q54" i="38"/>
  <c r="Q22" i="38"/>
  <c r="R154" i="38"/>
  <c r="S140" i="38"/>
  <c r="T104" i="38"/>
  <c r="P162" i="38"/>
  <c r="P32" i="38"/>
  <c r="L158" i="38"/>
  <c r="L32" i="38"/>
  <c r="V137" i="38"/>
  <c r="W101" i="38"/>
  <c r="W137" i="38" s="1"/>
  <c r="P59" i="38"/>
  <c r="P60" i="38" s="1"/>
  <c r="P51" i="38"/>
  <c r="P52" i="38" s="1"/>
  <c r="P55" i="38"/>
  <c r="L59" i="38"/>
  <c r="L60" i="38" s="1"/>
  <c r="L51" i="38"/>
  <c r="T139" i="38"/>
  <c r="U103" i="38"/>
  <c r="K153" i="38"/>
  <c r="K54" i="38"/>
  <c r="L55" i="38" s="1"/>
  <c r="K22" i="38"/>
  <c r="R141" i="38"/>
  <c r="R143" i="38" s="1"/>
  <c r="S105" i="38"/>
  <c r="J127" i="3"/>
  <c r="J126" i="3"/>
  <c r="BZ196" i="46"/>
  <c r="U161" i="38" l="1"/>
  <c r="M158" i="38"/>
  <c r="N158" i="38" s="1"/>
  <c r="S154" i="38"/>
  <c r="J59" i="38"/>
  <c r="J60" i="38" s="1"/>
  <c r="J51" i="38"/>
  <c r="M153" i="38"/>
  <c r="M54" i="38"/>
  <c r="M22" i="38"/>
  <c r="H141" i="38"/>
  <c r="H143" i="38" s="1"/>
  <c r="H106" i="38"/>
  <c r="I141" i="38" s="1"/>
  <c r="I140" i="38"/>
  <c r="K157" i="38"/>
  <c r="K32" i="38"/>
  <c r="T140" i="38"/>
  <c r="U104" i="38"/>
  <c r="K59" i="38"/>
  <c r="K60" i="38" s="1"/>
  <c r="K51" i="38"/>
  <c r="K52" i="38" s="1"/>
  <c r="K55" i="38"/>
  <c r="S141" i="38"/>
  <c r="S143" i="38" s="1"/>
  <c r="T105" i="38"/>
  <c r="R153" i="38"/>
  <c r="R54" i="38"/>
  <c r="R22" i="38"/>
  <c r="U139" i="38"/>
  <c r="V103" i="38"/>
  <c r="Q162" i="38"/>
  <c r="R162" i="38" s="1"/>
  <c r="V138" i="38"/>
  <c r="W102" i="38"/>
  <c r="Q163" i="38"/>
  <c r="Q32" i="38"/>
  <c r="Q59" i="38"/>
  <c r="Q60" i="38" s="1"/>
  <c r="Q55" i="38"/>
  <c r="Q51" i="38"/>
  <c r="Q52" i="38" s="1"/>
  <c r="J156" i="38"/>
  <c r="J32" i="38"/>
  <c r="N143" i="38"/>
  <c r="AI34" i="7"/>
  <c r="AI28" i="7"/>
  <c r="BM30" i="6"/>
  <c r="BL18" i="6"/>
  <c r="BL36" i="6" l="1"/>
  <c r="AI46" i="7"/>
  <c r="AI52" i="7" s="1"/>
  <c r="I143" i="38"/>
  <c r="I153" i="38" s="1"/>
  <c r="O158" i="38"/>
  <c r="P158" i="38" s="1"/>
  <c r="Q158" i="38" s="1"/>
  <c r="V161" i="38"/>
  <c r="W161" i="38" s="1"/>
  <c r="K156" i="38"/>
  <c r="V139" i="38"/>
  <c r="W103" i="38"/>
  <c r="T141" i="38"/>
  <c r="T143" i="38" s="1"/>
  <c r="U105" i="38"/>
  <c r="T154" i="38"/>
  <c r="N153" i="38"/>
  <c r="N54" i="38"/>
  <c r="N22" i="38"/>
  <c r="R163" i="38"/>
  <c r="R164" i="38"/>
  <c r="R32" i="38"/>
  <c r="S153" i="38"/>
  <c r="S54" i="38"/>
  <c r="S22" i="38"/>
  <c r="L157" i="38"/>
  <c r="M159" i="38"/>
  <c r="M32" i="38"/>
  <c r="L52" i="38"/>
  <c r="W138" i="38"/>
  <c r="S162" i="38"/>
  <c r="R59" i="38"/>
  <c r="R60" i="38" s="1"/>
  <c r="R51" i="38"/>
  <c r="R52" i="38" s="1"/>
  <c r="R55" i="38"/>
  <c r="U140" i="38"/>
  <c r="V104" i="38"/>
  <c r="M59" i="38"/>
  <c r="M60" i="38" s="1"/>
  <c r="M51" i="38"/>
  <c r="M52" i="38" s="1"/>
  <c r="M55" i="38"/>
  <c r="BM12" i="6"/>
  <c r="S127" i="3"/>
  <c r="AI58" i="7" l="1"/>
  <c r="I22" i="38"/>
  <c r="I155" i="38" s="1"/>
  <c r="I54" i="38"/>
  <c r="I51" i="38" s="1"/>
  <c r="J52" i="38" s="1"/>
  <c r="L156" i="38"/>
  <c r="M156" i="38" s="1"/>
  <c r="N156" i="38" s="1"/>
  <c r="S164" i="38"/>
  <c r="T164" i="38" s="1"/>
  <c r="N159" i="38"/>
  <c r="N160" i="38"/>
  <c r="N32" i="38"/>
  <c r="U141" i="38"/>
  <c r="U143" i="38" s="1"/>
  <c r="V105" i="38"/>
  <c r="W139" i="38"/>
  <c r="V140" i="38"/>
  <c r="W104" i="38"/>
  <c r="T153" i="38"/>
  <c r="T54" i="38"/>
  <c r="T22" i="38"/>
  <c r="R158" i="38"/>
  <c r="S158" i="38" s="1"/>
  <c r="M157" i="38"/>
  <c r="S59" i="38"/>
  <c r="S60" i="38" s="1"/>
  <c r="S51" i="38"/>
  <c r="S52" i="38" s="1"/>
  <c r="S55" i="38"/>
  <c r="S163" i="38"/>
  <c r="U154" i="38"/>
  <c r="T162" i="38"/>
  <c r="U162" i="38" s="1"/>
  <c r="V162" i="38" s="1"/>
  <c r="W162" i="38" s="1"/>
  <c r="S165" i="38"/>
  <c r="S32" i="38"/>
  <c r="N59" i="38"/>
  <c r="N60" i="38" s="1"/>
  <c r="N51" i="38"/>
  <c r="N55" i="38"/>
  <c r="O55" i="38"/>
  <c r="BO95" i="46"/>
  <c r="BP95" i="46" l="1"/>
  <c r="J55" i="38"/>
  <c r="I32" i="38"/>
  <c r="I30" i="38" s="1"/>
  <c r="I15" i="38" s="1"/>
  <c r="I38" i="38" s="1"/>
  <c r="W140" i="38"/>
  <c r="O156" i="38"/>
  <c r="P156" i="38" s="1"/>
  <c r="U164" i="38"/>
  <c r="V164" i="38" s="1"/>
  <c r="W164" i="38" s="1"/>
  <c r="N52" i="38"/>
  <c r="O52" i="38"/>
  <c r="V154" i="38"/>
  <c r="T59" i="38"/>
  <c r="T60" i="38" s="1"/>
  <c r="T55" i="38"/>
  <c r="T51" i="38"/>
  <c r="T52" i="38" s="1"/>
  <c r="J155" i="38"/>
  <c r="J171" i="38" s="1"/>
  <c r="J23" i="38" s="1"/>
  <c r="J12" i="38" s="1"/>
  <c r="J13" i="38" s="1"/>
  <c r="I171" i="38"/>
  <c r="I23" i="38" s="1"/>
  <c r="N157" i="38"/>
  <c r="O157" i="38" s="1"/>
  <c r="T158" i="38"/>
  <c r="U158" i="38" s="1"/>
  <c r="V158" i="38" s="1"/>
  <c r="W158" i="38" s="1"/>
  <c r="O159" i="38"/>
  <c r="P159" i="38" s="1"/>
  <c r="T163" i="38"/>
  <c r="T166" i="38"/>
  <c r="T32" i="38"/>
  <c r="V141" i="38"/>
  <c r="V143" i="38" s="1"/>
  <c r="W105" i="38"/>
  <c r="W141" i="38" s="1"/>
  <c r="O160" i="38"/>
  <c r="P160" i="38" s="1"/>
  <c r="T165" i="38"/>
  <c r="U165" i="38" s="1"/>
  <c r="U153" i="38"/>
  <c r="U54" i="38"/>
  <c r="U22" i="38"/>
  <c r="BW292" i="46"/>
  <c r="BW291" i="46"/>
  <c r="W143" i="38" l="1"/>
  <c r="W22" i="38" s="1"/>
  <c r="I33" i="38"/>
  <c r="J29" i="38" s="1"/>
  <c r="J30" i="38" s="1"/>
  <c r="J15" i="38" s="1"/>
  <c r="J38" i="38" s="1"/>
  <c r="K155" i="38"/>
  <c r="K171" i="38" s="1"/>
  <c r="K23" i="38" s="1"/>
  <c r="K12" i="38" s="1"/>
  <c r="K13" i="38" s="1"/>
  <c r="P157" i="38"/>
  <c r="Q157" i="38" s="1"/>
  <c r="Q156" i="38"/>
  <c r="R156" i="38" s="1"/>
  <c r="V165" i="38"/>
  <c r="W165" i="38" s="1"/>
  <c r="Q160" i="38"/>
  <c r="R160" i="38" s="1"/>
  <c r="U166" i="38"/>
  <c r="V166" i="38" s="1"/>
  <c r="W166" i="38" s="1"/>
  <c r="I12" i="38"/>
  <c r="I13" i="38" s="1"/>
  <c r="I16" i="38" s="1"/>
  <c r="I24" i="38"/>
  <c r="W154" i="38"/>
  <c r="W54" i="38"/>
  <c r="U163" i="38"/>
  <c r="V163" i="38" s="1"/>
  <c r="U59" i="38"/>
  <c r="U60" i="38" s="1"/>
  <c r="U55" i="38"/>
  <c r="U51" i="38"/>
  <c r="U52" i="38" s="1"/>
  <c r="V153" i="38"/>
  <c r="V54" i="38"/>
  <c r="V22" i="38"/>
  <c r="Q159" i="38"/>
  <c r="R159" i="38" s="1"/>
  <c r="U167" i="38"/>
  <c r="U32" i="38"/>
  <c r="AQ12" i="7"/>
  <c r="AP11" i="7"/>
  <c r="AO12" i="7"/>
  <c r="AO11" i="7"/>
  <c r="AQ11" i="7" s="1"/>
  <c r="W153" i="38" l="1"/>
  <c r="L155" i="38"/>
  <c r="L171" i="38" s="1"/>
  <c r="L23" i="38" s="1"/>
  <c r="L12" i="38" s="1"/>
  <c r="L13" i="38" s="1"/>
  <c r="S156" i="38"/>
  <c r="T156" i="38" s="1"/>
  <c r="U156" i="38" s="1"/>
  <c r="J16" i="38"/>
  <c r="R157" i="38"/>
  <c r="S160" i="38"/>
  <c r="T160" i="38" s="1"/>
  <c r="U160" i="38" s="1"/>
  <c r="V167" i="38"/>
  <c r="W167" i="38" s="1"/>
  <c r="S159" i="38"/>
  <c r="T159" i="38" s="1"/>
  <c r="V168" i="38"/>
  <c r="W168" i="38" s="1"/>
  <c r="V32" i="38"/>
  <c r="W169" i="38"/>
  <c r="W32" i="38"/>
  <c r="J33" i="38"/>
  <c r="K29" i="38" s="1"/>
  <c r="V59" i="38"/>
  <c r="V60" i="38" s="1"/>
  <c r="V51" i="38"/>
  <c r="V52" i="38" s="1"/>
  <c r="V55" i="38"/>
  <c r="W59" i="38"/>
  <c r="W60" i="38" s="1"/>
  <c r="W51" i="38"/>
  <c r="W55" i="38"/>
  <c r="I37" i="38"/>
  <c r="I39" i="38" s="1"/>
  <c r="J21" i="38"/>
  <c r="J24" i="38" s="1"/>
  <c r="I35" i="38"/>
  <c r="W163" i="38"/>
  <c r="M155" i="38" l="1"/>
  <c r="N155" i="38" s="1"/>
  <c r="N171" i="38" s="1"/>
  <c r="N23" i="38" s="1"/>
  <c r="N12" i="38" s="1"/>
  <c r="N13" i="38" s="1"/>
  <c r="N16" i="38" s="1"/>
  <c r="V156" i="38"/>
  <c r="W156" i="38" s="1"/>
  <c r="S157" i="38"/>
  <c r="V160" i="38"/>
  <c r="W160" i="38" s="1"/>
  <c r="U159" i="38"/>
  <c r="V159" i="38" s="1"/>
  <c r="W159" i="38" s="1"/>
  <c r="K30" i="38"/>
  <c r="K15" i="38" s="1"/>
  <c r="J37" i="38"/>
  <c r="J39" i="38" s="1"/>
  <c r="K21" i="38"/>
  <c r="K24" i="38" s="1"/>
  <c r="J35" i="38"/>
  <c r="W52" i="38"/>
  <c r="O155" i="38" l="1"/>
  <c r="O171" i="38" s="1"/>
  <c r="O23" i="38" s="1"/>
  <c r="O12" i="38" s="1"/>
  <c r="O13" i="38" s="1"/>
  <c r="O16" i="38" s="1"/>
  <c r="M171" i="38"/>
  <c r="M23" i="38" s="1"/>
  <c r="M12" i="38" s="1"/>
  <c r="M13" i="38" s="1"/>
  <c r="M16" i="38" s="1"/>
  <c r="T157" i="38"/>
  <c r="K33" i="38"/>
  <c r="L29" i="38" s="1"/>
  <c r="L30" i="38" s="1"/>
  <c r="L15" i="38" s="1"/>
  <c r="L21" i="38"/>
  <c r="L24" i="38" s="1"/>
  <c r="K38" i="38"/>
  <c r="K16" i="38"/>
  <c r="P155" i="38" l="1"/>
  <c r="P171" i="38" s="1"/>
  <c r="P23" i="38" s="1"/>
  <c r="P12" i="38" s="1"/>
  <c r="P13" i="38" s="1"/>
  <c r="P16" i="38" s="1"/>
  <c r="K35" i="38"/>
  <c r="U157" i="38"/>
  <c r="V157" i="38" s="1"/>
  <c r="L33" i="38"/>
  <c r="M29" i="38" s="1"/>
  <c r="M30" i="38" s="1"/>
  <c r="M33" i="38" s="1"/>
  <c r="N29" i="38" s="1"/>
  <c r="K37" i="38"/>
  <c r="K39" i="38" s="1"/>
  <c r="L38" i="38"/>
  <c r="L16" i="38"/>
  <c r="M21" i="38"/>
  <c r="M24" i="38" s="1"/>
  <c r="Q155" i="38" l="1"/>
  <c r="Q171" i="38" s="1"/>
  <c r="Q23" i="38" s="1"/>
  <c r="Q12" i="38" s="1"/>
  <c r="Q13" i="38" s="1"/>
  <c r="L37" i="38"/>
  <c r="L39" i="38" s="1"/>
  <c r="W157" i="38"/>
  <c r="L35" i="38"/>
  <c r="N30" i="38"/>
  <c r="N33" i="38" s="1"/>
  <c r="O29" i="38" s="1"/>
  <c r="N21" i="38"/>
  <c r="N24" i="38" s="1"/>
  <c r="M37" i="38"/>
  <c r="M35" i="38"/>
  <c r="R155" i="38" l="1"/>
  <c r="R171" i="38" s="1"/>
  <c r="R23" i="38" s="1"/>
  <c r="R12" i="38" s="1"/>
  <c r="R13" i="38" s="1"/>
  <c r="M39" i="38"/>
  <c r="O30" i="38"/>
  <c r="O33" i="38" s="1"/>
  <c r="P29" i="38" s="1"/>
  <c r="O21" i="38"/>
  <c r="O24" i="38" s="1"/>
  <c r="N37" i="38"/>
  <c r="N39" i="38" s="1"/>
  <c r="N35" i="38"/>
  <c r="S155" i="38" l="1"/>
  <c r="S171" i="38" s="1"/>
  <c r="S23" i="38" s="1"/>
  <c r="S12" i="38" s="1"/>
  <c r="S13" i="38" s="1"/>
  <c r="P30" i="38"/>
  <c r="P33" i="38" s="1"/>
  <c r="Q29" i="38" s="1"/>
  <c r="O37" i="38"/>
  <c r="O39" i="38" s="1"/>
  <c r="P21" i="38"/>
  <c r="P24" i="38" s="1"/>
  <c r="O35" i="38"/>
  <c r="T155" i="38" l="1"/>
  <c r="T171" i="38" s="1"/>
  <c r="T23" i="38" s="1"/>
  <c r="T12" i="38" s="1"/>
  <c r="T13" i="38" s="1"/>
  <c r="U155" i="38"/>
  <c r="Q30" i="38"/>
  <c r="Q15" i="38" s="1"/>
  <c r="P37" i="38"/>
  <c r="P39" i="38" s="1"/>
  <c r="Q21" i="38"/>
  <c r="Q24" i="38" s="1"/>
  <c r="P35" i="38"/>
  <c r="Q33" i="38" l="1"/>
  <c r="R29" i="38" s="1"/>
  <c r="R21" i="38"/>
  <c r="R24" i="38" s="1"/>
  <c r="U171" i="38"/>
  <c r="U23" i="38" s="1"/>
  <c r="U12" i="38" s="1"/>
  <c r="U13" i="38" s="1"/>
  <c r="V155" i="38"/>
  <c r="Q38" i="38"/>
  <c r="Q16" i="38"/>
  <c r="Q37" i="38" l="1"/>
  <c r="Q39" i="38" s="1"/>
  <c r="Q35" i="38"/>
  <c r="Q44" i="38"/>
  <c r="R30" i="38" s="1"/>
  <c r="R15" i="38" s="1"/>
  <c r="V171" i="38"/>
  <c r="V23" i="38" s="1"/>
  <c r="V12" i="38" s="1"/>
  <c r="V13" i="38" s="1"/>
  <c r="W155" i="38"/>
  <c r="W171" i="38" s="1"/>
  <c r="W23" i="38" s="1"/>
  <c r="W12" i="38" s="1"/>
  <c r="W13" i="38" s="1"/>
  <c r="S21" i="38"/>
  <c r="S24" i="38" s="1"/>
  <c r="T21" i="38" l="1"/>
  <c r="T24" i="38" s="1"/>
  <c r="R33" i="38"/>
  <c r="R38" i="38"/>
  <c r="R16" i="38"/>
  <c r="S29" i="38" l="1"/>
  <c r="R35" i="38"/>
  <c r="R37" i="38"/>
  <c r="R39" i="38" s="1"/>
  <c r="R44" i="38"/>
  <c r="U21" i="38"/>
  <c r="U24" i="38" s="1"/>
  <c r="S30" i="38" l="1"/>
  <c r="S15" i="38" s="1"/>
  <c r="V21" i="38"/>
  <c r="V24" i="38" s="1"/>
  <c r="W21" i="38" l="1"/>
  <c r="W24" i="38" s="1"/>
  <c r="S38" i="38"/>
  <c r="S16" i="38"/>
  <c r="S33" i="38"/>
  <c r="S44" i="38" s="1"/>
  <c r="T29" i="38" l="1"/>
  <c r="S37" i="38"/>
  <c r="S39" i="38" s="1"/>
  <c r="S35" i="38"/>
  <c r="T30" i="38" l="1"/>
  <c r="T15" i="38" l="1"/>
  <c r="T33" i="38"/>
  <c r="T38" i="38" l="1"/>
  <c r="T16" i="38"/>
  <c r="U29" i="38"/>
  <c r="T37" i="38"/>
  <c r="T39" i="38" s="1"/>
  <c r="T35" i="38"/>
  <c r="T44" i="38"/>
  <c r="U30" i="38" l="1"/>
  <c r="U15" i="38" s="1"/>
  <c r="U33" i="38" l="1"/>
  <c r="V29" i="38" s="1"/>
  <c r="U38" i="38"/>
  <c r="U16" i="38"/>
  <c r="U44" i="38" l="1"/>
  <c r="V30" i="38" s="1"/>
  <c r="V15" i="38" s="1"/>
  <c r="U35" i="38"/>
  <c r="U37" i="38"/>
  <c r="U39" i="38" s="1"/>
  <c r="V33" i="38" l="1"/>
  <c r="W29" i="38" s="1"/>
  <c r="V38" i="38"/>
  <c r="V16" i="38"/>
  <c r="V44" i="38" l="1"/>
  <c r="W30" i="38" s="1"/>
  <c r="V37" i="38"/>
  <c r="V39" i="38" s="1"/>
  <c r="V35" i="38"/>
  <c r="W15" i="38" l="1"/>
  <c r="W33" i="38"/>
  <c r="W37" i="38" l="1"/>
  <c r="W39" i="38" s="1"/>
  <c r="W35" i="38"/>
  <c r="W44" i="38"/>
  <c r="W38" i="38"/>
  <c r="W16" i="38"/>
  <c r="BV277" i="46" l="1"/>
  <c r="BV278" i="46"/>
  <c r="BV276" i="46"/>
  <c r="K62" i="49" l="1"/>
  <c r="AO21" i="9"/>
  <c r="AQ21" i="9" s="1"/>
  <c r="AS21" i="9" s="1"/>
  <c r="AU21" i="9" s="1"/>
  <c r="AW21" i="9" s="1"/>
  <c r="O62" i="49"/>
  <c r="AK36" i="10"/>
  <c r="AK53" i="10"/>
  <c r="AK45" i="10"/>
  <c r="O30" i="49"/>
  <c r="U14" i="21" s="1"/>
  <c r="N30" i="49"/>
  <c r="T14" i="21" s="1"/>
  <c r="M30" i="49"/>
  <c r="S14" i="21" s="1"/>
  <c r="L30" i="49"/>
  <c r="R14" i="21" s="1"/>
  <c r="AK44" i="9" l="1"/>
  <c r="AK22" i="9"/>
  <c r="AI22" i="9"/>
  <c r="AK20" i="9"/>
  <c r="CM80" i="47"/>
  <c r="BP37" i="47" a="1"/>
  <c r="BP37" i="47" s="1"/>
  <c r="BP24" i="47" a="1"/>
  <c r="BP24" i="47" s="1"/>
  <c r="BP18" i="47" a="1"/>
  <c r="BR18" i="47" s="1"/>
  <c r="BP18" i="47"/>
  <c r="BS18" i="47"/>
  <c r="BP17" i="47" a="1"/>
  <c r="BP17" i="47" s="1"/>
  <c r="BS17" i="47"/>
  <c r="BP16" i="47" a="1"/>
  <c r="BQ16" i="47" s="1"/>
  <c r="BP16" i="47"/>
  <c r="BP15" i="47" a="1"/>
  <c r="BP15" i="47" s="1"/>
  <c r="BP14" i="47" a="1"/>
  <c r="BR14" i="47" s="1"/>
  <c r="BP14" i="47"/>
  <c r="CM70" i="47"/>
  <c r="CM35" i="47"/>
  <c r="CM19" i="47"/>
  <c r="CM18" i="47"/>
  <c r="CM17" i="47"/>
  <c r="CM16" i="47"/>
  <c r="CM15" i="47"/>
  <c r="CM14" i="47"/>
  <c r="BR128" i="47"/>
  <c r="BQ128" i="47"/>
  <c r="BR100" i="47"/>
  <c r="BQ100" i="47"/>
  <c r="BP100" i="47"/>
  <c r="U69" i="21"/>
  <c r="U138" i="21" s="1"/>
  <c r="U321" i="21"/>
  <c r="U313" i="21"/>
  <c r="U312" i="21"/>
  <c r="U305" i="21"/>
  <c r="U300" i="21"/>
  <c r="U296" i="21"/>
  <c r="U289" i="21"/>
  <c r="U288" i="21"/>
  <c r="U283" i="21"/>
  <c r="U267" i="21"/>
  <c r="U266" i="21"/>
  <c r="U242" i="21"/>
  <c r="U235" i="21"/>
  <c r="U228" i="21"/>
  <c r="U227" i="21"/>
  <c r="U160" i="21"/>
  <c r="U157" i="21"/>
  <c r="U88" i="21"/>
  <c r="U60" i="21"/>
  <c r="U257" i="21" s="1"/>
  <c r="U31" i="21"/>
  <c r="U166" i="21" s="1"/>
  <c r="U149" i="21"/>
  <c r="H125" i="8"/>
  <c r="BP12" i="6"/>
  <c r="W62" i="49"/>
  <c r="K43" i="49"/>
  <c r="K28" i="49"/>
  <c r="K26" i="49"/>
  <c r="K24" i="49"/>
  <c r="K22" i="49"/>
  <c r="K20" i="49"/>
  <c r="Z5" i="4"/>
  <c r="O10" i="49"/>
  <c r="BQ14" i="47" l="1"/>
  <c r="BQ15" i="47"/>
  <c r="BQ18" i="47"/>
  <c r="BS16" i="47"/>
  <c r="BS37" i="47"/>
  <c r="K30" i="49"/>
  <c r="BS14" i="47"/>
  <c r="BS15" i="47"/>
  <c r="U311" i="21"/>
  <c r="BS24" i="47"/>
  <c r="BR24" i="47"/>
  <c r="U97" i="21"/>
  <c r="BR37" i="47"/>
  <c r="BQ37" i="47"/>
  <c r="BQ24" i="47"/>
  <c r="BR17" i="47"/>
  <c r="BQ17" i="47"/>
  <c r="BR16" i="47"/>
  <c r="BR15" i="47"/>
  <c r="BR129" i="47"/>
  <c r="U315" i="21"/>
  <c r="U314" i="21"/>
  <c r="U80" i="21"/>
  <c r="BU256" i="46"/>
  <c r="BS219" i="46"/>
  <c r="BP35" i="47" s="1" a="1"/>
  <c r="BQ35" i="47" s="1"/>
  <c r="CC195" i="46"/>
  <c r="CC194" i="46"/>
  <c r="CB198" i="46"/>
  <c r="CC197" i="46" s="1"/>
  <c r="CC196" i="46"/>
  <c r="BU12" i="46"/>
  <c r="BU11" i="46"/>
  <c r="BP70" i="47" s="1" a="1"/>
  <c r="BS315" i="46"/>
  <c r="BS314" i="46"/>
  <c r="BS313" i="46"/>
  <c r="BU312" i="46"/>
  <c r="BU311" i="46"/>
  <c r="BU310" i="46"/>
  <c r="BU309" i="46"/>
  <c r="BS250" i="46"/>
  <c r="BU249" i="46"/>
  <c r="BU248" i="46"/>
  <c r="BU247" i="46"/>
  <c r="BU246" i="46"/>
  <c r="BS242" i="46"/>
  <c r="BS241" i="46"/>
  <c r="BS240" i="46"/>
  <c r="BU239" i="46"/>
  <c r="BU238" i="46"/>
  <c r="BU237" i="46"/>
  <c r="BU236" i="46"/>
  <c r="BS229" i="46"/>
  <c r="BS228" i="46"/>
  <c r="BS227" i="46"/>
  <c r="BS222" i="46"/>
  <c r="BS221" i="46"/>
  <c r="BU218" i="46"/>
  <c r="BU217" i="46"/>
  <c r="BU216" i="46"/>
  <c r="K64" i="49" l="1"/>
  <c r="BS257" i="46"/>
  <c r="BP36" i="47" a="1"/>
  <c r="BP35" i="47"/>
  <c r="BS35" i="47"/>
  <c r="BS321" i="46"/>
  <c r="BS258" i="46"/>
  <c r="Q14" i="21"/>
  <c r="BR35" i="47"/>
  <c r="BS259" i="46"/>
  <c r="BR70" i="47"/>
  <c r="BP70" i="47"/>
  <c r="BQ70" i="47"/>
  <c r="BS70" i="47"/>
  <c r="BS331" i="46"/>
  <c r="BQ19" i="47"/>
  <c r="BP19" i="47"/>
  <c r="BS19" i="47"/>
  <c r="BR19" i="47"/>
  <c r="BS261" i="46"/>
  <c r="BU219" i="46"/>
  <c r="BS230" i="46"/>
  <c r="K63" i="49" s="1"/>
  <c r="BS320" i="46"/>
  <c r="BS232" i="46"/>
  <c r="BS319" i="46"/>
  <c r="BS231" i="46"/>
  <c r="BS322" i="46"/>
  <c r="BR36" i="47" l="1"/>
  <c r="BQ36" i="47"/>
  <c r="BS36" i="47"/>
  <c r="BP36" i="47"/>
  <c r="BP38" i="47" a="1"/>
  <c r="BU257" i="46"/>
  <c r="BP47" i="47" a="1"/>
  <c r="BQ47" i="47" s="1"/>
  <c r="BS323" i="46"/>
  <c r="K74" i="49" s="1"/>
  <c r="Q15" i="21" s="1"/>
  <c r="BS260" i="46"/>
  <c r="K65" i="49" s="1"/>
  <c r="BS262" i="46"/>
  <c r="BS325" i="46"/>
  <c r="BS324" i="46"/>
  <c r="Q81" i="21" l="1"/>
  <c r="Q150" i="21"/>
  <c r="BP38" i="47"/>
  <c r="BS38" i="47"/>
  <c r="BR38" i="47"/>
  <c r="BQ38" i="47"/>
  <c r="BP47" i="47"/>
  <c r="BR47" i="47"/>
  <c r="BS47" i="47"/>
  <c r="BK18" i="47" a="1"/>
  <c r="BN18" i="47" s="1"/>
  <c r="BK17" i="47" a="1"/>
  <c r="BM17" i="47" s="1"/>
  <c r="BK16" i="47" a="1"/>
  <c r="BK16" i="47" s="1"/>
  <c r="BK14" i="47" a="1"/>
  <c r="BN14" i="47" s="1"/>
  <c r="BK15" i="47" a="1"/>
  <c r="BN15" i="47" s="1"/>
  <c r="BK17" i="47" l="1"/>
  <c r="BL17" i="47"/>
  <c r="BK18" i="47"/>
  <c r="BN17" i="47"/>
  <c r="BL18" i="47"/>
  <c r="BM18" i="47"/>
  <c r="BN16" i="47"/>
  <c r="BM16" i="47"/>
  <c r="BL16" i="47"/>
  <c r="BM14" i="47"/>
  <c r="BK14" i="47"/>
  <c r="BL14" i="47"/>
  <c r="BM15" i="47"/>
  <c r="BL15" i="47"/>
  <c r="BK15" i="47"/>
  <c r="M3" i="62" l="1"/>
  <c r="L3" i="62"/>
  <c r="K3" i="62"/>
  <c r="J3" i="62"/>
  <c r="I3" i="62"/>
  <c r="H3" i="62"/>
  <c r="G3" i="62"/>
  <c r="F3" i="62"/>
  <c r="E3" i="62"/>
  <c r="D3" i="62"/>
  <c r="C3" i="62"/>
  <c r="B3" i="62"/>
  <c r="S126" i="3" l="1"/>
  <c r="BZ195" i="46"/>
  <c r="BZ194" i="46"/>
  <c r="BX13" i="46"/>
  <c r="AI27" i="7"/>
  <c r="BM29" i="6"/>
  <c r="BM23" i="6"/>
  <c r="BL17" i="6"/>
  <c r="BM11" i="6"/>
  <c r="BO94" i="46"/>
  <c r="BO114" i="46" s="1"/>
  <c r="BO226" i="46"/>
  <c r="BU226" i="46" s="1"/>
  <c r="A3" i="61"/>
  <c r="C3" i="61" s="1"/>
  <c r="C5" i="61" s="1"/>
  <c r="D5" i="61" s="1"/>
  <c r="AI44" i="7"/>
  <c r="AI26" i="7"/>
  <c r="AI32" i="7" s="1"/>
  <c r="BM22" i="6"/>
  <c r="BL28" i="6"/>
  <c r="BM28" i="6" s="1"/>
  <c r="BL16" i="6"/>
  <c r="S125" i="3"/>
  <c r="BM10" i="6"/>
  <c r="BO93" i="46"/>
  <c r="BO113" i="46" s="1"/>
  <c r="Y98" i="3"/>
  <c r="Y99" i="3"/>
  <c r="Y97" i="3"/>
  <c r="Y106" i="3"/>
  <c r="BC99" i="47" s="1"/>
  <c r="Y105" i="3"/>
  <c r="Y104" i="3"/>
  <c r="O157" i="21"/>
  <c r="O160" i="21"/>
  <c r="O88" i="21"/>
  <c r="BD37" i="47"/>
  <c r="BC37" i="47"/>
  <c r="BB37" i="47"/>
  <c r="BA37" i="47"/>
  <c r="L10" i="49"/>
  <c r="M10" i="49"/>
  <c r="N10" i="49"/>
  <c r="BM75" i="46"/>
  <c r="E142" i="3"/>
  <c r="E143" i="3"/>
  <c r="E144" i="3"/>
  <c r="E141" i="3"/>
  <c r="BK288" i="46"/>
  <c r="AK63" i="9"/>
  <c r="AK62" i="10"/>
  <c r="BI31" i="6"/>
  <c r="BI25" i="6"/>
  <c r="BH19" i="6"/>
  <c r="BH37" i="6" s="1"/>
  <c r="S121" i="3"/>
  <c r="C128" i="3" s="1"/>
  <c r="BK96" i="46"/>
  <c r="BL96" i="46" s="1"/>
  <c r="BL34" i="46"/>
  <c r="BL24" i="46"/>
  <c r="BQ24" i="46" s="1"/>
  <c r="BH82" i="47"/>
  <c r="T321" i="21"/>
  <c r="T313" i="21"/>
  <c r="T312" i="21"/>
  <c r="T305" i="21"/>
  <c r="T300" i="21"/>
  <c r="T296" i="21"/>
  <c r="T289" i="21"/>
  <c r="T288" i="21"/>
  <c r="T283" i="21"/>
  <c r="T275" i="21"/>
  <c r="T267" i="21"/>
  <c r="T266" i="21"/>
  <c r="T242" i="21"/>
  <c r="T235" i="21"/>
  <c r="T228" i="21"/>
  <c r="T227" i="21"/>
  <c r="U259" i="21" s="1"/>
  <c r="T226" i="21"/>
  <c r="T160" i="21"/>
  <c r="T157" i="21"/>
  <c r="T88" i="21"/>
  <c r="T60" i="21"/>
  <c r="T257" i="21" s="1"/>
  <c r="T315" i="21" s="1"/>
  <c r="T149" i="21"/>
  <c r="S321" i="21"/>
  <c r="S313" i="21"/>
  <c r="S312" i="21"/>
  <c r="S305" i="21"/>
  <c r="S300" i="21"/>
  <c r="S296" i="21"/>
  <c r="S289" i="21"/>
  <c r="S288" i="21"/>
  <c r="S283" i="21"/>
  <c r="S267" i="21"/>
  <c r="S266" i="21"/>
  <c r="S242" i="21"/>
  <c r="S235" i="21"/>
  <c r="S228" i="21"/>
  <c r="S227" i="21"/>
  <c r="T259" i="21" s="1"/>
  <c r="S160" i="21"/>
  <c r="S157" i="21"/>
  <c r="S88" i="21"/>
  <c r="S60" i="21"/>
  <c r="S257" i="21" s="1"/>
  <c r="S315" i="21" s="1"/>
  <c r="S149" i="21"/>
  <c r="R321" i="21"/>
  <c r="R313" i="21"/>
  <c r="R312" i="21"/>
  <c r="R305" i="21"/>
  <c r="R300" i="21"/>
  <c r="R296" i="21"/>
  <c r="R289" i="21"/>
  <c r="R288" i="21"/>
  <c r="R283" i="21"/>
  <c r="R275" i="21"/>
  <c r="R267" i="21"/>
  <c r="R266" i="21"/>
  <c r="R242" i="21"/>
  <c r="R235" i="21"/>
  <c r="R228" i="21"/>
  <c r="R227" i="21"/>
  <c r="R226" i="21"/>
  <c r="R160" i="21"/>
  <c r="R157" i="21"/>
  <c r="R88" i="21"/>
  <c r="R60" i="21"/>
  <c r="R257" i="21" s="1"/>
  <c r="CL70" i="47"/>
  <c r="CK70" i="47"/>
  <c r="CJ70" i="47"/>
  <c r="R32" i="53" s="1"/>
  <c r="CL19" i="47"/>
  <c r="CL18" i="47"/>
  <c r="CL17" i="47"/>
  <c r="CL16" i="47"/>
  <c r="CL15" i="47"/>
  <c r="CL14" i="47"/>
  <c r="BN37" i="47"/>
  <c r="BM37" i="47"/>
  <c r="BL37" i="47"/>
  <c r="BK37" i="47"/>
  <c r="BK35" i="47" a="1"/>
  <c r="BK24" i="47" a="1"/>
  <c r="BK24" i="47" s="1"/>
  <c r="H118" i="8"/>
  <c r="N125" i="8" s="1"/>
  <c r="H117" i="8"/>
  <c r="H116" i="8"/>
  <c r="BK227" i="46"/>
  <c r="AI63" i="9"/>
  <c r="BG82" i="47" s="1"/>
  <c r="AR57" i="9"/>
  <c r="AR56" i="9"/>
  <c r="AR55" i="9"/>
  <c r="BK175" i="46"/>
  <c r="BK176" i="46" s="1"/>
  <c r="BK173" i="46"/>
  <c r="BK286" i="46"/>
  <c r="BO173" i="46"/>
  <c r="BX198" i="46"/>
  <c r="BO329" i="46"/>
  <c r="BO331" i="46"/>
  <c r="BO330" i="46"/>
  <c r="CK19" i="47"/>
  <c r="CK18" i="47"/>
  <c r="CK17" i="47"/>
  <c r="CK16" i="47"/>
  <c r="CK15" i="47"/>
  <c r="CK14" i="47"/>
  <c r="BW11" i="46"/>
  <c r="BX12" i="46"/>
  <c r="BN70" i="47"/>
  <c r="Y5" i="4"/>
  <c r="X5" i="4"/>
  <c r="BO315" i="46"/>
  <c r="BU315" i="46" s="1"/>
  <c r="BO314" i="46"/>
  <c r="BU314" i="46" s="1"/>
  <c r="BO313" i="46"/>
  <c r="BU313" i="46" s="1"/>
  <c r="BQ312" i="46"/>
  <c r="BQ311" i="46"/>
  <c r="BQ310" i="46"/>
  <c r="BQ309" i="46"/>
  <c r="BO250" i="46"/>
  <c r="BU250" i="46" s="1"/>
  <c r="BQ249" i="46"/>
  <c r="BQ248" i="46"/>
  <c r="BQ247" i="46"/>
  <c r="BQ246" i="46"/>
  <c r="BO242" i="46"/>
  <c r="BU242" i="46" s="1"/>
  <c r="BO241" i="46"/>
  <c r="BU241" i="46" s="1"/>
  <c r="BO240" i="46"/>
  <c r="BU240" i="46" s="1"/>
  <c r="BQ239" i="46"/>
  <c r="BQ238" i="46"/>
  <c r="BQ237" i="46"/>
  <c r="BQ236" i="46"/>
  <c r="BO229" i="46"/>
  <c r="BO228" i="46"/>
  <c r="BO227" i="46"/>
  <c r="BU227" i="46" s="1"/>
  <c r="BO222" i="46"/>
  <c r="BU222" i="46" s="1"/>
  <c r="BO221" i="46"/>
  <c r="BU221" i="46" s="1"/>
  <c r="BO220" i="46"/>
  <c r="BU220" i="46" s="1"/>
  <c r="BQ219" i="46"/>
  <c r="BQ218" i="46"/>
  <c r="BQ217" i="46"/>
  <c r="BQ216" i="46"/>
  <c r="BO185" i="46"/>
  <c r="BO186" i="46"/>
  <c r="BS183" i="46" s="1"/>
  <c r="BS184" i="46" s="1"/>
  <c r="BS185" i="46" s="1"/>
  <c r="BS186" i="46" s="1"/>
  <c r="BS187" i="46" s="1"/>
  <c r="BS188" i="46" s="1"/>
  <c r="BS189" i="46" s="1"/>
  <c r="BO129" i="46"/>
  <c r="BO128" i="46"/>
  <c r="BO127" i="46"/>
  <c r="J43" i="49"/>
  <c r="BO109" i="46"/>
  <c r="BO108" i="46"/>
  <c r="BO107" i="46"/>
  <c r="BO89" i="46"/>
  <c r="BO88" i="46"/>
  <c r="BO87" i="46"/>
  <c r="BO67" i="46"/>
  <c r="BO66" i="46"/>
  <c r="BO65" i="46"/>
  <c r="J24" i="49" s="1"/>
  <c r="CH16" i="47" s="1"/>
  <c r="BO57" i="46"/>
  <c r="BO56" i="46"/>
  <c r="BO55" i="46"/>
  <c r="BO47" i="46"/>
  <c r="BO46" i="46"/>
  <c r="BO45" i="46"/>
  <c r="E114" i="3"/>
  <c r="BJ14" i="1" s="1"/>
  <c r="BD54" i="11" s="1"/>
  <c r="AG28" i="7"/>
  <c r="BM74" i="46"/>
  <c r="BI30" i="6"/>
  <c r="BH24" i="6"/>
  <c r="BH18" i="6"/>
  <c r="S118" i="3"/>
  <c r="J119" i="3"/>
  <c r="BI12" i="6"/>
  <c r="S120" i="3"/>
  <c r="BL33" i="46"/>
  <c r="BK95" i="46"/>
  <c r="BQ95" i="46" s="1"/>
  <c r="BL74" i="46"/>
  <c r="BL23" i="46"/>
  <c r="BQ23" i="46" s="1"/>
  <c r="K32" i="56"/>
  <c r="K31" i="56"/>
  <c r="Q30" i="55"/>
  <c r="BA27" i="47" a="1"/>
  <c r="AY128" i="47"/>
  <c r="T24" i="55"/>
  <c r="BL32" i="46"/>
  <c r="AG27" i="7"/>
  <c r="AG33" i="7" s="1"/>
  <c r="BI37" i="47"/>
  <c r="BH37" i="47"/>
  <c r="BG37" i="47"/>
  <c r="BF37" i="47"/>
  <c r="BI23" i="6"/>
  <c r="BH17" i="6"/>
  <c r="BH35" i="6"/>
  <c r="BI11" i="6"/>
  <c r="S119" i="3"/>
  <c r="AH119" i="3" s="1"/>
  <c r="BK94" i="46"/>
  <c r="BL94" i="46" s="1"/>
  <c r="BM73" i="46"/>
  <c r="BM32" i="46"/>
  <c r="BW32" i="46" s="1"/>
  <c r="BL22" i="46"/>
  <c r="BQ22" i="46" s="1"/>
  <c r="AV118" i="47"/>
  <c r="AW118" i="47"/>
  <c r="AW114" i="47"/>
  <c r="BK287" i="46"/>
  <c r="BK185" i="46"/>
  <c r="BK186" i="46" s="1"/>
  <c r="BK187" i="46" s="1"/>
  <c r="BK188" i="46" s="1"/>
  <c r="BK189" i="46" s="1"/>
  <c r="BL128" i="47"/>
  <c r="BM128" i="47"/>
  <c r="Q17" i="55"/>
  <c r="BX326" i="46"/>
  <c r="BK77" i="46"/>
  <c r="BL77" i="46" s="1"/>
  <c r="BK331" i="46"/>
  <c r="BS332" i="46"/>
  <c r="BD33" i="46"/>
  <c r="BD32" i="46"/>
  <c r="BH34" i="46"/>
  <c r="BH33" i="46"/>
  <c r="BH32" i="46"/>
  <c r="BH31" i="46"/>
  <c r="BL31" i="46"/>
  <c r="BV31" i="46" s="1"/>
  <c r="BK93" i="46"/>
  <c r="BL93" i="46" s="1"/>
  <c r="BG93" i="46"/>
  <c r="AG26" i="7"/>
  <c r="AG50" i="7" s="1"/>
  <c r="BH28" i="6"/>
  <c r="BI22" i="6"/>
  <c r="BH16" i="6"/>
  <c r="BI10" i="6"/>
  <c r="F4" i="62" s="1" a="1"/>
  <c r="BG226" i="46"/>
  <c r="BM143" i="46"/>
  <c r="BM83" i="46"/>
  <c r="BL83" i="46"/>
  <c r="BM72" i="46"/>
  <c r="BL72" i="46"/>
  <c r="BM31" i="46"/>
  <c r="BW31" i="46" s="1"/>
  <c r="BL21" i="46"/>
  <c r="BQ21" i="46" s="1"/>
  <c r="X33" i="53"/>
  <c r="X32" i="53"/>
  <c r="Y90" i="3"/>
  <c r="AP57" i="9"/>
  <c r="AP56" i="9"/>
  <c r="AP55" i="9"/>
  <c r="CJ19" i="47"/>
  <c r="CJ18" i="47"/>
  <c r="CJ17" i="47"/>
  <c r="CJ16" i="47"/>
  <c r="CJ15" i="47"/>
  <c r="CJ14" i="47"/>
  <c r="N160" i="21"/>
  <c r="N157" i="21"/>
  <c r="N88" i="21"/>
  <c r="BG337" i="46"/>
  <c r="BG327" i="46"/>
  <c r="BG317" i="46"/>
  <c r="BG307" i="46"/>
  <c r="BG297" i="46"/>
  <c r="BG284" i="46"/>
  <c r="BG274" i="46"/>
  <c r="BG264" i="46"/>
  <c r="BG254" i="46"/>
  <c r="BG244" i="46"/>
  <c r="BG234" i="46"/>
  <c r="BG224" i="46"/>
  <c r="BG204" i="46"/>
  <c r="BG214" i="46"/>
  <c r="BG191" i="46"/>
  <c r="BG181" i="46"/>
  <c r="BG171" i="46"/>
  <c r="BG161" i="46"/>
  <c r="BG151" i="46"/>
  <c r="BG141" i="46"/>
  <c r="BG131" i="46"/>
  <c r="BG121" i="46"/>
  <c r="BG111" i="46"/>
  <c r="BG101" i="46"/>
  <c r="BG91" i="46"/>
  <c r="BG81" i="46"/>
  <c r="BG70" i="46"/>
  <c r="BG59" i="46"/>
  <c r="BG49" i="46"/>
  <c r="BF39" i="46"/>
  <c r="BG29" i="46"/>
  <c r="BG19" i="46"/>
  <c r="BG9" i="46"/>
  <c r="BX12" i="6"/>
  <c r="BY12" i="6"/>
  <c r="BX13" i="6"/>
  <c r="BX14" i="6" s="1"/>
  <c r="BY13" i="6"/>
  <c r="BY14" i="6" s="1"/>
  <c r="BH24" i="46"/>
  <c r="BK229" i="46"/>
  <c r="BK322" i="46" s="1"/>
  <c r="BK228" i="46"/>
  <c r="BK226" i="46"/>
  <c r="BM226" i="46" s="1"/>
  <c r="BK330" i="46"/>
  <c r="BD74" i="46"/>
  <c r="BD75" i="46"/>
  <c r="S114" i="3"/>
  <c r="BG14" i="1" s="1"/>
  <c r="AI61" i="10"/>
  <c r="AI44" i="9"/>
  <c r="AI20" i="9"/>
  <c r="AI23" i="10"/>
  <c r="AI54" i="10"/>
  <c r="AI45" i="10"/>
  <c r="AI46" i="10" s="1"/>
  <c r="BD19" i="6"/>
  <c r="BI19" i="6" s="1"/>
  <c r="BG229" i="46"/>
  <c r="BG96" i="46"/>
  <c r="BH96" i="46"/>
  <c r="H58" i="49"/>
  <c r="N27" i="21" s="1"/>
  <c r="N240" i="21" s="1"/>
  <c r="N291" i="21" s="1"/>
  <c r="BD18" i="6"/>
  <c r="BI18" i="6" s="1"/>
  <c r="H104" i="8"/>
  <c r="H103" i="8"/>
  <c r="H102" i="8"/>
  <c r="AO43" i="9"/>
  <c r="AQ43" i="9" s="1"/>
  <c r="AS43" i="9" s="1"/>
  <c r="AU43" i="9" s="1"/>
  <c r="AW43" i="9" s="1"/>
  <c r="BG76" i="46"/>
  <c r="H33" i="49" s="1"/>
  <c r="BG67" i="46"/>
  <c r="BG65" i="46"/>
  <c r="BG57" i="46"/>
  <c r="BG56" i="46"/>
  <c r="BI56" i="46" s="1"/>
  <c r="AO33" i="9"/>
  <c r="BK127" i="46"/>
  <c r="I43" i="49" s="1"/>
  <c r="H36" i="50"/>
  <c r="E19" i="50"/>
  <c r="E18" i="50"/>
  <c r="AE28" i="7"/>
  <c r="AE34" i="7" s="1"/>
  <c r="AE58" i="7" s="1"/>
  <c r="BE30" i="6"/>
  <c r="BE24" i="6"/>
  <c r="BE23" i="6"/>
  <c r="BD17" i="6"/>
  <c r="BI17" i="6" s="1"/>
  <c r="AZ18" i="6"/>
  <c r="AZ36" i="6" s="1"/>
  <c r="AZ17" i="6"/>
  <c r="BH74" i="46"/>
  <c r="BH73" i="46"/>
  <c r="J113" i="3"/>
  <c r="S113" i="3"/>
  <c r="E113" i="3"/>
  <c r="BJ13" i="1" s="1"/>
  <c r="BE12" i="6"/>
  <c r="BG228" i="46"/>
  <c r="BG232" i="46" s="1"/>
  <c r="BH232" i="46" s="1"/>
  <c r="BG95" i="46"/>
  <c r="BH23" i="46"/>
  <c r="BG17" i="46"/>
  <c r="BH17" i="46" s="1"/>
  <c r="E14" i="49"/>
  <c r="CC13" i="47" s="1"/>
  <c r="C14" i="49"/>
  <c r="F11" i="49"/>
  <c r="CD11" i="47"/>
  <c r="E11" i="49"/>
  <c r="K8" i="21" s="1"/>
  <c r="K74" i="21" s="1"/>
  <c r="D11" i="49"/>
  <c r="J8" i="21" s="1"/>
  <c r="C11" i="49"/>
  <c r="I8" i="21" s="1"/>
  <c r="I222" i="21" s="1"/>
  <c r="F8" i="49"/>
  <c r="F27" i="49" s="1"/>
  <c r="E8" i="49"/>
  <c r="D8" i="49"/>
  <c r="C8" i="49"/>
  <c r="BF35" i="47" a="1"/>
  <c r="BF35" i="47" s="1"/>
  <c r="BF18" i="47" a="1"/>
  <c r="BF17" i="47" a="1"/>
  <c r="BF16" i="47" a="1"/>
  <c r="BF16" i="47" s="1"/>
  <c r="BF15" i="47" a="1"/>
  <c r="BI15" i="47" s="1"/>
  <c r="BF14" i="47" a="1"/>
  <c r="BH100" i="47"/>
  <c r="BG100" i="47"/>
  <c r="BF100" i="47"/>
  <c r="BC70" i="47"/>
  <c r="C344" i="44"/>
  <c r="B344" i="44"/>
  <c r="G337" i="44"/>
  <c r="H337" i="44"/>
  <c r="C335" i="44"/>
  <c r="C334" i="44"/>
  <c r="D333" i="44"/>
  <c r="E333" i="44"/>
  <c r="E334" i="44" s="1"/>
  <c r="F333" i="44"/>
  <c r="E344" i="44"/>
  <c r="D344" i="44"/>
  <c r="D335" i="44"/>
  <c r="D334" i="44"/>
  <c r="B302" i="44"/>
  <c r="B301" i="44"/>
  <c r="B300" i="44"/>
  <c r="B299" i="44"/>
  <c r="B298" i="44"/>
  <c r="B297" i="44"/>
  <c r="B296" i="44"/>
  <c r="B295" i="44"/>
  <c r="B293" i="44"/>
  <c r="B292" i="44"/>
  <c r="B291" i="44"/>
  <c r="B290" i="44"/>
  <c r="B289" i="44"/>
  <c r="B288" i="44"/>
  <c r="B286" i="44"/>
  <c r="B285" i="44"/>
  <c r="B284" i="44"/>
  <c r="B283" i="44"/>
  <c r="B282" i="44"/>
  <c r="B281" i="44"/>
  <c r="B280" i="44"/>
  <c r="B279" i="44"/>
  <c r="B278" i="44"/>
  <c r="B277" i="44"/>
  <c r="B276" i="44"/>
  <c r="B275" i="44"/>
  <c r="C252" i="44"/>
  <c r="C251" i="44"/>
  <c r="C239" i="44"/>
  <c r="C237" i="44" s="1"/>
  <c r="C238" i="44"/>
  <c r="C236" i="44"/>
  <c r="V225" i="44"/>
  <c r="U225" i="44"/>
  <c r="T225" i="44"/>
  <c r="S225" i="44"/>
  <c r="R225" i="44"/>
  <c r="Q225" i="44"/>
  <c r="P225" i="44"/>
  <c r="O225" i="44"/>
  <c r="N225" i="44"/>
  <c r="M225" i="44"/>
  <c r="L225" i="44"/>
  <c r="K225" i="44"/>
  <c r="J225" i="44"/>
  <c r="I225" i="44"/>
  <c r="H225" i="44"/>
  <c r="G225" i="44"/>
  <c r="F225" i="44"/>
  <c r="E225" i="44"/>
  <c r="D225" i="44"/>
  <c r="C225" i="44"/>
  <c r="V224" i="44"/>
  <c r="U224" i="44"/>
  <c r="T224" i="44"/>
  <c r="S224" i="44"/>
  <c r="R224" i="44"/>
  <c r="Q224" i="44"/>
  <c r="P224" i="44"/>
  <c r="O224" i="44"/>
  <c r="N224" i="44"/>
  <c r="M224" i="44"/>
  <c r="L224" i="44"/>
  <c r="K224" i="44"/>
  <c r="J224" i="44"/>
  <c r="I224" i="44"/>
  <c r="H224" i="44"/>
  <c r="G224" i="44"/>
  <c r="F224" i="44"/>
  <c r="E224" i="44"/>
  <c r="D224" i="44"/>
  <c r="C224" i="44"/>
  <c r="V221" i="44"/>
  <c r="U221" i="44"/>
  <c r="T221" i="44"/>
  <c r="S221" i="44"/>
  <c r="R221" i="44"/>
  <c r="Q221" i="44"/>
  <c r="P221" i="44"/>
  <c r="O221" i="44"/>
  <c r="N221" i="44"/>
  <c r="M221" i="44"/>
  <c r="L221" i="44"/>
  <c r="K221" i="44"/>
  <c r="J221" i="44"/>
  <c r="I221" i="44"/>
  <c r="H221" i="44"/>
  <c r="G221" i="44"/>
  <c r="F221" i="44"/>
  <c r="E221" i="44"/>
  <c r="D221" i="44"/>
  <c r="C221" i="44"/>
  <c r="V220" i="44"/>
  <c r="U220" i="44"/>
  <c r="T220" i="44"/>
  <c r="S220" i="44"/>
  <c r="R220" i="44"/>
  <c r="Q220" i="44"/>
  <c r="P220" i="44"/>
  <c r="O220" i="44"/>
  <c r="N220" i="44"/>
  <c r="M220" i="44"/>
  <c r="L220" i="44"/>
  <c r="K220" i="44"/>
  <c r="J220" i="44"/>
  <c r="I220" i="44"/>
  <c r="H220" i="44"/>
  <c r="G220" i="44"/>
  <c r="F220" i="44"/>
  <c r="E220" i="44"/>
  <c r="D220" i="44"/>
  <c r="C220" i="44"/>
  <c r="V219" i="44"/>
  <c r="U219" i="44"/>
  <c r="T219" i="44"/>
  <c r="S219" i="44"/>
  <c r="R219" i="44"/>
  <c r="Q219" i="44"/>
  <c r="P219" i="44"/>
  <c r="O219" i="44"/>
  <c r="N219" i="44"/>
  <c r="M219" i="44"/>
  <c r="L219" i="44"/>
  <c r="K219" i="44"/>
  <c r="J219" i="44"/>
  <c r="I219" i="44"/>
  <c r="H219" i="44"/>
  <c r="G219" i="44"/>
  <c r="F219" i="44"/>
  <c r="E219" i="44"/>
  <c r="D219" i="44"/>
  <c r="C219" i="44"/>
  <c r="V218" i="44"/>
  <c r="U218" i="44"/>
  <c r="T218" i="44"/>
  <c r="S218" i="44"/>
  <c r="R218" i="44"/>
  <c r="Q218" i="44"/>
  <c r="P218" i="44"/>
  <c r="O218" i="44"/>
  <c r="N218" i="44"/>
  <c r="M218" i="44"/>
  <c r="L218" i="44"/>
  <c r="K218" i="44"/>
  <c r="J218" i="44"/>
  <c r="I218" i="44"/>
  <c r="H218" i="44"/>
  <c r="G218" i="44"/>
  <c r="F218" i="44"/>
  <c r="E218" i="44"/>
  <c r="D218" i="44"/>
  <c r="C218" i="44"/>
  <c r="V198" i="44"/>
  <c r="U198" i="44"/>
  <c r="T198" i="44"/>
  <c r="S198" i="44"/>
  <c r="R198" i="44"/>
  <c r="Q198" i="44"/>
  <c r="P198" i="44"/>
  <c r="O198" i="44"/>
  <c r="N198" i="44"/>
  <c r="M198" i="44"/>
  <c r="L198" i="44"/>
  <c r="K198" i="44"/>
  <c r="J198" i="44"/>
  <c r="I198" i="44"/>
  <c r="H198" i="44"/>
  <c r="G198" i="44"/>
  <c r="F198" i="44"/>
  <c r="E198" i="44"/>
  <c r="D198" i="44"/>
  <c r="C198" i="44"/>
  <c r="V197" i="44"/>
  <c r="U197" i="44"/>
  <c r="T197" i="44"/>
  <c r="S197" i="44"/>
  <c r="R197" i="44"/>
  <c r="Q197" i="44"/>
  <c r="P197" i="44"/>
  <c r="O197" i="44"/>
  <c r="N197" i="44"/>
  <c r="M197" i="44"/>
  <c r="L197" i="44"/>
  <c r="K197" i="44"/>
  <c r="J197" i="44"/>
  <c r="I197" i="44"/>
  <c r="H197" i="44"/>
  <c r="G197" i="44"/>
  <c r="F197" i="44"/>
  <c r="E197" i="44"/>
  <c r="D197" i="44"/>
  <c r="C197" i="44"/>
  <c r="V196" i="44"/>
  <c r="U196" i="44"/>
  <c r="T196" i="44"/>
  <c r="S196" i="44"/>
  <c r="R196" i="44"/>
  <c r="Q196" i="44"/>
  <c r="P196" i="44"/>
  <c r="O196" i="44"/>
  <c r="N196" i="44"/>
  <c r="M196" i="44"/>
  <c r="L196" i="44"/>
  <c r="K196" i="44"/>
  <c r="J196" i="44"/>
  <c r="I196" i="44"/>
  <c r="H196" i="44"/>
  <c r="G196" i="44"/>
  <c r="F196" i="44"/>
  <c r="E196" i="44"/>
  <c r="D196" i="44"/>
  <c r="C196" i="44"/>
  <c r="V195" i="44"/>
  <c r="U195" i="44"/>
  <c r="T195" i="44"/>
  <c r="S195" i="44"/>
  <c r="R195" i="44"/>
  <c r="Q195" i="44"/>
  <c r="P195" i="44"/>
  <c r="O195" i="44"/>
  <c r="N195" i="44"/>
  <c r="M195" i="44"/>
  <c r="L195" i="44"/>
  <c r="K195" i="44"/>
  <c r="J195" i="44"/>
  <c r="I195" i="44"/>
  <c r="H195" i="44"/>
  <c r="G195" i="44"/>
  <c r="F195" i="44"/>
  <c r="E195" i="44"/>
  <c r="D195" i="44"/>
  <c r="C195" i="44"/>
  <c r="C183" i="44"/>
  <c r="C182" i="44"/>
  <c r="C181" i="44"/>
  <c r="C179" i="44"/>
  <c r="V168" i="44"/>
  <c r="U168" i="44"/>
  <c r="T168" i="44"/>
  <c r="S168" i="44"/>
  <c r="R168" i="44"/>
  <c r="Q168" i="44"/>
  <c r="P168" i="44"/>
  <c r="O168" i="44"/>
  <c r="N168" i="44"/>
  <c r="M168" i="44"/>
  <c r="L168" i="44"/>
  <c r="K168" i="44"/>
  <c r="J168" i="44"/>
  <c r="I168" i="44"/>
  <c r="H168" i="44"/>
  <c r="G168" i="44"/>
  <c r="F168" i="44"/>
  <c r="E168" i="44"/>
  <c r="D168" i="44"/>
  <c r="C168" i="44"/>
  <c r="V167" i="44"/>
  <c r="U167" i="44"/>
  <c r="T167" i="44"/>
  <c r="S167" i="44"/>
  <c r="R167" i="44"/>
  <c r="Q167" i="44"/>
  <c r="P167" i="44"/>
  <c r="O167" i="44"/>
  <c r="N167" i="44"/>
  <c r="M167" i="44"/>
  <c r="L167" i="44"/>
  <c r="K167" i="44"/>
  <c r="J167" i="44"/>
  <c r="I167" i="44"/>
  <c r="H167" i="44"/>
  <c r="G167" i="44"/>
  <c r="F167" i="44"/>
  <c r="E167" i="44"/>
  <c r="D167" i="44"/>
  <c r="C167" i="44"/>
  <c r="V166" i="44"/>
  <c r="U166" i="44"/>
  <c r="T166" i="44"/>
  <c r="S166" i="44"/>
  <c r="R166" i="44"/>
  <c r="Q166" i="44"/>
  <c r="P166" i="44"/>
  <c r="O166" i="44"/>
  <c r="N166" i="44"/>
  <c r="M166" i="44"/>
  <c r="L166" i="44"/>
  <c r="K166" i="44"/>
  <c r="J166" i="44"/>
  <c r="I166" i="44"/>
  <c r="H166" i="44"/>
  <c r="G166" i="44"/>
  <c r="F166" i="44"/>
  <c r="E166" i="44"/>
  <c r="D166" i="44"/>
  <c r="C166" i="44"/>
  <c r="V165" i="44"/>
  <c r="U165" i="44"/>
  <c r="T165" i="44"/>
  <c r="S165" i="44"/>
  <c r="R165" i="44"/>
  <c r="Q165" i="44"/>
  <c r="P165" i="44"/>
  <c r="O165" i="44"/>
  <c r="N165" i="44"/>
  <c r="M165" i="44"/>
  <c r="L165" i="44"/>
  <c r="K165" i="44"/>
  <c r="J165" i="44"/>
  <c r="I165" i="44"/>
  <c r="H165" i="44"/>
  <c r="G165" i="44"/>
  <c r="F165" i="44"/>
  <c r="E165" i="44"/>
  <c r="D165" i="44"/>
  <c r="C165" i="44"/>
  <c r="V162" i="44"/>
  <c r="U162" i="44"/>
  <c r="T162" i="44"/>
  <c r="S162" i="44"/>
  <c r="R162" i="44"/>
  <c r="Q162" i="44"/>
  <c r="P162" i="44"/>
  <c r="O162" i="44"/>
  <c r="N162" i="44"/>
  <c r="M162" i="44"/>
  <c r="L162" i="44"/>
  <c r="K162" i="44"/>
  <c r="J162" i="44"/>
  <c r="I162" i="44"/>
  <c r="H162" i="44"/>
  <c r="G162" i="44"/>
  <c r="F162" i="44"/>
  <c r="E162" i="44"/>
  <c r="D162" i="44"/>
  <c r="C162" i="44"/>
  <c r="V161" i="44"/>
  <c r="U161" i="44"/>
  <c r="T161" i="44"/>
  <c r="S161" i="44"/>
  <c r="R161" i="44"/>
  <c r="Q161" i="44"/>
  <c r="P161" i="44"/>
  <c r="O161" i="44"/>
  <c r="N161" i="44"/>
  <c r="M161" i="44"/>
  <c r="L161" i="44"/>
  <c r="K161" i="44"/>
  <c r="J161" i="44"/>
  <c r="I161" i="44"/>
  <c r="H161" i="44"/>
  <c r="G161" i="44"/>
  <c r="F161" i="44"/>
  <c r="E161" i="44"/>
  <c r="D161" i="44"/>
  <c r="C161" i="44"/>
  <c r="V160" i="44"/>
  <c r="U160" i="44"/>
  <c r="T160" i="44"/>
  <c r="S160" i="44"/>
  <c r="R160" i="44"/>
  <c r="Q160" i="44"/>
  <c r="P160" i="44"/>
  <c r="O160" i="44"/>
  <c r="N160" i="44"/>
  <c r="M160" i="44"/>
  <c r="L160" i="44"/>
  <c r="K160" i="44"/>
  <c r="J160" i="44"/>
  <c r="I160" i="44"/>
  <c r="H160" i="44"/>
  <c r="G160" i="44"/>
  <c r="F160" i="44"/>
  <c r="E160" i="44"/>
  <c r="D160" i="44"/>
  <c r="C160" i="44"/>
  <c r="V159" i="44"/>
  <c r="U159" i="44"/>
  <c r="T159" i="44"/>
  <c r="S159" i="44"/>
  <c r="R159" i="44"/>
  <c r="Q159" i="44"/>
  <c r="P159" i="44"/>
  <c r="O159" i="44"/>
  <c r="N159" i="44"/>
  <c r="M159" i="44"/>
  <c r="L159" i="44"/>
  <c r="K159" i="44"/>
  <c r="J159" i="44"/>
  <c r="I159" i="44"/>
  <c r="H159" i="44"/>
  <c r="G159" i="44"/>
  <c r="F159" i="44"/>
  <c r="E159" i="44"/>
  <c r="D159" i="44"/>
  <c r="C159" i="44"/>
  <c r="V158" i="44"/>
  <c r="U158" i="44"/>
  <c r="T158" i="44"/>
  <c r="S158" i="44"/>
  <c r="R158" i="44"/>
  <c r="Q158" i="44"/>
  <c r="P158" i="44"/>
  <c r="O158" i="44"/>
  <c r="N158" i="44"/>
  <c r="M158" i="44"/>
  <c r="L158" i="44"/>
  <c r="K158" i="44"/>
  <c r="J158" i="44"/>
  <c r="I158" i="44"/>
  <c r="H158" i="44"/>
  <c r="G158" i="44"/>
  <c r="F158" i="44"/>
  <c r="E158" i="44"/>
  <c r="D158" i="44"/>
  <c r="C158" i="44"/>
  <c r="C151" i="44"/>
  <c r="C150" i="44"/>
  <c r="C144" i="44"/>
  <c r="C145" i="44" s="1"/>
  <c r="L135" i="44"/>
  <c r="K135" i="44"/>
  <c r="L134" i="44"/>
  <c r="K134" i="44"/>
  <c r="O132" i="44"/>
  <c r="N132" i="44"/>
  <c r="M132" i="44"/>
  <c r="C131" i="44"/>
  <c r="C128" i="44"/>
  <c r="C127" i="44"/>
  <c r="IR128" i="44"/>
  <c r="IR130" i="44" s="1"/>
  <c r="IQ128" i="44"/>
  <c r="IP128" i="44"/>
  <c r="IO128" i="44"/>
  <c r="IN128" i="44"/>
  <c r="IM128" i="44"/>
  <c r="IL128" i="44"/>
  <c r="IK128" i="44"/>
  <c r="IJ128" i="44"/>
  <c r="II128" i="44"/>
  <c r="IH128" i="44"/>
  <c r="IG128" i="44"/>
  <c r="IF128" i="44"/>
  <c r="IE128" i="44"/>
  <c r="ID128" i="44"/>
  <c r="IC128" i="44"/>
  <c r="IB128" i="44"/>
  <c r="IA128" i="44"/>
  <c r="HZ128" i="44"/>
  <c r="HY128" i="44"/>
  <c r="HX128" i="44"/>
  <c r="HW128" i="44"/>
  <c r="HV128" i="44"/>
  <c r="HU128" i="44"/>
  <c r="HT128" i="44"/>
  <c r="HS128" i="44"/>
  <c r="HR128" i="44"/>
  <c r="HQ128" i="44"/>
  <c r="HP128" i="44"/>
  <c r="HO128" i="44"/>
  <c r="HN128" i="44"/>
  <c r="HM128" i="44"/>
  <c r="HL128" i="44"/>
  <c r="HK128" i="44"/>
  <c r="HJ128" i="44"/>
  <c r="HI128" i="44"/>
  <c r="HH128" i="44"/>
  <c r="HG128" i="44"/>
  <c r="HF128" i="44"/>
  <c r="HE128" i="44"/>
  <c r="HD128" i="44"/>
  <c r="HC128" i="44"/>
  <c r="HB128" i="44"/>
  <c r="HA128" i="44"/>
  <c r="GZ128" i="44"/>
  <c r="GY128" i="44"/>
  <c r="GX128" i="44"/>
  <c r="GW128" i="44"/>
  <c r="GV128" i="44"/>
  <c r="GU128" i="44"/>
  <c r="GT128" i="44"/>
  <c r="GS128" i="44"/>
  <c r="GR128" i="44"/>
  <c r="GQ128" i="44"/>
  <c r="GP128" i="44"/>
  <c r="GO128" i="44"/>
  <c r="GN128" i="44"/>
  <c r="GM128" i="44"/>
  <c r="GL128" i="44"/>
  <c r="GK128" i="44"/>
  <c r="GJ128" i="44"/>
  <c r="GI128" i="44"/>
  <c r="GH128" i="44"/>
  <c r="GG128" i="44"/>
  <c r="GF128" i="44"/>
  <c r="GE128" i="44"/>
  <c r="GD128" i="44"/>
  <c r="GC128" i="44"/>
  <c r="GB128" i="44"/>
  <c r="GA128" i="44"/>
  <c r="FZ128" i="44"/>
  <c r="FY128" i="44"/>
  <c r="FX128" i="44"/>
  <c r="FW128" i="44"/>
  <c r="FV128" i="44"/>
  <c r="FU128" i="44"/>
  <c r="FT128" i="44"/>
  <c r="FS128" i="44"/>
  <c r="FR128" i="44"/>
  <c r="FQ128" i="44"/>
  <c r="FP128" i="44"/>
  <c r="FO128" i="44"/>
  <c r="FN128" i="44"/>
  <c r="FM128" i="44"/>
  <c r="FL128" i="44"/>
  <c r="FK128" i="44"/>
  <c r="FJ128" i="44"/>
  <c r="FI128" i="44"/>
  <c r="FH128" i="44"/>
  <c r="FG128" i="44"/>
  <c r="FF128" i="44"/>
  <c r="FE128" i="44"/>
  <c r="FD128" i="44"/>
  <c r="FC128" i="44"/>
  <c r="FB128" i="44"/>
  <c r="FA128" i="44"/>
  <c r="EZ128" i="44"/>
  <c r="EY128" i="44"/>
  <c r="EX128" i="44"/>
  <c r="EW128" i="44"/>
  <c r="EV128" i="44"/>
  <c r="EU128" i="44"/>
  <c r="ET128" i="44"/>
  <c r="ES128" i="44"/>
  <c r="ER128" i="44"/>
  <c r="EQ128" i="44"/>
  <c r="EP128" i="44"/>
  <c r="EO128" i="44"/>
  <c r="EN128" i="44"/>
  <c r="EM128" i="44"/>
  <c r="EL128" i="44"/>
  <c r="EK128" i="44"/>
  <c r="EJ128" i="44"/>
  <c r="EI128" i="44"/>
  <c r="EH128" i="44"/>
  <c r="EG128" i="44"/>
  <c r="EF128" i="44"/>
  <c r="EE128" i="44"/>
  <c r="ED128" i="44"/>
  <c r="EC128" i="44"/>
  <c r="EB128" i="44"/>
  <c r="EA128" i="44"/>
  <c r="DZ128" i="44"/>
  <c r="DY128" i="44"/>
  <c r="DX128" i="44"/>
  <c r="DW128" i="44"/>
  <c r="DV128" i="44"/>
  <c r="DU128" i="44"/>
  <c r="DT128" i="44"/>
  <c r="DS128" i="44"/>
  <c r="DR128" i="44"/>
  <c r="DQ128" i="44"/>
  <c r="DP128" i="44"/>
  <c r="DO128" i="44"/>
  <c r="DN128" i="44"/>
  <c r="DM128" i="44"/>
  <c r="DL128" i="44"/>
  <c r="DK128" i="44"/>
  <c r="DJ128" i="44"/>
  <c r="DI128" i="44"/>
  <c r="DH128" i="44"/>
  <c r="DG128" i="44"/>
  <c r="DF128" i="44"/>
  <c r="DE128" i="44"/>
  <c r="DD128" i="44"/>
  <c r="DC128" i="44"/>
  <c r="DB128" i="44"/>
  <c r="DA128" i="44"/>
  <c r="CZ128" i="44"/>
  <c r="CY128" i="44"/>
  <c r="CX128" i="44"/>
  <c r="CW128" i="44"/>
  <c r="CV128" i="44"/>
  <c r="CU128" i="44"/>
  <c r="CT128" i="44"/>
  <c r="CS128" i="44"/>
  <c r="CR128" i="44"/>
  <c r="CQ128" i="44"/>
  <c r="CP128" i="44"/>
  <c r="CO128" i="44"/>
  <c r="CN128" i="44"/>
  <c r="CM128" i="44"/>
  <c r="CL128" i="44"/>
  <c r="CK128" i="44"/>
  <c r="CJ128" i="44"/>
  <c r="CI128" i="44"/>
  <c r="CH128" i="44"/>
  <c r="CG128" i="44"/>
  <c r="CF128" i="44"/>
  <c r="CE128" i="44"/>
  <c r="CD128" i="44"/>
  <c r="CC128" i="44"/>
  <c r="CB128" i="44"/>
  <c r="CA128" i="44"/>
  <c r="BZ128" i="44"/>
  <c r="BY128" i="44"/>
  <c r="BX128" i="44"/>
  <c r="BW128" i="44"/>
  <c r="BV128" i="44"/>
  <c r="BU128" i="44"/>
  <c r="BT128" i="44"/>
  <c r="BS128" i="44"/>
  <c r="BR128" i="44"/>
  <c r="BQ128" i="44"/>
  <c r="BP128" i="44"/>
  <c r="BO128" i="44"/>
  <c r="BN128" i="44"/>
  <c r="BM128" i="44"/>
  <c r="BL128" i="44"/>
  <c r="BK128" i="44"/>
  <c r="BJ128" i="44"/>
  <c r="BI128" i="44"/>
  <c r="BH128" i="44"/>
  <c r="BG128" i="44"/>
  <c r="BF128" i="44"/>
  <c r="BE128" i="44"/>
  <c r="BD128" i="44"/>
  <c r="BC128" i="44"/>
  <c r="BB128" i="44"/>
  <c r="BA128" i="44"/>
  <c r="AZ128" i="44"/>
  <c r="AY128" i="44"/>
  <c r="AX128" i="44"/>
  <c r="AW128" i="44"/>
  <c r="AV128" i="44"/>
  <c r="AU128" i="44"/>
  <c r="AT128" i="44"/>
  <c r="AS128" i="44"/>
  <c r="AR128" i="44"/>
  <c r="AQ128" i="44"/>
  <c r="AP128" i="44"/>
  <c r="AO128" i="44"/>
  <c r="AN128" i="44"/>
  <c r="AM128" i="44"/>
  <c r="AL128" i="44"/>
  <c r="AK128" i="44"/>
  <c r="AJ128" i="44"/>
  <c r="AI128" i="44"/>
  <c r="AH128" i="44"/>
  <c r="AG128" i="44"/>
  <c r="AF128" i="44"/>
  <c r="AE128" i="44"/>
  <c r="AD128" i="44"/>
  <c r="AC128" i="44"/>
  <c r="AB128" i="44"/>
  <c r="AA128" i="44"/>
  <c r="Z128" i="44"/>
  <c r="Y128" i="44"/>
  <c r="X128" i="44"/>
  <c r="W128" i="44"/>
  <c r="V128" i="44"/>
  <c r="U128" i="44"/>
  <c r="T128" i="44"/>
  <c r="S128" i="44"/>
  <c r="R128" i="44"/>
  <c r="Q128" i="44"/>
  <c r="P128" i="44"/>
  <c r="O128" i="44"/>
  <c r="N128" i="44"/>
  <c r="M128" i="44"/>
  <c r="L128" i="44"/>
  <c r="K128" i="44"/>
  <c r="J128" i="44"/>
  <c r="I128" i="44"/>
  <c r="H128" i="44"/>
  <c r="G128" i="44"/>
  <c r="F128" i="44"/>
  <c r="E128" i="44"/>
  <c r="D128" i="44"/>
  <c r="IR127" i="44"/>
  <c r="IQ127" i="44"/>
  <c r="IP127" i="44"/>
  <c r="IO127" i="44"/>
  <c r="IN127" i="44"/>
  <c r="IM127" i="44"/>
  <c r="IL127" i="44"/>
  <c r="IK127" i="44"/>
  <c r="IJ127" i="44"/>
  <c r="II127" i="44"/>
  <c r="IH127" i="44"/>
  <c r="IG127" i="44"/>
  <c r="IF127" i="44"/>
  <c r="IE127" i="44"/>
  <c r="ID127" i="44"/>
  <c r="IC127" i="44"/>
  <c r="IB127" i="44"/>
  <c r="IA127" i="44"/>
  <c r="HZ127" i="44"/>
  <c r="HY127" i="44"/>
  <c r="HX127" i="44"/>
  <c r="HW127" i="44"/>
  <c r="HV127" i="44"/>
  <c r="HU127" i="44"/>
  <c r="HT127" i="44"/>
  <c r="HS127" i="44"/>
  <c r="HR127" i="44"/>
  <c r="HQ127" i="44"/>
  <c r="HP127" i="44"/>
  <c r="HO127" i="44"/>
  <c r="HN127" i="44"/>
  <c r="HM127" i="44"/>
  <c r="HL127" i="44"/>
  <c r="HK127" i="44"/>
  <c r="HJ127" i="44"/>
  <c r="HI127" i="44"/>
  <c r="HH127" i="44"/>
  <c r="HG127" i="44"/>
  <c r="HF127" i="44"/>
  <c r="HE127" i="44"/>
  <c r="HD127" i="44"/>
  <c r="HC127" i="44"/>
  <c r="HB127" i="44"/>
  <c r="HA127" i="44"/>
  <c r="GZ127" i="44"/>
  <c r="GY127" i="44"/>
  <c r="GX127" i="44"/>
  <c r="GW127" i="44"/>
  <c r="GV127" i="44"/>
  <c r="GU127" i="44"/>
  <c r="GT127" i="44"/>
  <c r="GS127" i="44"/>
  <c r="GR127" i="44"/>
  <c r="GQ127" i="44"/>
  <c r="GP127" i="44"/>
  <c r="GO127" i="44"/>
  <c r="GN127" i="44"/>
  <c r="GM127" i="44"/>
  <c r="GL127" i="44"/>
  <c r="GK127" i="44"/>
  <c r="GJ127" i="44"/>
  <c r="GI127" i="44"/>
  <c r="GH127" i="44"/>
  <c r="GG127" i="44"/>
  <c r="GF127" i="44"/>
  <c r="GE127" i="44"/>
  <c r="GD127" i="44"/>
  <c r="GC127" i="44"/>
  <c r="GB127" i="44"/>
  <c r="GA127" i="44"/>
  <c r="FZ127" i="44"/>
  <c r="FY127" i="44"/>
  <c r="FX127" i="44"/>
  <c r="FW127" i="44"/>
  <c r="FV127" i="44"/>
  <c r="FU127" i="44"/>
  <c r="FT127" i="44"/>
  <c r="FS127" i="44"/>
  <c r="FR127" i="44"/>
  <c r="FQ127" i="44"/>
  <c r="FP127" i="44"/>
  <c r="FO127" i="44"/>
  <c r="FN127" i="44"/>
  <c r="FM127" i="44"/>
  <c r="FL127" i="44"/>
  <c r="FK127" i="44"/>
  <c r="FJ127" i="44"/>
  <c r="FI127" i="44"/>
  <c r="FH127" i="44"/>
  <c r="FG127" i="44"/>
  <c r="FF127" i="44"/>
  <c r="FE127" i="44"/>
  <c r="FD127" i="44"/>
  <c r="FC127" i="44"/>
  <c r="FB127" i="44"/>
  <c r="FA127" i="44"/>
  <c r="EZ127" i="44"/>
  <c r="EY127" i="44"/>
  <c r="EX127" i="44"/>
  <c r="EW127" i="44"/>
  <c r="EV127" i="44"/>
  <c r="EU127" i="44"/>
  <c r="ET127" i="44"/>
  <c r="ES127" i="44"/>
  <c r="ER127" i="44"/>
  <c r="EQ127" i="44"/>
  <c r="EP127" i="44"/>
  <c r="EO127" i="44"/>
  <c r="EN127" i="44"/>
  <c r="EM127" i="44"/>
  <c r="EL127" i="44"/>
  <c r="EK127" i="44"/>
  <c r="EJ127" i="44"/>
  <c r="EI127" i="44"/>
  <c r="EH127" i="44"/>
  <c r="EG127" i="44"/>
  <c r="EF127" i="44"/>
  <c r="EE127" i="44"/>
  <c r="ED127" i="44"/>
  <c r="EC127" i="44"/>
  <c r="EB127" i="44"/>
  <c r="EA127" i="44"/>
  <c r="DZ127" i="44"/>
  <c r="DY127" i="44"/>
  <c r="DX127" i="44"/>
  <c r="DW127" i="44"/>
  <c r="DV127" i="44"/>
  <c r="DU127" i="44"/>
  <c r="DT127" i="44"/>
  <c r="DS127" i="44"/>
  <c r="DR127" i="44"/>
  <c r="DQ127" i="44"/>
  <c r="DP127" i="44"/>
  <c r="DO127" i="44"/>
  <c r="DN127" i="44"/>
  <c r="DM127" i="44"/>
  <c r="DL127" i="44"/>
  <c r="DK127" i="44"/>
  <c r="DJ127" i="44"/>
  <c r="DI127" i="44"/>
  <c r="DH127" i="44"/>
  <c r="DG127" i="44"/>
  <c r="DF127" i="44"/>
  <c r="DE127" i="44"/>
  <c r="DD127" i="44"/>
  <c r="DC127" i="44"/>
  <c r="DB127" i="44"/>
  <c r="DA127" i="44"/>
  <c r="CZ127" i="44"/>
  <c r="CY127" i="44"/>
  <c r="CX127" i="44"/>
  <c r="CW127" i="44"/>
  <c r="CV127" i="44"/>
  <c r="CU127" i="44"/>
  <c r="CT127" i="44"/>
  <c r="CS127" i="44"/>
  <c r="CR127" i="44"/>
  <c r="CQ127" i="44"/>
  <c r="CP127" i="44"/>
  <c r="CO127" i="44"/>
  <c r="CN127" i="44"/>
  <c r="CM127" i="44"/>
  <c r="CL127" i="44"/>
  <c r="CK127" i="44"/>
  <c r="CJ127" i="44"/>
  <c r="CI127" i="44"/>
  <c r="CH127" i="44"/>
  <c r="CG127" i="44"/>
  <c r="CF127" i="44"/>
  <c r="CE127" i="44"/>
  <c r="CD127" i="44"/>
  <c r="CC127" i="44"/>
  <c r="CB127" i="44"/>
  <c r="CA127" i="44"/>
  <c r="BZ127" i="44"/>
  <c r="BY127" i="44"/>
  <c r="BX127" i="44"/>
  <c r="BW127" i="44"/>
  <c r="BV127" i="44"/>
  <c r="BU127" i="44"/>
  <c r="BT127" i="44"/>
  <c r="BS127" i="44"/>
  <c r="BR127" i="44"/>
  <c r="BQ127" i="44"/>
  <c r="BP127" i="44"/>
  <c r="BO127" i="44"/>
  <c r="BN127" i="44"/>
  <c r="BM127" i="44"/>
  <c r="BL127" i="44"/>
  <c r="BK127" i="44"/>
  <c r="BJ127" i="44"/>
  <c r="BI127" i="44"/>
  <c r="BH127" i="44"/>
  <c r="BG127" i="44"/>
  <c r="BF127" i="44"/>
  <c r="BE127" i="44"/>
  <c r="BD127" i="44"/>
  <c r="BC127" i="44"/>
  <c r="BB127" i="44"/>
  <c r="BA127" i="44"/>
  <c r="AZ127" i="44"/>
  <c r="AY127" i="44"/>
  <c r="AX127" i="44"/>
  <c r="AW127" i="44"/>
  <c r="AV127" i="44"/>
  <c r="AU127" i="44"/>
  <c r="AT127" i="44"/>
  <c r="AS127" i="44"/>
  <c r="AR127" i="44"/>
  <c r="AQ127" i="44"/>
  <c r="AP127" i="44"/>
  <c r="AO127" i="44"/>
  <c r="AN127" i="44"/>
  <c r="AM127" i="44"/>
  <c r="AL127" i="44"/>
  <c r="AK127" i="44"/>
  <c r="AJ127" i="44"/>
  <c r="AI127" i="44"/>
  <c r="AH127" i="44"/>
  <c r="AG127" i="44"/>
  <c r="AF127" i="44"/>
  <c r="AE127" i="44"/>
  <c r="AD127" i="44"/>
  <c r="AC127" i="44"/>
  <c r="AB127" i="44"/>
  <c r="AA127" i="44"/>
  <c r="Z127" i="44"/>
  <c r="Y127" i="44"/>
  <c r="X127" i="44"/>
  <c r="W127" i="44"/>
  <c r="V127" i="44"/>
  <c r="U127" i="44"/>
  <c r="T127" i="44"/>
  <c r="S127" i="44"/>
  <c r="R127" i="44"/>
  <c r="Q127" i="44"/>
  <c r="P127" i="44"/>
  <c r="O127" i="44"/>
  <c r="N127" i="44"/>
  <c r="M127" i="44"/>
  <c r="L127" i="44"/>
  <c r="K127" i="44"/>
  <c r="J127" i="44"/>
  <c r="I127" i="44"/>
  <c r="H127" i="44"/>
  <c r="G127" i="44"/>
  <c r="F127" i="44"/>
  <c r="E127" i="44"/>
  <c r="D127" i="44"/>
  <c r="C112" i="44"/>
  <c r="D97" i="44"/>
  <c r="E97" i="44" s="1"/>
  <c r="F97" i="44" s="1"/>
  <c r="G97" i="44" s="1"/>
  <c r="H97" i="44" s="1"/>
  <c r="I97" i="44" s="1"/>
  <c r="J97" i="44" s="1"/>
  <c r="K97" i="44" s="1"/>
  <c r="L97" i="44" s="1"/>
  <c r="M97" i="44" s="1"/>
  <c r="N97" i="44" s="1"/>
  <c r="O97" i="44" s="1"/>
  <c r="P97" i="44" s="1"/>
  <c r="Q97" i="44" s="1"/>
  <c r="R97" i="44" s="1"/>
  <c r="S97" i="44" s="1"/>
  <c r="T97" i="44" s="1"/>
  <c r="U97" i="44" s="1"/>
  <c r="V97" i="44" s="1"/>
  <c r="W97" i="44" s="1"/>
  <c r="X97" i="44" s="1"/>
  <c r="Y97" i="44" s="1"/>
  <c r="Z97" i="44" s="1"/>
  <c r="AA97" i="44" s="1"/>
  <c r="AB97" i="44" s="1"/>
  <c r="AC97" i="44" s="1"/>
  <c r="AD97" i="44" s="1"/>
  <c r="AE97" i="44" s="1"/>
  <c r="AF97" i="44" s="1"/>
  <c r="AG97" i="44" s="1"/>
  <c r="AH97" i="44" s="1"/>
  <c r="AI97" i="44" s="1"/>
  <c r="AJ97" i="44" s="1"/>
  <c r="AK97" i="44" s="1"/>
  <c r="AL97" i="44" s="1"/>
  <c r="AM97" i="44" s="1"/>
  <c r="AN97" i="44" s="1"/>
  <c r="AO97" i="44" s="1"/>
  <c r="AP97" i="44" s="1"/>
  <c r="AQ97" i="44" s="1"/>
  <c r="AR97" i="44" s="1"/>
  <c r="AS97" i="44" s="1"/>
  <c r="AT97" i="44" s="1"/>
  <c r="AU97" i="44" s="1"/>
  <c r="AV97" i="44" s="1"/>
  <c r="AW97" i="44" s="1"/>
  <c r="AX97" i="44" s="1"/>
  <c r="AY97" i="44" s="1"/>
  <c r="AZ97" i="44" s="1"/>
  <c r="BA97" i="44" s="1"/>
  <c r="BB97" i="44" s="1"/>
  <c r="BC97" i="44" s="1"/>
  <c r="BD97" i="44" s="1"/>
  <c r="BE97" i="44" s="1"/>
  <c r="BF97" i="44" s="1"/>
  <c r="BG97" i="44" s="1"/>
  <c r="BH97" i="44" s="1"/>
  <c r="BI97" i="44" s="1"/>
  <c r="BJ97" i="44" s="1"/>
  <c r="BK97" i="44" s="1"/>
  <c r="BL97" i="44" s="1"/>
  <c r="BM97" i="44" s="1"/>
  <c r="BN97" i="44" s="1"/>
  <c r="BO97" i="44" s="1"/>
  <c r="BP97" i="44" s="1"/>
  <c r="BQ97" i="44" s="1"/>
  <c r="BR97" i="44" s="1"/>
  <c r="BS97" i="44" s="1"/>
  <c r="BT97" i="44" s="1"/>
  <c r="BU97" i="44" s="1"/>
  <c r="BV97" i="44" s="1"/>
  <c r="BW97" i="44" s="1"/>
  <c r="BX97" i="44" s="1"/>
  <c r="BY97" i="44" s="1"/>
  <c r="BZ97" i="44" s="1"/>
  <c r="CA97" i="44" s="1"/>
  <c r="CB97" i="44" s="1"/>
  <c r="CC97" i="44" s="1"/>
  <c r="CD97" i="44" s="1"/>
  <c r="CE97" i="44" s="1"/>
  <c r="CF97" i="44" s="1"/>
  <c r="CG97" i="44" s="1"/>
  <c r="CH97" i="44" s="1"/>
  <c r="CI97" i="44" s="1"/>
  <c r="CJ97" i="44" s="1"/>
  <c r="CK97" i="44" s="1"/>
  <c r="CL97" i="44" s="1"/>
  <c r="CM97" i="44" s="1"/>
  <c r="CN97" i="44" s="1"/>
  <c r="CO97" i="44" s="1"/>
  <c r="CP97" i="44" s="1"/>
  <c r="CQ97" i="44" s="1"/>
  <c r="CR97" i="44" s="1"/>
  <c r="CS97" i="44" s="1"/>
  <c r="CT97" i="44" s="1"/>
  <c r="CU97" i="44" s="1"/>
  <c r="CV97" i="44" s="1"/>
  <c r="CW97" i="44" s="1"/>
  <c r="CX97" i="44" s="1"/>
  <c r="CY97" i="44" s="1"/>
  <c r="CZ97" i="44" s="1"/>
  <c r="DA97" i="44" s="1"/>
  <c r="DB97" i="44" s="1"/>
  <c r="DC97" i="44" s="1"/>
  <c r="DD97" i="44" s="1"/>
  <c r="DE97" i="44" s="1"/>
  <c r="DF97" i="44" s="1"/>
  <c r="DG97" i="44" s="1"/>
  <c r="DH97" i="44" s="1"/>
  <c r="DI97" i="44" s="1"/>
  <c r="DJ97" i="44" s="1"/>
  <c r="DK97" i="44" s="1"/>
  <c r="DL97" i="44" s="1"/>
  <c r="DM97" i="44" s="1"/>
  <c r="DN97" i="44" s="1"/>
  <c r="DO97" i="44" s="1"/>
  <c r="DP97" i="44" s="1"/>
  <c r="DQ97" i="44" s="1"/>
  <c r="DR97" i="44" s="1"/>
  <c r="DS97" i="44" s="1"/>
  <c r="DT97" i="44" s="1"/>
  <c r="DU97" i="44" s="1"/>
  <c r="DV97" i="44" s="1"/>
  <c r="DW97" i="44" s="1"/>
  <c r="DX97" i="44" s="1"/>
  <c r="DY97" i="44" s="1"/>
  <c r="DZ97" i="44" s="1"/>
  <c r="EA97" i="44" s="1"/>
  <c r="EB97" i="44" s="1"/>
  <c r="EC97" i="44" s="1"/>
  <c r="ED97" i="44" s="1"/>
  <c r="EE97" i="44" s="1"/>
  <c r="EF97" i="44" s="1"/>
  <c r="EG97" i="44" s="1"/>
  <c r="EH97" i="44" s="1"/>
  <c r="EI97" i="44" s="1"/>
  <c r="EJ97" i="44" s="1"/>
  <c r="EK97" i="44" s="1"/>
  <c r="EL97" i="44" s="1"/>
  <c r="EM97" i="44" s="1"/>
  <c r="EN97" i="44" s="1"/>
  <c r="EO97" i="44" s="1"/>
  <c r="EP97" i="44" s="1"/>
  <c r="EQ97" i="44" s="1"/>
  <c r="ER97" i="44" s="1"/>
  <c r="ES97" i="44" s="1"/>
  <c r="ET97" i="44" s="1"/>
  <c r="EU97" i="44" s="1"/>
  <c r="EV97" i="44" s="1"/>
  <c r="EW97" i="44" s="1"/>
  <c r="EX97" i="44" s="1"/>
  <c r="EY97" i="44" s="1"/>
  <c r="EZ97" i="44" s="1"/>
  <c r="FA97" i="44" s="1"/>
  <c r="FB97" i="44" s="1"/>
  <c r="FC97" i="44" s="1"/>
  <c r="FD97" i="44" s="1"/>
  <c r="FE97" i="44" s="1"/>
  <c r="FF97" i="44" s="1"/>
  <c r="FG97" i="44" s="1"/>
  <c r="FH97" i="44" s="1"/>
  <c r="FI97" i="44" s="1"/>
  <c r="FJ97" i="44" s="1"/>
  <c r="FK97" i="44" s="1"/>
  <c r="FL97" i="44" s="1"/>
  <c r="FM97" i="44" s="1"/>
  <c r="FN97" i="44" s="1"/>
  <c r="FO97" i="44" s="1"/>
  <c r="FP97" i="44" s="1"/>
  <c r="FQ97" i="44" s="1"/>
  <c r="FR97" i="44" s="1"/>
  <c r="FS97" i="44" s="1"/>
  <c r="FT97" i="44" s="1"/>
  <c r="FU97" i="44" s="1"/>
  <c r="FV97" i="44" s="1"/>
  <c r="FW97" i="44" s="1"/>
  <c r="FX97" i="44" s="1"/>
  <c r="FY97" i="44" s="1"/>
  <c r="FZ97" i="44" s="1"/>
  <c r="GA97" i="44" s="1"/>
  <c r="GB97" i="44" s="1"/>
  <c r="GC97" i="44" s="1"/>
  <c r="GD97" i="44" s="1"/>
  <c r="GE97" i="44" s="1"/>
  <c r="GF97" i="44" s="1"/>
  <c r="GG97" i="44" s="1"/>
  <c r="GH97" i="44" s="1"/>
  <c r="GI97" i="44" s="1"/>
  <c r="GJ97" i="44" s="1"/>
  <c r="GK97" i="44" s="1"/>
  <c r="GL97" i="44" s="1"/>
  <c r="GM97" i="44" s="1"/>
  <c r="GN97" i="44" s="1"/>
  <c r="GO97" i="44" s="1"/>
  <c r="GP97" i="44" s="1"/>
  <c r="GQ97" i="44" s="1"/>
  <c r="GR97" i="44" s="1"/>
  <c r="GS97" i="44" s="1"/>
  <c r="GT97" i="44" s="1"/>
  <c r="GU97" i="44" s="1"/>
  <c r="GV97" i="44" s="1"/>
  <c r="GW97" i="44" s="1"/>
  <c r="GX97" i="44" s="1"/>
  <c r="GY97" i="44" s="1"/>
  <c r="GZ97" i="44" s="1"/>
  <c r="HA97" i="44" s="1"/>
  <c r="HB97" i="44" s="1"/>
  <c r="HC97" i="44" s="1"/>
  <c r="HD97" i="44" s="1"/>
  <c r="HE97" i="44" s="1"/>
  <c r="HF97" i="44" s="1"/>
  <c r="HG97" i="44" s="1"/>
  <c r="HH97" i="44" s="1"/>
  <c r="HI97" i="44" s="1"/>
  <c r="HJ97" i="44" s="1"/>
  <c r="HK97" i="44" s="1"/>
  <c r="HL97" i="44" s="1"/>
  <c r="HM97" i="44" s="1"/>
  <c r="HN97" i="44" s="1"/>
  <c r="HO97" i="44" s="1"/>
  <c r="HP97" i="44" s="1"/>
  <c r="HQ97" i="44" s="1"/>
  <c r="HR97" i="44" s="1"/>
  <c r="HS97" i="44" s="1"/>
  <c r="HT97" i="44" s="1"/>
  <c r="HU97" i="44" s="1"/>
  <c r="HV97" i="44" s="1"/>
  <c r="HW97" i="44" s="1"/>
  <c r="HX97" i="44" s="1"/>
  <c r="HY97" i="44" s="1"/>
  <c r="HZ97" i="44" s="1"/>
  <c r="IA97" i="44" s="1"/>
  <c r="IB97" i="44" s="1"/>
  <c r="IC97" i="44" s="1"/>
  <c r="ID97" i="44" s="1"/>
  <c r="IE97" i="44" s="1"/>
  <c r="IF97" i="44" s="1"/>
  <c r="IG97" i="44" s="1"/>
  <c r="IH97" i="44" s="1"/>
  <c r="II97" i="44" s="1"/>
  <c r="IJ97" i="44" s="1"/>
  <c r="IK97" i="44" s="1"/>
  <c r="IL97" i="44" s="1"/>
  <c r="IM97" i="44" s="1"/>
  <c r="IN97" i="44" s="1"/>
  <c r="IO97" i="44" s="1"/>
  <c r="IP97" i="44" s="1"/>
  <c r="IQ97" i="44" s="1"/>
  <c r="IR97" i="44" s="1"/>
  <c r="B95" i="44"/>
  <c r="IR56" i="44"/>
  <c r="IQ56" i="44"/>
  <c r="IP56" i="44"/>
  <c r="IO56" i="44"/>
  <c r="IN56" i="44"/>
  <c r="IM56" i="44"/>
  <c r="IL56" i="44"/>
  <c r="IK56" i="44"/>
  <c r="IJ56" i="44"/>
  <c r="II56" i="44"/>
  <c r="IH56" i="44"/>
  <c r="IG56" i="44"/>
  <c r="IF56" i="44"/>
  <c r="IE56" i="44"/>
  <c r="ID56" i="44"/>
  <c r="IC56" i="44"/>
  <c r="IB56" i="44"/>
  <c r="IA56" i="44"/>
  <c r="HZ56" i="44"/>
  <c r="HY56" i="44"/>
  <c r="HX56" i="44"/>
  <c r="HW56" i="44"/>
  <c r="HV56" i="44"/>
  <c r="HU56" i="44"/>
  <c r="HT56" i="44"/>
  <c r="HS56" i="44"/>
  <c r="HR56" i="44"/>
  <c r="HQ56" i="44"/>
  <c r="HP56" i="44"/>
  <c r="HO56" i="44"/>
  <c r="HN56" i="44"/>
  <c r="HM56" i="44"/>
  <c r="HL56" i="44"/>
  <c r="HK56" i="44"/>
  <c r="HJ56" i="44"/>
  <c r="HI56" i="44"/>
  <c r="HH56" i="44"/>
  <c r="HG56" i="44"/>
  <c r="HF56" i="44"/>
  <c r="HE56" i="44"/>
  <c r="HD56" i="44"/>
  <c r="HC56" i="44"/>
  <c r="HB56" i="44"/>
  <c r="HA56" i="44"/>
  <c r="GZ56" i="44"/>
  <c r="GY56" i="44"/>
  <c r="GX56" i="44"/>
  <c r="GW56" i="44"/>
  <c r="GV56" i="44"/>
  <c r="GU56" i="44"/>
  <c r="GT56" i="44"/>
  <c r="GS56" i="44"/>
  <c r="GR56" i="44"/>
  <c r="GQ56" i="44"/>
  <c r="GP56" i="44"/>
  <c r="GO56" i="44"/>
  <c r="GN56" i="44"/>
  <c r="GM56" i="44"/>
  <c r="GL56" i="44"/>
  <c r="GK56" i="44"/>
  <c r="GJ56" i="44"/>
  <c r="GI56" i="44"/>
  <c r="GH56" i="44"/>
  <c r="GG56" i="44"/>
  <c r="GF56" i="44"/>
  <c r="GE56" i="44"/>
  <c r="GD56" i="44"/>
  <c r="GC56" i="44"/>
  <c r="GB56" i="44"/>
  <c r="GA56" i="44"/>
  <c r="FZ56" i="44"/>
  <c r="FY56" i="44"/>
  <c r="FX56" i="44"/>
  <c r="FW56" i="44"/>
  <c r="FV56" i="44"/>
  <c r="FU56" i="44"/>
  <c r="FT56" i="44"/>
  <c r="FS56" i="44"/>
  <c r="FR56" i="44"/>
  <c r="FQ56" i="44"/>
  <c r="FP56" i="44"/>
  <c r="FO56" i="44"/>
  <c r="FN56" i="44"/>
  <c r="FM56" i="44"/>
  <c r="FL56" i="44"/>
  <c r="FK56" i="44"/>
  <c r="FJ56" i="44"/>
  <c r="FI56" i="44"/>
  <c r="FH56" i="44"/>
  <c r="FG56" i="44"/>
  <c r="FF56" i="44"/>
  <c r="FE56" i="44"/>
  <c r="FD56" i="44"/>
  <c r="FC56" i="44"/>
  <c r="FB56" i="44"/>
  <c r="FA56" i="44"/>
  <c r="EZ56" i="44"/>
  <c r="EY56" i="44"/>
  <c r="EX56" i="44"/>
  <c r="EW56" i="44"/>
  <c r="EV56" i="44"/>
  <c r="EU56" i="44"/>
  <c r="ET56" i="44"/>
  <c r="ES56" i="44"/>
  <c r="ER56" i="44"/>
  <c r="EQ56" i="44"/>
  <c r="EP56" i="44"/>
  <c r="EO56" i="44"/>
  <c r="EN56" i="44"/>
  <c r="EM56" i="44"/>
  <c r="EL56" i="44"/>
  <c r="EK56" i="44"/>
  <c r="EJ56" i="44"/>
  <c r="EI56" i="44"/>
  <c r="EH56" i="44"/>
  <c r="EG56" i="44"/>
  <c r="EF56" i="44"/>
  <c r="EE56" i="44"/>
  <c r="ED56" i="44"/>
  <c r="EC56" i="44"/>
  <c r="EB56" i="44"/>
  <c r="EA56" i="44"/>
  <c r="DZ56" i="44"/>
  <c r="DY56" i="44"/>
  <c r="DX56" i="44"/>
  <c r="DW56" i="44"/>
  <c r="DV56" i="44"/>
  <c r="DU56" i="44"/>
  <c r="DT56" i="44"/>
  <c r="DS56" i="44"/>
  <c r="DR56" i="44"/>
  <c r="DQ56" i="44"/>
  <c r="DP56" i="44"/>
  <c r="DO56" i="44"/>
  <c r="DN56" i="44"/>
  <c r="DM56" i="44"/>
  <c r="DL56" i="44"/>
  <c r="DK56" i="44"/>
  <c r="DJ56" i="44"/>
  <c r="DI56" i="44"/>
  <c r="DH56" i="44"/>
  <c r="DG56" i="44"/>
  <c r="DF56" i="44"/>
  <c r="DE56" i="44"/>
  <c r="DD56" i="44"/>
  <c r="DC56" i="44"/>
  <c r="DB56" i="44"/>
  <c r="DA56" i="44"/>
  <c r="CZ56" i="44"/>
  <c r="CY56" i="44"/>
  <c r="CX56" i="44"/>
  <c r="CW56" i="44"/>
  <c r="CV56" i="44"/>
  <c r="CU56" i="44"/>
  <c r="CT56" i="44"/>
  <c r="CS56" i="44"/>
  <c r="CR56" i="44"/>
  <c r="CQ56" i="44"/>
  <c r="CP56" i="44"/>
  <c r="CO56" i="44"/>
  <c r="CN56" i="44"/>
  <c r="CM56" i="44"/>
  <c r="CL56" i="44"/>
  <c r="CK56" i="44"/>
  <c r="CJ56" i="44"/>
  <c r="CI56" i="44"/>
  <c r="CH56" i="44"/>
  <c r="CG56" i="44"/>
  <c r="CF56" i="44"/>
  <c r="CE56" i="44"/>
  <c r="CD56" i="44"/>
  <c r="CC56" i="44"/>
  <c r="CB56" i="44"/>
  <c r="CA56" i="44"/>
  <c r="BZ56" i="44"/>
  <c r="BY56" i="44"/>
  <c r="BX56" i="44"/>
  <c r="BW56" i="44"/>
  <c r="BV56" i="44"/>
  <c r="BU56" i="44"/>
  <c r="BT56" i="44"/>
  <c r="BS56" i="44"/>
  <c r="BR56" i="44"/>
  <c r="BQ56" i="44"/>
  <c r="BP56" i="44"/>
  <c r="BO56" i="44"/>
  <c r="BN56" i="44"/>
  <c r="BM56" i="44"/>
  <c r="BL56" i="44"/>
  <c r="BK56" i="44"/>
  <c r="BJ56" i="44"/>
  <c r="BI56" i="44"/>
  <c r="BH56" i="44"/>
  <c r="BG56" i="44"/>
  <c r="BF56" i="44"/>
  <c r="BE56" i="44"/>
  <c r="BD56" i="44"/>
  <c r="BC56" i="44"/>
  <c r="BB56" i="44"/>
  <c r="BA56" i="44"/>
  <c r="AZ56" i="44"/>
  <c r="AY56" i="44"/>
  <c r="AX56" i="44"/>
  <c r="AW56" i="44"/>
  <c r="AV56" i="44"/>
  <c r="AU56" i="44"/>
  <c r="AT56" i="44"/>
  <c r="AS56" i="44"/>
  <c r="AR56" i="44"/>
  <c r="AQ56" i="44"/>
  <c r="AP56" i="44"/>
  <c r="AO56" i="44"/>
  <c r="AN56" i="44"/>
  <c r="AM56" i="44"/>
  <c r="AL56" i="44"/>
  <c r="AK56" i="44"/>
  <c r="AJ56" i="44"/>
  <c r="AI56" i="44"/>
  <c r="AH56" i="44"/>
  <c r="AG56" i="44"/>
  <c r="AF56" i="44"/>
  <c r="AE56" i="44"/>
  <c r="AD56" i="44"/>
  <c r="AC56" i="44"/>
  <c r="IR55" i="44"/>
  <c r="IQ55" i="44"/>
  <c r="IP55" i="44"/>
  <c r="IO55" i="44"/>
  <c r="IN55" i="44"/>
  <c r="IM55" i="44"/>
  <c r="IL55" i="44"/>
  <c r="IK55" i="44"/>
  <c r="IJ55" i="44"/>
  <c r="II55" i="44"/>
  <c r="IH55" i="44"/>
  <c r="IG55" i="44"/>
  <c r="IF55" i="44"/>
  <c r="IE55" i="44"/>
  <c r="ID55" i="44"/>
  <c r="IC55" i="44"/>
  <c r="IB55" i="44"/>
  <c r="IA55" i="44"/>
  <c r="HZ55" i="44"/>
  <c r="HY55" i="44"/>
  <c r="HX55" i="44"/>
  <c r="HW55" i="44"/>
  <c r="HV55" i="44"/>
  <c r="HU55" i="44"/>
  <c r="HT55" i="44"/>
  <c r="HS55" i="44"/>
  <c r="HR55" i="44"/>
  <c r="HQ55" i="44"/>
  <c r="HP55" i="44"/>
  <c r="HO55" i="44"/>
  <c r="HN55" i="44"/>
  <c r="HM55" i="44"/>
  <c r="HL55" i="44"/>
  <c r="HK55" i="44"/>
  <c r="HJ55" i="44"/>
  <c r="HI55" i="44"/>
  <c r="HH55" i="44"/>
  <c r="HG55" i="44"/>
  <c r="HF55" i="44"/>
  <c r="HE55" i="44"/>
  <c r="HD55" i="44"/>
  <c r="HC55" i="44"/>
  <c r="HB55" i="44"/>
  <c r="HA55" i="44"/>
  <c r="GZ55" i="44"/>
  <c r="GY55" i="44"/>
  <c r="GX55" i="44"/>
  <c r="GW55" i="44"/>
  <c r="GV55" i="44"/>
  <c r="GU55" i="44"/>
  <c r="GT55" i="44"/>
  <c r="GS55" i="44"/>
  <c r="GR55" i="44"/>
  <c r="GQ55" i="44"/>
  <c r="GP55" i="44"/>
  <c r="GO55" i="44"/>
  <c r="GN55" i="44"/>
  <c r="GM55" i="44"/>
  <c r="GL55" i="44"/>
  <c r="GK55" i="44"/>
  <c r="GJ55" i="44"/>
  <c r="GI55" i="44"/>
  <c r="GH55" i="44"/>
  <c r="GG55" i="44"/>
  <c r="GF55" i="44"/>
  <c r="GE55" i="44"/>
  <c r="GD55" i="44"/>
  <c r="GC55" i="44"/>
  <c r="GB55" i="44"/>
  <c r="GA55" i="44"/>
  <c r="FZ55" i="44"/>
  <c r="FY55" i="44"/>
  <c r="FX55" i="44"/>
  <c r="FW55" i="44"/>
  <c r="FV55" i="44"/>
  <c r="FU55" i="44"/>
  <c r="FT55" i="44"/>
  <c r="FS55" i="44"/>
  <c r="FR55" i="44"/>
  <c r="FQ55" i="44"/>
  <c r="FP55" i="44"/>
  <c r="FO55" i="44"/>
  <c r="FN55" i="44"/>
  <c r="FM55" i="44"/>
  <c r="FL55" i="44"/>
  <c r="FK55" i="44"/>
  <c r="FJ55" i="44"/>
  <c r="FI55" i="44"/>
  <c r="FH55" i="44"/>
  <c r="FG55" i="44"/>
  <c r="FF55" i="44"/>
  <c r="FE55" i="44"/>
  <c r="FD55" i="44"/>
  <c r="FC55" i="44"/>
  <c r="FB55" i="44"/>
  <c r="FA55" i="44"/>
  <c r="EZ55" i="44"/>
  <c r="EY55" i="44"/>
  <c r="EX55" i="44"/>
  <c r="EW55" i="44"/>
  <c r="EV55" i="44"/>
  <c r="EU55" i="44"/>
  <c r="ET55" i="44"/>
  <c r="ES55" i="44"/>
  <c r="ER55" i="44"/>
  <c r="EQ55" i="44"/>
  <c r="EP55" i="44"/>
  <c r="EO55" i="44"/>
  <c r="EN55" i="44"/>
  <c r="EM55" i="44"/>
  <c r="EL55" i="44"/>
  <c r="EK55" i="44"/>
  <c r="EJ55" i="44"/>
  <c r="EI55" i="44"/>
  <c r="EH55" i="44"/>
  <c r="EG55" i="44"/>
  <c r="EF55" i="44"/>
  <c r="EE55" i="44"/>
  <c r="ED55" i="44"/>
  <c r="EC55" i="44"/>
  <c r="EB55" i="44"/>
  <c r="EA55" i="44"/>
  <c r="DZ55" i="44"/>
  <c r="DY55" i="44"/>
  <c r="DX55" i="44"/>
  <c r="DW55" i="44"/>
  <c r="DV55" i="44"/>
  <c r="DU55" i="44"/>
  <c r="DT55" i="44"/>
  <c r="DS55" i="44"/>
  <c r="DR55" i="44"/>
  <c r="DQ55" i="44"/>
  <c r="DP55" i="44"/>
  <c r="DO55" i="44"/>
  <c r="DN55" i="44"/>
  <c r="DM55" i="44"/>
  <c r="DL55" i="44"/>
  <c r="DK55" i="44"/>
  <c r="DJ55" i="44"/>
  <c r="DI55" i="44"/>
  <c r="DH55" i="44"/>
  <c r="DG55" i="44"/>
  <c r="DF55" i="44"/>
  <c r="DE55" i="44"/>
  <c r="DD55" i="44"/>
  <c r="DC55" i="44"/>
  <c r="DB55" i="44"/>
  <c r="DA55" i="44"/>
  <c r="CZ55" i="44"/>
  <c r="CY55" i="44"/>
  <c r="CX55" i="44"/>
  <c r="CW55" i="44"/>
  <c r="CV55" i="44"/>
  <c r="CU55" i="44"/>
  <c r="CT55" i="44"/>
  <c r="CS55" i="44"/>
  <c r="CR55" i="44"/>
  <c r="CQ55" i="44"/>
  <c r="CP55" i="44"/>
  <c r="CO55" i="44"/>
  <c r="CN55" i="44"/>
  <c r="CM55" i="44"/>
  <c r="CL55" i="44"/>
  <c r="CK55" i="44"/>
  <c r="CJ55" i="44"/>
  <c r="CI55" i="44"/>
  <c r="CH55" i="44"/>
  <c r="CG55" i="44"/>
  <c r="CF55" i="44"/>
  <c r="CE55" i="44"/>
  <c r="CD55" i="44"/>
  <c r="CC55" i="44"/>
  <c r="CB55" i="44"/>
  <c r="CA55" i="44"/>
  <c r="BZ55" i="44"/>
  <c r="BY55" i="44"/>
  <c r="BX55" i="44"/>
  <c r="BW55" i="44"/>
  <c r="BV55" i="44"/>
  <c r="BU55" i="44"/>
  <c r="BT55" i="44"/>
  <c r="BS55" i="44"/>
  <c r="BR55" i="44"/>
  <c r="BQ55" i="44"/>
  <c r="BP55" i="44"/>
  <c r="BO55" i="44"/>
  <c r="BN55" i="44"/>
  <c r="BM55" i="44"/>
  <c r="BL55" i="44"/>
  <c r="BK55" i="44"/>
  <c r="BJ55" i="44"/>
  <c r="BI55" i="44"/>
  <c r="BH55" i="44"/>
  <c r="BG55" i="44"/>
  <c r="BF55" i="44"/>
  <c r="BE55" i="44"/>
  <c r="BD55" i="44"/>
  <c r="BC55" i="44"/>
  <c r="BB55" i="44"/>
  <c r="BA55" i="44"/>
  <c r="AZ55" i="44"/>
  <c r="AY55" i="44"/>
  <c r="AX55" i="44"/>
  <c r="AW55" i="44"/>
  <c r="AV55" i="44"/>
  <c r="AU55" i="44"/>
  <c r="AT55" i="44"/>
  <c r="AS55" i="44"/>
  <c r="AR55" i="44"/>
  <c r="AQ55" i="44"/>
  <c r="AP55" i="44"/>
  <c r="AO55" i="44"/>
  <c r="AN55" i="44"/>
  <c r="AM55" i="44"/>
  <c r="AL55" i="44"/>
  <c r="AK55" i="44"/>
  <c r="AJ55" i="44"/>
  <c r="AI55" i="44"/>
  <c r="AH55" i="44"/>
  <c r="AG55" i="44"/>
  <c r="AF55" i="44"/>
  <c r="AE55" i="44"/>
  <c r="AD55" i="44"/>
  <c r="AC55" i="44"/>
  <c r="IR54" i="44"/>
  <c r="IQ54" i="44"/>
  <c r="IP54" i="44"/>
  <c r="IO54" i="44"/>
  <c r="IN54" i="44"/>
  <c r="IM54" i="44"/>
  <c r="IL54" i="44"/>
  <c r="IK54" i="44"/>
  <c r="IJ54" i="44"/>
  <c r="II54" i="44"/>
  <c r="IH54" i="44"/>
  <c r="IG54" i="44"/>
  <c r="IF54" i="44"/>
  <c r="IE54" i="44"/>
  <c r="ID54" i="44"/>
  <c r="IC54" i="44"/>
  <c r="IB54" i="44"/>
  <c r="IA54" i="44"/>
  <c r="HZ54" i="44"/>
  <c r="HY54" i="44"/>
  <c r="HX54" i="44"/>
  <c r="HW54" i="44"/>
  <c r="HV54" i="44"/>
  <c r="HU54" i="44"/>
  <c r="HT54" i="44"/>
  <c r="HS54" i="44"/>
  <c r="HR54" i="44"/>
  <c r="HQ54" i="44"/>
  <c r="HP54" i="44"/>
  <c r="HO54" i="44"/>
  <c r="HN54" i="44"/>
  <c r="HM54" i="44"/>
  <c r="HL54" i="44"/>
  <c r="HK54" i="44"/>
  <c r="HJ54" i="44"/>
  <c r="HI54" i="44"/>
  <c r="HH54" i="44"/>
  <c r="HG54" i="44"/>
  <c r="HF54" i="44"/>
  <c r="HE54" i="44"/>
  <c r="HD54" i="44"/>
  <c r="HC54" i="44"/>
  <c r="HB54" i="44"/>
  <c r="HA54" i="44"/>
  <c r="GZ54" i="44"/>
  <c r="GY54" i="44"/>
  <c r="GX54" i="44"/>
  <c r="GW54" i="44"/>
  <c r="GV54" i="44"/>
  <c r="GU54" i="44"/>
  <c r="GT54" i="44"/>
  <c r="GS54" i="44"/>
  <c r="GR54" i="44"/>
  <c r="GQ54" i="44"/>
  <c r="GP54" i="44"/>
  <c r="GO54" i="44"/>
  <c r="GN54" i="44"/>
  <c r="GM54" i="44"/>
  <c r="GL54" i="44"/>
  <c r="GK54" i="44"/>
  <c r="GJ54" i="44"/>
  <c r="GI54" i="44"/>
  <c r="GH54" i="44"/>
  <c r="GG54" i="44"/>
  <c r="GF54" i="44"/>
  <c r="GE54" i="44"/>
  <c r="GD54" i="44"/>
  <c r="GC54" i="44"/>
  <c r="GB54" i="44"/>
  <c r="GA54" i="44"/>
  <c r="FZ54" i="44"/>
  <c r="FY54" i="44"/>
  <c r="FX54" i="44"/>
  <c r="FW54" i="44"/>
  <c r="FV54" i="44"/>
  <c r="FU54" i="44"/>
  <c r="FT54" i="44"/>
  <c r="FS54" i="44"/>
  <c r="FR54" i="44"/>
  <c r="FQ54" i="44"/>
  <c r="FP54" i="44"/>
  <c r="FO54" i="44"/>
  <c r="FN54" i="44"/>
  <c r="FM54" i="44"/>
  <c r="FL54" i="44"/>
  <c r="FK54" i="44"/>
  <c r="FJ54" i="44"/>
  <c r="FI54" i="44"/>
  <c r="FH54" i="44"/>
  <c r="FG54" i="44"/>
  <c r="FF54" i="44"/>
  <c r="FE54" i="44"/>
  <c r="FD54" i="44"/>
  <c r="FC54" i="44"/>
  <c r="FB54" i="44"/>
  <c r="FA54" i="44"/>
  <c r="EZ54" i="44"/>
  <c r="EY54" i="44"/>
  <c r="EX54" i="44"/>
  <c r="EW54" i="44"/>
  <c r="EV54" i="44"/>
  <c r="EU54" i="44"/>
  <c r="ET54" i="44"/>
  <c r="ES54" i="44"/>
  <c r="ER54" i="44"/>
  <c r="EQ54" i="44"/>
  <c r="EP54" i="44"/>
  <c r="EO54" i="44"/>
  <c r="EN54" i="44"/>
  <c r="EM54" i="44"/>
  <c r="EL54" i="44"/>
  <c r="EK54" i="44"/>
  <c r="EJ54" i="44"/>
  <c r="EI54" i="44"/>
  <c r="EH54" i="44"/>
  <c r="EG54" i="44"/>
  <c r="EF54" i="44"/>
  <c r="EE54" i="44"/>
  <c r="ED54" i="44"/>
  <c r="EC54" i="44"/>
  <c r="EB54" i="44"/>
  <c r="EA54" i="44"/>
  <c r="DZ54" i="44"/>
  <c r="DY54" i="44"/>
  <c r="DX54" i="44"/>
  <c r="DW54" i="44"/>
  <c r="DV54" i="44"/>
  <c r="DU54" i="44"/>
  <c r="DT54" i="44"/>
  <c r="DS54" i="44"/>
  <c r="DR54" i="44"/>
  <c r="DQ54" i="44"/>
  <c r="DP54" i="44"/>
  <c r="DO54" i="44"/>
  <c r="DN54" i="44"/>
  <c r="DM54" i="44"/>
  <c r="DL54" i="44"/>
  <c r="DK54" i="44"/>
  <c r="DJ54" i="44"/>
  <c r="DI54" i="44"/>
  <c r="DH54" i="44"/>
  <c r="DG54" i="44"/>
  <c r="DF54" i="44"/>
  <c r="DE54" i="44"/>
  <c r="DD54" i="44"/>
  <c r="DC54" i="44"/>
  <c r="DB54" i="44"/>
  <c r="DA54" i="44"/>
  <c r="CZ54" i="44"/>
  <c r="CY54" i="44"/>
  <c r="CX54" i="44"/>
  <c r="CW54" i="44"/>
  <c r="CV54" i="44"/>
  <c r="CU54" i="44"/>
  <c r="CT54" i="44"/>
  <c r="CS54" i="44"/>
  <c r="CR54" i="44"/>
  <c r="CQ54" i="44"/>
  <c r="CP54" i="44"/>
  <c r="CO54" i="44"/>
  <c r="CN54" i="44"/>
  <c r="CM54" i="44"/>
  <c r="CL54" i="44"/>
  <c r="CK54" i="44"/>
  <c r="CJ54" i="44"/>
  <c r="CI54" i="44"/>
  <c r="CH54" i="44"/>
  <c r="CG54" i="44"/>
  <c r="CF54" i="44"/>
  <c r="CE54" i="44"/>
  <c r="CD54" i="44"/>
  <c r="CC54" i="44"/>
  <c r="CB54" i="44"/>
  <c r="CA54" i="44"/>
  <c r="BZ54" i="44"/>
  <c r="BY54" i="44"/>
  <c r="BX54" i="44"/>
  <c r="BW54" i="44"/>
  <c r="BV54" i="44"/>
  <c r="BU54" i="44"/>
  <c r="BT54" i="44"/>
  <c r="BS54" i="44"/>
  <c r="BR54" i="44"/>
  <c r="BQ54" i="44"/>
  <c r="BP54" i="44"/>
  <c r="BO54" i="44"/>
  <c r="BN54" i="44"/>
  <c r="BM54" i="44"/>
  <c r="BL54" i="44"/>
  <c r="BK54" i="44"/>
  <c r="BJ54" i="44"/>
  <c r="BI54" i="44"/>
  <c r="BH54" i="44"/>
  <c r="BG54" i="44"/>
  <c r="BF54" i="44"/>
  <c r="BE54" i="44"/>
  <c r="BD54" i="44"/>
  <c r="BC54" i="44"/>
  <c r="BB54" i="44"/>
  <c r="BA54" i="44"/>
  <c r="AZ54" i="44"/>
  <c r="AY54" i="44"/>
  <c r="AX54" i="44"/>
  <c r="AW54" i="44"/>
  <c r="AV54" i="44"/>
  <c r="AU54" i="44"/>
  <c r="AT54" i="44"/>
  <c r="AS54" i="44"/>
  <c r="AR54" i="44"/>
  <c r="AQ54" i="44"/>
  <c r="AP54" i="44"/>
  <c r="AO54" i="44"/>
  <c r="AN54" i="44"/>
  <c r="AM54" i="44"/>
  <c r="AL54" i="44"/>
  <c r="AK54" i="44"/>
  <c r="AJ54" i="44"/>
  <c r="AI54" i="44"/>
  <c r="AH54" i="44"/>
  <c r="AG54" i="44"/>
  <c r="AF54" i="44"/>
  <c r="AE54" i="44"/>
  <c r="AD54" i="44"/>
  <c r="AC54" i="44"/>
  <c r="IR53" i="44"/>
  <c r="IR57" i="44"/>
  <c r="IQ53" i="44"/>
  <c r="IQ57" i="44" s="1"/>
  <c r="IP53" i="44"/>
  <c r="IO53" i="44"/>
  <c r="IO57" i="44" s="1"/>
  <c r="IN53" i="44"/>
  <c r="IN57" i="44"/>
  <c r="IM53" i="44"/>
  <c r="IM57" i="44" s="1"/>
  <c r="IL53" i="44"/>
  <c r="IK53" i="44"/>
  <c r="IK57" i="44"/>
  <c r="IJ53" i="44"/>
  <c r="IJ57" i="44" s="1"/>
  <c r="II53" i="44"/>
  <c r="II57" i="44" s="1"/>
  <c r="IH53" i="44"/>
  <c r="IH57" i="44" s="1"/>
  <c r="IG53" i="44"/>
  <c r="IG57" i="44"/>
  <c r="IF53" i="44"/>
  <c r="IF57" i="44" s="1"/>
  <c r="IE53" i="44"/>
  <c r="IE57" i="44" s="1"/>
  <c r="ID53" i="44"/>
  <c r="IC53" i="44"/>
  <c r="IC57" i="44" s="1"/>
  <c r="IB53" i="44"/>
  <c r="IB57" i="44" s="1"/>
  <c r="IA53" i="44"/>
  <c r="IA57" i="44" s="1"/>
  <c r="HZ53" i="44"/>
  <c r="HY53" i="44"/>
  <c r="HY57" i="44" s="1"/>
  <c r="HX53" i="44"/>
  <c r="HX57" i="44"/>
  <c r="HW53" i="44"/>
  <c r="HW57" i="44" s="1"/>
  <c r="HV53" i="44"/>
  <c r="HV57" i="44" s="1"/>
  <c r="HU53" i="44"/>
  <c r="HU57" i="44"/>
  <c r="HT53" i="44"/>
  <c r="HT57" i="44" s="1"/>
  <c r="HS53" i="44"/>
  <c r="HS57" i="44" s="1"/>
  <c r="HR53" i="44"/>
  <c r="HQ53" i="44"/>
  <c r="HQ57" i="44"/>
  <c r="HP53" i="44"/>
  <c r="HP57" i="44" s="1"/>
  <c r="HO53" i="44"/>
  <c r="HO57" i="44" s="1"/>
  <c r="HN53" i="44"/>
  <c r="HN57" i="44" s="1"/>
  <c r="HM53" i="44"/>
  <c r="HM57" i="44" s="1"/>
  <c r="HL53" i="44"/>
  <c r="HL57" i="44" s="1"/>
  <c r="HK53" i="44"/>
  <c r="HK57" i="44" s="1"/>
  <c r="HJ53" i="44"/>
  <c r="HI53" i="44"/>
  <c r="HI57" i="44" s="1"/>
  <c r="HH53" i="44"/>
  <c r="HH57" i="44"/>
  <c r="HG53" i="44"/>
  <c r="HG57" i="44" s="1"/>
  <c r="HF53" i="44"/>
  <c r="HF57" i="44" s="1"/>
  <c r="HE53" i="44"/>
  <c r="HE57" i="44" s="1"/>
  <c r="HD53" i="44"/>
  <c r="HD57" i="44"/>
  <c r="HC53" i="44"/>
  <c r="HC57" i="44" s="1"/>
  <c r="HB53" i="44"/>
  <c r="HB57" i="44" s="1"/>
  <c r="HA53" i="44"/>
  <c r="HA57" i="44" s="1"/>
  <c r="GZ53" i="44"/>
  <c r="GZ57" i="44"/>
  <c r="GY53" i="44"/>
  <c r="GY57" i="44" s="1"/>
  <c r="GX53" i="44"/>
  <c r="GX57" i="44" s="1"/>
  <c r="GW53" i="44"/>
  <c r="GW57" i="44" s="1"/>
  <c r="GV53" i="44"/>
  <c r="GV57" i="44"/>
  <c r="GU53" i="44"/>
  <c r="GU57" i="44" s="1"/>
  <c r="GT53" i="44"/>
  <c r="GT57" i="44" s="1"/>
  <c r="GS53" i="44"/>
  <c r="GS57" i="44" s="1"/>
  <c r="GR53" i="44"/>
  <c r="GR57" i="44"/>
  <c r="GQ53" i="44"/>
  <c r="GQ57" i="44" s="1"/>
  <c r="GP53" i="44"/>
  <c r="GP57" i="44" s="1"/>
  <c r="GO53" i="44"/>
  <c r="GO57" i="44" s="1"/>
  <c r="GN53" i="44"/>
  <c r="GN57" i="44"/>
  <c r="GM53" i="44"/>
  <c r="GM57" i="44" s="1"/>
  <c r="GL53" i="44"/>
  <c r="GL57" i="44" s="1"/>
  <c r="GK53" i="44"/>
  <c r="GK57" i="44" s="1"/>
  <c r="GJ53" i="44"/>
  <c r="GJ57" i="44"/>
  <c r="GI53" i="44"/>
  <c r="GI57" i="44" s="1"/>
  <c r="GH53" i="44"/>
  <c r="GH57" i="44" s="1"/>
  <c r="GG53" i="44"/>
  <c r="GG57" i="44" s="1"/>
  <c r="GF53" i="44"/>
  <c r="GF57" i="44"/>
  <c r="GE53" i="44"/>
  <c r="GE57" i="44" s="1"/>
  <c r="GD53" i="44"/>
  <c r="GD57" i="44" s="1"/>
  <c r="GC53" i="44"/>
  <c r="GC57" i="44" s="1"/>
  <c r="GB53" i="44"/>
  <c r="GB57" i="44"/>
  <c r="GA53" i="44"/>
  <c r="GA57" i="44" s="1"/>
  <c r="FZ53" i="44"/>
  <c r="FZ57" i="44" s="1"/>
  <c r="FY53" i="44"/>
  <c r="FY57" i="44" s="1"/>
  <c r="FX53" i="44"/>
  <c r="FX57" i="44"/>
  <c r="FW53" i="44"/>
  <c r="FW57" i="44" s="1"/>
  <c r="FV53" i="44"/>
  <c r="FV57" i="44" s="1"/>
  <c r="FU53" i="44"/>
  <c r="FU57" i="44" s="1"/>
  <c r="FT53" i="44"/>
  <c r="FT57" i="44"/>
  <c r="FS53" i="44"/>
  <c r="FS57" i="44" s="1"/>
  <c r="FR53" i="44"/>
  <c r="FR57" i="44" s="1"/>
  <c r="FQ53" i="44"/>
  <c r="FQ57" i="44" s="1"/>
  <c r="FP53" i="44"/>
  <c r="FP57" i="44"/>
  <c r="FO53" i="44"/>
  <c r="FO57" i="44" s="1"/>
  <c r="FN53" i="44"/>
  <c r="FN57" i="44" s="1"/>
  <c r="FM53" i="44"/>
  <c r="FM57" i="44" s="1"/>
  <c r="FL53" i="44"/>
  <c r="FL57" i="44"/>
  <c r="FK53" i="44"/>
  <c r="FK57" i="44" s="1"/>
  <c r="FJ53" i="44"/>
  <c r="FJ57" i="44" s="1"/>
  <c r="FI53" i="44"/>
  <c r="FI57" i="44" s="1"/>
  <c r="FH53" i="44"/>
  <c r="FH57" i="44"/>
  <c r="FG53" i="44"/>
  <c r="FG57" i="44" s="1"/>
  <c r="FF53" i="44"/>
  <c r="FF57" i="44" s="1"/>
  <c r="FE53" i="44"/>
  <c r="FE57" i="44" s="1"/>
  <c r="FD53" i="44"/>
  <c r="FD57" i="44"/>
  <c r="FC53" i="44"/>
  <c r="FC57" i="44" s="1"/>
  <c r="FB53" i="44"/>
  <c r="FB57" i="44" s="1"/>
  <c r="FA53" i="44"/>
  <c r="FA57" i="44" s="1"/>
  <c r="EZ53" i="44"/>
  <c r="EZ57" i="44"/>
  <c r="EY53" i="44"/>
  <c r="EY57" i="44" s="1"/>
  <c r="EX53" i="44"/>
  <c r="EX57" i="44" s="1"/>
  <c r="EW53" i="44"/>
  <c r="EW57" i="44" s="1"/>
  <c r="EV53" i="44"/>
  <c r="EV57" i="44"/>
  <c r="EU53" i="44"/>
  <c r="EU57" i="44" s="1"/>
  <c r="ET53" i="44"/>
  <c r="ET57" i="44" s="1"/>
  <c r="ES53" i="44"/>
  <c r="ES57" i="44" s="1"/>
  <c r="ER53" i="44"/>
  <c r="ER57" i="44"/>
  <c r="EQ53" i="44"/>
  <c r="EQ57" i="44" s="1"/>
  <c r="EP53" i="44"/>
  <c r="EP57" i="44" s="1"/>
  <c r="EO53" i="44"/>
  <c r="EO57" i="44" s="1"/>
  <c r="EN53" i="44"/>
  <c r="EN57" i="44"/>
  <c r="EM53" i="44"/>
  <c r="EM57" i="44" s="1"/>
  <c r="EL53" i="44"/>
  <c r="EL57" i="44" s="1"/>
  <c r="EK53" i="44"/>
  <c r="EK57" i="44" s="1"/>
  <c r="EJ53" i="44"/>
  <c r="EJ57" i="44"/>
  <c r="EI53" i="44"/>
  <c r="EI57" i="44" s="1"/>
  <c r="EH53" i="44"/>
  <c r="EH57" i="44" s="1"/>
  <c r="EG53" i="44"/>
  <c r="EG57" i="44" s="1"/>
  <c r="EF53" i="44"/>
  <c r="EF57" i="44"/>
  <c r="EE53" i="44"/>
  <c r="EE57" i="44" s="1"/>
  <c r="ED53" i="44"/>
  <c r="ED57" i="44" s="1"/>
  <c r="EC53" i="44"/>
  <c r="EC57" i="44" s="1"/>
  <c r="EB53" i="44"/>
  <c r="EB57" i="44"/>
  <c r="EA53" i="44"/>
  <c r="EA57" i="44" s="1"/>
  <c r="DZ53" i="44"/>
  <c r="DZ57" i="44" s="1"/>
  <c r="DY53" i="44"/>
  <c r="DY57" i="44" s="1"/>
  <c r="DX53" i="44"/>
  <c r="DX57" i="44"/>
  <c r="DW53" i="44"/>
  <c r="DW57" i="44" s="1"/>
  <c r="DV53" i="44"/>
  <c r="DV57" i="44" s="1"/>
  <c r="DU53" i="44"/>
  <c r="DU57" i="44" s="1"/>
  <c r="DT53" i="44"/>
  <c r="DT57" i="44"/>
  <c r="DS53" i="44"/>
  <c r="DS57" i="44" s="1"/>
  <c r="DR53" i="44"/>
  <c r="DR57" i="44" s="1"/>
  <c r="DQ53" i="44"/>
  <c r="DQ57" i="44" s="1"/>
  <c r="DP53" i="44"/>
  <c r="DP57" i="44"/>
  <c r="DO53" i="44"/>
  <c r="DO57" i="44" s="1"/>
  <c r="DN53" i="44"/>
  <c r="DN57" i="44" s="1"/>
  <c r="DM53" i="44"/>
  <c r="DM57" i="44" s="1"/>
  <c r="DL53" i="44"/>
  <c r="DL57" i="44"/>
  <c r="DK53" i="44"/>
  <c r="DK57" i="44" s="1"/>
  <c r="DJ53" i="44"/>
  <c r="DJ57" i="44" s="1"/>
  <c r="DI53" i="44"/>
  <c r="DI57" i="44" s="1"/>
  <c r="DH53" i="44"/>
  <c r="DH57" i="44"/>
  <c r="DG53" i="44"/>
  <c r="DG57" i="44" s="1"/>
  <c r="DF53" i="44"/>
  <c r="DF57" i="44" s="1"/>
  <c r="DE53" i="44"/>
  <c r="DE57" i="44" s="1"/>
  <c r="DD53" i="44"/>
  <c r="DD57" i="44"/>
  <c r="DC53" i="44"/>
  <c r="DC57" i="44" s="1"/>
  <c r="DB53" i="44"/>
  <c r="DB57" i="44" s="1"/>
  <c r="DA53" i="44"/>
  <c r="DA57" i="44" s="1"/>
  <c r="CZ53" i="44"/>
  <c r="CZ57" i="44"/>
  <c r="CY53" i="44"/>
  <c r="CY57" i="44" s="1"/>
  <c r="CX53" i="44"/>
  <c r="CX57" i="44" s="1"/>
  <c r="CW53" i="44"/>
  <c r="CW57" i="44" s="1"/>
  <c r="CV53" i="44"/>
  <c r="CV57" i="44"/>
  <c r="CU53" i="44"/>
  <c r="CU57" i="44" s="1"/>
  <c r="CT53" i="44"/>
  <c r="CT57" i="44" s="1"/>
  <c r="CS53" i="44"/>
  <c r="CS57" i="44" s="1"/>
  <c r="CR53" i="44"/>
  <c r="CR57" i="44"/>
  <c r="CQ53" i="44"/>
  <c r="CQ57" i="44" s="1"/>
  <c r="CP53" i="44"/>
  <c r="CP57" i="44" s="1"/>
  <c r="CO53" i="44"/>
  <c r="CO57" i="44" s="1"/>
  <c r="CN53" i="44"/>
  <c r="CN57" i="44"/>
  <c r="CM53" i="44"/>
  <c r="CM57" i="44" s="1"/>
  <c r="CL53" i="44"/>
  <c r="CL57" i="44" s="1"/>
  <c r="CK53" i="44"/>
  <c r="CK57" i="44" s="1"/>
  <c r="CJ53" i="44"/>
  <c r="CJ57" i="44"/>
  <c r="CI53" i="44"/>
  <c r="CI57" i="44" s="1"/>
  <c r="CH53" i="44"/>
  <c r="CH57" i="44" s="1"/>
  <c r="CG53" i="44"/>
  <c r="CG57" i="44" s="1"/>
  <c r="CF53" i="44"/>
  <c r="CF57" i="44"/>
  <c r="CE53" i="44"/>
  <c r="CE57" i="44" s="1"/>
  <c r="CD53" i="44"/>
  <c r="CD57" i="44" s="1"/>
  <c r="CC53" i="44"/>
  <c r="CC57" i="44" s="1"/>
  <c r="CB53" i="44"/>
  <c r="CB57" i="44"/>
  <c r="CA53" i="44"/>
  <c r="CA57" i="44" s="1"/>
  <c r="BZ53" i="44"/>
  <c r="BZ57" i="44" s="1"/>
  <c r="BY53" i="44"/>
  <c r="BY57" i="44" s="1"/>
  <c r="BX53" i="44"/>
  <c r="BX57" i="44"/>
  <c r="BW53" i="44"/>
  <c r="BW57" i="44" s="1"/>
  <c r="BV53" i="44"/>
  <c r="BV57" i="44" s="1"/>
  <c r="BU53" i="44"/>
  <c r="BU57" i="44" s="1"/>
  <c r="BT53" i="44"/>
  <c r="BT57" i="44"/>
  <c r="BS53" i="44"/>
  <c r="BS57" i="44" s="1"/>
  <c r="BR53" i="44"/>
  <c r="BR57" i="44" s="1"/>
  <c r="BQ53" i="44"/>
  <c r="BQ57" i="44" s="1"/>
  <c r="BP53" i="44"/>
  <c r="BP57" i="44"/>
  <c r="BO53" i="44"/>
  <c r="BO57" i="44" s="1"/>
  <c r="BN53" i="44"/>
  <c r="BN57" i="44" s="1"/>
  <c r="BM53" i="44"/>
  <c r="BM57" i="44" s="1"/>
  <c r="BL53" i="44"/>
  <c r="BL57" i="44"/>
  <c r="BK53" i="44"/>
  <c r="BK57" i="44" s="1"/>
  <c r="BJ53" i="44"/>
  <c r="BJ57" i="44" s="1"/>
  <c r="BI53" i="44"/>
  <c r="BI57" i="44" s="1"/>
  <c r="BH53" i="44"/>
  <c r="BH57" i="44"/>
  <c r="BG53" i="44"/>
  <c r="BG57" i="44" s="1"/>
  <c r="BF53" i="44"/>
  <c r="BF57" i="44" s="1"/>
  <c r="BE53" i="44"/>
  <c r="BE57" i="44" s="1"/>
  <c r="BD53" i="44"/>
  <c r="BD57" i="44"/>
  <c r="BC53" i="44"/>
  <c r="BC57" i="44" s="1"/>
  <c r="BB53" i="44"/>
  <c r="BB57" i="44" s="1"/>
  <c r="BA53" i="44"/>
  <c r="BA57" i="44" s="1"/>
  <c r="AZ53" i="44"/>
  <c r="AZ57" i="44"/>
  <c r="AY53" i="44"/>
  <c r="AY57" i="44" s="1"/>
  <c r="AX53" i="44"/>
  <c r="AX57" i="44" s="1"/>
  <c r="AW53" i="44"/>
  <c r="AW57" i="44" s="1"/>
  <c r="AV53" i="44"/>
  <c r="AV57" i="44"/>
  <c r="AU53" i="44"/>
  <c r="AU57" i="44" s="1"/>
  <c r="AT53" i="44"/>
  <c r="AT57" i="44" s="1"/>
  <c r="AS53" i="44"/>
  <c r="AS57" i="44" s="1"/>
  <c r="AR53" i="44"/>
  <c r="AR57" i="44"/>
  <c r="AQ53" i="44"/>
  <c r="AQ57" i="44" s="1"/>
  <c r="AP53" i="44"/>
  <c r="AP57" i="44" s="1"/>
  <c r="AO53" i="44"/>
  <c r="AO57" i="44" s="1"/>
  <c r="AN53" i="44"/>
  <c r="AN57" i="44"/>
  <c r="AM53" i="44"/>
  <c r="AM57" i="44" s="1"/>
  <c r="AL53" i="44"/>
  <c r="AL57" i="44" s="1"/>
  <c r="AK53" i="44"/>
  <c r="AK57" i="44" s="1"/>
  <c r="AJ53" i="44"/>
  <c r="AJ57" i="44"/>
  <c r="AI53" i="44"/>
  <c r="AI57" i="44" s="1"/>
  <c r="AH53" i="44"/>
  <c r="AH57" i="44" s="1"/>
  <c r="AG53" i="44"/>
  <c r="AG57" i="44" s="1"/>
  <c r="AF53" i="44"/>
  <c r="AF57" i="44"/>
  <c r="AE53" i="44"/>
  <c r="AE57" i="44" s="1"/>
  <c r="AD53" i="44"/>
  <c r="AD57" i="44" s="1"/>
  <c r="AC53" i="44"/>
  <c r="AC57" i="44" s="1"/>
  <c r="IR50" i="44"/>
  <c r="IQ50" i="44"/>
  <c r="IP50" i="44"/>
  <c r="IO50" i="44"/>
  <c r="IN50" i="44"/>
  <c r="IM50" i="44"/>
  <c r="IL50" i="44"/>
  <c r="IK50" i="44"/>
  <c r="IJ50" i="44"/>
  <c r="II50" i="44"/>
  <c r="IH50" i="44"/>
  <c r="IG50" i="44"/>
  <c r="IF50" i="44"/>
  <c r="IE50" i="44"/>
  <c r="ID50" i="44"/>
  <c r="IC50" i="44"/>
  <c r="IB50" i="44"/>
  <c r="IA50" i="44"/>
  <c r="HZ50" i="44"/>
  <c r="HY50" i="44"/>
  <c r="HX50" i="44"/>
  <c r="HW50" i="44"/>
  <c r="HV50" i="44"/>
  <c r="HU50" i="44"/>
  <c r="HT50" i="44"/>
  <c r="HS50" i="44"/>
  <c r="HR50" i="44"/>
  <c r="HQ50" i="44"/>
  <c r="HP50" i="44"/>
  <c r="HO50" i="44"/>
  <c r="HN50" i="44"/>
  <c r="HM50" i="44"/>
  <c r="HL50" i="44"/>
  <c r="HK50" i="44"/>
  <c r="HJ50" i="44"/>
  <c r="HI50" i="44"/>
  <c r="HH50" i="44"/>
  <c r="HG50" i="44"/>
  <c r="HF50" i="44"/>
  <c r="HE50" i="44"/>
  <c r="HD50" i="44"/>
  <c r="HC50" i="44"/>
  <c r="HB50" i="44"/>
  <c r="HA50" i="44"/>
  <c r="GZ50" i="44"/>
  <c r="GY50" i="44"/>
  <c r="GX50" i="44"/>
  <c r="GW50" i="44"/>
  <c r="GV50" i="44"/>
  <c r="GU50" i="44"/>
  <c r="GT50" i="44"/>
  <c r="GS50" i="44"/>
  <c r="GR50" i="44"/>
  <c r="GQ50" i="44"/>
  <c r="GP50" i="44"/>
  <c r="GO50" i="44"/>
  <c r="GN50" i="44"/>
  <c r="GM50" i="44"/>
  <c r="GL50" i="44"/>
  <c r="GK50" i="44"/>
  <c r="GJ50" i="44"/>
  <c r="GI50" i="44"/>
  <c r="GH50" i="44"/>
  <c r="GG50" i="44"/>
  <c r="GF50" i="44"/>
  <c r="GE50" i="44"/>
  <c r="GD50" i="44"/>
  <c r="GC50" i="44"/>
  <c r="GB50" i="44"/>
  <c r="GA50" i="44"/>
  <c r="FZ50" i="44"/>
  <c r="FY50" i="44"/>
  <c r="FX50" i="44"/>
  <c r="FW50" i="44"/>
  <c r="FV50" i="44"/>
  <c r="FU50" i="44"/>
  <c r="FT50" i="44"/>
  <c r="FS50" i="44"/>
  <c r="FR50" i="44"/>
  <c r="FQ50" i="44"/>
  <c r="FP50" i="44"/>
  <c r="FO50" i="44"/>
  <c r="FN50" i="44"/>
  <c r="FM50" i="44"/>
  <c r="FL50" i="44"/>
  <c r="FK50" i="44"/>
  <c r="FJ50" i="44"/>
  <c r="FI50" i="44"/>
  <c r="FH50" i="44"/>
  <c r="FG50" i="44"/>
  <c r="FF50" i="44"/>
  <c r="FE50" i="44"/>
  <c r="FD50" i="44"/>
  <c r="FC50" i="44"/>
  <c r="FB50" i="44"/>
  <c r="FA50" i="44"/>
  <c r="EZ50" i="44"/>
  <c r="EY50" i="44"/>
  <c r="EX50" i="44"/>
  <c r="EW50" i="44"/>
  <c r="EV50" i="44"/>
  <c r="EU50" i="44"/>
  <c r="ET50" i="44"/>
  <c r="ES50" i="44"/>
  <c r="ER50" i="44"/>
  <c r="EQ50" i="44"/>
  <c r="EP50" i="44"/>
  <c r="EO50" i="44"/>
  <c r="EN50" i="44"/>
  <c r="EM50" i="44"/>
  <c r="EL50" i="44"/>
  <c r="EK50" i="44"/>
  <c r="EJ50" i="44"/>
  <c r="EI50" i="44"/>
  <c r="EH50" i="44"/>
  <c r="EG50" i="44"/>
  <c r="EF50" i="44"/>
  <c r="EE50" i="44"/>
  <c r="ED50" i="44"/>
  <c r="EC50" i="44"/>
  <c r="EB50" i="44"/>
  <c r="EA50" i="44"/>
  <c r="DZ50" i="44"/>
  <c r="DY50" i="44"/>
  <c r="DX50" i="44"/>
  <c r="DW50" i="44"/>
  <c r="DV50" i="44"/>
  <c r="DU50" i="44"/>
  <c r="DT50" i="44"/>
  <c r="DS50" i="44"/>
  <c r="DR50" i="44"/>
  <c r="DQ50" i="44"/>
  <c r="DP50" i="44"/>
  <c r="DO50" i="44"/>
  <c r="DN50" i="44"/>
  <c r="DM50" i="44"/>
  <c r="DL50" i="44"/>
  <c r="DK50" i="44"/>
  <c r="DJ50" i="44"/>
  <c r="DI50" i="44"/>
  <c r="DH50" i="44"/>
  <c r="DG50" i="44"/>
  <c r="DF50" i="44"/>
  <c r="DE50" i="44"/>
  <c r="DD50" i="44"/>
  <c r="DC50" i="44"/>
  <c r="DB50" i="44"/>
  <c r="DA50" i="44"/>
  <c r="CZ50" i="44"/>
  <c r="CY50" i="44"/>
  <c r="CX50" i="44"/>
  <c r="CW50" i="44"/>
  <c r="CV50" i="44"/>
  <c r="CU50" i="44"/>
  <c r="CT50" i="44"/>
  <c r="CS50" i="44"/>
  <c r="CR50" i="44"/>
  <c r="CQ50" i="44"/>
  <c r="CP50" i="44"/>
  <c r="CO50" i="44"/>
  <c r="CN50" i="44"/>
  <c r="CM50" i="44"/>
  <c r="CL50" i="44"/>
  <c r="CK50" i="44"/>
  <c r="CJ50" i="44"/>
  <c r="CI50" i="44"/>
  <c r="CH50" i="44"/>
  <c r="CG50" i="44"/>
  <c r="CF50" i="44"/>
  <c r="CE50" i="44"/>
  <c r="CD50" i="44"/>
  <c r="CC50" i="44"/>
  <c r="CB50" i="44"/>
  <c r="CA50" i="44"/>
  <c r="BZ50" i="44"/>
  <c r="BY50" i="44"/>
  <c r="BX50" i="44"/>
  <c r="BW50" i="44"/>
  <c r="BV50" i="44"/>
  <c r="BU50" i="44"/>
  <c r="BT50" i="44"/>
  <c r="BS50" i="44"/>
  <c r="BR50" i="44"/>
  <c r="BQ50" i="44"/>
  <c r="BP50" i="44"/>
  <c r="BO50" i="44"/>
  <c r="BN50" i="44"/>
  <c r="BM50" i="44"/>
  <c r="BL50" i="44"/>
  <c r="BK50" i="44"/>
  <c r="BJ50" i="44"/>
  <c r="BI50" i="44"/>
  <c r="BH50" i="44"/>
  <c r="BG50" i="44"/>
  <c r="BF50" i="44"/>
  <c r="BE50" i="44"/>
  <c r="BD50" i="44"/>
  <c r="BC50" i="44"/>
  <c r="BB50" i="44"/>
  <c r="BA50" i="44"/>
  <c r="AZ50" i="44"/>
  <c r="AY50" i="44"/>
  <c r="AX50" i="44"/>
  <c r="AW50" i="44"/>
  <c r="AV50" i="44"/>
  <c r="AU50" i="44"/>
  <c r="AT50" i="44"/>
  <c r="AS50" i="44"/>
  <c r="AR50" i="44"/>
  <c r="AQ50" i="44"/>
  <c r="AP50" i="44"/>
  <c r="AO50" i="44"/>
  <c r="AN50" i="44"/>
  <c r="AM50" i="44"/>
  <c r="AL50" i="44"/>
  <c r="AK50" i="44"/>
  <c r="AJ50" i="44"/>
  <c r="AI50" i="44"/>
  <c r="AH50" i="44"/>
  <c r="AG50" i="44"/>
  <c r="AF50" i="44"/>
  <c r="AE50" i="44"/>
  <c r="AD50" i="44"/>
  <c r="AC50" i="44"/>
  <c r="IR48" i="44"/>
  <c r="IQ48" i="44"/>
  <c r="IP48" i="44"/>
  <c r="IO48" i="44"/>
  <c r="IN48" i="44"/>
  <c r="IM48" i="44"/>
  <c r="IL48" i="44"/>
  <c r="IK48" i="44"/>
  <c r="IJ48" i="44"/>
  <c r="II48" i="44"/>
  <c r="IH48" i="44"/>
  <c r="IG48" i="44"/>
  <c r="IF48" i="44"/>
  <c r="IE48" i="44"/>
  <c r="ID48" i="44"/>
  <c r="IC48" i="44"/>
  <c r="IB48" i="44"/>
  <c r="IA48" i="44"/>
  <c r="HZ48" i="44"/>
  <c r="HY48" i="44"/>
  <c r="HX48" i="44"/>
  <c r="HW48" i="44"/>
  <c r="HV48" i="44"/>
  <c r="HU48" i="44"/>
  <c r="HT48" i="44"/>
  <c r="HS48" i="44"/>
  <c r="HR48" i="44"/>
  <c r="HQ48" i="44"/>
  <c r="HP48" i="44"/>
  <c r="HO48" i="44"/>
  <c r="HN48" i="44"/>
  <c r="HM48" i="44"/>
  <c r="HL48" i="44"/>
  <c r="HK48" i="44"/>
  <c r="HJ48" i="44"/>
  <c r="HI48" i="44"/>
  <c r="HH48" i="44"/>
  <c r="HG48" i="44"/>
  <c r="HF48" i="44"/>
  <c r="HE48" i="44"/>
  <c r="HD48" i="44"/>
  <c r="HC48" i="44"/>
  <c r="HB48" i="44"/>
  <c r="HA48" i="44"/>
  <c r="GZ48" i="44"/>
  <c r="GY48" i="44"/>
  <c r="GX48" i="44"/>
  <c r="GW48" i="44"/>
  <c r="GV48" i="44"/>
  <c r="GU48" i="44"/>
  <c r="GT48" i="44"/>
  <c r="GS48" i="44"/>
  <c r="GR48" i="44"/>
  <c r="GQ48" i="44"/>
  <c r="GP48" i="44"/>
  <c r="GO48" i="44"/>
  <c r="GN48" i="44"/>
  <c r="GM48" i="44"/>
  <c r="GL48" i="44"/>
  <c r="GK48" i="44"/>
  <c r="GJ48" i="44"/>
  <c r="GI48" i="44"/>
  <c r="GH48" i="44"/>
  <c r="GG48" i="44"/>
  <c r="GF48" i="44"/>
  <c r="GE48" i="44"/>
  <c r="GD48" i="44"/>
  <c r="GC48" i="44"/>
  <c r="GB48" i="44"/>
  <c r="GA48" i="44"/>
  <c r="FZ48" i="44"/>
  <c r="FY48" i="44"/>
  <c r="FX48" i="44"/>
  <c r="FW48" i="44"/>
  <c r="FV48" i="44"/>
  <c r="FU48" i="44"/>
  <c r="FT48" i="44"/>
  <c r="FS48" i="44"/>
  <c r="FR48" i="44"/>
  <c r="FQ48" i="44"/>
  <c r="FP48" i="44"/>
  <c r="FO48" i="44"/>
  <c r="FN48" i="44"/>
  <c r="FM48" i="44"/>
  <c r="FL48" i="44"/>
  <c r="FK48" i="44"/>
  <c r="FJ48" i="44"/>
  <c r="FI48" i="44"/>
  <c r="FH48" i="44"/>
  <c r="FG48" i="44"/>
  <c r="FF48" i="44"/>
  <c r="FE48" i="44"/>
  <c r="FD48" i="44"/>
  <c r="FC48" i="44"/>
  <c r="FB48" i="44"/>
  <c r="FA48" i="44"/>
  <c r="EZ48" i="44"/>
  <c r="EY48" i="44"/>
  <c r="EX48" i="44"/>
  <c r="EW48" i="44"/>
  <c r="EV48" i="44"/>
  <c r="EU48" i="44"/>
  <c r="ET48" i="44"/>
  <c r="ES48" i="44"/>
  <c r="ER48" i="44"/>
  <c r="EQ48" i="44"/>
  <c r="EP48" i="44"/>
  <c r="EO48" i="44"/>
  <c r="EN48" i="44"/>
  <c r="EM48" i="44"/>
  <c r="EL48" i="44"/>
  <c r="EK48" i="44"/>
  <c r="EJ48" i="44"/>
  <c r="EI48" i="44"/>
  <c r="EH48" i="44"/>
  <c r="EG48" i="44"/>
  <c r="EF48" i="44"/>
  <c r="EE48" i="44"/>
  <c r="ED48" i="44"/>
  <c r="EC48" i="44"/>
  <c r="EB48" i="44"/>
  <c r="EA48" i="44"/>
  <c r="DZ48" i="44"/>
  <c r="DY48" i="44"/>
  <c r="DX48" i="44"/>
  <c r="DW48" i="44"/>
  <c r="DV48" i="44"/>
  <c r="DU48" i="44"/>
  <c r="DT48" i="44"/>
  <c r="DS48" i="44"/>
  <c r="DR48" i="44"/>
  <c r="DQ48" i="44"/>
  <c r="DP48" i="44"/>
  <c r="DO48" i="44"/>
  <c r="DN48" i="44"/>
  <c r="DM48" i="44"/>
  <c r="DL48" i="44"/>
  <c r="DK48" i="44"/>
  <c r="DJ48" i="44"/>
  <c r="DI48" i="44"/>
  <c r="DH48" i="44"/>
  <c r="DG48" i="44"/>
  <c r="DF48" i="44"/>
  <c r="DE48" i="44"/>
  <c r="DD48" i="44"/>
  <c r="DC48" i="44"/>
  <c r="DB48" i="44"/>
  <c r="DA48" i="44"/>
  <c r="CZ48" i="44"/>
  <c r="CY48" i="44"/>
  <c r="CX48" i="44"/>
  <c r="CW48" i="44"/>
  <c r="CV48" i="44"/>
  <c r="CU48" i="44"/>
  <c r="CT48" i="44"/>
  <c r="CS48" i="44"/>
  <c r="CR48" i="44"/>
  <c r="CQ48" i="44"/>
  <c r="CP48" i="44"/>
  <c r="CO48" i="44"/>
  <c r="CN48" i="44"/>
  <c r="CM48" i="44"/>
  <c r="CL48" i="44"/>
  <c r="CK48" i="44"/>
  <c r="CJ48" i="44"/>
  <c r="CI48" i="44"/>
  <c r="CH48" i="44"/>
  <c r="CG48" i="44"/>
  <c r="CF48" i="44"/>
  <c r="CE48" i="44"/>
  <c r="CD48" i="44"/>
  <c r="CC48" i="44"/>
  <c r="CB48" i="44"/>
  <c r="CA48" i="44"/>
  <c r="BZ48" i="44"/>
  <c r="BY48" i="44"/>
  <c r="BX48" i="44"/>
  <c r="BW48" i="44"/>
  <c r="BV48" i="44"/>
  <c r="BU48" i="44"/>
  <c r="BT48" i="44"/>
  <c r="BS48" i="44"/>
  <c r="BR48" i="44"/>
  <c r="BQ48" i="44"/>
  <c r="BP48" i="44"/>
  <c r="BO48" i="44"/>
  <c r="BN48" i="44"/>
  <c r="BM48" i="44"/>
  <c r="BL48" i="44"/>
  <c r="BK48" i="44"/>
  <c r="BJ48" i="44"/>
  <c r="BI48" i="44"/>
  <c r="BH48" i="44"/>
  <c r="BG48" i="44"/>
  <c r="BF48" i="44"/>
  <c r="BE48" i="44"/>
  <c r="BD48" i="44"/>
  <c r="BC48" i="44"/>
  <c r="BB48" i="44"/>
  <c r="BA48" i="44"/>
  <c r="AZ48" i="44"/>
  <c r="AY48" i="44"/>
  <c r="AX48" i="44"/>
  <c r="AW48" i="44"/>
  <c r="AV48" i="44"/>
  <c r="AU48" i="44"/>
  <c r="AT48" i="44"/>
  <c r="AS48" i="44"/>
  <c r="AR48" i="44"/>
  <c r="AQ48" i="44"/>
  <c r="AP48" i="44"/>
  <c r="AO48" i="44"/>
  <c r="AN48" i="44"/>
  <c r="AM48" i="44"/>
  <c r="AL48" i="44"/>
  <c r="AK48" i="44"/>
  <c r="AJ48" i="44"/>
  <c r="AI48" i="44"/>
  <c r="AH48" i="44"/>
  <c r="AG48" i="44"/>
  <c r="AF48" i="44"/>
  <c r="AE48" i="44"/>
  <c r="AD48" i="44"/>
  <c r="AC48" i="44"/>
  <c r="IR45" i="44"/>
  <c r="IQ45" i="44"/>
  <c r="IP45" i="44"/>
  <c r="IO45" i="44"/>
  <c r="IN45" i="44"/>
  <c r="IM45" i="44"/>
  <c r="IL45" i="44"/>
  <c r="IK45" i="44"/>
  <c r="IJ45" i="44"/>
  <c r="II45" i="44"/>
  <c r="IH45" i="44"/>
  <c r="IG45" i="44"/>
  <c r="IF45" i="44"/>
  <c r="IE45" i="44"/>
  <c r="ID45" i="44"/>
  <c r="IC45" i="44"/>
  <c r="IB45" i="44"/>
  <c r="IA45" i="44"/>
  <c r="HZ45" i="44"/>
  <c r="HY45" i="44"/>
  <c r="HX45" i="44"/>
  <c r="HW45" i="44"/>
  <c r="HV45" i="44"/>
  <c r="HU45" i="44"/>
  <c r="HT45" i="44"/>
  <c r="HS45" i="44"/>
  <c r="HR45" i="44"/>
  <c r="HQ45" i="44"/>
  <c r="HP45" i="44"/>
  <c r="HO45" i="44"/>
  <c r="HN45" i="44"/>
  <c r="HM45" i="44"/>
  <c r="HL45" i="44"/>
  <c r="HK45" i="44"/>
  <c r="HJ45" i="44"/>
  <c r="HI45" i="44"/>
  <c r="HH45" i="44"/>
  <c r="HG45" i="44"/>
  <c r="HF45" i="44"/>
  <c r="HE45" i="44"/>
  <c r="HD45" i="44"/>
  <c r="HC45" i="44"/>
  <c r="HB45" i="44"/>
  <c r="HA45" i="44"/>
  <c r="GZ45" i="44"/>
  <c r="GY45" i="44"/>
  <c r="GX45" i="44"/>
  <c r="GW45" i="44"/>
  <c r="GV45" i="44"/>
  <c r="GU45" i="44"/>
  <c r="GT45" i="44"/>
  <c r="GS45" i="44"/>
  <c r="GR45" i="44"/>
  <c r="GQ45" i="44"/>
  <c r="GP45" i="44"/>
  <c r="GO45" i="44"/>
  <c r="GN45" i="44"/>
  <c r="GM45" i="44"/>
  <c r="GL45" i="44"/>
  <c r="GK45" i="44"/>
  <c r="GJ45" i="44"/>
  <c r="GI45" i="44"/>
  <c r="GH45" i="44"/>
  <c r="GG45" i="44"/>
  <c r="GF45" i="44"/>
  <c r="GE45" i="44"/>
  <c r="GD45" i="44"/>
  <c r="GC45" i="44"/>
  <c r="GB45" i="44"/>
  <c r="GA45" i="44"/>
  <c r="FZ45" i="44"/>
  <c r="FY45" i="44"/>
  <c r="FX45" i="44"/>
  <c r="FW45" i="44"/>
  <c r="FV45" i="44"/>
  <c r="FU45" i="44"/>
  <c r="FT45" i="44"/>
  <c r="FS45" i="44"/>
  <c r="FR45" i="44"/>
  <c r="FQ45" i="44"/>
  <c r="FP45" i="44"/>
  <c r="FO45" i="44"/>
  <c r="FN45" i="44"/>
  <c r="FM45" i="44"/>
  <c r="FL45" i="44"/>
  <c r="FK45" i="44"/>
  <c r="FJ45" i="44"/>
  <c r="FI45" i="44"/>
  <c r="FH45" i="44"/>
  <c r="FG45" i="44"/>
  <c r="FF45" i="44"/>
  <c r="FE45" i="44"/>
  <c r="FD45" i="44"/>
  <c r="FC45" i="44"/>
  <c r="FB45" i="44"/>
  <c r="FA45" i="44"/>
  <c r="EZ45" i="44"/>
  <c r="EY45" i="44"/>
  <c r="EX45" i="44"/>
  <c r="EW45" i="44"/>
  <c r="EV45" i="44"/>
  <c r="EU45" i="44"/>
  <c r="ET45" i="44"/>
  <c r="ES45" i="44"/>
  <c r="ER45" i="44"/>
  <c r="EQ45" i="44"/>
  <c r="EP45" i="44"/>
  <c r="EO45" i="44"/>
  <c r="EN45" i="44"/>
  <c r="EM45" i="44"/>
  <c r="EL45" i="44"/>
  <c r="EK45" i="44"/>
  <c r="EJ45" i="44"/>
  <c r="EI45" i="44"/>
  <c r="EH45" i="44"/>
  <c r="EG45" i="44"/>
  <c r="EF45" i="44"/>
  <c r="EE45" i="44"/>
  <c r="ED45" i="44"/>
  <c r="EC45" i="44"/>
  <c r="EB45" i="44"/>
  <c r="EA45" i="44"/>
  <c r="DZ45" i="44"/>
  <c r="DY45" i="44"/>
  <c r="DX45" i="44"/>
  <c r="DW45" i="44"/>
  <c r="DV45" i="44"/>
  <c r="DU45" i="44"/>
  <c r="DT45" i="44"/>
  <c r="DS45" i="44"/>
  <c r="DR45" i="44"/>
  <c r="DQ45" i="44"/>
  <c r="DP45" i="44"/>
  <c r="DO45" i="44"/>
  <c r="DN45" i="44"/>
  <c r="DM45" i="44"/>
  <c r="DL45" i="44"/>
  <c r="DK45" i="44"/>
  <c r="DJ45" i="44"/>
  <c r="DI45" i="44"/>
  <c r="DH45" i="44"/>
  <c r="DG45" i="44"/>
  <c r="DF45" i="44"/>
  <c r="DE45" i="44"/>
  <c r="DD45" i="44"/>
  <c r="DC45" i="44"/>
  <c r="DB45" i="44"/>
  <c r="DA45" i="44"/>
  <c r="CZ45" i="44"/>
  <c r="CY45" i="44"/>
  <c r="CX45" i="44"/>
  <c r="CW45" i="44"/>
  <c r="CV45" i="44"/>
  <c r="CU45" i="44"/>
  <c r="CT45" i="44"/>
  <c r="CS45" i="44"/>
  <c r="CR45" i="44"/>
  <c r="CQ45" i="44"/>
  <c r="CP45" i="44"/>
  <c r="CO45" i="44"/>
  <c r="CN45" i="44"/>
  <c r="CM45" i="44"/>
  <c r="CL45" i="44"/>
  <c r="CK45" i="44"/>
  <c r="CJ45" i="44"/>
  <c r="CI45" i="44"/>
  <c r="CH45" i="44"/>
  <c r="CG45" i="44"/>
  <c r="CF45" i="44"/>
  <c r="CE45" i="44"/>
  <c r="CD45" i="44"/>
  <c r="CC45" i="44"/>
  <c r="CB45" i="44"/>
  <c r="CA45" i="44"/>
  <c r="BZ45" i="44"/>
  <c r="BY45" i="44"/>
  <c r="BX45" i="44"/>
  <c r="BW45" i="44"/>
  <c r="BV45" i="44"/>
  <c r="BU45" i="44"/>
  <c r="BT45" i="44"/>
  <c r="BS45" i="44"/>
  <c r="BR45" i="44"/>
  <c r="BQ45" i="44"/>
  <c r="BP45" i="44"/>
  <c r="BO45" i="44"/>
  <c r="BN45" i="44"/>
  <c r="BM45" i="44"/>
  <c r="BL45" i="44"/>
  <c r="BK45" i="44"/>
  <c r="BJ45" i="44"/>
  <c r="BI45" i="44"/>
  <c r="BH45" i="44"/>
  <c r="BG45" i="44"/>
  <c r="BF45" i="44"/>
  <c r="BE45" i="44"/>
  <c r="BD45" i="44"/>
  <c r="BC45" i="44"/>
  <c r="BB45" i="44"/>
  <c r="BA45" i="44"/>
  <c r="AZ45" i="44"/>
  <c r="AY45" i="44"/>
  <c r="AX45" i="44"/>
  <c r="AW45" i="44"/>
  <c r="AV45" i="44"/>
  <c r="AU45" i="44"/>
  <c r="AT45" i="44"/>
  <c r="AS45" i="44"/>
  <c r="AR45" i="44"/>
  <c r="AQ45" i="44"/>
  <c r="AP45" i="44"/>
  <c r="AO45" i="44"/>
  <c r="AN45" i="44"/>
  <c r="AM45" i="44"/>
  <c r="AL45" i="44"/>
  <c r="AK45" i="44"/>
  <c r="AJ45" i="44"/>
  <c r="AI45" i="44"/>
  <c r="AH45" i="44"/>
  <c r="AG45" i="44"/>
  <c r="AF45" i="44"/>
  <c r="AE45" i="44"/>
  <c r="AD45" i="44"/>
  <c r="AC45" i="44"/>
  <c r="IR44" i="44"/>
  <c r="IQ44" i="44"/>
  <c r="IP44" i="44"/>
  <c r="IO44" i="44"/>
  <c r="IN44" i="44"/>
  <c r="IM44" i="44"/>
  <c r="IL44" i="44"/>
  <c r="IK44" i="44"/>
  <c r="IK46" i="44" s="1"/>
  <c r="IK49" i="44" s="1"/>
  <c r="IJ44" i="44"/>
  <c r="II44" i="44"/>
  <c r="IH44" i="44"/>
  <c r="IG44" i="44"/>
  <c r="IF44" i="44"/>
  <c r="IE44" i="44"/>
  <c r="ID44" i="44"/>
  <c r="IC44" i="44"/>
  <c r="IB44" i="44"/>
  <c r="IA44" i="44"/>
  <c r="HZ44" i="44"/>
  <c r="HY44" i="44"/>
  <c r="HX44" i="44"/>
  <c r="HW44" i="44"/>
  <c r="HV44" i="44"/>
  <c r="HU44" i="44"/>
  <c r="HT44" i="44"/>
  <c r="HS44" i="44"/>
  <c r="HR44" i="44"/>
  <c r="HQ44" i="44"/>
  <c r="HP44" i="44"/>
  <c r="HO44" i="44"/>
  <c r="HN44" i="44"/>
  <c r="HM44" i="44"/>
  <c r="HL44" i="44"/>
  <c r="HK44" i="44"/>
  <c r="HJ44" i="44"/>
  <c r="HI44" i="44"/>
  <c r="HH44" i="44"/>
  <c r="HG44" i="44"/>
  <c r="HF44" i="44"/>
  <c r="HE44" i="44"/>
  <c r="HD44" i="44"/>
  <c r="HC44" i="44"/>
  <c r="HB44" i="44"/>
  <c r="HA44" i="44"/>
  <c r="GZ44" i="44"/>
  <c r="GY44" i="44"/>
  <c r="GX44" i="44"/>
  <c r="GW44" i="44"/>
  <c r="GV44" i="44"/>
  <c r="GU44" i="44"/>
  <c r="GT44" i="44"/>
  <c r="GS44" i="44"/>
  <c r="GS46" i="44" s="1"/>
  <c r="GS49" i="44" s="1"/>
  <c r="GR44" i="44"/>
  <c r="GQ44" i="44"/>
  <c r="GP44" i="44"/>
  <c r="GO44" i="44"/>
  <c r="GN44" i="44"/>
  <c r="GM44" i="44"/>
  <c r="GL44" i="44"/>
  <c r="GK44" i="44"/>
  <c r="GJ44" i="44"/>
  <c r="GI44" i="44"/>
  <c r="GH44" i="44"/>
  <c r="GG44" i="44"/>
  <c r="GF44" i="44"/>
  <c r="GE44" i="44"/>
  <c r="GD44" i="44"/>
  <c r="GC44" i="44"/>
  <c r="GB44" i="44"/>
  <c r="GA44" i="44"/>
  <c r="FZ44" i="44"/>
  <c r="FY44" i="44"/>
  <c r="FX44" i="44"/>
  <c r="FW44" i="44"/>
  <c r="FV44" i="44"/>
  <c r="FU44" i="44"/>
  <c r="FT44" i="44"/>
  <c r="FS44" i="44"/>
  <c r="FR44" i="44"/>
  <c r="FQ44" i="44"/>
  <c r="FP44" i="44"/>
  <c r="FO44" i="44"/>
  <c r="FN44" i="44"/>
  <c r="FM44" i="44"/>
  <c r="FL44" i="44"/>
  <c r="FK44" i="44"/>
  <c r="FJ44" i="44"/>
  <c r="FI44" i="44"/>
  <c r="FH44" i="44"/>
  <c r="FG44" i="44"/>
  <c r="FF44" i="44"/>
  <c r="FE44" i="44"/>
  <c r="FD44" i="44"/>
  <c r="FC44" i="44"/>
  <c r="FB44" i="44"/>
  <c r="FA44" i="44"/>
  <c r="EZ44" i="44"/>
  <c r="EY44" i="44"/>
  <c r="EX44" i="44"/>
  <c r="EW44" i="44"/>
  <c r="EV44" i="44"/>
  <c r="EU44" i="44"/>
  <c r="ET44" i="44"/>
  <c r="ES44" i="44"/>
  <c r="ER44" i="44"/>
  <c r="EQ44" i="44"/>
  <c r="EP44" i="44"/>
  <c r="EO44" i="44"/>
  <c r="EN44" i="44"/>
  <c r="EM44" i="44"/>
  <c r="EL44" i="44"/>
  <c r="EK44" i="44"/>
  <c r="EJ44" i="44"/>
  <c r="EI44" i="44"/>
  <c r="EH44" i="44"/>
  <c r="EG44" i="44"/>
  <c r="EF44" i="44"/>
  <c r="EE44" i="44"/>
  <c r="ED44" i="44"/>
  <c r="EC44" i="44"/>
  <c r="EB44" i="44"/>
  <c r="EA44" i="44"/>
  <c r="DZ44" i="44"/>
  <c r="DY44" i="44"/>
  <c r="DX44" i="44"/>
  <c r="DW44" i="44"/>
  <c r="DV44" i="44"/>
  <c r="DU44" i="44"/>
  <c r="DT44" i="44"/>
  <c r="DS44" i="44"/>
  <c r="DR44" i="44"/>
  <c r="DQ44" i="44"/>
  <c r="DP44" i="44"/>
  <c r="DO44" i="44"/>
  <c r="DN44" i="44"/>
  <c r="DM44" i="44"/>
  <c r="DL44" i="44"/>
  <c r="DK44" i="44"/>
  <c r="DJ44" i="44"/>
  <c r="DI44" i="44"/>
  <c r="DH44" i="44"/>
  <c r="DG44" i="44"/>
  <c r="DF44" i="44"/>
  <c r="DE44" i="44"/>
  <c r="DD44" i="44"/>
  <c r="DC44" i="44"/>
  <c r="DB44" i="44"/>
  <c r="DA44" i="44"/>
  <c r="CZ44" i="44"/>
  <c r="CY44" i="44"/>
  <c r="CX44" i="44"/>
  <c r="CW44" i="44"/>
  <c r="CV44" i="44"/>
  <c r="CU44" i="44"/>
  <c r="CT44" i="44"/>
  <c r="CS44" i="44"/>
  <c r="CR44" i="44"/>
  <c r="CQ44" i="44"/>
  <c r="CP44" i="44"/>
  <c r="CO44" i="44"/>
  <c r="CN44" i="44"/>
  <c r="CM44" i="44"/>
  <c r="CL44" i="44"/>
  <c r="CK44" i="44"/>
  <c r="CJ44" i="44"/>
  <c r="CI44" i="44"/>
  <c r="CH44" i="44"/>
  <c r="CG44" i="44"/>
  <c r="CF44" i="44"/>
  <c r="CE44" i="44"/>
  <c r="CD44" i="44"/>
  <c r="CC44" i="44"/>
  <c r="CB44" i="44"/>
  <c r="CA44" i="44"/>
  <c r="BZ44" i="44"/>
  <c r="BY44" i="44"/>
  <c r="BX44" i="44"/>
  <c r="BW44" i="44"/>
  <c r="BV44" i="44"/>
  <c r="BU44" i="44"/>
  <c r="BT44" i="44"/>
  <c r="BS44" i="44"/>
  <c r="BR44" i="44"/>
  <c r="BQ44" i="44"/>
  <c r="BQ46" i="44" s="1"/>
  <c r="BQ49" i="44" s="1"/>
  <c r="BP44" i="44"/>
  <c r="BO44" i="44"/>
  <c r="BN44" i="44"/>
  <c r="BM44" i="44"/>
  <c r="BL44" i="44"/>
  <c r="BK44" i="44"/>
  <c r="BJ44" i="44"/>
  <c r="BI44" i="44"/>
  <c r="BH44" i="44"/>
  <c r="BG44" i="44"/>
  <c r="BF44" i="44"/>
  <c r="BE44" i="44"/>
  <c r="BE46" i="44" s="1"/>
  <c r="BE49" i="44" s="1"/>
  <c r="BD44" i="44"/>
  <c r="BC44" i="44"/>
  <c r="BB44" i="44"/>
  <c r="BA44" i="44"/>
  <c r="AZ44" i="44"/>
  <c r="AY44" i="44"/>
  <c r="AX44" i="44"/>
  <c r="AW44" i="44"/>
  <c r="AW46" i="44" s="1"/>
  <c r="AW49" i="44" s="1"/>
  <c r="AV44" i="44"/>
  <c r="AU44" i="44"/>
  <c r="AT44" i="44"/>
  <c r="AS44" i="44"/>
  <c r="AR44" i="44"/>
  <c r="AQ44" i="44"/>
  <c r="AP44" i="44"/>
  <c r="AO44" i="44"/>
  <c r="AN44" i="44"/>
  <c r="AM44" i="44"/>
  <c r="AL44" i="44"/>
  <c r="AK44" i="44"/>
  <c r="AJ44" i="44"/>
  <c r="AI44" i="44"/>
  <c r="AH44" i="44"/>
  <c r="AG44" i="44"/>
  <c r="AF44" i="44"/>
  <c r="AE44" i="44"/>
  <c r="AD44" i="44"/>
  <c r="AC44" i="44"/>
  <c r="IR43" i="44"/>
  <c r="IQ43" i="44"/>
  <c r="IP43" i="44"/>
  <c r="IO43" i="44"/>
  <c r="IN43" i="44"/>
  <c r="IM43" i="44"/>
  <c r="IL43" i="44"/>
  <c r="IK43" i="44"/>
  <c r="IJ43" i="44"/>
  <c r="II43" i="44"/>
  <c r="IH43" i="44"/>
  <c r="IH46" i="44" s="1"/>
  <c r="IG43" i="44"/>
  <c r="IF43" i="44"/>
  <c r="IE43" i="44"/>
  <c r="ID43" i="44"/>
  <c r="IC43" i="44"/>
  <c r="IB43" i="44"/>
  <c r="IA43" i="44"/>
  <c r="HZ43" i="44"/>
  <c r="HY43" i="44"/>
  <c r="HX43" i="44"/>
  <c r="HW43" i="44"/>
  <c r="HV43" i="44"/>
  <c r="HU43" i="44"/>
  <c r="HT43" i="44"/>
  <c r="HS43" i="44"/>
  <c r="HR43" i="44"/>
  <c r="HQ43" i="44"/>
  <c r="HP43" i="44"/>
  <c r="HO43" i="44"/>
  <c r="HN43" i="44"/>
  <c r="HM43" i="44"/>
  <c r="HL43" i="44"/>
  <c r="HK43" i="44"/>
  <c r="HJ43" i="44"/>
  <c r="HI43" i="44"/>
  <c r="HH43" i="44"/>
  <c r="HG43" i="44"/>
  <c r="HF43" i="44"/>
  <c r="HE43" i="44"/>
  <c r="HD43" i="44"/>
  <c r="HC43" i="44"/>
  <c r="HC46" i="44" s="1"/>
  <c r="HC49" i="44" s="1"/>
  <c r="HB43" i="44"/>
  <c r="HA43" i="44"/>
  <c r="GZ43" i="44"/>
  <c r="GY43" i="44"/>
  <c r="GX43" i="44"/>
  <c r="GW43" i="44"/>
  <c r="GV43" i="44"/>
  <c r="GU43" i="44"/>
  <c r="GT43" i="44"/>
  <c r="GS43" i="44"/>
  <c r="GR43" i="44"/>
  <c r="GQ43" i="44"/>
  <c r="GP43" i="44"/>
  <c r="GO43" i="44"/>
  <c r="GN43" i="44"/>
  <c r="GM43" i="44"/>
  <c r="GL43" i="44"/>
  <c r="GK43" i="44"/>
  <c r="GJ43" i="44"/>
  <c r="GI43" i="44"/>
  <c r="GH43" i="44"/>
  <c r="GG43" i="44"/>
  <c r="GF43" i="44"/>
  <c r="GE43" i="44"/>
  <c r="GD43" i="44"/>
  <c r="GC43" i="44"/>
  <c r="GB43" i="44"/>
  <c r="GA43" i="44"/>
  <c r="FZ43" i="44"/>
  <c r="FY43" i="44"/>
  <c r="FX43" i="44"/>
  <c r="FW43" i="44"/>
  <c r="FV43" i="44"/>
  <c r="FU43" i="44"/>
  <c r="FT43" i="44"/>
  <c r="FS43" i="44"/>
  <c r="FR43" i="44"/>
  <c r="FQ43" i="44"/>
  <c r="FP43" i="44"/>
  <c r="FO43" i="44"/>
  <c r="FN43" i="44"/>
  <c r="FM43" i="44"/>
  <c r="FL43" i="44"/>
  <c r="FK43" i="44"/>
  <c r="FJ43" i="44"/>
  <c r="FI43" i="44"/>
  <c r="FH43" i="44"/>
  <c r="FG43" i="44"/>
  <c r="FF43" i="44"/>
  <c r="FE43" i="44"/>
  <c r="FD43" i="44"/>
  <c r="FC43" i="44"/>
  <c r="FB43" i="44"/>
  <c r="FA43" i="44"/>
  <c r="EZ43" i="44"/>
  <c r="EY43" i="44"/>
  <c r="EX43" i="44"/>
  <c r="EW43" i="44"/>
  <c r="EV43" i="44"/>
  <c r="EU43" i="44"/>
  <c r="ET43" i="44"/>
  <c r="ES43" i="44"/>
  <c r="ER43" i="44"/>
  <c r="EQ43" i="44"/>
  <c r="EP43" i="44"/>
  <c r="EO43" i="44"/>
  <c r="EN43" i="44"/>
  <c r="EM43" i="44"/>
  <c r="EL43" i="44"/>
  <c r="EK43" i="44"/>
  <c r="EJ43" i="44"/>
  <c r="EI43" i="44"/>
  <c r="EH43" i="44"/>
  <c r="EG43" i="44"/>
  <c r="EF43" i="44"/>
  <c r="EE43" i="44"/>
  <c r="ED43" i="44"/>
  <c r="EC43" i="44"/>
  <c r="EB43" i="44"/>
  <c r="EA43" i="44"/>
  <c r="DZ43" i="44"/>
  <c r="DY43" i="44"/>
  <c r="DX43" i="44"/>
  <c r="DW43" i="44"/>
  <c r="DV43" i="44"/>
  <c r="DU43" i="44"/>
  <c r="DT43" i="44"/>
  <c r="DS43" i="44"/>
  <c r="DR43" i="44"/>
  <c r="DQ43" i="44"/>
  <c r="DP43" i="44"/>
  <c r="DO43" i="44"/>
  <c r="DN43" i="44"/>
  <c r="DM43" i="44"/>
  <c r="DL43" i="44"/>
  <c r="DK43" i="44"/>
  <c r="DJ43" i="44"/>
  <c r="DI43" i="44"/>
  <c r="DH43" i="44"/>
  <c r="DG43" i="44"/>
  <c r="DF43" i="44"/>
  <c r="DE43" i="44"/>
  <c r="DD43" i="44"/>
  <c r="DC43" i="44"/>
  <c r="DB43" i="44"/>
  <c r="DA43" i="44"/>
  <c r="CZ43" i="44"/>
  <c r="CY43" i="44"/>
  <c r="CX43" i="44"/>
  <c r="CW43" i="44"/>
  <c r="CV43" i="44"/>
  <c r="CU43" i="44"/>
  <c r="CT43" i="44"/>
  <c r="CS43" i="44"/>
  <c r="CR43" i="44"/>
  <c r="CQ43" i="44"/>
  <c r="CP43" i="44"/>
  <c r="CO43" i="44"/>
  <c r="CN43" i="44"/>
  <c r="CM43" i="44"/>
  <c r="CM46" i="44" s="1"/>
  <c r="CM49" i="44" s="1"/>
  <c r="CL43" i="44"/>
  <c r="CK43" i="44"/>
  <c r="CJ43" i="44"/>
  <c r="CI43" i="44"/>
  <c r="CH43" i="44"/>
  <c r="CG43" i="44"/>
  <c r="CF43" i="44"/>
  <c r="CE43" i="44"/>
  <c r="CD43" i="44"/>
  <c r="CC43" i="44"/>
  <c r="CB43" i="44"/>
  <c r="CA43" i="44"/>
  <c r="BZ43" i="44"/>
  <c r="BY43" i="44"/>
  <c r="BX43" i="44"/>
  <c r="BW43" i="44"/>
  <c r="BV43" i="44"/>
  <c r="BU43" i="44"/>
  <c r="BT43" i="44"/>
  <c r="BS43" i="44"/>
  <c r="BR43" i="44"/>
  <c r="BQ43" i="44"/>
  <c r="BP43" i="44"/>
  <c r="BO43" i="44"/>
  <c r="BN43" i="44"/>
  <c r="BM43" i="44"/>
  <c r="BL43" i="44"/>
  <c r="BK43" i="44"/>
  <c r="BK46" i="44" s="1"/>
  <c r="BK49" i="44" s="1"/>
  <c r="BJ43" i="44"/>
  <c r="BI43" i="44"/>
  <c r="BH43" i="44"/>
  <c r="BG43" i="44"/>
  <c r="BF43" i="44"/>
  <c r="BE43" i="44"/>
  <c r="BD43" i="44"/>
  <c r="BC43" i="44"/>
  <c r="BC46" i="44" s="1"/>
  <c r="BC49" i="44" s="1"/>
  <c r="BB43" i="44"/>
  <c r="BA43" i="44"/>
  <c r="AZ43" i="44"/>
  <c r="AY43" i="44"/>
  <c r="AX43" i="44"/>
  <c r="AW43" i="44"/>
  <c r="AV43" i="44"/>
  <c r="AU43" i="44"/>
  <c r="AT43" i="44"/>
  <c r="AS43" i="44"/>
  <c r="AR43" i="44"/>
  <c r="AQ43" i="44"/>
  <c r="AQ46" i="44" s="1"/>
  <c r="AQ49" i="44" s="1"/>
  <c r="AP43" i="44"/>
  <c r="AO43" i="44"/>
  <c r="AN43" i="44"/>
  <c r="AM43" i="44"/>
  <c r="AL43" i="44"/>
  <c r="AK43" i="44"/>
  <c r="AJ43" i="44"/>
  <c r="AI43" i="44"/>
  <c r="AH43" i="44"/>
  <c r="AG43" i="44"/>
  <c r="AF43" i="44"/>
  <c r="AE43" i="44"/>
  <c r="AD43" i="44"/>
  <c r="AC43" i="44"/>
  <c r="IR42" i="44"/>
  <c r="IR46" i="44" s="1"/>
  <c r="IQ42" i="44"/>
  <c r="IQ46" i="44" s="1"/>
  <c r="IQ49" i="44" s="1"/>
  <c r="IP42" i="44"/>
  <c r="IP46" i="44" s="1"/>
  <c r="IO42" i="44"/>
  <c r="IO46" i="44"/>
  <c r="IO49" i="44" s="1"/>
  <c r="IN42" i="44"/>
  <c r="IN46" i="44" s="1"/>
  <c r="IM42" i="44"/>
  <c r="IM46" i="44" s="1"/>
  <c r="IM49" i="44" s="1"/>
  <c r="IL42" i="44"/>
  <c r="IL46" i="44" s="1"/>
  <c r="IL49" i="44" s="1"/>
  <c r="IK42" i="44"/>
  <c r="IJ42" i="44"/>
  <c r="IJ46" i="44" s="1"/>
  <c r="II42" i="44"/>
  <c r="II46" i="44" s="1"/>
  <c r="II49" i="44" s="1"/>
  <c r="IH42" i="44"/>
  <c r="IG42" i="44"/>
  <c r="IF42" i="44"/>
  <c r="IF46" i="44" s="1"/>
  <c r="IE42" i="44"/>
  <c r="IE46" i="44" s="1"/>
  <c r="IE49" i="44" s="1"/>
  <c r="ID42" i="44"/>
  <c r="ID46" i="44" s="1"/>
  <c r="ID49" i="44" s="1"/>
  <c r="IC42" i="44"/>
  <c r="IB42" i="44"/>
  <c r="IB46" i="44"/>
  <c r="IA42" i="44"/>
  <c r="HZ42" i="44"/>
  <c r="HZ46" i="44" s="1"/>
  <c r="HY42" i="44"/>
  <c r="HX42" i="44"/>
  <c r="HX46" i="44" s="1"/>
  <c r="HX49" i="44" s="1"/>
  <c r="HW42" i="44"/>
  <c r="HV42" i="44"/>
  <c r="HV46" i="44" s="1"/>
  <c r="HU42" i="44"/>
  <c r="HU46" i="44" s="1"/>
  <c r="HU49" i="44" s="1"/>
  <c r="HT42" i="44"/>
  <c r="HT46" i="44" s="1"/>
  <c r="HS42" i="44"/>
  <c r="HR42" i="44"/>
  <c r="HR46" i="44" s="1"/>
  <c r="HQ42" i="44"/>
  <c r="HQ46" i="44" s="1"/>
  <c r="HQ49" i="44" s="1"/>
  <c r="HP42" i="44"/>
  <c r="HP46" i="44" s="1"/>
  <c r="HO42" i="44"/>
  <c r="HN42" i="44"/>
  <c r="HN46" i="44" s="1"/>
  <c r="HM42" i="44"/>
  <c r="HM46" i="44" s="1"/>
  <c r="HM49" i="44" s="1"/>
  <c r="HL42" i="44"/>
  <c r="HL46" i="44" s="1"/>
  <c r="HK42" i="44"/>
  <c r="HJ42" i="44"/>
  <c r="HJ46" i="44" s="1"/>
  <c r="HI42" i="44"/>
  <c r="HH42" i="44"/>
  <c r="HH46" i="44"/>
  <c r="HH49" i="44" s="1"/>
  <c r="HG42" i="44"/>
  <c r="HF42" i="44"/>
  <c r="HF46" i="44" s="1"/>
  <c r="HE42" i="44"/>
  <c r="HD42" i="44"/>
  <c r="HD46" i="44" s="1"/>
  <c r="HC42" i="44"/>
  <c r="HB42" i="44"/>
  <c r="HB46" i="44" s="1"/>
  <c r="HA42" i="44"/>
  <c r="HA46" i="44" s="1"/>
  <c r="HA49" i="44" s="1"/>
  <c r="GZ42" i="44"/>
  <c r="GZ46" i="44" s="1"/>
  <c r="GY42" i="44"/>
  <c r="GX42" i="44"/>
  <c r="GX46" i="44"/>
  <c r="GW42" i="44"/>
  <c r="GV42" i="44"/>
  <c r="GV46" i="44" s="1"/>
  <c r="GU42" i="44"/>
  <c r="GT42" i="44"/>
  <c r="GT46" i="44" s="1"/>
  <c r="GT49" i="44" s="1"/>
  <c r="GS42" i="44"/>
  <c r="GR42" i="44"/>
  <c r="GR46" i="44" s="1"/>
  <c r="GQ42" i="44"/>
  <c r="GQ46" i="44" s="1"/>
  <c r="GQ49" i="44" s="1"/>
  <c r="GP42" i="44"/>
  <c r="GP46" i="44" s="1"/>
  <c r="GO42" i="44"/>
  <c r="GN42" i="44"/>
  <c r="GN46" i="44" s="1"/>
  <c r="GN49" i="44" s="1"/>
  <c r="GM42" i="44"/>
  <c r="GL42" i="44"/>
  <c r="GL46" i="44" s="1"/>
  <c r="GK42" i="44"/>
  <c r="GK46" i="44" s="1"/>
  <c r="GK49" i="44" s="1"/>
  <c r="GJ42" i="44"/>
  <c r="GJ46" i="44" s="1"/>
  <c r="GI42" i="44"/>
  <c r="GH42" i="44"/>
  <c r="GH46" i="44" s="1"/>
  <c r="GG42" i="44"/>
  <c r="GG46" i="44" s="1"/>
  <c r="GG49" i="44" s="1"/>
  <c r="GF42" i="44"/>
  <c r="GF46" i="44" s="1"/>
  <c r="GE42" i="44"/>
  <c r="GD42" i="44"/>
  <c r="GD46" i="44" s="1"/>
  <c r="GD49" i="44" s="1"/>
  <c r="GC42" i="44"/>
  <c r="GB42" i="44"/>
  <c r="GB46" i="44" s="1"/>
  <c r="GA42" i="44"/>
  <c r="GA46" i="44" s="1"/>
  <c r="FZ42" i="44"/>
  <c r="FZ46" i="44" s="1"/>
  <c r="FY42" i="44"/>
  <c r="FY46" i="44" s="1"/>
  <c r="FY49" i="44" s="1"/>
  <c r="FX42" i="44"/>
  <c r="FX46" i="44" s="1"/>
  <c r="FW42" i="44"/>
  <c r="FV42" i="44"/>
  <c r="FV46" i="44" s="1"/>
  <c r="FV49" i="44" s="1"/>
  <c r="FU42" i="44"/>
  <c r="FU46" i="44" s="1"/>
  <c r="FU49" i="44" s="1"/>
  <c r="FT42" i="44"/>
  <c r="FT46" i="44" s="1"/>
  <c r="FS42" i="44"/>
  <c r="FR42" i="44"/>
  <c r="FR46" i="44" s="1"/>
  <c r="FQ42" i="44"/>
  <c r="FQ46" i="44" s="1"/>
  <c r="FQ49" i="44" s="1"/>
  <c r="FP42" i="44"/>
  <c r="FP46" i="44" s="1"/>
  <c r="FO42" i="44"/>
  <c r="FN42" i="44"/>
  <c r="FN46" i="44" s="1"/>
  <c r="FN49" i="44" s="1"/>
  <c r="FM42" i="44"/>
  <c r="FL42" i="44"/>
  <c r="FL46" i="44" s="1"/>
  <c r="FK42" i="44"/>
  <c r="FK46" i="44" s="1"/>
  <c r="FJ42" i="44"/>
  <c r="FJ46" i="44" s="1"/>
  <c r="FI42" i="44"/>
  <c r="FI46" i="44" s="1"/>
  <c r="FI49" i="44" s="1"/>
  <c r="FH42" i="44"/>
  <c r="FH46" i="44" s="1"/>
  <c r="FH49" i="44" s="1"/>
  <c r="FG42" i="44"/>
  <c r="FF42" i="44"/>
  <c r="FF46" i="44" s="1"/>
  <c r="FF49" i="44" s="1"/>
  <c r="FE42" i="44"/>
  <c r="FE46" i="44" s="1"/>
  <c r="FE49" i="44" s="1"/>
  <c r="FD42" i="44"/>
  <c r="FD46" i="44" s="1"/>
  <c r="FC42" i="44"/>
  <c r="FB42" i="44"/>
  <c r="FB46" i="44" s="1"/>
  <c r="FA42" i="44"/>
  <c r="FA46" i="44" s="1"/>
  <c r="FA49" i="44" s="1"/>
  <c r="EZ42" i="44"/>
  <c r="EZ46" i="44" s="1"/>
  <c r="EY42" i="44"/>
  <c r="EX42" i="44"/>
  <c r="EX46" i="44" s="1"/>
  <c r="EX49" i="44" s="1"/>
  <c r="EW42" i="44"/>
  <c r="EV42" i="44"/>
  <c r="EV46" i="44" s="1"/>
  <c r="EU42" i="44"/>
  <c r="EU46" i="44" s="1"/>
  <c r="ET42" i="44"/>
  <c r="ET46" i="44" s="1"/>
  <c r="ES42" i="44"/>
  <c r="ES46" i="44" s="1"/>
  <c r="ES49" i="44" s="1"/>
  <c r="ER42" i="44"/>
  <c r="ER46" i="44" s="1"/>
  <c r="EQ42" i="44"/>
  <c r="EP42" i="44"/>
  <c r="EP46" i="44" s="1"/>
  <c r="EO42" i="44"/>
  <c r="EO46" i="44"/>
  <c r="EO49" i="44" s="1"/>
  <c r="EN42" i="44"/>
  <c r="EN46" i="44" s="1"/>
  <c r="EM42" i="44"/>
  <c r="EL42" i="44"/>
  <c r="EL46" i="44" s="1"/>
  <c r="EK42" i="44"/>
  <c r="EK46" i="44" s="1"/>
  <c r="EK49" i="44" s="1"/>
  <c r="EJ42" i="44"/>
  <c r="EJ46" i="44"/>
  <c r="EI42" i="44"/>
  <c r="EH42" i="44"/>
  <c r="EH46" i="44" s="1"/>
  <c r="EH49" i="44" s="1"/>
  <c r="EG42" i="44"/>
  <c r="EF42" i="44"/>
  <c r="EF46" i="44" s="1"/>
  <c r="EE42" i="44"/>
  <c r="ED42" i="44"/>
  <c r="ED46" i="44" s="1"/>
  <c r="EC42" i="44"/>
  <c r="EB42" i="44"/>
  <c r="EB46" i="44" s="1"/>
  <c r="EA42" i="44"/>
  <c r="EA46" i="44" s="1"/>
  <c r="EA49" i="44" s="1"/>
  <c r="DZ42" i="44"/>
  <c r="DZ46" i="44" s="1"/>
  <c r="DY42" i="44"/>
  <c r="DX42" i="44"/>
  <c r="DX46" i="44" s="1"/>
  <c r="DX49" i="44" s="1"/>
  <c r="DW42" i="44"/>
  <c r="DV42" i="44"/>
  <c r="DV46" i="44" s="1"/>
  <c r="DU42" i="44"/>
  <c r="DU46" i="44" s="1"/>
  <c r="DU49" i="44" s="1"/>
  <c r="DT42" i="44"/>
  <c r="DT46" i="44" s="1"/>
  <c r="DS42" i="44"/>
  <c r="DR42" i="44"/>
  <c r="DR46" i="44" s="1"/>
  <c r="DR49" i="44" s="1"/>
  <c r="DQ42" i="44"/>
  <c r="DP42" i="44"/>
  <c r="DP46" i="44" s="1"/>
  <c r="DO42" i="44"/>
  <c r="DO46" i="44" s="1"/>
  <c r="DN42" i="44"/>
  <c r="DN46" i="44" s="1"/>
  <c r="DM42" i="44"/>
  <c r="DM46" i="44" s="1"/>
  <c r="DM49" i="44" s="1"/>
  <c r="DL42" i="44"/>
  <c r="DL46" i="44" s="1"/>
  <c r="DL49" i="44" s="1"/>
  <c r="DK42" i="44"/>
  <c r="DJ42" i="44"/>
  <c r="DJ46" i="44" s="1"/>
  <c r="DI42" i="44"/>
  <c r="DI46" i="44"/>
  <c r="DI49" i="44" s="1"/>
  <c r="DH42" i="44"/>
  <c r="DH46" i="44" s="1"/>
  <c r="DG42" i="44"/>
  <c r="DF42" i="44"/>
  <c r="DF46" i="44" s="1"/>
  <c r="DE42" i="44"/>
  <c r="DE46" i="44" s="1"/>
  <c r="DE49" i="44" s="1"/>
  <c r="DD42" i="44"/>
  <c r="DD46" i="44"/>
  <c r="DC42" i="44"/>
  <c r="DB42" i="44"/>
  <c r="DB46" i="44" s="1"/>
  <c r="DB49" i="44" s="1"/>
  <c r="DA42" i="44"/>
  <c r="CZ42" i="44"/>
  <c r="CZ46" i="44" s="1"/>
  <c r="CY42" i="44"/>
  <c r="CX42" i="44"/>
  <c r="CX46" i="44" s="1"/>
  <c r="CX49" i="44" s="1"/>
  <c r="CW42" i="44"/>
  <c r="CV42" i="44"/>
  <c r="CV46" i="44" s="1"/>
  <c r="CV49" i="44" s="1"/>
  <c r="CU42" i="44"/>
  <c r="CU46" i="44" s="1"/>
  <c r="CT42" i="44"/>
  <c r="CT46" i="44" s="1"/>
  <c r="CS42" i="44"/>
  <c r="CR42" i="44"/>
  <c r="CR46" i="44" s="1"/>
  <c r="CQ42" i="44"/>
  <c r="CQ46" i="44" s="1"/>
  <c r="CQ49" i="44" s="1"/>
  <c r="CP42" i="44"/>
  <c r="CP46" i="44"/>
  <c r="CO42" i="44"/>
  <c r="CN42" i="44"/>
  <c r="CN46" i="44" s="1"/>
  <c r="CN49" i="44" s="1"/>
  <c r="CM42" i="44"/>
  <c r="CL42" i="44"/>
  <c r="CL46" i="44" s="1"/>
  <c r="CK42" i="44"/>
  <c r="CK46" i="44" s="1"/>
  <c r="CK49" i="44" s="1"/>
  <c r="CJ42" i="44"/>
  <c r="CJ46" i="44"/>
  <c r="CI42" i="44"/>
  <c r="CH42" i="44"/>
  <c r="CH46" i="44" s="1"/>
  <c r="CH49" i="44" s="1"/>
  <c r="CG42" i="44"/>
  <c r="CF42" i="44"/>
  <c r="CF46" i="44" s="1"/>
  <c r="CE42" i="44"/>
  <c r="CE46" i="44" s="1"/>
  <c r="CE49" i="44" s="1"/>
  <c r="CD42" i="44"/>
  <c r="CD46" i="44" s="1"/>
  <c r="CC42" i="44"/>
  <c r="CB42" i="44"/>
  <c r="CB46" i="44" s="1"/>
  <c r="CB49" i="44" s="1"/>
  <c r="CA42" i="44"/>
  <c r="BZ42" i="44"/>
  <c r="BZ46" i="44" s="1"/>
  <c r="BY42" i="44"/>
  <c r="BY46" i="44" s="1"/>
  <c r="BX42" i="44"/>
  <c r="BX46" i="44" s="1"/>
  <c r="BW42" i="44"/>
  <c r="BV42" i="44"/>
  <c r="BV46" i="44" s="1"/>
  <c r="BV49" i="44" s="1"/>
  <c r="BU42" i="44"/>
  <c r="BT42" i="44"/>
  <c r="BT46" i="44" s="1"/>
  <c r="BS42" i="44"/>
  <c r="BS46" i="44" s="1"/>
  <c r="BS49" i="44" s="1"/>
  <c r="BR42" i="44"/>
  <c r="BR46" i="44" s="1"/>
  <c r="BQ42" i="44"/>
  <c r="BP42" i="44"/>
  <c r="BP46" i="44" s="1"/>
  <c r="BP49" i="44" s="1"/>
  <c r="BO42" i="44"/>
  <c r="BN42" i="44"/>
  <c r="BN46" i="44"/>
  <c r="BM42" i="44"/>
  <c r="BM46" i="44" s="1"/>
  <c r="BM49" i="44" s="1"/>
  <c r="BL42" i="44"/>
  <c r="BL46" i="44" s="1"/>
  <c r="BK42" i="44"/>
  <c r="BJ42" i="44"/>
  <c r="BJ46" i="44" s="1"/>
  <c r="BJ49" i="44" s="1"/>
  <c r="BI42" i="44"/>
  <c r="BH42" i="44"/>
  <c r="BH46" i="44"/>
  <c r="BG42" i="44"/>
  <c r="BG46" i="44" s="1"/>
  <c r="BF42" i="44"/>
  <c r="BF46" i="44" s="1"/>
  <c r="BE42" i="44"/>
  <c r="BD42" i="44"/>
  <c r="BD46" i="44" s="1"/>
  <c r="BD49" i="44" s="1"/>
  <c r="BC42" i="44"/>
  <c r="BB42" i="44"/>
  <c r="BB46" i="44" s="1"/>
  <c r="BA42" i="44"/>
  <c r="BA46" i="44" s="1"/>
  <c r="BA49" i="44" s="1"/>
  <c r="AZ42" i="44"/>
  <c r="AZ46" i="44"/>
  <c r="AY42" i="44"/>
  <c r="AX42" i="44"/>
  <c r="AX46" i="44" s="1"/>
  <c r="AX49" i="44" s="1"/>
  <c r="AW42" i="44"/>
  <c r="AV42" i="44"/>
  <c r="AV46" i="44" s="1"/>
  <c r="AU42" i="44"/>
  <c r="AU46" i="44" s="1"/>
  <c r="AU49" i="44" s="1"/>
  <c r="AT42" i="44"/>
  <c r="AT46" i="44"/>
  <c r="AS42" i="44"/>
  <c r="AR42" i="44"/>
  <c r="AR46" i="44" s="1"/>
  <c r="AQ42" i="44"/>
  <c r="AP42" i="44"/>
  <c r="AP46" i="44" s="1"/>
  <c r="AO42" i="44"/>
  <c r="AO46" i="44" s="1"/>
  <c r="AO49" i="44" s="1"/>
  <c r="AN42" i="44"/>
  <c r="AN46" i="44" s="1"/>
  <c r="AM42" i="44"/>
  <c r="AL42" i="44"/>
  <c r="AL46" i="44" s="1"/>
  <c r="AK42" i="44"/>
  <c r="AK46" i="44" s="1"/>
  <c r="AK49" i="44" s="1"/>
  <c r="AJ42" i="44"/>
  <c r="AJ46" i="44" s="1"/>
  <c r="AI42" i="44"/>
  <c r="AH42" i="44"/>
  <c r="AH46" i="44" s="1"/>
  <c r="AG42" i="44"/>
  <c r="AG46" i="44" s="1"/>
  <c r="AG49" i="44" s="1"/>
  <c r="AF42" i="44"/>
  <c r="AF46" i="44" s="1"/>
  <c r="AE42" i="44"/>
  <c r="AD42" i="44"/>
  <c r="AD46" i="44" s="1"/>
  <c r="AC42" i="44"/>
  <c r="AC46" i="44" s="1"/>
  <c r="AC49" i="44" s="1"/>
  <c r="E40" i="44"/>
  <c r="D40" i="44"/>
  <c r="C40" i="44"/>
  <c r="AD13" i="44" s="1"/>
  <c r="E38" i="44"/>
  <c r="E39" i="44" s="1"/>
  <c r="D38" i="44"/>
  <c r="D39" i="44"/>
  <c r="C38" i="44"/>
  <c r="C39" i="44" s="1"/>
  <c r="AD32" i="44"/>
  <c r="AD33" i="44" s="1"/>
  <c r="S32" i="44"/>
  <c r="S31" i="44"/>
  <c r="S30" i="44"/>
  <c r="S29" i="44"/>
  <c r="S28" i="44"/>
  <c r="S27" i="44"/>
  <c r="S26" i="44"/>
  <c r="S25" i="44"/>
  <c r="V23" i="44"/>
  <c r="G42" i="44" s="1"/>
  <c r="R23" i="44"/>
  <c r="U22" i="44"/>
  <c r="H13" i="44" s="1"/>
  <c r="I21" i="44"/>
  <c r="I19" i="44"/>
  <c r="R20" i="44"/>
  <c r="E13" i="44"/>
  <c r="M43" i="44"/>
  <c r="Q43" i="44"/>
  <c r="S44" i="44"/>
  <c r="W44" i="44"/>
  <c r="C50" i="44"/>
  <c r="G50" i="44"/>
  <c r="O58" i="44"/>
  <c r="W58" i="44"/>
  <c r="P42" i="44"/>
  <c r="X42" i="44"/>
  <c r="H44" i="44"/>
  <c r="L44" i="44"/>
  <c r="R45" i="44"/>
  <c r="V45" i="44"/>
  <c r="X50" i="44"/>
  <c r="AB50" i="44"/>
  <c r="BE58" i="44"/>
  <c r="BM58" i="44"/>
  <c r="L314" i="44"/>
  <c r="H314" i="44"/>
  <c r="F313" i="44"/>
  <c r="AB312" i="44"/>
  <c r="AB54" i="44" s="1"/>
  <c r="V314" i="44"/>
  <c r="K313" i="44"/>
  <c r="E313" i="44"/>
  <c r="AA311" i="44"/>
  <c r="AA53" i="44" s="1"/>
  <c r="Y310" i="44"/>
  <c r="Y48" i="44" s="1"/>
  <c r="V310" i="44"/>
  <c r="Q310" i="44"/>
  <c r="Z309" i="44"/>
  <c r="V309" i="44"/>
  <c r="O312" i="44"/>
  <c r="S310" i="44"/>
  <c r="V312" i="44"/>
  <c r="X310" i="44"/>
  <c r="X48" i="44" s="1"/>
  <c r="Y314" i="44"/>
  <c r="Y56" i="44" s="1"/>
  <c r="W314" i="44"/>
  <c r="W56" i="44" s="1"/>
  <c r="G313" i="44"/>
  <c r="Y312" i="44"/>
  <c r="Y54" i="44" s="1"/>
  <c r="H312" i="44"/>
  <c r="R311" i="44"/>
  <c r="N310" i="44"/>
  <c r="P309" i="44"/>
  <c r="U314" i="44"/>
  <c r="R312" i="44"/>
  <c r="V311" i="44"/>
  <c r="Q311" i="44"/>
  <c r="S309" i="44"/>
  <c r="G309" i="44"/>
  <c r="M314" i="44"/>
  <c r="C313" i="44"/>
  <c r="Z310" i="44"/>
  <c r="Z48" i="44" s="1"/>
  <c r="W313" i="44"/>
  <c r="W55" i="44" s="1"/>
  <c r="T312" i="44"/>
  <c r="T311" i="44"/>
  <c r="E190" i="44"/>
  <c r="IN47" i="44" s="1"/>
  <c r="BV58" i="44"/>
  <c r="BR58" i="44"/>
  <c r="BF58" i="44"/>
  <c r="AP58" i="44"/>
  <c r="AL58" i="44"/>
  <c r="Z58" i="44"/>
  <c r="J58" i="44"/>
  <c r="BX58" i="44"/>
  <c r="BL58" i="44"/>
  <c r="AV58" i="44"/>
  <c r="AR58" i="44"/>
  <c r="AF58" i="44"/>
  <c r="P58" i="44"/>
  <c r="L58" i="44"/>
  <c r="L42" i="44"/>
  <c r="N43" i="44"/>
  <c r="M42" i="44"/>
  <c r="Q42" i="44"/>
  <c r="K43" i="44"/>
  <c r="W43" i="44"/>
  <c r="AA43" i="44"/>
  <c r="Q44" i="44"/>
  <c r="G45" i="44"/>
  <c r="K45" i="44"/>
  <c r="AA45" i="44"/>
  <c r="M50" i="44"/>
  <c r="Q50" i="44"/>
  <c r="S58" i="44"/>
  <c r="AQ58" i="44"/>
  <c r="AY58" i="44"/>
  <c r="J42" i="44"/>
  <c r="V42" i="44"/>
  <c r="Z42" i="44"/>
  <c r="T43" i="44"/>
  <c r="F44" i="44"/>
  <c r="J44" i="44"/>
  <c r="Z44" i="44"/>
  <c r="P45" i="44"/>
  <c r="T45" i="44"/>
  <c r="J50" i="44"/>
  <c r="V50" i="44"/>
  <c r="Z50" i="44"/>
  <c r="AK58" i="44"/>
  <c r="BI58" i="44"/>
  <c r="BQ58" i="44"/>
  <c r="AC11" i="44"/>
  <c r="AR22" i="44"/>
  <c r="AQ22" i="44" s="1"/>
  <c r="AR21" i="44"/>
  <c r="AQ21" i="44" s="1"/>
  <c r="AR20" i="44"/>
  <c r="AQ20" i="44" s="1"/>
  <c r="AR19" i="44"/>
  <c r="AQ19" i="44" s="1"/>
  <c r="AR18" i="44"/>
  <c r="AQ18" i="44" s="1"/>
  <c r="AR17" i="44"/>
  <c r="AQ17" i="44" s="1"/>
  <c r="AR16" i="44"/>
  <c r="AQ16" i="44"/>
  <c r="AR15" i="44"/>
  <c r="AQ15" i="44" s="1"/>
  <c r="AR14" i="44"/>
  <c r="AQ14" i="44" s="1"/>
  <c r="AR13" i="44"/>
  <c r="AQ13" i="44" s="1"/>
  <c r="AR12" i="44"/>
  <c r="AQ12" i="44" s="1"/>
  <c r="AR11" i="44"/>
  <c r="AQ11" i="44" s="1"/>
  <c r="AR10" i="44"/>
  <c r="AQ10" i="44" s="1"/>
  <c r="AR9" i="44"/>
  <c r="AQ9" i="44" s="1"/>
  <c r="M5" i="44"/>
  <c r="T67" i="30"/>
  <c r="S67" i="30"/>
  <c r="R67" i="30"/>
  <c r="T66" i="30"/>
  <c r="S66" i="30"/>
  <c r="R66" i="30"/>
  <c r="C65" i="30"/>
  <c r="Q58" i="30"/>
  <c r="P58" i="30"/>
  <c r="O58" i="30"/>
  <c r="D58" i="30"/>
  <c r="E56" i="30"/>
  <c r="E58" i="30" s="1"/>
  <c r="F56" i="30" s="1"/>
  <c r="F58" i="30" s="1"/>
  <c r="F60" i="30" s="1"/>
  <c r="M57" i="30"/>
  <c r="G57" i="30"/>
  <c r="H57" i="30" s="1"/>
  <c r="H56" i="30"/>
  <c r="I51" i="30"/>
  <c r="J51" i="30" s="1"/>
  <c r="K51" i="30" s="1"/>
  <c r="L51" i="30" s="1"/>
  <c r="N51" i="30" s="1"/>
  <c r="O51" i="30" s="1"/>
  <c r="P51" i="30" s="1"/>
  <c r="Q51" i="30" s="1"/>
  <c r="D51" i="30"/>
  <c r="E51" i="30" s="1"/>
  <c r="U48" i="30"/>
  <c r="U67" i="30" s="1"/>
  <c r="O48" i="30"/>
  <c r="P48" i="30" s="1"/>
  <c r="Q48" i="30" s="1"/>
  <c r="L48" i="30"/>
  <c r="M48" i="30" s="1"/>
  <c r="H47" i="30"/>
  <c r="D47" i="30"/>
  <c r="D48" i="30"/>
  <c r="H48" i="30" s="1"/>
  <c r="H49" i="30" s="1"/>
  <c r="H52" i="30" s="1"/>
  <c r="E47" i="30"/>
  <c r="E49" i="30" s="1"/>
  <c r="F47" i="30" s="1"/>
  <c r="F49" i="30" s="1"/>
  <c r="G47" i="30" s="1"/>
  <c r="G49" i="30" s="1"/>
  <c r="H42" i="30"/>
  <c r="G42" i="30" s="1"/>
  <c r="F42" i="30" s="1"/>
  <c r="M42" i="30"/>
  <c r="L42" i="30" s="1"/>
  <c r="K42" i="30" s="1"/>
  <c r="J42" i="30" s="1"/>
  <c r="I42" i="30" s="1"/>
  <c r="U41" i="30"/>
  <c r="O39" i="30"/>
  <c r="P39" i="30" s="1"/>
  <c r="Q39" i="30" s="1"/>
  <c r="M39" i="30"/>
  <c r="L39" i="30" s="1"/>
  <c r="J39" i="30"/>
  <c r="G39" i="30"/>
  <c r="F39" i="30" s="1"/>
  <c r="E39" i="30" s="1"/>
  <c r="M36" i="30"/>
  <c r="H35" i="30"/>
  <c r="H37" i="30" s="1"/>
  <c r="D35" i="30"/>
  <c r="D37" i="30" s="1"/>
  <c r="K28" i="30"/>
  <c r="H28" i="30"/>
  <c r="M28" i="30" s="1"/>
  <c r="D26" i="30"/>
  <c r="E24" i="30" s="1"/>
  <c r="E26" i="30" s="1"/>
  <c r="F24" i="30" s="1"/>
  <c r="F26" i="30" s="1"/>
  <c r="M25" i="30"/>
  <c r="H25" i="30"/>
  <c r="H24" i="30"/>
  <c r="H26" i="30" s="1"/>
  <c r="R24" i="30"/>
  <c r="R26" i="30" s="1"/>
  <c r="Q24" i="30"/>
  <c r="Q29" i="30"/>
  <c r="P24" i="30"/>
  <c r="P29" i="30" s="1"/>
  <c r="O24" i="30"/>
  <c r="O29" i="30"/>
  <c r="D24" i="30"/>
  <c r="D19" i="30"/>
  <c r="R18" i="30"/>
  <c r="T18" i="30"/>
  <c r="L18" i="30"/>
  <c r="I18" i="30"/>
  <c r="E18" i="30"/>
  <c r="F18" i="30" s="1"/>
  <c r="G18" i="30" s="1"/>
  <c r="H14" i="30"/>
  <c r="F15" i="30"/>
  <c r="D14" i="30"/>
  <c r="D15" i="30" s="1"/>
  <c r="L14" i="30"/>
  <c r="L16" i="30" s="1"/>
  <c r="E14" i="30"/>
  <c r="E16" i="30" s="1"/>
  <c r="Z47" i="44"/>
  <c r="IR47" i="44"/>
  <c r="IB47" i="44"/>
  <c r="HL47" i="44"/>
  <c r="GV47" i="44"/>
  <c r="GN47" i="44"/>
  <c r="GF47" i="44"/>
  <c r="FX47" i="44"/>
  <c r="FP47" i="44"/>
  <c r="FH47" i="44"/>
  <c r="EZ47" i="44"/>
  <c r="ER47" i="44"/>
  <c r="EN47" i="44"/>
  <c r="EJ47" i="44"/>
  <c r="EB47" i="44"/>
  <c r="DX47" i="44"/>
  <c r="DT47" i="44"/>
  <c r="DL47" i="44"/>
  <c r="DH47" i="44"/>
  <c r="DD47" i="44"/>
  <c r="CV47" i="44"/>
  <c r="CR47" i="44"/>
  <c r="CN47" i="44"/>
  <c r="CF47" i="44"/>
  <c r="CB47" i="44"/>
  <c r="BX47" i="44"/>
  <c r="BP47" i="44"/>
  <c r="BL47" i="44"/>
  <c r="BH47" i="44"/>
  <c r="AZ47" i="44"/>
  <c r="AZ49" i="44" s="1"/>
  <c r="AV47" i="44"/>
  <c r="AR47" i="44"/>
  <c r="AJ47" i="44"/>
  <c r="AF47" i="44"/>
  <c r="IQ47" i="44"/>
  <c r="IM47" i="44"/>
  <c r="II47" i="44"/>
  <c r="IE47" i="44"/>
  <c r="IA47" i="44"/>
  <c r="HW47" i="44"/>
  <c r="HS47" i="44"/>
  <c r="HO47" i="44"/>
  <c r="HK47" i="44"/>
  <c r="HG47" i="44"/>
  <c r="HC47" i="44"/>
  <c r="GY47" i="44"/>
  <c r="GU47" i="44"/>
  <c r="GQ47" i="44"/>
  <c r="GM47" i="44"/>
  <c r="GI47" i="44"/>
  <c r="GE47" i="44"/>
  <c r="GA47" i="44"/>
  <c r="FW47" i="44"/>
  <c r="FS47" i="44"/>
  <c r="FO47" i="44"/>
  <c r="FK47" i="44"/>
  <c r="FG47" i="44"/>
  <c r="FC47" i="44"/>
  <c r="EY47" i="44"/>
  <c r="EU47" i="44"/>
  <c r="EQ47" i="44"/>
  <c r="EM47" i="44"/>
  <c r="EI47" i="44"/>
  <c r="EE47" i="44"/>
  <c r="EA47" i="44"/>
  <c r="DW47" i="44"/>
  <c r="DS47" i="44"/>
  <c r="DO47" i="44"/>
  <c r="DK47" i="44"/>
  <c r="DG47" i="44"/>
  <c r="DC47" i="44"/>
  <c r="CU47" i="44"/>
  <c r="CQ47" i="44"/>
  <c r="CM47" i="44"/>
  <c r="CE47" i="44"/>
  <c r="CA47" i="44"/>
  <c r="BW47" i="44"/>
  <c r="BO47" i="44"/>
  <c r="BK47" i="44"/>
  <c r="BG47" i="44"/>
  <c r="AY47" i="44"/>
  <c r="AU47" i="44"/>
  <c r="AQ47" i="44"/>
  <c r="AI47" i="44"/>
  <c r="AE47" i="44"/>
  <c r="IP47" i="44"/>
  <c r="IL47" i="44"/>
  <c r="IH47" i="44"/>
  <c r="ID47" i="44"/>
  <c r="HZ47" i="44"/>
  <c r="HV47" i="44"/>
  <c r="HR47" i="44"/>
  <c r="HN47" i="44"/>
  <c r="HJ47" i="44"/>
  <c r="HF47" i="44"/>
  <c r="HB47" i="44"/>
  <c r="GX47" i="44"/>
  <c r="GT47" i="44"/>
  <c r="GP47" i="44"/>
  <c r="GL47" i="44"/>
  <c r="GH47" i="44"/>
  <c r="GD47" i="44"/>
  <c r="FZ47" i="44"/>
  <c r="FV47" i="44"/>
  <c r="FR47" i="44"/>
  <c r="FN47" i="44"/>
  <c r="FJ47" i="44"/>
  <c r="FF47" i="44"/>
  <c r="FB47" i="44"/>
  <c r="EX47" i="44"/>
  <c r="ET47" i="44"/>
  <c r="EP47" i="44"/>
  <c r="EL47" i="44"/>
  <c r="EH47" i="44"/>
  <c r="ED47" i="44"/>
  <c r="DZ47" i="44"/>
  <c r="DV47" i="44"/>
  <c r="DR47" i="44"/>
  <c r="DN47" i="44"/>
  <c r="DJ47" i="44"/>
  <c r="DF47" i="44"/>
  <c r="DB47" i="44"/>
  <c r="CX47" i="44"/>
  <c r="CT47" i="44"/>
  <c r="CP47" i="44"/>
  <c r="CL47" i="44"/>
  <c r="CH47" i="44"/>
  <c r="CD47" i="44"/>
  <c r="BZ47" i="44"/>
  <c r="BV47" i="44"/>
  <c r="BR47" i="44"/>
  <c r="BN47" i="44"/>
  <c r="BJ47" i="44"/>
  <c r="BB47" i="44"/>
  <c r="AX47" i="44"/>
  <c r="AT47" i="44"/>
  <c r="AL47" i="44"/>
  <c r="AH47" i="44"/>
  <c r="AD47" i="44"/>
  <c r="IK47" i="44"/>
  <c r="IC47" i="44"/>
  <c r="HU47" i="44"/>
  <c r="HM47" i="44"/>
  <c r="HE47" i="44"/>
  <c r="GW47" i="44"/>
  <c r="GO47" i="44"/>
  <c r="GG47" i="44"/>
  <c r="FY47" i="44"/>
  <c r="FQ47" i="44"/>
  <c r="FI47" i="44"/>
  <c r="FA47" i="44"/>
  <c r="ES47" i="44"/>
  <c r="EK47" i="44"/>
  <c r="EC47" i="44"/>
  <c r="DU47" i="44"/>
  <c r="DM47" i="44"/>
  <c r="DE47" i="44"/>
  <c r="CW47" i="44"/>
  <c r="CO47" i="44"/>
  <c r="CG47" i="44"/>
  <c r="BY47" i="44"/>
  <c r="BQ47" i="44"/>
  <c r="BI47" i="44"/>
  <c r="BA47" i="44"/>
  <c r="AS47" i="44"/>
  <c r="AK47" i="44"/>
  <c r="AC47" i="44"/>
  <c r="AA38" i="7"/>
  <c r="AC34" i="7"/>
  <c r="AC29" i="7"/>
  <c r="AC28" i="7"/>
  <c r="AC46" i="7" s="1"/>
  <c r="AC52" i="7" s="1"/>
  <c r="AC27" i="7"/>
  <c r="AC33" i="7" s="1"/>
  <c r="AC57" i="7" s="1"/>
  <c r="AC26" i="7"/>
  <c r="AC32" i="7"/>
  <c r="AA29" i="7"/>
  <c r="AA47" i="7" s="1"/>
  <c r="AA28" i="7"/>
  <c r="AA46" i="7" s="1"/>
  <c r="AA52" i="7" s="1"/>
  <c r="AA27" i="7"/>
  <c r="AA26" i="7"/>
  <c r="AA32" i="7"/>
  <c r="AA56" i="7" s="1"/>
  <c r="Y29" i="7"/>
  <c r="Y47" i="7" s="1"/>
  <c r="Y28" i="7"/>
  <c r="Y34" i="7" s="1"/>
  <c r="Y27" i="7"/>
  <c r="Y26" i="7"/>
  <c r="Y32" i="7" s="1"/>
  <c r="W29" i="7"/>
  <c r="W47" i="7" s="1"/>
  <c r="W28" i="7"/>
  <c r="W34" i="7" s="1"/>
  <c r="W27" i="7"/>
  <c r="W26" i="7"/>
  <c r="W32" i="7" s="1"/>
  <c r="W56" i="7" s="1"/>
  <c r="U29" i="7"/>
  <c r="U28" i="7"/>
  <c r="U46" i="7" s="1"/>
  <c r="U27" i="7"/>
  <c r="U26" i="7"/>
  <c r="U32" i="7" s="1"/>
  <c r="S29" i="7"/>
  <c r="S28" i="7"/>
  <c r="S27" i="7"/>
  <c r="S26" i="7"/>
  <c r="S32" i="7" s="1"/>
  <c r="S56" i="7" s="1"/>
  <c r="P28" i="7"/>
  <c r="P34" i="7" s="1"/>
  <c r="P46" i="7"/>
  <c r="P52" i="7" s="1"/>
  <c r="P27" i="7"/>
  <c r="P26" i="7"/>
  <c r="P44" i="7" s="1"/>
  <c r="N28" i="7"/>
  <c r="N27" i="7"/>
  <c r="L27" i="7"/>
  <c r="L33" i="7" s="1"/>
  <c r="L26" i="7"/>
  <c r="J28" i="7"/>
  <c r="J27" i="7"/>
  <c r="J33" i="7" s="1"/>
  <c r="J26" i="7"/>
  <c r="J50" i="7" s="1"/>
  <c r="H28" i="7"/>
  <c r="H46" i="7" s="1"/>
  <c r="H27" i="7"/>
  <c r="H45" i="7" s="1"/>
  <c r="H26" i="7"/>
  <c r="H32" i="7" s="1"/>
  <c r="H56" i="7" s="1"/>
  <c r="F28" i="7"/>
  <c r="F27" i="7"/>
  <c r="F45" i="7" s="1"/>
  <c r="D28" i="7"/>
  <c r="D46" i="7"/>
  <c r="D52" i="7" s="1"/>
  <c r="D27" i="7"/>
  <c r="D33" i="7" s="1"/>
  <c r="D26" i="7"/>
  <c r="AE27" i="7"/>
  <c r="AE33" i="7" s="1"/>
  <c r="AE26" i="7"/>
  <c r="AE44" i="7" s="1"/>
  <c r="AE56" i="7" s="1"/>
  <c r="P23" i="7"/>
  <c r="N23" i="7"/>
  <c r="L23" i="7"/>
  <c r="L22" i="7"/>
  <c r="L28" i="7" s="1"/>
  <c r="J23" i="7"/>
  <c r="H23" i="7"/>
  <c r="F23" i="7"/>
  <c r="D23" i="7"/>
  <c r="AE17" i="7"/>
  <c r="P17" i="7"/>
  <c r="N17" i="7"/>
  <c r="L17" i="7"/>
  <c r="J17" i="7"/>
  <c r="J29" i="7" s="1"/>
  <c r="H17" i="7"/>
  <c r="H29" i="7" s="1"/>
  <c r="F17" i="7"/>
  <c r="D17" i="7"/>
  <c r="D29" i="7" s="1"/>
  <c r="F14" i="7"/>
  <c r="F26" i="7" s="1"/>
  <c r="N10" i="7"/>
  <c r="N9" i="7"/>
  <c r="N33" i="7" s="1"/>
  <c r="N57" i="7" s="1"/>
  <c r="J10" i="7"/>
  <c r="H10" i="7"/>
  <c r="H9" i="7"/>
  <c r="H8" i="7"/>
  <c r="L9" i="7"/>
  <c r="L8" i="7"/>
  <c r="F9" i="7"/>
  <c r="J8" i="7"/>
  <c r="P34" i="6"/>
  <c r="BE31" i="6"/>
  <c r="AJ31" i="6"/>
  <c r="AO31" i="6"/>
  <c r="AF31" i="6"/>
  <c r="AF30" i="6"/>
  <c r="AK30" i="6" s="1"/>
  <c r="AF29" i="6"/>
  <c r="AK29" i="6" s="1"/>
  <c r="AF28" i="6"/>
  <c r="AK28" i="6" s="1"/>
  <c r="D31" i="6"/>
  <c r="D30" i="6"/>
  <c r="D29" i="6"/>
  <c r="BD29" i="6"/>
  <c r="BD35" i="6" s="1"/>
  <c r="BD28" i="6"/>
  <c r="BI28" i="6" s="1"/>
  <c r="AB31" i="6"/>
  <c r="AB30" i="6"/>
  <c r="AC30" i="6" s="1"/>
  <c r="AZ29" i="6"/>
  <c r="AZ28" i="6"/>
  <c r="AV29" i="6"/>
  <c r="AW29" i="6"/>
  <c r="AV28" i="6"/>
  <c r="AW28" i="6" s="1"/>
  <c r="X31" i="6"/>
  <c r="X30" i="6"/>
  <c r="X29" i="6"/>
  <c r="AC29" i="6" s="1"/>
  <c r="T31" i="6"/>
  <c r="T30" i="6"/>
  <c r="T29" i="6"/>
  <c r="P30" i="6"/>
  <c r="U30" i="6" s="1"/>
  <c r="P29" i="6"/>
  <c r="H31" i="6"/>
  <c r="H30" i="6"/>
  <c r="I30" i="6" s="1"/>
  <c r="H29" i="6"/>
  <c r="BA31" i="6"/>
  <c r="BA30" i="6"/>
  <c r="AW31" i="6"/>
  <c r="AW30" i="6"/>
  <c r="AS31" i="6"/>
  <c r="AS30" i="6"/>
  <c r="AS29" i="6"/>
  <c r="AS28" i="6"/>
  <c r="AO30" i="6"/>
  <c r="AO29" i="6"/>
  <c r="AJ28" i="6"/>
  <c r="U28" i="6"/>
  <c r="L31" i="6"/>
  <c r="M31" i="6" s="1"/>
  <c r="L30" i="6"/>
  <c r="L36" i="6" s="1"/>
  <c r="L29" i="6"/>
  <c r="M29" i="6"/>
  <c r="L28" i="6"/>
  <c r="M28" i="6" s="1"/>
  <c r="I28" i="6"/>
  <c r="AB25" i="6"/>
  <c r="X25" i="6"/>
  <c r="T25" i="6"/>
  <c r="P25" i="6"/>
  <c r="L25" i="6"/>
  <c r="H25" i="6"/>
  <c r="D25" i="6"/>
  <c r="AN24" i="6"/>
  <c r="AN36" i="6" s="1"/>
  <c r="AC24" i="6"/>
  <c r="AC23" i="6"/>
  <c r="Y24" i="6"/>
  <c r="T23" i="6"/>
  <c r="U23" i="6" s="1"/>
  <c r="BE22" i="6"/>
  <c r="BA25" i="6"/>
  <c r="BA24" i="6"/>
  <c r="BA23" i="6"/>
  <c r="BA22" i="6"/>
  <c r="AW25" i="6"/>
  <c r="AW24" i="6"/>
  <c r="AW23" i="6"/>
  <c r="AW22" i="6"/>
  <c r="AS25" i="6"/>
  <c r="AS23" i="6"/>
  <c r="AS22" i="6"/>
  <c r="AO25" i="6"/>
  <c r="AO23" i="6"/>
  <c r="AO22" i="6"/>
  <c r="AK25" i="6"/>
  <c r="AK24" i="6"/>
  <c r="AK23" i="6"/>
  <c r="AK22" i="6"/>
  <c r="U24" i="6"/>
  <c r="U22" i="6"/>
  <c r="Q24" i="6"/>
  <c r="Q23" i="6"/>
  <c r="Q22" i="6"/>
  <c r="M24" i="6"/>
  <c r="M23" i="6"/>
  <c r="M22" i="6"/>
  <c r="I24" i="6"/>
  <c r="I23" i="6"/>
  <c r="I22" i="6"/>
  <c r="AF19" i="6"/>
  <c r="AK19" i="6" s="1"/>
  <c r="AF18" i="6"/>
  <c r="AF17" i="6"/>
  <c r="AF35" i="6" s="1"/>
  <c r="AF16" i="6"/>
  <c r="X18" i="6"/>
  <c r="AC18" i="6" s="1"/>
  <c r="X17" i="6"/>
  <c r="P19" i="6"/>
  <c r="D19" i="6"/>
  <c r="D18" i="6"/>
  <c r="D17" i="6"/>
  <c r="D16" i="6"/>
  <c r="D34" i="6" s="1"/>
  <c r="BD16" i="6"/>
  <c r="BI16" i="6"/>
  <c r="AB18" i="6"/>
  <c r="AB17" i="6"/>
  <c r="AB35" i="6" s="1"/>
  <c r="AF41" i="6" s="1"/>
  <c r="P17" i="6"/>
  <c r="P35" i="6" s="1"/>
  <c r="AZ19" i="6"/>
  <c r="AZ37" i="6" s="1"/>
  <c r="AZ16" i="6"/>
  <c r="AV19" i="6"/>
  <c r="AV37" i="6" s="1"/>
  <c r="AV43" i="6" s="1"/>
  <c r="AV18" i="6"/>
  <c r="AV17" i="6"/>
  <c r="AV16" i="6"/>
  <c r="AW16" i="6" s="1"/>
  <c r="AR19" i="6"/>
  <c r="AR37" i="6"/>
  <c r="AR18" i="6"/>
  <c r="AR36" i="6" s="1"/>
  <c r="AR17" i="6"/>
  <c r="AS17" i="6" s="1"/>
  <c r="AR16" i="6"/>
  <c r="AR34" i="6" s="1"/>
  <c r="AN19" i="6"/>
  <c r="AN37" i="6" s="1"/>
  <c r="AN18" i="6"/>
  <c r="AN17" i="6"/>
  <c r="AO17" i="6" s="1"/>
  <c r="AN16" i="6"/>
  <c r="AN34" i="6"/>
  <c r="AJ19" i="6"/>
  <c r="AJ18" i="6"/>
  <c r="AJ36" i="6" s="1"/>
  <c r="AJ17" i="6"/>
  <c r="AJ16" i="6"/>
  <c r="AO16" i="6" s="1"/>
  <c r="AB16" i="6"/>
  <c r="AB34" i="6" s="1"/>
  <c r="T18" i="6"/>
  <c r="U18" i="6"/>
  <c r="T17" i="6"/>
  <c r="T16" i="6"/>
  <c r="T34" i="6" s="1"/>
  <c r="L18" i="6"/>
  <c r="Q18" i="6" s="1"/>
  <c r="L17" i="6"/>
  <c r="L16" i="6"/>
  <c r="Q16" i="6" s="1"/>
  <c r="H18" i="6"/>
  <c r="H17" i="6"/>
  <c r="H35" i="6" s="1"/>
  <c r="H16" i="6"/>
  <c r="H110" i="8"/>
  <c r="T110" i="8" s="1"/>
  <c r="H109" i="8"/>
  <c r="AH13" i="6"/>
  <c r="AH19" i="6" s="1"/>
  <c r="AH25" i="6" s="1"/>
  <c r="AH31" i="6" s="1"/>
  <c r="AH37" i="6" s="1"/>
  <c r="AH12" i="6"/>
  <c r="AH18" i="6" s="1"/>
  <c r="AH24" i="6" s="1"/>
  <c r="AH30" i="6" s="1"/>
  <c r="AH36" i="6" s="1"/>
  <c r="AH11" i="6"/>
  <c r="AH17" i="6" s="1"/>
  <c r="AH23" i="6" s="1"/>
  <c r="AH29" i="6" s="1"/>
  <c r="AH35" i="6" s="1"/>
  <c r="AH10" i="6"/>
  <c r="AH16" i="6" s="1"/>
  <c r="AH22" i="6" s="1"/>
  <c r="AH28" i="6" s="1"/>
  <c r="AH34" i="6" s="1"/>
  <c r="AB13" i="6"/>
  <c r="H54" i="8" s="1"/>
  <c r="X13" i="6"/>
  <c r="T13" i="6"/>
  <c r="Y13" i="6" s="1"/>
  <c r="P13" i="6"/>
  <c r="H33" i="8" s="1"/>
  <c r="M13" i="6"/>
  <c r="L13" i="6"/>
  <c r="H13" i="6"/>
  <c r="H19" i="8" s="1"/>
  <c r="F13" i="6"/>
  <c r="F19" i="6" s="1"/>
  <c r="F25" i="6" s="1"/>
  <c r="F31" i="6" s="1"/>
  <c r="F37" i="6" s="1"/>
  <c r="F12" i="6"/>
  <c r="F18" i="6" s="1"/>
  <c r="F24" i="6" s="1"/>
  <c r="F30" i="6" s="1"/>
  <c r="F36" i="6" s="1"/>
  <c r="F11" i="6"/>
  <c r="F17" i="6" s="1"/>
  <c r="F23" i="6" s="1"/>
  <c r="F29" i="6" s="1"/>
  <c r="F35" i="6" s="1"/>
  <c r="F10" i="6"/>
  <c r="F16" i="6" s="1"/>
  <c r="F22" i="6" s="1"/>
  <c r="F28" i="6" s="1"/>
  <c r="F34" i="6" s="1"/>
  <c r="D13" i="6"/>
  <c r="H12" i="8" s="1"/>
  <c r="H111" i="8"/>
  <c r="BE11" i="6"/>
  <c r="BE10" i="6"/>
  <c r="AN11" i="6"/>
  <c r="AC12" i="6"/>
  <c r="AC11" i="6"/>
  <c r="Y12" i="6"/>
  <c r="Y11" i="6"/>
  <c r="BA13" i="6"/>
  <c r="BA12" i="6"/>
  <c r="BA11" i="6"/>
  <c r="BA10" i="6"/>
  <c r="AW13" i="6"/>
  <c r="AW12" i="6"/>
  <c r="AW11" i="6"/>
  <c r="AW10" i="6"/>
  <c r="AS13" i="6"/>
  <c r="AS12" i="6"/>
  <c r="AS10" i="6"/>
  <c r="AO13" i="6"/>
  <c r="AO12" i="6"/>
  <c r="AO10" i="6"/>
  <c r="AK13" i="6"/>
  <c r="AK12" i="6"/>
  <c r="AK11" i="6"/>
  <c r="AK10" i="6"/>
  <c r="U12" i="6"/>
  <c r="U11" i="6"/>
  <c r="U10" i="6"/>
  <c r="Q12" i="6"/>
  <c r="Q11" i="6"/>
  <c r="Q10" i="6"/>
  <c r="M12" i="6"/>
  <c r="M11" i="6"/>
  <c r="M10" i="6"/>
  <c r="I12" i="6"/>
  <c r="I11" i="6"/>
  <c r="I10" i="6"/>
  <c r="F103" i="8"/>
  <c r="F102" i="8"/>
  <c r="D104" i="8"/>
  <c r="D103" i="8"/>
  <c r="D102" i="8"/>
  <c r="L102" i="8" s="1"/>
  <c r="B55" i="39" s="1"/>
  <c r="V103" i="8"/>
  <c r="V102" i="8"/>
  <c r="F98" i="8"/>
  <c r="F97" i="8"/>
  <c r="F96" i="8"/>
  <c r="F95" i="8"/>
  <c r="D98" i="8"/>
  <c r="L105" i="8" s="1"/>
  <c r="D97" i="8"/>
  <c r="L104" i="8" s="1"/>
  <c r="D96" i="8"/>
  <c r="D95" i="8"/>
  <c r="V97" i="8"/>
  <c r="V96" i="8"/>
  <c r="V95" i="8"/>
  <c r="H98" i="8"/>
  <c r="J102" i="8" s="1"/>
  <c r="H97" i="8"/>
  <c r="H96" i="8"/>
  <c r="AJ96" i="8" s="1"/>
  <c r="H95" i="8"/>
  <c r="X95" i="8" s="1"/>
  <c r="F92" i="8"/>
  <c r="F91" i="8"/>
  <c r="F90" i="8"/>
  <c r="F89" i="8"/>
  <c r="F88" i="8"/>
  <c r="D92" i="8"/>
  <c r="D91" i="8"/>
  <c r="D90" i="8"/>
  <c r="D89" i="8"/>
  <c r="D88" i="8"/>
  <c r="L95" i="8"/>
  <c r="C55" i="39" s="1"/>
  <c r="V91" i="8"/>
  <c r="V90" i="8"/>
  <c r="V89" i="8"/>
  <c r="V88" i="8"/>
  <c r="H91" i="8"/>
  <c r="T91" i="8" s="1"/>
  <c r="H90" i="8"/>
  <c r="P90" i="8" s="1"/>
  <c r="H89" i="8"/>
  <c r="X89" i="8" s="1"/>
  <c r="H88" i="8"/>
  <c r="F85" i="8"/>
  <c r="F83" i="8"/>
  <c r="F82" i="8"/>
  <c r="F81" i="8"/>
  <c r="AJ77" i="8" s="1"/>
  <c r="AB81" i="8"/>
  <c r="V84" i="8"/>
  <c r="V83" i="8"/>
  <c r="V82" i="8"/>
  <c r="V81" i="8"/>
  <c r="H84" i="8"/>
  <c r="H83" i="8"/>
  <c r="H82" i="8"/>
  <c r="N82" i="8" s="1"/>
  <c r="H81" i="8"/>
  <c r="AJ81" i="8" s="1"/>
  <c r="F78" i="8"/>
  <c r="F76" i="8"/>
  <c r="F75" i="8"/>
  <c r="T74" i="8" s="1"/>
  <c r="F74" i="8"/>
  <c r="V77" i="8"/>
  <c r="V76" i="8"/>
  <c r="V75" i="8"/>
  <c r="X75" i="8" s="1"/>
  <c r="Z75" i="8" s="1"/>
  <c r="V74" i="8"/>
  <c r="H77" i="8"/>
  <c r="H76" i="8"/>
  <c r="H74" i="8"/>
  <c r="F71" i="8"/>
  <c r="F69" i="8"/>
  <c r="F68" i="8"/>
  <c r="F67" i="8"/>
  <c r="V70" i="8"/>
  <c r="V69" i="8"/>
  <c r="V68" i="8"/>
  <c r="V67" i="8"/>
  <c r="H70" i="8"/>
  <c r="J70" i="8" s="1"/>
  <c r="H69" i="8"/>
  <c r="X69" i="8" s="1"/>
  <c r="H68" i="8"/>
  <c r="H67" i="8"/>
  <c r="X67" i="8" s="1"/>
  <c r="F64" i="8"/>
  <c r="F62" i="8"/>
  <c r="F61" i="8"/>
  <c r="T60" i="8" s="1"/>
  <c r="F60" i="8"/>
  <c r="V63" i="8"/>
  <c r="V62" i="8"/>
  <c r="V61" i="8"/>
  <c r="V60" i="8"/>
  <c r="H63" i="8"/>
  <c r="H62" i="8"/>
  <c r="N69" i="8" s="1"/>
  <c r="H61" i="8"/>
  <c r="N68" i="8" s="1"/>
  <c r="H60" i="8"/>
  <c r="F53" i="8"/>
  <c r="F52" i="8"/>
  <c r="AJ51" i="8" s="1"/>
  <c r="D53" i="8"/>
  <c r="D52" i="8"/>
  <c r="D51" i="8"/>
  <c r="V54" i="8"/>
  <c r="V53" i="8"/>
  <c r="V51" i="8"/>
  <c r="H53" i="8"/>
  <c r="X53" i="8" s="1"/>
  <c r="H52" i="8"/>
  <c r="H51" i="8"/>
  <c r="F46" i="8"/>
  <c r="F45" i="8"/>
  <c r="F44" i="8"/>
  <c r="D46" i="8"/>
  <c r="D45" i="8"/>
  <c r="L52" i="8" s="1"/>
  <c r="D44" i="8"/>
  <c r="V47" i="8"/>
  <c r="V44" i="8"/>
  <c r="H46" i="8"/>
  <c r="H45" i="8"/>
  <c r="H44" i="8"/>
  <c r="F39" i="8"/>
  <c r="F38" i="8"/>
  <c r="F37" i="8"/>
  <c r="D39" i="8"/>
  <c r="L46" i="8" s="1"/>
  <c r="D38" i="8"/>
  <c r="D37" i="8"/>
  <c r="V40" i="8"/>
  <c r="V39" i="8"/>
  <c r="V38" i="8"/>
  <c r="V37" i="8"/>
  <c r="H39" i="8"/>
  <c r="H38" i="8"/>
  <c r="X38" i="8" s="1"/>
  <c r="H37" i="8"/>
  <c r="F33" i="8"/>
  <c r="F32" i="8"/>
  <c r="F31" i="8"/>
  <c r="F30" i="8"/>
  <c r="D33" i="8"/>
  <c r="D32" i="8"/>
  <c r="D31" i="8"/>
  <c r="D30" i="8"/>
  <c r="L37" i="8" s="1"/>
  <c r="V33" i="8"/>
  <c r="V32" i="8"/>
  <c r="V31" i="8"/>
  <c r="V30" i="8"/>
  <c r="H32" i="8"/>
  <c r="AJ32" i="8" s="1"/>
  <c r="H31" i="8"/>
  <c r="H30" i="8"/>
  <c r="F26" i="8"/>
  <c r="F25" i="8"/>
  <c r="F24" i="8"/>
  <c r="F23" i="8"/>
  <c r="D26" i="8"/>
  <c r="D25" i="8"/>
  <c r="D24" i="8"/>
  <c r="D23" i="8"/>
  <c r="L30" i="8" s="1"/>
  <c r="V26" i="8"/>
  <c r="V25" i="8"/>
  <c r="V24" i="8"/>
  <c r="V23" i="8"/>
  <c r="H25" i="8"/>
  <c r="AJ25" i="8" s="1"/>
  <c r="H24" i="8"/>
  <c r="T24" i="8" s="1"/>
  <c r="H23" i="8"/>
  <c r="T23" i="8" s="1"/>
  <c r="F19" i="8"/>
  <c r="F18" i="8"/>
  <c r="F17" i="8"/>
  <c r="F16" i="8"/>
  <c r="D19" i="8"/>
  <c r="D18" i="8"/>
  <c r="D17" i="8"/>
  <c r="D16" i="8"/>
  <c r="V19" i="8"/>
  <c r="V18" i="8"/>
  <c r="V17" i="8"/>
  <c r="V16" i="8"/>
  <c r="H18" i="8"/>
  <c r="H17" i="8"/>
  <c r="H16" i="8"/>
  <c r="T16" i="8" s="1"/>
  <c r="F12" i="8"/>
  <c r="F11" i="8"/>
  <c r="F10" i="8"/>
  <c r="F9" i="8"/>
  <c r="D12" i="8"/>
  <c r="D11" i="8"/>
  <c r="L18" i="8" s="1"/>
  <c r="D10" i="8"/>
  <c r="D9" i="8"/>
  <c r="AB11" i="8"/>
  <c r="AB10" i="8"/>
  <c r="AB9" i="8"/>
  <c r="V12" i="8"/>
  <c r="V11" i="8"/>
  <c r="V10" i="8"/>
  <c r="V9" i="8"/>
  <c r="H11" i="8"/>
  <c r="H10" i="8"/>
  <c r="H9" i="8"/>
  <c r="T9" i="8" s="1"/>
  <c r="AG63" i="9"/>
  <c r="AE63" i="9"/>
  <c r="BB82" i="47" s="1"/>
  <c r="AC63" i="9"/>
  <c r="AA63" i="9"/>
  <c r="AY82" i="47" s="1"/>
  <c r="Y63" i="9"/>
  <c r="AR64" i="11" s="1"/>
  <c r="W63" i="9"/>
  <c r="U63" i="9"/>
  <c r="S63" i="9"/>
  <c r="Q63" i="9"/>
  <c r="O63" i="9"/>
  <c r="M63" i="9"/>
  <c r="K63" i="9"/>
  <c r="I63" i="9"/>
  <c r="G63" i="9"/>
  <c r="E63" i="9"/>
  <c r="U57" i="9"/>
  <c r="U56" i="9"/>
  <c r="S57" i="9"/>
  <c r="S56" i="9"/>
  <c r="Q57" i="9"/>
  <c r="Q56" i="9"/>
  <c r="O57" i="9"/>
  <c r="O56" i="9"/>
  <c r="M57" i="9"/>
  <c r="M56" i="9"/>
  <c r="K57" i="9"/>
  <c r="K56" i="9"/>
  <c r="I57" i="9"/>
  <c r="I56" i="9"/>
  <c r="G57" i="9"/>
  <c r="G56" i="9"/>
  <c r="E57" i="9"/>
  <c r="E56" i="9"/>
  <c r="AM40" i="9"/>
  <c r="AO40" i="9" s="1"/>
  <c r="AQ40" i="9" s="1"/>
  <c r="AO41" i="9"/>
  <c r="AQ41" i="9" s="1"/>
  <c r="AS41" i="9" s="1"/>
  <c r="AU41" i="9" s="1"/>
  <c r="AW41" i="9" s="1"/>
  <c r="AG44" i="9"/>
  <c r="AB45" i="9"/>
  <c r="AA45" i="9"/>
  <c r="Y45" i="9"/>
  <c r="W45" i="9"/>
  <c r="U45" i="9"/>
  <c r="P41" i="7" s="1"/>
  <c r="S44" i="9"/>
  <c r="S45" i="9"/>
  <c r="N41" i="7" s="1"/>
  <c r="Q45" i="9"/>
  <c r="L41" i="7" s="1"/>
  <c r="O44" i="9"/>
  <c r="M44" i="9"/>
  <c r="M45" i="9" s="1"/>
  <c r="K45" i="9"/>
  <c r="F41" i="7" s="1"/>
  <c r="I44" i="9"/>
  <c r="I45" i="9" s="1"/>
  <c r="G44" i="9"/>
  <c r="G45" i="9" s="1"/>
  <c r="E45" i="9"/>
  <c r="AC44" i="9"/>
  <c r="AC45" i="9" s="1"/>
  <c r="AE42" i="9"/>
  <c r="AE45" i="9" s="1"/>
  <c r="O42" i="9"/>
  <c r="O45" i="9" s="1"/>
  <c r="J41" i="7" s="1"/>
  <c r="AO34" i="9"/>
  <c r="AQ34" i="9" s="1"/>
  <c r="AS34" i="9" s="1"/>
  <c r="AU34" i="9" s="1"/>
  <c r="AW34" i="9" s="1"/>
  <c r="AG35" i="9"/>
  <c r="AE35" i="9"/>
  <c r="AC34" i="9"/>
  <c r="AC35" i="9" s="1"/>
  <c r="AA34" i="9"/>
  <c r="AA35" i="9"/>
  <c r="Y34" i="9"/>
  <c r="Y33" i="9"/>
  <c r="W34" i="9"/>
  <c r="W35" i="9"/>
  <c r="W37" i="9" s="1"/>
  <c r="U34" i="9"/>
  <c r="U35" i="9" s="1"/>
  <c r="S34" i="9"/>
  <c r="S33" i="9"/>
  <c r="Q35" i="9"/>
  <c r="O35" i="9"/>
  <c r="M35" i="9"/>
  <c r="K35" i="9"/>
  <c r="I34" i="9"/>
  <c r="I35" i="9" s="1"/>
  <c r="G34" i="9"/>
  <c r="G35" i="9" s="1"/>
  <c r="E34" i="9"/>
  <c r="E35" i="9" s="1"/>
  <c r="AO29" i="9"/>
  <c r="AQ29" i="9" s="1"/>
  <c r="AS29" i="9" s="1"/>
  <c r="AU29" i="9" s="1"/>
  <c r="AW29" i="9" s="1"/>
  <c r="AG30" i="9"/>
  <c r="AG37" i="9" s="1"/>
  <c r="AE30" i="9"/>
  <c r="AE37" i="9" s="1"/>
  <c r="AE47" i="9" s="1"/>
  <c r="AC30" i="9"/>
  <c r="AA30" i="9"/>
  <c r="Y30" i="9"/>
  <c r="W30" i="9"/>
  <c r="U30" i="9"/>
  <c r="S30" i="9"/>
  <c r="Q30" i="9"/>
  <c r="O29" i="9"/>
  <c r="O30" i="9" s="1"/>
  <c r="M30" i="9"/>
  <c r="M37" i="9" s="1"/>
  <c r="K30" i="9"/>
  <c r="K37" i="9" s="1"/>
  <c r="I30" i="9"/>
  <c r="G30" i="9"/>
  <c r="E30" i="9"/>
  <c r="AG22" i="9"/>
  <c r="AO22" i="9"/>
  <c r="AQ22" i="9" s="1"/>
  <c r="AS22" i="9" s="1"/>
  <c r="AU22" i="9" s="1"/>
  <c r="AW22" i="9" s="1"/>
  <c r="AE22" i="9"/>
  <c r="AC22" i="9"/>
  <c r="AA22" i="9"/>
  <c r="Y22" i="9"/>
  <c r="W22" i="9"/>
  <c r="U22" i="9"/>
  <c r="S22" i="9"/>
  <c r="Q22" i="9"/>
  <c r="AG20" i="9"/>
  <c r="AO20" i="9"/>
  <c r="AQ20" i="9" s="1"/>
  <c r="AS20" i="9" s="1"/>
  <c r="AU20" i="9" s="1"/>
  <c r="AW20" i="9" s="1"/>
  <c r="AE20" i="9"/>
  <c r="AC20" i="9"/>
  <c r="AA20" i="9"/>
  <c r="Y20" i="9"/>
  <c r="W20" i="9"/>
  <c r="U20" i="9"/>
  <c r="S20" i="9"/>
  <c r="Q20" i="9"/>
  <c r="O20" i="9"/>
  <c r="O18" i="9"/>
  <c r="AK14" i="9"/>
  <c r="AM14" i="9" s="1"/>
  <c r="AG16" i="9"/>
  <c r="AE15" i="9"/>
  <c r="AE16" i="9" s="1"/>
  <c r="AE23" i="9" s="1"/>
  <c r="AE51" i="9" s="1"/>
  <c r="AC15" i="9"/>
  <c r="AA15" i="9"/>
  <c r="Y15" i="9"/>
  <c r="W15" i="9"/>
  <c r="U15" i="9"/>
  <c r="AB19" i="6" s="1"/>
  <c r="S15" i="9"/>
  <c r="X19" i="6" s="1"/>
  <c r="Q15" i="9"/>
  <c r="Q14" i="9"/>
  <c r="M15" i="9"/>
  <c r="L19" i="6" s="1"/>
  <c r="K15" i="9"/>
  <c r="H19" i="6" s="1"/>
  <c r="I19" i="6" s="1"/>
  <c r="AI10" i="9"/>
  <c r="AO10" i="9"/>
  <c r="AQ10" i="9" s="1"/>
  <c r="AS10" i="9" s="1"/>
  <c r="AU10" i="9" s="1"/>
  <c r="AW10" i="9" s="1"/>
  <c r="AI66" i="10"/>
  <c r="O64" i="10"/>
  <c r="M64" i="10"/>
  <c r="K64" i="10"/>
  <c r="I64" i="10"/>
  <c r="G64" i="10"/>
  <c r="E64" i="10"/>
  <c r="AG62" i="10"/>
  <c r="AG58" i="10"/>
  <c r="AI57" i="10"/>
  <c r="AE56" i="10"/>
  <c r="AE55" i="10"/>
  <c r="AG55" i="10"/>
  <c r="AG64" i="10" s="1"/>
  <c r="AC55" i="10"/>
  <c r="AC54" i="10"/>
  <c r="AC64" i="10" s="1"/>
  <c r="AA55" i="10"/>
  <c r="Y55" i="10"/>
  <c r="Y64" i="10" s="1"/>
  <c r="W55" i="10"/>
  <c r="W54" i="10"/>
  <c r="U55" i="10"/>
  <c r="U64" i="10" s="1"/>
  <c r="S55" i="10"/>
  <c r="S64" i="10" s="1"/>
  <c r="Q55" i="10"/>
  <c r="AE53" i="10"/>
  <c r="AE64" i="10" s="1"/>
  <c r="AA53" i="10"/>
  <c r="Q53" i="10"/>
  <c r="Q64" i="10" s="1"/>
  <c r="AD50" i="10"/>
  <c r="AG45" i="10"/>
  <c r="AG46" i="10" s="1"/>
  <c r="AE45" i="10"/>
  <c r="AE46" i="10"/>
  <c r="AC44" i="10"/>
  <c r="AA46" i="10"/>
  <c r="AA48" i="10" s="1"/>
  <c r="Y46" i="10"/>
  <c r="W46" i="10"/>
  <c r="U46" i="10"/>
  <c r="U48" i="10" s="1"/>
  <c r="Q45" i="10"/>
  <c r="Q44" i="10"/>
  <c r="O45" i="10"/>
  <c r="O46" i="10" s="1"/>
  <c r="M45" i="10"/>
  <c r="M46" i="10" s="1"/>
  <c r="M48" i="10" s="1"/>
  <c r="K45" i="10"/>
  <c r="K46" i="10" s="1"/>
  <c r="I46" i="10"/>
  <c r="I48" i="10"/>
  <c r="G46" i="10"/>
  <c r="E46" i="10"/>
  <c r="AC41" i="10"/>
  <c r="AC40" i="10"/>
  <c r="S42" i="10"/>
  <c r="S46" i="10"/>
  <c r="Q42" i="10"/>
  <c r="Q41" i="10"/>
  <c r="Q40" i="10"/>
  <c r="AG37" i="10"/>
  <c r="AE37" i="10"/>
  <c r="AC37" i="10"/>
  <c r="AA37" i="10"/>
  <c r="Y36" i="10"/>
  <c r="Y37" i="10" s="1"/>
  <c r="W36" i="10"/>
  <c r="W37" i="10" s="1"/>
  <c r="U36" i="10"/>
  <c r="U37" i="10" s="1"/>
  <c r="S36" i="10"/>
  <c r="Q36" i="10"/>
  <c r="O36" i="10"/>
  <c r="O37" i="10" s="1"/>
  <c r="M36" i="10"/>
  <c r="M37" i="10"/>
  <c r="K36" i="10"/>
  <c r="K37" i="10" s="1"/>
  <c r="I36" i="10"/>
  <c r="I37" i="10" s="1"/>
  <c r="G36" i="10"/>
  <c r="G48" i="10" s="1"/>
  <c r="E36" i="10"/>
  <c r="E48" i="10" s="1"/>
  <c r="S34" i="10"/>
  <c r="S37" i="10"/>
  <c r="Q33" i="10"/>
  <c r="Q32" i="10"/>
  <c r="Q31" i="10"/>
  <c r="AI28" i="10"/>
  <c r="E23" i="32" s="1"/>
  <c r="AG28" i="10"/>
  <c r="D23" i="31" s="1"/>
  <c r="AE28" i="10"/>
  <c r="C23" i="32" s="1"/>
  <c r="AC27" i="10"/>
  <c r="AC28" i="10"/>
  <c r="B23" i="31" s="1"/>
  <c r="AA28" i="10"/>
  <c r="Y28" i="10"/>
  <c r="S28" i="10"/>
  <c r="Q27" i="10"/>
  <c r="Q26" i="10"/>
  <c r="O28" i="10"/>
  <c r="M28" i="10"/>
  <c r="K28" i="10"/>
  <c r="I28" i="10"/>
  <c r="G28" i="10"/>
  <c r="E28" i="10"/>
  <c r="Q22" i="10"/>
  <c r="Q18" i="10"/>
  <c r="Q17" i="10"/>
  <c r="Q16" i="10"/>
  <c r="W13" i="10"/>
  <c r="W28" i="10" s="1"/>
  <c r="U13" i="10"/>
  <c r="U28" i="10" s="1"/>
  <c r="U11" i="10"/>
  <c r="S11" i="10"/>
  <c r="M11" i="10"/>
  <c r="M10" i="10"/>
  <c r="K11" i="10"/>
  <c r="K10" i="10"/>
  <c r="I11" i="10"/>
  <c r="I10" i="10"/>
  <c r="G10" i="10"/>
  <c r="E11" i="10"/>
  <c r="R40" i="4"/>
  <c r="G10" i="49" s="1"/>
  <c r="Q40" i="4"/>
  <c r="F10" i="49" s="1"/>
  <c r="P40" i="4"/>
  <c r="N40" i="4"/>
  <c r="D10" i="49" s="1"/>
  <c r="M40" i="4"/>
  <c r="C10" i="49"/>
  <c r="L40" i="4"/>
  <c r="B10" i="49" s="1"/>
  <c r="C34" i="4"/>
  <c r="B34" i="4"/>
  <c r="G32" i="4"/>
  <c r="F32" i="4"/>
  <c r="E32" i="4"/>
  <c r="D32" i="4"/>
  <c r="C32" i="4"/>
  <c r="G28" i="4"/>
  <c r="F28" i="4"/>
  <c r="G29" i="4" s="1"/>
  <c r="G42" i="4" s="1"/>
  <c r="E28" i="4"/>
  <c r="E37" i="4"/>
  <c r="D28" i="4"/>
  <c r="E29" i="4" s="1"/>
  <c r="E42" i="4" s="1"/>
  <c r="C28" i="4"/>
  <c r="C37" i="4" s="1"/>
  <c r="M18" i="4"/>
  <c r="L18" i="4"/>
  <c r="L31" i="4"/>
  <c r="BZ82" i="47" s="1"/>
  <c r="L16" i="4"/>
  <c r="C15" i="4"/>
  <c r="C19" i="4" s="1"/>
  <c r="T17" i="4"/>
  <c r="T16" i="4"/>
  <c r="Y16" i="4"/>
  <c r="Z16" i="4" s="1"/>
  <c r="D15" i="4"/>
  <c r="K12" i="4"/>
  <c r="K8" i="5" s="1"/>
  <c r="J12" i="4"/>
  <c r="I12" i="4"/>
  <c r="I13" i="4" s="1"/>
  <c r="H12" i="4"/>
  <c r="G12" i="4"/>
  <c r="F12" i="4"/>
  <c r="E12" i="4"/>
  <c r="E13" i="4" s="1"/>
  <c r="D12" i="4"/>
  <c r="C12" i="4"/>
  <c r="K11" i="4"/>
  <c r="J11" i="4"/>
  <c r="I11" i="4"/>
  <c r="H11" i="4"/>
  <c r="G11" i="4"/>
  <c r="F11" i="4"/>
  <c r="E11" i="4"/>
  <c r="D11" i="4"/>
  <c r="C11" i="4"/>
  <c r="K9" i="4"/>
  <c r="J9" i="4"/>
  <c r="I9" i="4"/>
  <c r="H9" i="4"/>
  <c r="G9" i="4"/>
  <c r="F9" i="4"/>
  <c r="E9" i="4"/>
  <c r="D9" i="4"/>
  <c r="D42" i="4" s="1"/>
  <c r="C9" i="4"/>
  <c r="S112" i="3"/>
  <c r="AH112" i="3" s="1"/>
  <c r="S111" i="3"/>
  <c r="C118" i="3" s="1"/>
  <c r="K112" i="3"/>
  <c r="M112" i="3" s="1"/>
  <c r="V104" i="8"/>
  <c r="K113" i="3"/>
  <c r="J112" i="3"/>
  <c r="E112" i="3"/>
  <c r="E115" i="3" s="1"/>
  <c r="E111" i="3"/>
  <c r="S107" i="3"/>
  <c r="S106" i="3"/>
  <c r="S105" i="3"/>
  <c r="AH105" i="3" s="1"/>
  <c r="S104" i="3"/>
  <c r="K106" i="3"/>
  <c r="K105" i="3"/>
  <c r="K104" i="3"/>
  <c r="M104" i="3" s="1"/>
  <c r="E107" i="3"/>
  <c r="E106" i="3"/>
  <c r="E105" i="3"/>
  <c r="E104" i="3"/>
  <c r="AP104" i="3"/>
  <c r="AP111" i="3" s="1"/>
  <c r="J106" i="3"/>
  <c r="J105" i="3"/>
  <c r="J104" i="3"/>
  <c r="S100" i="3"/>
  <c r="AH100" i="3" s="1"/>
  <c r="S99" i="3"/>
  <c r="S98" i="3"/>
  <c r="AH98" i="3" s="1"/>
  <c r="S97" i="3"/>
  <c r="U97" i="3" s="1"/>
  <c r="K100" i="3"/>
  <c r="K99" i="3"/>
  <c r="K98" i="3"/>
  <c r="K97" i="3"/>
  <c r="K101" i="3" s="1"/>
  <c r="E100" i="3"/>
  <c r="E99" i="3"/>
  <c r="E98" i="3"/>
  <c r="E97" i="3"/>
  <c r="AR97" i="3"/>
  <c r="AP99" i="3"/>
  <c r="AP98" i="3"/>
  <c r="AP105" i="3" s="1"/>
  <c r="J100" i="3"/>
  <c r="J99" i="3"/>
  <c r="J98" i="3"/>
  <c r="J97" i="3"/>
  <c r="AQ97" i="3"/>
  <c r="S92" i="3"/>
  <c r="D83" i="8" s="1"/>
  <c r="S91" i="3"/>
  <c r="D82" i="8" s="1"/>
  <c r="L89" i="8" s="1"/>
  <c r="S90" i="3"/>
  <c r="E93" i="3"/>
  <c r="E92" i="3"/>
  <c r="E91" i="3"/>
  <c r="E90" i="3"/>
  <c r="AP93" i="3"/>
  <c r="AR93" i="3" s="1"/>
  <c r="Y93" i="3"/>
  <c r="AB84" i="8" s="1"/>
  <c r="AD84" i="8" s="1"/>
  <c r="Y92" i="3"/>
  <c r="AN81" i="11" s="1"/>
  <c r="Y91" i="3"/>
  <c r="AR94" i="3"/>
  <c r="P10" i="4" s="1"/>
  <c r="AQ94" i="3"/>
  <c r="AR92" i="3"/>
  <c r="AQ92" i="3"/>
  <c r="AR91" i="3"/>
  <c r="AQ91" i="3"/>
  <c r="AR90" i="3"/>
  <c r="AQ90" i="3"/>
  <c r="J94" i="3"/>
  <c r="K93" i="3"/>
  <c r="J93" i="3"/>
  <c r="K92" i="3"/>
  <c r="U92" i="3" s="1"/>
  <c r="J92" i="3"/>
  <c r="K91" i="3"/>
  <c r="J91" i="3"/>
  <c r="K90" i="3"/>
  <c r="M90" i="3" s="1"/>
  <c r="J90" i="3"/>
  <c r="S85" i="3"/>
  <c r="D76" i="8" s="1"/>
  <c r="S84" i="3"/>
  <c r="D75" i="8" s="1"/>
  <c r="S83" i="3"/>
  <c r="D74" i="8" s="1"/>
  <c r="E87" i="3"/>
  <c r="E86" i="3"/>
  <c r="E85" i="3"/>
  <c r="E84" i="3"/>
  <c r="E83" i="3"/>
  <c r="AP86" i="3"/>
  <c r="Y86" i="3"/>
  <c r="Y85" i="3"/>
  <c r="AB76" i="8" s="1"/>
  <c r="AD76" i="8" s="1"/>
  <c r="Y84" i="3"/>
  <c r="Y83" i="3"/>
  <c r="AB74" i="8" s="1"/>
  <c r="AR87" i="3"/>
  <c r="N10" i="4" s="1"/>
  <c r="AQ87" i="3"/>
  <c r="AR85" i="3"/>
  <c r="AQ85" i="3"/>
  <c r="AR84" i="3"/>
  <c r="AQ84" i="3"/>
  <c r="AR83" i="3"/>
  <c r="AQ83" i="3"/>
  <c r="J87" i="3"/>
  <c r="K86" i="3"/>
  <c r="M93" i="3" s="1"/>
  <c r="J86" i="3"/>
  <c r="K85" i="3"/>
  <c r="J85" i="3"/>
  <c r="K84" i="3"/>
  <c r="U84" i="3" s="1"/>
  <c r="J84" i="3"/>
  <c r="K83" i="3"/>
  <c r="J83" i="3"/>
  <c r="S78" i="3"/>
  <c r="D69" i="8" s="1"/>
  <c r="S77" i="3"/>
  <c r="D68" i="8" s="1"/>
  <c r="S76" i="3"/>
  <c r="D67" i="8" s="1"/>
  <c r="E80" i="3"/>
  <c r="E79" i="3"/>
  <c r="E78" i="3"/>
  <c r="E77" i="3"/>
  <c r="E76" i="3"/>
  <c r="AP79" i="3"/>
  <c r="AR79" i="3" s="1"/>
  <c r="Y79" i="3"/>
  <c r="Y78" i="3"/>
  <c r="Y77" i="3"/>
  <c r="Y76" i="3"/>
  <c r="AB67" i="8" s="1"/>
  <c r="AD67" i="8" s="1"/>
  <c r="AR80" i="3"/>
  <c r="M10" i="4" s="1"/>
  <c r="AQ80" i="3"/>
  <c r="AR78" i="3"/>
  <c r="AQ78" i="3"/>
  <c r="AR77" i="3"/>
  <c r="AQ77" i="3"/>
  <c r="AR76" i="3"/>
  <c r="AQ76" i="3"/>
  <c r="J80" i="3"/>
  <c r="K79" i="3"/>
  <c r="J79" i="3"/>
  <c r="K78" i="3"/>
  <c r="J78" i="3"/>
  <c r="K77" i="3"/>
  <c r="J77" i="3"/>
  <c r="K76" i="3"/>
  <c r="M83" i="3" s="1"/>
  <c r="J76" i="3"/>
  <c r="AR73" i="3"/>
  <c r="L10" i="4" s="1"/>
  <c r="AR71" i="3"/>
  <c r="AR70" i="3"/>
  <c r="AR69" i="3"/>
  <c r="S71" i="3"/>
  <c r="D62" i="8" s="1"/>
  <c r="S70" i="3"/>
  <c r="D61" i="8" s="1"/>
  <c r="S69" i="3"/>
  <c r="E73" i="3"/>
  <c r="E72" i="3"/>
  <c r="E71" i="3"/>
  <c r="E70" i="3"/>
  <c r="E69" i="3"/>
  <c r="AP72" i="3"/>
  <c r="AR72" i="3" s="1"/>
  <c r="Y72" i="3"/>
  <c r="AB63" i="8" s="1"/>
  <c r="Y71" i="3"/>
  <c r="AB62" i="8" s="1"/>
  <c r="AD62" i="8" s="1"/>
  <c r="Y70" i="3"/>
  <c r="X99" i="47" s="1"/>
  <c r="Y69" i="3"/>
  <c r="AB60" i="8" s="1"/>
  <c r="AD60" i="8" s="1"/>
  <c r="J64" i="3"/>
  <c r="I64" i="3"/>
  <c r="E64" i="3"/>
  <c r="E63" i="3"/>
  <c r="E62" i="3"/>
  <c r="E61" i="3"/>
  <c r="E60" i="3"/>
  <c r="AP64" i="3"/>
  <c r="AP63" i="3" s="1"/>
  <c r="AR63" i="3" s="1"/>
  <c r="AR62" i="3"/>
  <c r="AQ62" i="3"/>
  <c r="AR61" i="3"/>
  <c r="AQ61" i="3"/>
  <c r="AR60" i="3"/>
  <c r="AQ60" i="3"/>
  <c r="R62" i="3"/>
  <c r="S62" i="3" s="1"/>
  <c r="R61" i="3"/>
  <c r="S61" i="3" s="1"/>
  <c r="AH61" i="3" s="1"/>
  <c r="R60" i="3"/>
  <c r="S60" i="3"/>
  <c r="AH60" i="3" s="1"/>
  <c r="K63" i="3"/>
  <c r="J63" i="3"/>
  <c r="K62" i="3"/>
  <c r="J62" i="3"/>
  <c r="K61" i="3"/>
  <c r="J61" i="3"/>
  <c r="K60" i="3"/>
  <c r="J60" i="3"/>
  <c r="J57" i="3"/>
  <c r="I57" i="3"/>
  <c r="E57" i="3"/>
  <c r="E56" i="3"/>
  <c r="E55" i="3"/>
  <c r="E54" i="3"/>
  <c r="E53" i="3"/>
  <c r="AP57" i="3"/>
  <c r="AP56" i="3" s="1"/>
  <c r="I54" i="3"/>
  <c r="J54" i="3" s="1"/>
  <c r="AR55" i="3"/>
  <c r="AQ55" i="3"/>
  <c r="AR54" i="3"/>
  <c r="AQ54" i="3"/>
  <c r="AR53" i="3"/>
  <c r="AQ53" i="3"/>
  <c r="R55" i="3"/>
  <c r="S55" i="3" s="1"/>
  <c r="R54" i="3"/>
  <c r="S54" i="3" s="1"/>
  <c r="AH54" i="3" s="1"/>
  <c r="R53" i="3"/>
  <c r="S53" i="3" s="1"/>
  <c r="K56" i="3"/>
  <c r="J56" i="3"/>
  <c r="J55" i="3"/>
  <c r="K53" i="3"/>
  <c r="J53" i="3"/>
  <c r="J50" i="3"/>
  <c r="I50" i="3"/>
  <c r="E50" i="3"/>
  <c r="E49" i="3"/>
  <c r="E48" i="3"/>
  <c r="E47" i="3"/>
  <c r="E46" i="3"/>
  <c r="AP50" i="3"/>
  <c r="I48" i="3"/>
  <c r="V46" i="8" s="1"/>
  <c r="I47" i="3"/>
  <c r="K47" i="3" s="1"/>
  <c r="AR48" i="3"/>
  <c r="AQ48" i="3"/>
  <c r="AR47" i="3"/>
  <c r="AQ47" i="3"/>
  <c r="AR46" i="3"/>
  <c r="AQ46" i="3"/>
  <c r="R48" i="3"/>
  <c r="S48" i="3" s="1"/>
  <c r="AH48" i="3" s="1"/>
  <c r="R47" i="3"/>
  <c r="S47" i="3" s="1"/>
  <c r="AH47" i="3" s="1"/>
  <c r="R46" i="3"/>
  <c r="S46" i="3" s="1"/>
  <c r="K46" i="3"/>
  <c r="M53" i="3" s="1"/>
  <c r="J46" i="3"/>
  <c r="J43" i="3"/>
  <c r="I43" i="3"/>
  <c r="E43" i="3"/>
  <c r="E42" i="3"/>
  <c r="E41" i="3"/>
  <c r="E40" i="3"/>
  <c r="E39" i="3"/>
  <c r="AP43" i="3"/>
  <c r="AP42" i="3" s="1"/>
  <c r="AQ42" i="3" s="1"/>
  <c r="AR41" i="3"/>
  <c r="AQ41" i="3"/>
  <c r="AR40" i="3"/>
  <c r="AQ40" i="3"/>
  <c r="AR39" i="3"/>
  <c r="AQ39" i="3"/>
  <c r="R41" i="3"/>
  <c r="S41" i="3" s="1"/>
  <c r="AH41" i="3" s="1"/>
  <c r="R40" i="3"/>
  <c r="S40" i="3" s="1"/>
  <c r="R39" i="3"/>
  <c r="S39" i="3" s="1"/>
  <c r="AH39" i="3" s="1"/>
  <c r="K42" i="3"/>
  <c r="J42" i="3"/>
  <c r="K41" i="3"/>
  <c r="J41" i="3"/>
  <c r="K40" i="3"/>
  <c r="J40" i="3"/>
  <c r="K39" i="3"/>
  <c r="J39" i="3"/>
  <c r="AP36" i="3"/>
  <c r="Y36" i="3"/>
  <c r="J36" i="3"/>
  <c r="I36" i="3"/>
  <c r="E36" i="3"/>
  <c r="E35" i="3"/>
  <c r="E34" i="3"/>
  <c r="E33" i="3"/>
  <c r="E32" i="3"/>
  <c r="AR35" i="3"/>
  <c r="AQ35" i="3"/>
  <c r="AR34" i="3"/>
  <c r="AQ34" i="3"/>
  <c r="AR33" i="3"/>
  <c r="AQ33" i="3"/>
  <c r="AR32" i="3"/>
  <c r="AQ32" i="3"/>
  <c r="R35" i="3"/>
  <c r="S35" i="3" s="1"/>
  <c r="AH35" i="3" s="1"/>
  <c r="R34" i="3"/>
  <c r="S34" i="3" s="1"/>
  <c r="AH34" i="3" s="1"/>
  <c r="R33" i="3"/>
  <c r="S33" i="3" s="1"/>
  <c r="AH33" i="3" s="1"/>
  <c r="R32" i="3"/>
  <c r="S32" i="3" s="1"/>
  <c r="AH32" i="3" s="1"/>
  <c r="K35" i="3"/>
  <c r="J35" i="3"/>
  <c r="K34" i="3"/>
  <c r="J34" i="3"/>
  <c r="K33" i="3"/>
  <c r="J33" i="3"/>
  <c r="K32" i="3"/>
  <c r="J32" i="3"/>
  <c r="AP29" i="3"/>
  <c r="AR29" i="3" s="1"/>
  <c r="Y29" i="3"/>
  <c r="J29" i="3"/>
  <c r="I29" i="3"/>
  <c r="E29" i="3"/>
  <c r="E28" i="3"/>
  <c r="E27" i="3"/>
  <c r="E26" i="3"/>
  <c r="E25" i="3"/>
  <c r="AR28" i="3"/>
  <c r="AQ28" i="3"/>
  <c r="AR27" i="3"/>
  <c r="AQ27" i="3"/>
  <c r="AR26" i="3"/>
  <c r="AQ26" i="3"/>
  <c r="AR25" i="3"/>
  <c r="AQ25" i="3"/>
  <c r="R28" i="3"/>
  <c r="S28" i="3" s="1"/>
  <c r="AH28" i="3" s="1"/>
  <c r="R27" i="3"/>
  <c r="S27" i="3" s="1"/>
  <c r="R26" i="3"/>
  <c r="S26" i="3" s="1"/>
  <c r="AH26" i="3" s="1"/>
  <c r="R25" i="3"/>
  <c r="S25" i="3" s="1"/>
  <c r="K28" i="3"/>
  <c r="J28" i="3"/>
  <c r="K27" i="3"/>
  <c r="J27" i="3"/>
  <c r="K26" i="3"/>
  <c r="J26" i="3"/>
  <c r="K25" i="3"/>
  <c r="J25" i="3"/>
  <c r="AP22" i="3"/>
  <c r="Y22" i="3"/>
  <c r="K21" i="3"/>
  <c r="K20" i="3"/>
  <c r="K19" i="3"/>
  <c r="I22" i="3"/>
  <c r="E22" i="3"/>
  <c r="E21" i="3"/>
  <c r="E20" i="3"/>
  <c r="E19" i="3"/>
  <c r="E18" i="3"/>
  <c r="AR21" i="3"/>
  <c r="AQ21" i="3"/>
  <c r="AR20" i="3"/>
  <c r="AQ20" i="3"/>
  <c r="AR19" i="3"/>
  <c r="AQ19" i="3"/>
  <c r="AR18" i="3"/>
  <c r="AQ18" i="3"/>
  <c r="R21" i="3"/>
  <c r="S21" i="3" s="1"/>
  <c r="AH21" i="3" s="1"/>
  <c r="R20" i="3"/>
  <c r="S20" i="3" s="1"/>
  <c r="R19" i="3"/>
  <c r="S19" i="3" s="1"/>
  <c r="R18" i="3"/>
  <c r="S18" i="3"/>
  <c r="AH18" i="3" s="1"/>
  <c r="AR14" i="3"/>
  <c r="AR13" i="3"/>
  <c r="AR12" i="3"/>
  <c r="AR11" i="3"/>
  <c r="AP15" i="3"/>
  <c r="AR15" i="3" s="1"/>
  <c r="Y15" i="3"/>
  <c r="Y14" i="3" s="1"/>
  <c r="AB12" i="8" s="1"/>
  <c r="I15" i="3"/>
  <c r="K18" i="3" s="1"/>
  <c r="E15" i="3"/>
  <c r="E14" i="3"/>
  <c r="E13" i="3"/>
  <c r="E12" i="3"/>
  <c r="E11" i="3"/>
  <c r="R14" i="3"/>
  <c r="S14" i="3" s="1"/>
  <c r="AH14" i="3" s="1"/>
  <c r="R13" i="3"/>
  <c r="S13" i="3" s="1"/>
  <c r="AH13" i="3" s="1"/>
  <c r="R12" i="3"/>
  <c r="S12" i="3" s="1"/>
  <c r="R11" i="3"/>
  <c r="S11" i="3" s="1"/>
  <c r="AH11" i="3" s="1"/>
  <c r="BG332" i="46"/>
  <c r="BH332" i="46"/>
  <c r="BG331" i="46"/>
  <c r="BH331" i="46" s="1"/>
  <c r="BG330" i="46"/>
  <c r="BG334" i="46" s="1"/>
  <c r="BH334" i="46" s="1"/>
  <c r="BG329" i="46"/>
  <c r="BC332" i="46"/>
  <c r="BD332" i="46" s="1"/>
  <c r="BC331" i="46"/>
  <c r="BD331" i="46" s="1"/>
  <c r="BC330" i="46"/>
  <c r="BC329" i="46"/>
  <c r="AY332" i="46"/>
  <c r="AY331" i="46"/>
  <c r="AZ331" i="46" s="1"/>
  <c r="AY329" i="46"/>
  <c r="AU332" i="46"/>
  <c r="AU331" i="46"/>
  <c r="AV331" i="46"/>
  <c r="AU330" i="46"/>
  <c r="AQ331" i="46"/>
  <c r="AR331" i="46"/>
  <c r="AQ330" i="46"/>
  <c r="AQ333" i="46" s="1"/>
  <c r="AQ329" i="46"/>
  <c r="AM331" i="46"/>
  <c r="AN331" i="46"/>
  <c r="AM330" i="46"/>
  <c r="AM329" i="46"/>
  <c r="AI331" i="46"/>
  <c r="AI330" i="46"/>
  <c r="AI333" i="46" s="1"/>
  <c r="AI329" i="46"/>
  <c r="AQ315" i="46"/>
  <c r="AQ314" i="46"/>
  <c r="AR314" i="46" s="1"/>
  <c r="AM315" i="46"/>
  <c r="AM314" i="46"/>
  <c r="AI315" i="46"/>
  <c r="AI314" i="46"/>
  <c r="AK314" i="46" s="1"/>
  <c r="BK315" i="46"/>
  <c r="BK314" i="46"/>
  <c r="BK313" i="46"/>
  <c r="BM313" i="46" s="1"/>
  <c r="BG315" i="46"/>
  <c r="BH315" i="46" s="1"/>
  <c r="BG314" i="46"/>
  <c r="BG313" i="46"/>
  <c r="BC315" i="46"/>
  <c r="BC314" i="46"/>
  <c r="BI314" i="46" s="1"/>
  <c r="BC313" i="46"/>
  <c r="AY315" i="46"/>
  <c r="AY314" i="46"/>
  <c r="AY313" i="46"/>
  <c r="AZ313" i="46" s="1"/>
  <c r="AU315" i="46"/>
  <c r="AW315" i="46" s="1"/>
  <c r="AU314" i="46"/>
  <c r="AW314" i="46"/>
  <c r="AU313" i="46"/>
  <c r="AQ312" i="46"/>
  <c r="AM312" i="46"/>
  <c r="AI312" i="46"/>
  <c r="AO312" i="46" s="1"/>
  <c r="BM312" i="46"/>
  <c r="BM311" i="46"/>
  <c r="BM310" i="46"/>
  <c r="BM309" i="46"/>
  <c r="BI312" i="46"/>
  <c r="BI311" i="46"/>
  <c r="BI310" i="46"/>
  <c r="BH310" i="46"/>
  <c r="BI309" i="46"/>
  <c r="BH309" i="46"/>
  <c r="BE312" i="46"/>
  <c r="BD312" i="46"/>
  <c r="BE311" i="46"/>
  <c r="BD311" i="46"/>
  <c r="BE310" i="46"/>
  <c r="BD310" i="46"/>
  <c r="BE309" i="46"/>
  <c r="BD309" i="46"/>
  <c r="BA312" i="46"/>
  <c r="AZ312" i="46"/>
  <c r="BA311" i="46"/>
  <c r="AZ311" i="46"/>
  <c r="BA310" i="46"/>
  <c r="AZ310" i="46"/>
  <c r="BA309" i="46"/>
  <c r="AZ309" i="46"/>
  <c r="AW311" i="46"/>
  <c r="AV311" i="46"/>
  <c r="AW310" i="46"/>
  <c r="AV310" i="46"/>
  <c r="AW309" i="46"/>
  <c r="AV309" i="46"/>
  <c r="AS313" i="46"/>
  <c r="AR313" i="46"/>
  <c r="AS311" i="46"/>
  <c r="AR311" i="46"/>
  <c r="AS310" i="46"/>
  <c r="AR310" i="46"/>
  <c r="AS309" i="46"/>
  <c r="AR309" i="46"/>
  <c r="AO313" i="46"/>
  <c r="AN313" i="46"/>
  <c r="AO311" i="46"/>
  <c r="AN311" i="46"/>
  <c r="AO310" i="46"/>
  <c r="AN310" i="46"/>
  <c r="AO309" i="46"/>
  <c r="AN309" i="46"/>
  <c r="AK313" i="46"/>
  <c r="AJ313" i="46"/>
  <c r="AK311" i="46"/>
  <c r="AJ311" i="46"/>
  <c r="AK310" i="46"/>
  <c r="AJ310" i="46"/>
  <c r="AK309" i="46"/>
  <c r="AJ309" i="46"/>
  <c r="BC292" i="46"/>
  <c r="BC291" i="46"/>
  <c r="AY292" i="46"/>
  <c r="AY291" i="46"/>
  <c r="AU292" i="46"/>
  <c r="AU291" i="46"/>
  <c r="C289" i="46"/>
  <c r="T288" i="46"/>
  <c r="T287" i="46"/>
  <c r="T286" i="46"/>
  <c r="P288" i="46"/>
  <c r="P287" i="46"/>
  <c r="P286" i="46"/>
  <c r="AR282" i="46"/>
  <c r="AR281" i="46"/>
  <c r="AR280" i="46"/>
  <c r="AR279" i="46"/>
  <c r="AR278" i="46"/>
  <c r="AR277" i="46"/>
  <c r="AR276" i="46"/>
  <c r="AN282" i="46"/>
  <c r="AN281" i="46"/>
  <c r="BC262" i="46"/>
  <c r="BC261" i="46"/>
  <c r="BD261" i="46" s="1"/>
  <c r="BC260" i="46"/>
  <c r="G65" i="49" s="1"/>
  <c r="AY262" i="46"/>
  <c r="AY261" i="46"/>
  <c r="BA261" i="46" s="1"/>
  <c r="AY260" i="46"/>
  <c r="AU262" i="46"/>
  <c r="AU261" i="46"/>
  <c r="AU260" i="46"/>
  <c r="AV260" i="46" s="1"/>
  <c r="BG261" i="46"/>
  <c r="BI257" i="46"/>
  <c r="BH257" i="46"/>
  <c r="BI256" i="46"/>
  <c r="BH256" i="46"/>
  <c r="BE259" i="46"/>
  <c r="BD259" i="46"/>
  <c r="BE258" i="46"/>
  <c r="BD258" i="46"/>
  <c r="BE257" i="46"/>
  <c r="BD257" i="46"/>
  <c r="BE256" i="46"/>
  <c r="BD256" i="46"/>
  <c r="BA259" i="46"/>
  <c r="AZ259" i="46"/>
  <c r="BA258" i="46"/>
  <c r="AZ258" i="46"/>
  <c r="BA257" i="46"/>
  <c r="AZ257" i="46"/>
  <c r="BA256" i="46"/>
  <c r="AZ256" i="46"/>
  <c r="AV258" i="46"/>
  <c r="AV257" i="46"/>
  <c r="AV256" i="46"/>
  <c r="BK250" i="46"/>
  <c r="BG250" i="46"/>
  <c r="BC250" i="46"/>
  <c r="AY250" i="46"/>
  <c r="AZ250" i="46" s="1"/>
  <c r="AU250" i="46"/>
  <c r="AQ250" i="46"/>
  <c r="AM250" i="46"/>
  <c r="AI250" i="46"/>
  <c r="BM249" i="46"/>
  <c r="BM248" i="46"/>
  <c r="BM247" i="46"/>
  <c r="BM246" i="46"/>
  <c r="BI249" i="46"/>
  <c r="BI248" i="46"/>
  <c r="BI247" i="46"/>
  <c r="BH247" i="46"/>
  <c r="BI246" i="46"/>
  <c r="BH246" i="46"/>
  <c r="BE249" i="46"/>
  <c r="BD249" i="46"/>
  <c r="BE248" i="46"/>
  <c r="BD248" i="46"/>
  <c r="BE247" i="46"/>
  <c r="BD247" i="46"/>
  <c r="BE246" i="46"/>
  <c r="BD246" i="46"/>
  <c r="BA249" i="46"/>
  <c r="AZ249" i="46"/>
  <c r="BA248" i="46"/>
  <c r="AZ248" i="46"/>
  <c r="BA247" i="46"/>
  <c r="AZ247" i="46"/>
  <c r="BA246" i="46"/>
  <c r="AZ246" i="46"/>
  <c r="AW249" i="46"/>
  <c r="AW248" i="46"/>
  <c r="AV248" i="46"/>
  <c r="AW247" i="46"/>
  <c r="AV247" i="46"/>
  <c r="AW246" i="46"/>
  <c r="AV246" i="46"/>
  <c r="AS249" i="46"/>
  <c r="AS248" i="46"/>
  <c r="AR248" i="46"/>
  <c r="AS247" i="46"/>
  <c r="AR247" i="46"/>
  <c r="AS246" i="46"/>
  <c r="AR246" i="46"/>
  <c r="AQ242" i="46"/>
  <c r="AQ241" i="46"/>
  <c r="AM242" i="46"/>
  <c r="AM241" i="46"/>
  <c r="AO241" i="46" s="1"/>
  <c r="AI242" i="46"/>
  <c r="AI241" i="46"/>
  <c r="BK242" i="46"/>
  <c r="BK241" i="46"/>
  <c r="BM241" i="46" s="1"/>
  <c r="BK240" i="46"/>
  <c r="BG242" i="46"/>
  <c r="BG241" i="46"/>
  <c r="BG240" i="46"/>
  <c r="H64" i="49" s="1"/>
  <c r="BC242" i="46"/>
  <c r="BC241" i="46"/>
  <c r="BC240" i="46"/>
  <c r="BE240" i="46" s="1"/>
  <c r="AY242" i="46"/>
  <c r="BE242" i="46" s="1"/>
  <c r="AY241" i="46"/>
  <c r="AY240" i="46"/>
  <c r="AU242" i="46"/>
  <c r="AU241" i="46"/>
  <c r="AW241" i="46" s="1"/>
  <c r="AU240" i="46"/>
  <c r="AV240" i="46" s="1"/>
  <c r="E64" i="49"/>
  <c r="AQ239" i="46"/>
  <c r="AS239" i="46" s="1"/>
  <c r="AM239" i="46"/>
  <c r="AI239" i="46"/>
  <c r="W37" i="47" s="1" a="1"/>
  <c r="BM239" i="46"/>
  <c r="BM238" i="46"/>
  <c r="BM237" i="46"/>
  <c r="BM236" i="46"/>
  <c r="BI239" i="46"/>
  <c r="BI238" i="46"/>
  <c r="BI237" i="46"/>
  <c r="BH237" i="46"/>
  <c r="BI236" i="46"/>
  <c r="BH236" i="46"/>
  <c r="BE239" i="46"/>
  <c r="BD239" i="46"/>
  <c r="BE238" i="46"/>
  <c r="BD238" i="46"/>
  <c r="BE237" i="46"/>
  <c r="BD237" i="46"/>
  <c r="BE236" i="46"/>
  <c r="BD236" i="46"/>
  <c r="BA239" i="46"/>
  <c r="AZ239" i="46"/>
  <c r="BA238" i="46"/>
  <c r="AZ238" i="46"/>
  <c r="BA237" i="46"/>
  <c r="AZ237" i="46"/>
  <c r="BA236" i="46"/>
  <c r="AZ236" i="46"/>
  <c r="AW238" i="46"/>
  <c r="AV238" i="46"/>
  <c r="AW237" i="46"/>
  <c r="AV237" i="46"/>
  <c r="AW236" i="46"/>
  <c r="AV236" i="46"/>
  <c r="AS240" i="46"/>
  <c r="AR240" i="46"/>
  <c r="AS238" i="46"/>
  <c r="AR238" i="46"/>
  <c r="AS237" i="46"/>
  <c r="AR237" i="46"/>
  <c r="AS236" i="46"/>
  <c r="AR236" i="46"/>
  <c r="AO240" i="46"/>
  <c r="AN240" i="46"/>
  <c r="AO238" i="46"/>
  <c r="AN238" i="46"/>
  <c r="AO237" i="46"/>
  <c r="AN237" i="46"/>
  <c r="AO236" i="46"/>
  <c r="AN236" i="46"/>
  <c r="AK240" i="46"/>
  <c r="AJ240" i="46"/>
  <c r="AK238" i="46"/>
  <c r="AJ238" i="46"/>
  <c r="AK237" i="46"/>
  <c r="AJ237" i="46"/>
  <c r="AK236" i="46"/>
  <c r="AJ236" i="46"/>
  <c r="BG227" i="46"/>
  <c r="BG319" i="46"/>
  <c r="BG339" i="46" s="1"/>
  <c r="BC229" i="46"/>
  <c r="BC228" i="46"/>
  <c r="BC227" i="46"/>
  <c r="BD227" i="46" s="1"/>
  <c r="BC226" i="46"/>
  <c r="BD226" i="46" s="1"/>
  <c r="AY229" i="46"/>
  <c r="AY228" i="46"/>
  <c r="AU229" i="46"/>
  <c r="AU322" i="46"/>
  <c r="AV322" i="46" s="1"/>
  <c r="AU228" i="46"/>
  <c r="AU227" i="46"/>
  <c r="AU226" i="46"/>
  <c r="AV226" i="46"/>
  <c r="AQ228" i="46"/>
  <c r="AQ227" i="46"/>
  <c r="AQ226" i="46"/>
  <c r="AM228" i="46"/>
  <c r="AM258" i="46" s="1"/>
  <c r="AN258" i="46" s="1"/>
  <c r="AM227" i="46"/>
  <c r="AM226" i="46"/>
  <c r="AI228" i="46"/>
  <c r="AK228" i="46"/>
  <c r="AI227" i="46"/>
  <c r="AJ227" i="46"/>
  <c r="AI226" i="46"/>
  <c r="BK222" i="46"/>
  <c r="BQ222" i="46" s="1"/>
  <c r="BK221" i="46"/>
  <c r="BK220" i="46"/>
  <c r="BG222" i="46"/>
  <c r="BI222" i="46" s="1"/>
  <c r="BG221" i="46"/>
  <c r="BM221" i="46" s="1"/>
  <c r="BG220" i="46"/>
  <c r="H62" i="49" s="1"/>
  <c r="BC222" i="46"/>
  <c r="BC221" i="46"/>
  <c r="BI221" i="46" s="1"/>
  <c r="BC220" i="46"/>
  <c r="G62" i="49" s="1"/>
  <c r="AY222" i="46"/>
  <c r="AY221" i="46"/>
  <c r="AY220" i="46"/>
  <c r="F62" i="49" s="1"/>
  <c r="AU222" i="46"/>
  <c r="AU221" i="46"/>
  <c r="AU220" i="46"/>
  <c r="AQ222" i="46"/>
  <c r="AS222" i="46" s="1"/>
  <c r="AQ221" i="46"/>
  <c r="AQ220" i="46"/>
  <c r="AR220" i="46"/>
  <c r="AM222" i="46"/>
  <c r="AO222" i="46" s="1"/>
  <c r="AM221" i="46"/>
  <c r="AM220" i="46"/>
  <c r="AI222" i="46"/>
  <c r="AK222" i="46" s="1"/>
  <c r="AI221" i="46"/>
  <c r="AK221" i="46" s="1"/>
  <c r="AI220" i="46"/>
  <c r="B62" i="49" s="1"/>
  <c r="H31" i="21" s="1"/>
  <c r="H97" i="21" s="1"/>
  <c r="BM219" i="46"/>
  <c r="BM218" i="46"/>
  <c r="BM217" i="46"/>
  <c r="BM216" i="46"/>
  <c r="BI219" i="46"/>
  <c r="BI218" i="46"/>
  <c r="BI217" i="46"/>
  <c r="BH217" i="46"/>
  <c r="BI216" i="46"/>
  <c r="BH216" i="46"/>
  <c r="BE219" i="46"/>
  <c r="BD219" i="46"/>
  <c r="BE218" i="46"/>
  <c r="BD218" i="46"/>
  <c r="BE217" i="46"/>
  <c r="BD217" i="46"/>
  <c r="BE216" i="46"/>
  <c r="BD216" i="46"/>
  <c r="BA219" i="46"/>
  <c r="AZ219" i="46"/>
  <c r="BA218" i="46"/>
  <c r="AZ218" i="46"/>
  <c r="BA217" i="46"/>
  <c r="AZ217" i="46"/>
  <c r="BA216" i="46"/>
  <c r="AZ216" i="46"/>
  <c r="AW219" i="46"/>
  <c r="AW218" i="46"/>
  <c r="AV218" i="46"/>
  <c r="AW217" i="46"/>
  <c r="AV217" i="46"/>
  <c r="AW216" i="46"/>
  <c r="AV216" i="46"/>
  <c r="AS219" i="46"/>
  <c r="AS218" i="46"/>
  <c r="AR218" i="46"/>
  <c r="AS217" i="46"/>
  <c r="AR217" i="46"/>
  <c r="AS216" i="46"/>
  <c r="AR216" i="46"/>
  <c r="AO219" i="46"/>
  <c r="AO218" i="46"/>
  <c r="AN218" i="46"/>
  <c r="AO217" i="46"/>
  <c r="AN217" i="46"/>
  <c r="AO216" i="46"/>
  <c r="AN216" i="46"/>
  <c r="AK219" i="46"/>
  <c r="AK218" i="46"/>
  <c r="AJ218" i="46"/>
  <c r="AK217" i="46"/>
  <c r="AJ217" i="46"/>
  <c r="AK216" i="46"/>
  <c r="AJ216" i="46"/>
  <c r="BG198" i="46"/>
  <c r="BG291" i="46" s="1"/>
  <c r="BG199" i="46"/>
  <c r="BG292" i="46" s="1"/>
  <c r="BC198" i="46"/>
  <c r="AY199" i="46"/>
  <c r="AY198" i="46"/>
  <c r="AU199" i="46"/>
  <c r="AU198" i="46"/>
  <c r="BC199" i="46"/>
  <c r="G193" i="46"/>
  <c r="BG186" i="46"/>
  <c r="BC189" i="46"/>
  <c r="BC188" i="46"/>
  <c r="AY189" i="46"/>
  <c r="AY188" i="46"/>
  <c r="AU189" i="46"/>
  <c r="AU188" i="46"/>
  <c r="BG178" i="46"/>
  <c r="BC179" i="46"/>
  <c r="BC178" i="46"/>
  <c r="AY179" i="46"/>
  <c r="AY178" i="46"/>
  <c r="AU179" i="46"/>
  <c r="AU178" i="46"/>
  <c r="S176" i="46"/>
  <c r="C176" i="46"/>
  <c r="AR169" i="46"/>
  <c r="AR168" i="46"/>
  <c r="AR167" i="46"/>
  <c r="AR166" i="46"/>
  <c r="AR165" i="46"/>
  <c r="AR164" i="46"/>
  <c r="AR163" i="46"/>
  <c r="AN169" i="46"/>
  <c r="AN168" i="46"/>
  <c r="AN167" i="46"/>
  <c r="AN166" i="46"/>
  <c r="AN165" i="46"/>
  <c r="AN164" i="46"/>
  <c r="AN163" i="46"/>
  <c r="AJ169" i="46"/>
  <c r="AJ168" i="46"/>
  <c r="AV169" i="46"/>
  <c r="AV168" i="46"/>
  <c r="AV167" i="46"/>
  <c r="AV166" i="46"/>
  <c r="AV165" i="46"/>
  <c r="AV164" i="46"/>
  <c r="AV163" i="46"/>
  <c r="D167" i="46"/>
  <c r="D166" i="46"/>
  <c r="D165" i="46"/>
  <c r="D164" i="46"/>
  <c r="D163" i="46"/>
  <c r="BG148" i="46"/>
  <c r="BI148" i="46" s="1"/>
  <c r="BC149" i="46"/>
  <c r="BC148" i="46"/>
  <c r="BC147" i="46"/>
  <c r="AY149" i="46"/>
  <c r="AY148" i="46"/>
  <c r="BA148" i="46" s="1"/>
  <c r="AY147" i="46"/>
  <c r="F49" i="49" s="1"/>
  <c r="L20" i="21" s="1"/>
  <c r="L86" i="21" s="1"/>
  <c r="AU149" i="46"/>
  <c r="AU148" i="46"/>
  <c r="AU147" i="46"/>
  <c r="AW147" i="46" s="1"/>
  <c r="BI144" i="46"/>
  <c r="BI143" i="46"/>
  <c r="AE147" i="46"/>
  <c r="AG147" i="46"/>
  <c r="AA146" i="46"/>
  <c r="W146" i="46"/>
  <c r="S146" i="46"/>
  <c r="U146" i="46" s="1"/>
  <c r="BE146" i="46"/>
  <c r="BE145" i="46"/>
  <c r="BE144" i="46"/>
  <c r="BE143" i="46"/>
  <c r="BA146" i="46"/>
  <c r="BA145" i="46"/>
  <c r="BA144" i="46"/>
  <c r="BA143" i="46"/>
  <c r="AQ147" i="46"/>
  <c r="AQ146" i="46" s="1"/>
  <c r="AQ145" i="46"/>
  <c r="AW145" i="46" s="1"/>
  <c r="AQ144" i="46"/>
  <c r="AW144" i="46" s="1"/>
  <c r="AQ143" i="46"/>
  <c r="AM147" i="46"/>
  <c r="AO147" i="46" s="1"/>
  <c r="AM145" i="46"/>
  <c r="AM144" i="46"/>
  <c r="AM143" i="46"/>
  <c r="AI147" i="46"/>
  <c r="AK147" i="46" s="1"/>
  <c r="AI145" i="46"/>
  <c r="AO145" i="46" s="1"/>
  <c r="AI144" i="46"/>
  <c r="AK144" i="46" s="1"/>
  <c r="AI143" i="46"/>
  <c r="AK143" i="46" s="1"/>
  <c r="AG145" i="46"/>
  <c r="AG144" i="46"/>
  <c r="AG143" i="46"/>
  <c r="AC147" i="46"/>
  <c r="AC145" i="46"/>
  <c r="AC144" i="46"/>
  <c r="AC143" i="46"/>
  <c r="Y147" i="46"/>
  <c r="Y145" i="46"/>
  <c r="Y144" i="46"/>
  <c r="Y143" i="46"/>
  <c r="U147" i="46"/>
  <c r="U145" i="46"/>
  <c r="U144" i="46"/>
  <c r="U143" i="46"/>
  <c r="Q147" i="46"/>
  <c r="Q146" i="46"/>
  <c r="Q145" i="46"/>
  <c r="Q144" i="46"/>
  <c r="Q143" i="46"/>
  <c r="M147" i="46"/>
  <c r="M146" i="46"/>
  <c r="M145" i="46"/>
  <c r="M144" i="46"/>
  <c r="M143" i="46"/>
  <c r="I147" i="46"/>
  <c r="I146" i="46"/>
  <c r="I145" i="46"/>
  <c r="I144" i="46"/>
  <c r="I143" i="46"/>
  <c r="AE134" i="46"/>
  <c r="AF134" i="46" s="1"/>
  <c r="W134" i="46"/>
  <c r="X134" i="46" s="1"/>
  <c r="S134" i="46"/>
  <c r="O135" i="46"/>
  <c r="O134" i="46"/>
  <c r="K135" i="46"/>
  <c r="M135" i="46" s="1"/>
  <c r="K134" i="46"/>
  <c r="L134" i="46" s="1"/>
  <c r="G135" i="46"/>
  <c r="G134" i="46"/>
  <c r="H134" i="46" s="1"/>
  <c r="C135" i="46"/>
  <c r="I135" i="46" s="1"/>
  <c r="C134" i="46"/>
  <c r="AI129" i="46"/>
  <c r="AI128" i="46"/>
  <c r="BG129" i="46"/>
  <c r="BH129" i="46" s="1"/>
  <c r="BG128" i="46"/>
  <c r="BG127" i="46"/>
  <c r="BC129" i="46"/>
  <c r="BC128" i="46"/>
  <c r="BD128" i="46" s="1"/>
  <c r="BC127" i="46"/>
  <c r="AY129" i="46"/>
  <c r="AY128" i="46"/>
  <c r="AY127" i="46"/>
  <c r="F43" i="49" s="1"/>
  <c r="AU129" i="46"/>
  <c r="AU128" i="46"/>
  <c r="AU127" i="46"/>
  <c r="AU137" i="46" s="1"/>
  <c r="AN127" i="46"/>
  <c r="AN125" i="46"/>
  <c r="AN124" i="46"/>
  <c r="AJ127" i="46"/>
  <c r="AJ125" i="46"/>
  <c r="AJ124" i="46"/>
  <c r="AJ123" i="46"/>
  <c r="BK129" i="46"/>
  <c r="BK128" i="46"/>
  <c r="BH124" i="46"/>
  <c r="BH123" i="46"/>
  <c r="BD126" i="46"/>
  <c r="BD125" i="46"/>
  <c r="BD124" i="46"/>
  <c r="BD123" i="46"/>
  <c r="AZ126" i="46"/>
  <c r="AZ125" i="46"/>
  <c r="AZ124" i="46"/>
  <c r="AZ123" i="46"/>
  <c r="AV125" i="46"/>
  <c r="AV124" i="46"/>
  <c r="AV123" i="46"/>
  <c r="AI126" i="46"/>
  <c r="W24" i="47" s="1" a="1"/>
  <c r="P126" i="46"/>
  <c r="P125" i="46"/>
  <c r="P124" i="46"/>
  <c r="P123" i="46"/>
  <c r="L126" i="46"/>
  <c r="L125" i="46"/>
  <c r="L124" i="46"/>
  <c r="L123" i="46"/>
  <c r="H126" i="46"/>
  <c r="H125" i="46"/>
  <c r="H124" i="46"/>
  <c r="H123" i="46"/>
  <c r="D126" i="46"/>
  <c r="D125" i="46"/>
  <c r="D124" i="46"/>
  <c r="D123" i="46"/>
  <c r="AF125" i="46"/>
  <c r="AF124" i="46"/>
  <c r="AF123" i="46"/>
  <c r="AB125" i="46"/>
  <c r="AB124" i="46"/>
  <c r="AB123" i="46"/>
  <c r="X125" i="46"/>
  <c r="X124" i="46"/>
  <c r="X123" i="46"/>
  <c r="T125" i="46"/>
  <c r="T124" i="46"/>
  <c r="T123" i="46"/>
  <c r="AQ127" i="46"/>
  <c r="AR127" i="46" s="1"/>
  <c r="AQ125" i="46"/>
  <c r="AR125" i="46"/>
  <c r="AQ124" i="46"/>
  <c r="AR124" i="46" s="1"/>
  <c r="AQ123" i="46"/>
  <c r="AM123" i="46"/>
  <c r="S113" i="46"/>
  <c r="U113" i="46" s="1"/>
  <c r="O116" i="46"/>
  <c r="O114" i="46"/>
  <c r="K116" i="46"/>
  <c r="L146" i="46" s="1"/>
  <c r="K115" i="46"/>
  <c r="K155" i="46" s="1"/>
  <c r="K114" i="46"/>
  <c r="K113" i="46"/>
  <c r="G116" i="46"/>
  <c r="G115" i="46"/>
  <c r="G155" i="46" s="1"/>
  <c r="G114" i="46"/>
  <c r="G154" i="46" s="1"/>
  <c r="C113" i="46"/>
  <c r="AQ109" i="46"/>
  <c r="AS109" i="46" s="1"/>
  <c r="AQ108" i="46"/>
  <c r="AM109" i="46"/>
  <c r="AM108" i="46"/>
  <c r="AI109" i="46"/>
  <c r="AK109" i="46" s="1"/>
  <c r="AI108" i="46"/>
  <c r="BK109" i="46"/>
  <c r="BK108" i="46"/>
  <c r="BK107" i="46"/>
  <c r="BM107" i="46" s="1"/>
  <c r="BG109" i="46"/>
  <c r="BM109" i="46"/>
  <c r="BG108" i="46"/>
  <c r="BG107" i="46"/>
  <c r="H28" i="49" s="1"/>
  <c r="BC109" i="46"/>
  <c r="BC108" i="46"/>
  <c r="BC107" i="46"/>
  <c r="G28" i="49" s="1"/>
  <c r="CE18" i="47" s="1"/>
  <c r="AY109" i="46"/>
  <c r="BA109" i="46" s="1"/>
  <c r="AY108" i="46"/>
  <c r="AY107" i="46"/>
  <c r="AZ107" i="46"/>
  <c r="AU109" i="46"/>
  <c r="AV109" i="46" s="1"/>
  <c r="AU108" i="46"/>
  <c r="AU107" i="46"/>
  <c r="AW107" i="46"/>
  <c r="AQ106" i="46"/>
  <c r="AS106" i="46" s="1"/>
  <c r="AM106" i="46"/>
  <c r="AB18" i="47" a="1"/>
  <c r="AI106" i="46"/>
  <c r="BM106" i="46"/>
  <c r="BM105" i="46"/>
  <c r="BM104" i="46"/>
  <c r="BM103" i="46"/>
  <c r="BI106" i="46"/>
  <c r="BI105" i="46"/>
  <c r="BI104" i="46"/>
  <c r="BH104" i="46"/>
  <c r="BI103" i="46"/>
  <c r="BH103" i="46"/>
  <c r="BE106" i="46"/>
  <c r="BD106" i="46"/>
  <c r="BE105" i="46"/>
  <c r="BD105" i="46"/>
  <c r="BE104" i="46"/>
  <c r="BD104" i="46"/>
  <c r="BE103" i="46"/>
  <c r="BD103" i="46"/>
  <c r="BA106" i="46"/>
  <c r="AZ106" i="46"/>
  <c r="BA105" i="46"/>
  <c r="AZ105" i="46"/>
  <c r="BA104" i="46"/>
  <c r="AZ104" i="46"/>
  <c r="BA103" i="46"/>
  <c r="AZ103" i="46"/>
  <c r="AW105" i="46"/>
  <c r="AV105" i="46"/>
  <c r="AW104" i="46"/>
  <c r="AV104" i="46"/>
  <c r="AW103" i="46"/>
  <c r="AV103" i="46"/>
  <c r="AS107" i="46"/>
  <c r="AR107" i="46"/>
  <c r="AS105" i="46"/>
  <c r="AR105" i="46"/>
  <c r="AS104" i="46"/>
  <c r="AR104" i="46"/>
  <c r="AS103" i="46"/>
  <c r="AR103" i="46"/>
  <c r="AO107" i="46"/>
  <c r="AN107" i="46"/>
  <c r="AO105" i="46"/>
  <c r="AN105" i="46"/>
  <c r="AO104" i="46"/>
  <c r="AN104" i="46"/>
  <c r="AO103" i="46"/>
  <c r="AN103" i="46"/>
  <c r="AK107" i="46"/>
  <c r="AJ107" i="46"/>
  <c r="AK105" i="46"/>
  <c r="AJ105" i="46"/>
  <c r="AK104" i="46"/>
  <c r="AJ104" i="46"/>
  <c r="AK103" i="46"/>
  <c r="AJ103" i="46"/>
  <c r="AG107" i="46"/>
  <c r="AG106" i="46"/>
  <c r="AG105" i="46"/>
  <c r="AF105" i="46"/>
  <c r="AG104" i="46"/>
  <c r="AF104" i="46"/>
  <c r="AG103" i="46"/>
  <c r="AF103" i="46"/>
  <c r="AC107" i="46"/>
  <c r="AC106" i="46"/>
  <c r="AC105" i="46"/>
  <c r="AB105" i="46"/>
  <c r="AC104" i="46"/>
  <c r="AB104" i="46"/>
  <c r="AC103" i="46"/>
  <c r="AB103" i="46"/>
  <c r="Y107" i="46"/>
  <c r="Y106" i="46"/>
  <c r="Y105" i="46"/>
  <c r="X105" i="46"/>
  <c r="Y104" i="46"/>
  <c r="X104" i="46"/>
  <c r="Y103" i="46"/>
  <c r="X103" i="46"/>
  <c r="U107" i="46"/>
  <c r="U106" i="46"/>
  <c r="U105" i="46"/>
  <c r="T105" i="46"/>
  <c r="U104" i="46"/>
  <c r="T104" i="46"/>
  <c r="U103" i="46"/>
  <c r="T103" i="46"/>
  <c r="Q107" i="46"/>
  <c r="Q106" i="46"/>
  <c r="P106" i="46"/>
  <c r="Q105" i="46"/>
  <c r="P105" i="46"/>
  <c r="Q104" i="46"/>
  <c r="P104" i="46"/>
  <c r="Q103" i="46"/>
  <c r="P103" i="46"/>
  <c r="M107" i="46"/>
  <c r="M106" i="46"/>
  <c r="L106" i="46"/>
  <c r="M105" i="46"/>
  <c r="L105" i="46"/>
  <c r="M104" i="46"/>
  <c r="L104" i="46"/>
  <c r="M103" i="46"/>
  <c r="L103" i="46"/>
  <c r="I107" i="46"/>
  <c r="I106" i="46"/>
  <c r="H106" i="46"/>
  <c r="I105" i="46"/>
  <c r="H105" i="46"/>
  <c r="I104" i="46"/>
  <c r="H104" i="46"/>
  <c r="I103" i="46"/>
  <c r="H103" i="46"/>
  <c r="E107" i="46"/>
  <c r="E106" i="46"/>
  <c r="D106" i="46"/>
  <c r="E105" i="46"/>
  <c r="D105" i="46"/>
  <c r="E104" i="46"/>
  <c r="D104" i="46"/>
  <c r="E103" i="46"/>
  <c r="D103" i="46"/>
  <c r="O97" i="46"/>
  <c r="O136" i="46" s="1"/>
  <c r="K97" i="46"/>
  <c r="G97" i="46"/>
  <c r="C97" i="46"/>
  <c r="AE97" i="46"/>
  <c r="AK97" i="46" s="1"/>
  <c r="W97" i="46"/>
  <c r="S97" i="46"/>
  <c r="BG94" i="46"/>
  <c r="BA21" i="47" a="1"/>
  <c r="BD21" i="47" s="1"/>
  <c r="C13" i="39" s="1"/>
  <c r="AA97" i="46"/>
  <c r="AA95" i="46"/>
  <c r="AA134" i="46" s="1"/>
  <c r="AA94" i="46"/>
  <c r="AC94" i="46" s="1"/>
  <c r="BC96" i="46"/>
  <c r="BC116" i="46" s="1"/>
  <c r="BC95" i="46"/>
  <c r="BC94" i="46"/>
  <c r="BC93" i="46"/>
  <c r="AY96" i="46"/>
  <c r="AZ96" i="46" s="1"/>
  <c r="AY95" i="46"/>
  <c r="AZ95" i="46"/>
  <c r="AY94" i="46"/>
  <c r="AY93" i="46"/>
  <c r="BA93" i="46" s="1"/>
  <c r="AU96" i="46"/>
  <c r="AU95" i="46"/>
  <c r="AU94" i="46"/>
  <c r="AV94" i="46"/>
  <c r="AU93" i="46"/>
  <c r="AQ97" i="46"/>
  <c r="AR97" i="46" s="1"/>
  <c r="AQ95" i="46"/>
  <c r="AQ115" i="46" s="1"/>
  <c r="AQ94" i="46"/>
  <c r="AQ96" i="46" s="1"/>
  <c r="AQ93" i="46"/>
  <c r="AM97" i="46"/>
  <c r="C37" i="49" s="1"/>
  <c r="AM95" i="46"/>
  <c r="AN95" i="46" s="1"/>
  <c r="AM94" i="46"/>
  <c r="AM114" i="46" s="1"/>
  <c r="AM300" i="46" s="1"/>
  <c r="AM93" i="46"/>
  <c r="AM113" i="46" s="1"/>
  <c r="AI97" i="46"/>
  <c r="AI95" i="46"/>
  <c r="AI94" i="46"/>
  <c r="AK94" i="46" s="1"/>
  <c r="AI93" i="46"/>
  <c r="AF95" i="46"/>
  <c r="AF94" i="46"/>
  <c r="AG93" i="46"/>
  <c r="AF93" i="46"/>
  <c r="AC93" i="46"/>
  <c r="AB93" i="46"/>
  <c r="Y95" i="46"/>
  <c r="X95" i="46"/>
  <c r="Y94" i="46"/>
  <c r="X94" i="46"/>
  <c r="Y93" i="46"/>
  <c r="X93" i="46"/>
  <c r="U95" i="46"/>
  <c r="T95" i="46"/>
  <c r="U94" i="46"/>
  <c r="T94" i="46"/>
  <c r="U93" i="46"/>
  <c r="T93" i="46"/>
  <c r="Q96" i="46"/>
  <c r="P96" i="46"/>
  <c r="Q95" i="46"/>
  <c r="P95" i="46"/>
  <c r="Q94" i="46"/>
  <c r="P94" i="46"/>
  <c r="Q93" i="46"/>
  <c r="P93" i="46"/>
  <c r="M96" i="46"/>
  <c r="L96" i="46"/>
  <c r="M95" i="46"/>
  <c r="L95" i="46"/>
  <c r="M94" i="46"/>
  <c r="L94" i="46"/>
  <c r="M93" i="46"/>
  <c r="L93" i="46"/>
  <c r="I96" i="46"/>
  <c r="H96" i="46"/>
  <c r="I95" i="46"/>
  <c r="H95" i="46"/>
  <c r="I94" i="46"/>
  <c r="H94" i="46"/>
  <c r="I93" i="46"/>
  <c r="H93" i="46"/>
  <c r="E96" i="46"/>
  <c r="D96" i="46"/>
  <c r="E95" i="46"/>
  <c r="D95" i="46"/>
  <c r="E94" i="46"/>
  <c r="D94" i="46"/>
  <c r="E93" i="46"/>
  <c r="D93" i="46"/>
  <c r="AQ89" i="46"/>
  <c r="AS89" i="46" s="1"/>
  <c r="AQ88" i="46"/>
  <c r="AS88" i="46" s="1"/>
  <c r="AM89" i="46"/>
  <c r="AM88" i="46"/>
  <c r="BK89" i="46"/>
  <c r="BM89" i="46" s="1"/>
  <c r="BK88" i="46"/>
  <c r="BK87" i="46"/>
  <c r="I26" i="49" s="1"/>
  <c r="CG17" i="47" s="1"/>
  <c r="BG89" i="46"/>
  <c r="BG88" i="46"/>
  <c r="BH88" i="46" s="1"/>
  <c r="BG87" i="46"/>
  <c r="BC89" i="46"/>
  <c r="BC88" i="46"/>
  <c r="BC87" i="46"/>
  <c r="G26" i="49" s="1"/>
  <c r="AU89" i="46"/>
  <c r="AU88" i="46"/>
  <c r="AU87" i="46"/>
  <c r="AE87" i="46"/>
  <c r="AG87" i="46" s="1"/>
  <c r="AA87" i="46"/>
  <c r="W87" i="46"/>
  <c r="S87" i="46"/>
  <c r="O87" i="46"/>
  <c r="Q87" i="46" s="1"/>
  <c r="K87" i="46"/>
  <c r="G87" i="46"/>
  <c r="C87" i="46"/>
  <c r="AQ86" i="46"/>
  <c r="AW86" i="46" s="1"/>
  <c r="AM86" i="46"/>
  <c r="AO86" i="46" s="1"/>
  <c r="AI89" i="46"/>
  <c r="AI88" i="46"/>
  <c r="AI87" i="46"/>
  <c r="AI86" i="46" s="1"/>
  <c r="AY84" i="46"/>
  <c r="AY83" i="46"/>
  <c r="BM86" i="46"/>
  <c r="BM85" i="46"/>
  <c r="BM84" i="46"/>
  <c r="BI86" i="46"/>
  <c r="BI85" i="46"/>
  <c r="BI84" i="46"/>
  <c r="BH84" i="46"/>
  <c r="BI83" i="46"/>
  <c r="BH83" i="46"/>
  <c r="BE86" i="46"/>
  <c r="BD86" i="46"/>
  <c r="BE85" i="46"/>
  <c r="BD85" i="46"/>
  <c r="BD84" i="46"/>
  <c r="BD83" i="46"/>
  <c r="BA86" i="46"/>
  <c r="AZ86" i="46"/>
  <c r="BA85" i="46"/>
  <c r="AZ85" i="46"/>
  <c r="AW85" i="46"/>
  <c r="AV85" i="46"/>
  <c r="AW84" i="46"/>
  <c r="AV84" i="46"/>
  <c r="AW83" i="46"/>
  <c r="AV83" i="46"/>
  <c r="AS87" i="46"/>
  <c r="AR87" i="46"/>
  <c r="AS85" i="46"/>
  <c r="AR85" i="46"/>
  <c r="AS84" i="46"/>
  <c r="AR84" i="46"/>
  <c r="AS83" i="46"/>
  <c r="AR83" i="46"/>
  <c r="AN87" i="46"/>
  <c r="AO85" i="46"/>
  <c r="AN85" i="46"/>
  <c r="AO84" i="46"/>
  <c r="AN84" i="46"/>
  <c r="AO83" i="46"/>
  <c r="AN83" i="46"/>
  <c r="AK85" i="46"/>
  <c r="AJ85" i="46"/>
  <c r="AK84" i="46"/>
  <c r="AJ84" i="46"/>
  <c r="AK83" i="46"/>
  <c r="AJ83" i="46"/>
  <c r="AG86" i="46"/>
  <c r="AG85" i="46"/>
  <c r="AF85" i="46"/>
  <c r="AG84" i="46"/>
  <c r="AF84" i="46"/>
  <c r="AG83" i="46"/>
  <c r="AF83" i="46"/>
  <c r="AC86" i="46"/>
  <c r="AC85" i="46"/>
  <c r="AB85" i="46"/>
  <c r="AC84" i="46"/>
  <c r="AB84" i="46"/>
  <c r="AC83" i="46"/>
  <c r="AB83" i="46"/>
  <c r="Y86" i="46"/>
  <c r="Y85" i="46"/>
  <c r="X85" i="46"/>
  <c r="Y84" i="46"/>
  <c r="X84" i="46"/>
  <c r="Y83" i="46"/>
  <c r="X83" i="46"/>
  <c r="U86" i="46"/>
  <c r="U85" i="46"/>
  <c r="T85" i="46"/>
  <c r="U84" i="46"/>
  <c r="T84" i="46"/>
  <c r="U83" i="46"/>
  <c r="T83" i="46"/>
  <c r="Q86" i="46"/>
  <c r="P86" i="46"/>
  <c r="Q85" i="46"/>
  <c r="P85" i="46"/>
  <c r="Q84" i="46"/>
  <c r="P84" i="46"/>
  <c r="Q83" i="46"/>
  <c r="P83" i="46"/>
  <c r="M86" i="46"/>
  <c r="L86" i="46"/>
  <c r="M85" i="46"/>
  <c r="L85" i="46"/>
  <c r="M84" i="46"/>
  <c r="L84" i="46"/>
  <c r="M83" i="46"/>
  <c r="L83" i="46"/>
  <c r="I86" i="46"/>
  <c r="H86" i="46"/>
  <c r="I85" i="46"/>
  <c r="H85" i="46"/>
  <c r="I84" i="46"/>
  <c r="H84" i="46"/>
  <c r="I83" i="46"/>
  <c r="H83" i="46"/>
  <c r="E86" i="46"/>
  <c r="D86" i="46"/>
  <c r="E85" i="46"/>
  <c r="D85" i="46"/>
  <c r="E84" i="46"/>
  <c r="D84" i="46"/>
  <c r="E83" i="46"/>
  <c r="D83" i="46"/>
  <c r="AQ78" i="46"/>
  <c r="AQ77" i="46"/>
  <c r="AM78" i="46"/>
  <c r="AM77" i="46"/>
  <c r="AS77" i="46" s="1"/>
  <c r="AI78" i="46"/>
  <c r="AI77" i="46"/>
  <c r="BG78" i="46"/>
  <c r="BG77" i="46"/>
  <c r="BI77" i="46" s="1"/>
  <c r="BC78" i="46"/>
  <c r="BC77" i="46"/>
  <c r="BC76" i="46"/>
  <c r="G33" i="49" s="1"/>
  <c r="O76" i="46"/>
  <c r="U76" i="46" s="1"/>
  <c r="K76" i="46"/>
  <c r="M76" i="46" s="1"/>
  <c r="G76" i="46"/>
  <c r="AQ75" i="46"/>
  <c r="AM75" i="46"/>
  <c r="AS75" i="46" s="1"/>
  <c r="AI75" i="46"/>
  <c r="O74" i="46"/>
  <c r="AY73" i="46"/>
  <c r="AY76" i="46" s="1"/>
  <c r="S76" i="46"/>
  <c r="S74" i="46"/>
  <c r="S73" i="46"/>
  <c r="U73" i="46" s="1"/>
  <c r="C76" i="46"/>
  <c r="E76" i="46" s="1"/>
  <c r="C75" i="46"/>
  <c r="E75" i="46" s="1"/>
  <c r="C74" i="46"/>
  <c r="C73" i="46"/>
  <c r="C114" i="46"/>
  <c r="BI75" i="46"/>
  <c r="BI74" i="46"/>
  <c r="BI73" i="46"/>
  <c r="BI72" i="46"/>
  <c r="BH72" i="46"/>
  <c r="BE75" i="46"/>
  <c r="BE74" i="46"/>
  <c r="BD73" i="46"/>
  <c r="BE72" i="46"/>
  <c r="BD72" i="46"/>
  <c r="BA75" i="46"/>
  <c r="AZ75" i="46"/>
  <c r="BA74" i="46"/>
  <c r="AZ74" i="46"/>
  <c r="AZ72" i="46"/>
  <c r="AW74" i="46"/>
  <c r="AV74" i="46"/>
  <c r="AW73" i="46"/>
  <c r="AV73" i="46"/>
  <c r="AU72" i="46"/>
  <c r="AS76" i="46"/>
  <c r="AR76" i="46"/>
  <c r="AS74" i="46"/>
  <c r="AR74" i="46"/>
  <c r="AS73" i="46"/>
  <c r="AR73" i="46"/>
  <c r="AS72" i="46"/>
  <c r="AR72" i="46"/>
  <c r="AO76" i="46"/>
  <c r="AN76" i="46"/>
  <c r="AO74" i="46"/>
  <c r="AN74" i="46"/>
  <c r="AO73" i="46"/>
  <c r="AN73" i="46"/>
  <c r="AO72" i="46"/>
  <c r="AN72" i="46"/>
  <c r="AJ76" i="46"/>
  <c r="AJ74" i="46"/>
  <c r="AJ73" i="46"/>
  <c r="AJ72" i="46"/>
  <c r="AE76" i="46"/>
  <c r="AG76" i="46" s="1"/>
  <c r="AE74" i="46"/>
  <c r="AE73" i="46"/>
  <c r="AE72" i="46"/>
  <c r="AA76" i="46"/>
  <c r="AC76" i="46" s="1"/>
  <c r="AA74" i="46"/>
  <c r="AA73" i="46"/>
  <c r="AA72" i="46"/>
  <c r="AB72" i="46" s="1"/>
  <c r="W76" i="46"/>
  <c r="W74" i="46"/>
  <c r="X74" i="46" s="1"/>
  <c r="W115" i="46"/>
  <c r="W73" i="46"/>
  <c r="W114" i="46" s="1"/>
  <c r="X144" i="46" s="1"/>
  <c r="W72" i="46"/>
  <c r="T72" i="46"/>
  <c r="Q75" i="46"/>
  <c r="P75" i="46"/>
  <c r="Q73" i="46"/>
  <c r="P73" i="46"/>
  <c r="O72" i="46"/>
  <c r="M75" i="46"/>
  <c r="L75" i="46"/>
  <c r="M74" i="46"/>
  <c r="L74" i="46"/>
  <c r="M73" i="46"/>
  <c r="L73" i="46"/>
  <c r="L72" i="46"/>
  <c r="H75" i="46"/>
  <c r="H74" i="46"/>
  <c r="H73" i="46"/>
  <c r="G72" i="46"/>
  <c r="M72" i="46"/>
  <c r="E72" i="46"/>
  <c r="D72" i="46"/>
  <c r="AQ67" i="46"/>
  <c r="AQ66" i="46"/>
  <c r="AM67" i="46"/>
  <c r="AO67" i="46" s="1"/>
  <c r="AM66" i="46"/>
  <c r="AI67" i="46"/>
  <c r="AI66" i="46"/>
  <c r="BK67" i="46"/>
  <c r="BM67" i="46" s="1"/>
  <c r="BK66" i="46"/>
  <c r="BK65" i="46"/>
  <c r="BG66" i="46"/>
  <c r="BC67" i="46"/>
  <c r="BD67" i="46" s="1"/>
  <c r="BC66" i="46"/>
  <c r="BC65" i="46"/>
  <c r="AU67" i="46"/>
  <c r="AW67" i="46" s="1"/>
  <c r="AU66" i="46"/>
  <c r="AV66" i="46" s="1"/>
  <c r="AU65" i="46"/>
  <c r="AW65" i="46"/>
  <c r="AE65" i="46"/>
  <c r="AA65" i="46"/>
  <c r="AC65" i="46" s="1"/>
  <c r="W65" i="46"/>
  <c r="S65" i="46"/>
  <c r="U65" i="46"/>
  <c r="O65" i="46"/>
  <c r="Q65" i="46" s="1"/>
  <c r="K65" i="46"/>
  <c r="G65" i="46"/>
  <c r="I65" i="46" s="1"/>
  <c r="C65" i="46"/>
  <c r="E65" i="46" s="1"/>
  <c r="AQ64" i="46"/>
  <c r="AM64" i="46"/>
  <c r="AI64" i="46"/>
  <c r="AY62" i="46"/>
  <c r="BA62" i="46" s="1"/>
  <c r="AY61" i="46"/>
  <c r="BM64" i="46"/>
  <c r="BM63" i="46"/>
  <c r="BM62" i="46"/>
  <c r="BM61" i="46"/>
  <c r="BI64" i="46"/>
  <c r="BI63" i="46"/>
  <c r="BI62" i="46"/>
  <c r="BH62" i="46"/>
  <c r="BI61" i="46"/>
  <c r="BH61" i="46"/>
  <c r="BE64" i="46"/>
  <c r="BD64" i="46"/>
  <c r="BE63" i="46"/>
  <c r="BD63" i="46"/>
  <c r="BD62" i="46"/>
  <c r="BD61" i="46"/>
  <c r="BA64" i="46"/>
  <c r="AZ64" i="46"/>
  <c r="BA63" i="46"/>
  <c r="AZ63" i="46"/>
  <c r="AW63" i="46"/>
  <c r="AV63" i="46"/>
  <c r="AW62" i="46"/>
  <c r="AV62" i="46"/>
  <c r="AW61" i="46"/>
  <c r="AV61" i="46"/>
  <c r="AS65" i="46"/>
  <c r="AR65" i="46"/>
  <c r="AS63" i="46"/>
  <c r="AR63" i="46"/>
  <c r="AS62" i="46"/>
  <c r="AR62" i="46"/>
  <c r="AS61" i="46"/>
  <c r="AR61" i="46"/>
  <c r="AO65" i="46"/>
  <c r="AN65" i="46"/>
  <c r="AO63" i="46"/>
  <c r="AN63" i="46"/>
  <c r="AO62" i="46"/>
  <c r="AN62" i="46"/>
  <c r="AO61" i="46"/>
  <c r="AN61" i="46"/>
  <c r="AK65" i="46"/>
  <c r="AJ65" i="46"/>
  <c r="AK63" i="46"/>
  <c r="AJ63" i="46"/>
  <c r="AK62" i="46"/>
  <c r="AJ62" i="46"/>
  <c r="AK61" i="46"/>
  <c r="AJ61" i="46"/>
  <c r="AG64" i="46"/>
  <c r="AG63" i="46"/>
  <c r="AF63" i="46"/>
  <c r="AG62" i="46"/>
  <c r="AF62" i="46"/>
  <c r="AG61" i="46"/>
  <c r="AF61" i="46"/>
  <c r="AC64" i="46"/>
  <c r="AC63" i="46"/>
  <c r="AB63" i="46"/>
  <c r="AC62" i="46"/>
  <c r="AB62" i="46"/>
  <c r="AC61" i="46"/>
  <c r="AB61" i="46"/>
  <c r="Y64" i="46"/>
  <c r="Y63" i="46"/>
  <c r="X63" i="46"/>
  <c r="Y62" i="46"/>
  <c r="X62" i="46"/>
  <c r="Y61" i="46"/>
  <c r="X61" i="46"/>
  <c r="U64" i="46"/>
  <c r="U63" i="46"/>
  <c r="T63" i="46"/>
  <c r="U62" i="46"/>
  <c r="T62" i="46"/>
  <c r="U61" i="46"/>
  <c r="T61" i="46"/>
  <c r="Q64" i="46"/>
  <c r="P64" i="46"/>
  <c r="Q63" i="46"/>
  <c r="P63" i="46"/>
  <c r="Q62" i="46"/>
  <c r="P62" i="46"/>
  <c r="Q61" i="46"/>
  <c r="P61" i="46"/>
  <c r="M64" i="46"/>
  <c r="L64" i="46"/>
  <c r="M63" i="46"/>
  <c r="L63" i="46"/>
  <c r="M62" i="46"/>
  <c r="L62" i="46"/>
  <c r="M61" i="46"/>
  <c r="L61" i="46"/>
  <c r="I64" i="46"/>
  <c r="H64" i="46"/>
  <c r="I63" i="46"/>
  <c r="H63" i="46"/>
  <c r="I62" i="46"/>
  <c r="H62" i="46"/>
  <c r="I61" i="46"/>
  <c r="H61" i="46"/>
  <c r="E64" i="46"/>
  <c r="D64" i="46"/>
  <c r="E63" i="46"/>
  <c r="D63" i="46"/>
  <c r="E62" i="46"/>
  <c r="D62" i="46"/>
  <c r="E61" i="46"/>
  <c r="D61" i="46"/>
  <c r="AQ57" i="46"/>
  <c r="AQ56" i="46"/>
  <c r="AM57" i="46"/>
  <c r="AM56" i="46"/>
  <c r="AN56" i="46" s="1"/>
  <c r="BK57" i="46"/>
  <c r="BM57" i="46" s="1"/>
  <c r="BK56" i="46"/>
  <c r="BK55" i="46"/>
  <c r="I22" i="49" s="1"/>
  <c r="CG15" i="47" s="1"/>
  <c r="BG55" i="46"/>
  <c r="BI55" i="46" s="1"/>
  <c r="BC57" i="46"/>
  <c r="BC56" i="46"/>
  <c r="BC55" i="46"/>
  <c r="AY57" i="46"/>
  <c r="BA57" i="46" s="1"/>
  <c r="AY56" i="46"/>
  <c r="AY55" i="46"/>
  <c r="AU57" i="46"/>
  <c r="AU56" i="46"/>
  <c r="BA56" i="46" s="1"/>
  <c r="AU55" i="46"/>
  <c r="AV55" i="46" s="1"/>
  <c r="AI57" i="46"/>
  <c r="AI56" i="46"/>
  <c r="AI55" i="46"/>
  <c r="AJ55" i="46" s="1"/>
  <c r="AE55" i="46"/>
  <c r="AA55" i="46"/>
  <c r="W55" i="46"/>
  <c r="S55" i="46"/>
  <c r="Y55" i="46" s="1"/>
  <c r="O55" i="46"/>
  <c r="K55" i="46"/>
  <c r="G55" i="46"/>
  <c r="C55" i="46"/>
  <c r="AQ54" i="46"/>
  <c r="AM54" i="46"/>
  <c r="AB15" i="47" a="1"/>
  <c r="AC15" i="47" s="1"/>
  <c r="T53" i="46"/>
  <c r="T52" i="46"/>
  <c r="T51" i="46"/>
  <c r="P54" i="46"/>
  <c r="P53" i="46"/>
  <c r="P52" i="46"/>
  <c r="P51" i="46"/>
  <c r="L54" i="46"/>
  <c r="L53" i="46"/>
  <c r="L52" i="46"/>
  <c r="L51" i="46"/>
  <c r="H54" i="46"/>
  <c r="H53" i="46"/>
  <c r="H52" i="46"/>
  <c r="H51" i="46"/>
  <c r="D54" i="46"/>
  <c r="D53" i="46"/>
  <c r="D52" i="46"/>
  <c r="D51" i="46"/>
  <c r="BM54" i="46"/>
  <c r="BM53" i="46"/>
  <c r="BM52" i="46"/>
  <c r="BM51" i="46"/>
  <c r="BI54" i="46"/>
  <c r="BI53" i="46"/>
  <c r="BI52" i="46"/>
  <c r="BH52" i="46"/>
  <c r="BI51" i="46"/>
  <c r="BH51" i="46"/>
  <c r="BE54" i="46"/>
  <c r="BD54" i="46"/>
  <c r="BE53" i="46"/>
  <c r="BD53" i="46"/>
  <c r="BE52" i="46"/>
  <c r="BD52" i="46"/>
  <c r="BE51" i="46"/>
  <c r="BD51" i="46"/>
  <c r="BA54" i="46"/>
  <c r="AZ54" i="46"/>
  <c r="BA53" i="46"/>
  <c r="AZ53" i="46"/>
  <c r="BA52" i="46"/>
  <c r="AZ52" i="46"/>
  <c r="BA51" i="46"/>
  <c r="AZ51" i="46"/>
  <c r="AW53" i="46"/>
  <c r="AV53" i="46"/>
  <c r="AW52" i="46"/>
  <c r="AV52" i="46"/>
  <c r="AW51" i="46"/>
  <c r="AV51" i="46"/>
  <c r="AS55" i="46"/>
  <c r="AR55" i="46"/>
  <c r="AS53" i="46"/>
  <c r="AR53" i="46"/>
  <c r="AS52" i="46"/>
  <c r="AR52" i="46"/>
  <c r="AS51" i="46"/>
  <c r="AR51" i="46"/>
  <c r="AN55" i="46"/>
  <c r="AO53" i="46"/>
  <c r="AN53" i="46"/>
  <c r="AO52" i="46"/>
  <c r="AN52" i="46"/>
  <c r="AO51" i="46"/>
  <c r="AN51" i="46"/>
  <c r="AK54" i="46"/>
  <c r="AK53" i="46"/>
  <c r="AJ53" i="46"/>
  <c r="AK52" i="46"/>
  <c r="AJ52" i="46"/>
  <c r="AK51" i="46"/>
  <c r="AJ51" i="46"/>
  <c r="AG54" i="46"/>
  <c r="AG53" i="46"/>
  <c r="AF53" i="46"/>
  <c r="AG52" i="46"/>
  <c r="AF52" i="46"/>
  <c r="AG51" i="46"/>
  <c r="AF51" i="46"/>
  <c r="AC54" i="46"/>
  <c r="AC53" i="46"/>
  <c r="AB53" i="46"/>
  <c r="AC52" i="46"/>
  <c r="AB52" i="46"/>
  <c r="AC51" i="46"/>
  <c r="AB51" i="46"/>
  <c r="Y54" i="46"/>
  <c r="Y53" i="46"/>
  <c r="X53" i="46"/>
  <c r="Y52" i="46"/>
  <c r="X52" i="46"/>
  <c r="Y51" i="46"/>
  <c r="X51" i="46"/>
  <c r="AQ47" i="46"/>
  <c r="AQ46" i="46"/>
  <c r="AM47" i="46"/>
  <c r="AS47" i="46" s="1"/>
  <c r="AM46" i="46"/>
  <c r="AI47" i="46"/>
  <c r="AI46" i="46"/>
  <c r="BK47" i="46"/>
  <c r="BL47" i="46" s="1"/>
  <c r="BK46" i="46"/>
  <c r="BK45" i="46"/>
  <c r="I20" i="49"/>
  <c r="BG47" i="46"/>
  <c r="BI47" i="46" s="1"/>
  <c r="BG46" i="46"/>
  <c r="BG45" i="46"/>
  <c r="H20" i="49" s="1"/>
  <c r="BC47" i="46"/>
  <c r="BC46" i="46"/>
  <c r="BI46" i="46" s="1"/>
  <c r="BC45" i="46"/>
  <c r="AY47" i="46"/>
  <c r="AY46" i="46"/>
  <c r="AY45" i="46"/>
  <c r="BA45" i="46" s="1"/>
  <c r="AU47" i="46"/>
  <c r="AU46" i="46"/>
  <c r="AU45" i="46"/>
  <c r="AQ44" i="46"/>
  <c r="AW44" i="46" s="1"/>
  <c r="AM44" i="46"/>
  <c r="AB14" i="47" s="1" a="1"/>
  <c r="AI44" i="46"/>
  <c r="BM44" i="46"/>
  <c r="BM43" i="46"/>
  <c r="BM42" i="46"/>
  <c r="BM41" i="46"/>
  <c r="BI44" i="46"/>
  <c r="BI43" i="46"/>
  <c r="BI42" i="46"/>
  <c r="BH42" i="46"/>
  <c r="BI41" i="46"/>
  <c r="BH41" i="46"/>
  <c r="BE44" i="46"/>
  <c r="BD44" i="46"/>
  <c r="BE43" i="46"/>
  <c r="BD43" i="46"/>
  <c r="BE42" i="46"/>
  <c r="BD42" i="46"/>
  <c r="BE41" i="46"/>
  <c r="BD41" i="46"/>
  <c r="BA44" i="46"/>
  <c r="AZ44" i="46"/>
  <c r="BA43" i="46"/>
  <c r="AZ43" i="46"/>
  <c r="BA42" i="46"/>
  <c r="AZ42" i="46"/>
  <c r="BA41" i="46"/>
  <c r="AZ41" i="46"/>
  <c r="AW43" i="46"/>
  <c r="AV43" i="46"/>
  <c r="AW42" i="46"/>
  <c r="AV42" i="46"/>
  <c r="AW41" i="46"/>
  <c r="AV41" i="46"/>
  <c r="AS45" i="46"/>
  <c r="AR45" i="46"/>
  <c r="AS43" i="46"/>
  <c r="AR43" i="46"/>
  <c r="AS42" i="46"/>
  <c r="AR42" i="46"/>
  <c r="AS41" i="46"/>
  <c r="AR41" i="46"/>
  <c r="AN45" i="46"/>
  <c r="AN43" i="46"/>
  <c r="AN42" i="46"/>
  <c r="AN41" i="46"/>
  <c r="AJ45" i="46"/>
  <c r="AO45" i="46" s="1"/>
  <c r="AK43" i="46"/>
  <c r="AJ43" i="46"/>
  <c r="AO43" i="46" s="1"/>
  <c r="AK42" i="46"/>
  <c r="AJ42" i="46"/>
  <c r="AO42" i="46" s="1"/>
  <c r="AK41" i="46"/>
  <c r="AJ41" i="46"/>
  <c r="AO41" i="46"/>
  <c r="AG44" i="46"/>
  <c r="AG43" i="46"/>
  <c r="AF43" i="46"/>
  <c r="AG42" i="46"/>
  <c r="AF42" i="46"/>
  <c r="AG41" i="46"/>
  <c r="AF41" i="46"/>
  <c r="AC44" i="46"/>
  <c r="AC43" i="46"/>
  <c r="AB43" i="46"/>
  <c r="AC42" i="46"/>
  <c r="AB42" i="46"/>
  <c r="AC41" i="46"/>
  <c r="AB41" i="46"/>
  <c r="Y44" i="46"/>
  <c r="Y43" i="46"/>
  <c r="X43" i="46"/>
  <c r="Y42" i="46"/>
  <c r="X42" i="46"/>
  <c r="Y41" i="46"/>
  <c r="X41" i="46"/>
  <c r="U44" i="46"/>
  <c r="U43" i="46"/>
  <c r="T43" i="46"/>
  <c r="U42" i="46"/>
  <c r="T42" i="46"/>
  <c r="U41" i="46"/>
  <c r="T41" i="46"/>
  <c r="Q44" i="46"/>
  <c r="P44" i="46"/>
  <c r="Q43" i="46"/>
  <c r="P43" i="46"/>
  <c r="Q42" i="46"/>
  <c r="P42" i="46"/>
  <c r="Q41" i="46"/>
  <c r="P41" i="46"/>
  <c r="M44" i="46"/>
  <c r="L44" i="46"/>
  <c r="M43" i="46"/>
  <c r="L43" i="46"/>
  <c r="M42" i="46"/>
  <c r="L42" i="46"/>
  <c r="M41" i="46"/>
  <c r="L41" i="46"/>
  <c r="I44" i="46"/>
  <c r="H44" i="46"/>
  <c r="I43" i="46"/>
  <c r="H43" i="46"/>
  <c r="I42" i="46"/>
  <c r="H42" i="46"/>
  <c r="I41" i="46"/>
  <c r="H41" i="46"/>
  <c r="E44" i="46"/>
  <c r="D44" i="46"/>
  <c r="E43" i="46"/>
  <c r="D43" i="46"/>
  <c r="E42" i="46"/>
  <c r="D42" i="46"/>
  <c r="E41" i="46"/>
  <c r="D41" i="46"/>
  <c r="AU37" i="46"/>
  <c r="AV37" i="46" s="1"/>
  <c r="AU36" i="46"/>
  <c r="AM37" i="46"/>
  <c r="AM36" i="46"/>
  <c r="AO36" i="46"/>
  <c r="AI37" i="46"/>
  <c r="AI36" i="46"/>
  <c r="S37" i="46"/>
  <c r="S36" i="46"/>
  <c r="S137" i="46" s="1"/>
  <c r="O37" i="46"/>
  <c r="O36" i="46"/>
  <c r="O137" i="46"/>
  <c r="K37" i="46"/>
  <c r="L37" i="46" s="1"/>
  <c r="K36" i="46"/>
  <c r="K137" i="46" s="1"/>
  <c r="G37" i="46"/>
  <c r="G36" i="46"/>
  <c r="G137" i="46" s="1"/>
  <c r="BG36" i="46"/>
  <c r="AJ35" i="46"/>
  <c r="AJ33" i="46"/>
  <c r="AJ32" i="46"/>
  <c r="AJ31" i="46"/>
  <c r="O35" i="46"/>
  <c r="K35" i="46"/>
  <c r="G35" i="46"/>
  <c r="G136" i="46" s="1"/>
  <c r="C37" i="46"/>
  <c r="C36" i="46"/>
  <c r="C137" i="46"/>
  <c r="C35" i="46"/>
  <c r="BI32" i="46"/>
  <c r="BC34" i="46"/>
  <c r="BD34" i="46"/>
  <c r="AU34" i="46"/>
  <c r="AL13" i="47" s="1" a="1"/>
  <c r="AN13" i="47" s="1"/>
  <c r="AQ37" i="46"/>
  <c r="AQ36" i="46"/>
  <c r="AQ35" i="46"/>
  <c r="AQ117" i="46" s="1"/>
  <c r="AM34" i="46"/>
  <c r="AI34" i="46"/>
  <c r="AE37" i="46"/>
  <c r="AG37" i="46"/>
  <c r="AE36" i="46"/>
  <c r="AE35" i="46"/>
  <c r="AA37" i="46"/>
  <c r="AA36" i="46"/>
  <c r="AG36" i="46" s="1"/>
  <c r="AA35" i="46"/>
  <c r="AA34" i="46" s="1"/>
  <c r="W37" i="46"/>
  <c r="W36" i="46"/>
  <c r="W35" i="46"/>
  <c r="W136" i="46" s="1"/>
  <c r="S35" i="46"/>
  <c r="D34" i="46"/>
  <c r="D33" i="46"/>
  <c r="D32" i="46"/>
  <c r="D31" i="46"/>
  <c r="AY36" i="46"/>
  <c r="AY35" i="46"/>
  <c r="AY34" i="46"/>
  <c r="BE34" i="46" s="1"/>
  <c r="AY33" i="46"/>
  <c r="AY37" i="46"/>
  <c r="BE32" i="46"/>
  <c r="BC31" i="46"/>
  <c r="BD31" i="46" s="1"/>
  <c r="BA32" i="46"/>
  <c r="AZ32" i="46"/>
  <c r="BA31" i="46"/>
  <c r="AZ31" i="46"/>
  <c r="AV35" i="46"/>
  <c r="AW33" i="46"/>
  <c r="AV33" i="46"/>
  <c r="AW32" i="46"/>
  <c r="AV32" i="46"/>
  <c r="AW31" i="46"/>
  <c r="AV31" i="46"/>
  <c r="AS33" i="46"/>
  <c r="AR33" i="46"/>
  <c r="AS32" i="46"/>
  <c r="AR32" i="46"/>
  <c r="AS31" i="46"/>
  <c r="AR31" i="46"/>
  <c r="AO35" i="46"/>
  <c r="AN35" i="46"/>
  <c r="AO33" i="46"/>
  <c r="AN33" i="46"/>
  <c r="AO32" i="46"/>
  <c r="AN32" i="46"/>
  <c r="AO31" i="46"/>
  <c r="AN31" i="46"/>
  <c r="AG33" i="46"/>
  <c r="AF33" i="46"/>
  <c r="AG32" i="46"/>
  <c r="AF32" i="46"/>
  <c r="AG31" i="46"/>
  <c r="AF31" i="46"/>
  <c r="AC33" i="46"/>
  <c r="AB33" i="46"/>
  <c r="AC32" i="46"/>
  <c r="AB32" i="46"/>
  <c r="AC31" i="46"/>
  <c r="AB31" i="46"/>
  <c r="Y33" i="46"/>
  <c r="X33" i="46"/>
  <c r="Y32" i="46"/>
  <c r="X32" i="46"/>
  <c r="Y31" i="46"/>
  <c r="X31" i="46"/>
  <c r="U33" i="46"/>
  <c r="T33" i="46"/>
  <c r="U32" i="46"/>
  <c r="T32" i="46"/>
  <c r="U31" i="46"/>
  <c r="T31" i="46"/>
  <c r="Q34" i="46"/>
  <c r="P34" i="46"/>
  <c r="Q33" i="46"/>
  <c r="P33" i="46"/>
  <c r="Q32" i="46"/>
  <c r="P32" i="46"/>
  <c r="Q31" i="46"/>
  <c r="P31" i="46"/>
  <c r="M34" i="46"/>
  <c r="L34" i="46"/>
  <c r="M33" i="46"/>
  <c r="L33" i="46"/>
  <c r="M32" i="46"/>
  <c r="L32" i="46"/>
  <c r="M31" i="46"/>
  <c r="L31" i="46"/>
  <c r="I34" i="46"/>
  <c r="H34" i="46"/>
  <c r="I33" i="46"/>
  <c r="H33" i="46"/>
  <c r="I32" i="46"/>
  <c r="H32" i="46"/>
  <c r="I31" i="46"/>
  <c r="H31" i="46"/>
  <c r="AY27" i="46"/>
  <c r="AZ27" i="46" s="1"/>
  <c r="BA27" i="46" s="1"/>
  <c r="AY26" i="46"/>
  <c r="AU27" i="46"/>
  <c r="AU26" i="46"/>
  <c r="AQ27" i="46"/>
  <c r="AQ26" i="46"/>
  <c r="AM27" i="46"/>
  <c r="AM26" i="46"/>
  <c r="AI27" i="46"/>
  <c r="AJ27" i="46" s="1"/>
  <c r="AI26" i="46"/>
  <c r="S27" i="46"/>
  <c r="S26" i="46"/>
  <c r="O27" i="46"/>
  <c r="O26" i="46"/>
  <c r="K27" i="46"/>
  <c r="K26" i="46"/>
  <c r="G27" i="46"/>
  <c r="H27" i="46" s="1"/>
  <c r="G26" i="46"/>
  <c r="BG26" i="46"/>
  <c r="BC27" i="46"/>
  <c r="BC26" i="46"/>
  <c r="BC25" i="46"/>
  <c r="G11" i="49" s="1"/>
  <c r="AJ25" i="46"/>
  <c r="AJ23" i="46"/>
  <c r="AO23" i="46" s="1"/>
  <c r="AJ22" i="46"/>
  <c r="AJ21" i="46"/>
  <c r="O25" i="46"/>
  <c r="K25" i="46"/>
  <c r="G25" i="46"/>
  <c r="C27" i="46"/>
  <c r="C26" i="46"/>
  <c r="C25" i="46"/>
  <c r="BM23" i="46"/>
  <c r="AU24" i="46"/>
  <c r="AQ24" i="46"/>
  <c r="AM24" i="46"/>
  <c r="AB11" i="47" s="1" a="1"/>
  <c r="AI24" i="46"/>
  <c r="W11" i="47" a="1"/>
  <c r="W11" i="47" s="1"/>
  <c r="AE27" i="46"/>
  <c r="AF27" i="46" s="1"/>
  <c r="AG27" i="46" s="1"/>
  <c r="AE26" i="46"/>
  <c r="AE25" i="46"/>
  <c r="AA25" i="46"/>
  <c r="W27" i="46"/>
  <c r="X27" i="46" s="1"/>
  <c r="Y27" i="46" s="1"/>
  <c r="W26" i="46"/>
  <c r="W25" i="46"/>
  <c r="W24" i="46"/>
  <c r="S25" i="46"/>
  <c r="S24" i="46" s="1"/>
  <c r="D24" i="46"/>
  <c r="D23" i="46"/>
  <c r="D22" i="46"/>
  <c r="D21" i="46"/>
  <c r="I21" i="46" s="1"/>
  <c r="BH22" i="46"/>
  <c r="BH21" i="46"/>
  <c r="BD24" i="46"/>
  <c r="BD23" i="46"/>
  <c r="BE23" i="46" s="1"/>
  <c r="BD22" i="46"/>
  <c r="BD21" i="46"/>
  <c r="AZ25" i="46"/>
  <c r="AZ24" i="46"/>
  <c r="BE24" i="46" s="1"/>
  <c r="AZ23" i="46"/>
  <c r="AZ22" i="46"/>
  <c r="AZ21" i="46"/>
  <c r="AV25" i="46"/>
  <c r="AW25" i="46" s="1"/>
  <c r="AV23" i="46"/>
  <c r="AV22" i="46"/>
  <c r="AV21" i="46"/>
  <c r="AR25" i="46"/>
  <c r="AR23" i="46"/>
  <c r="AR22" i="46"/>
  <c r="AW22" i="46"/>
  <c r="AR21" i="46"/>
  <c r="AW21" i="46" s="1"/>
  <c r="AN25" i="46"/>
  <c r="AO25" i="46" s="1"/>
  <c r="AN23" i="46"/>
  <c r="AN22" i="46"/>
  <c r="AN21" i="46"/>
  <c r="AF23" i="46"/>
  <c r="AF22" i="46"/>
  <c r="AF21" i="46"/>
  <c r="AB23" i="46"/>
  <c r="AC23" i="46" s="1"/>
  <c r="AB22" i="46"/>
  <c r="AA21" i="46"/>
  <c r="AA27" i="46" s="1"/>
  <c r="X23" i="46"/>
  <c r="X22" i="46"/>
  <c r="Y22" i="46" s="1"/>
  <c r="X21" i="46"/>
  <c r="T23" i="46"/>
  <c r="T22" i="46"/>
  <c r="T21" i="46"/>
  <c r="U21" i="46" s="1"/>
  <c r="P24" i="46"/>
  <c r="P23" i="46"/>
  <c r="P22" i="46"/>
  <c r="U22" i="46" s="1"/>
  <c r="P21" i="46"/>
  <c r="L24" i="46"/>
  <c r="L23" i="46"/>
  <c r="L22" i="46"/>
  <c r="M22" i="46" s="1"/>
  <c r="L21" i="46"/>
  <c r="H24" i="46"/>
  <c r="I24" i="46" s="1"/>
  <c r="H23" i="46"/>
  <c r="I23" i="46"/>
  <c r="H22" i="46"/>
  <c r="H21" i="46"/>
  <c r="AI17" i="46"/>
  <c r="AJ37" i="46"/>
  <c r="AI16" i="46"/>
  <c r="C17" i="46"/>
  <c r="C16" i="46"/>
  <c r="BC17" i="46"/>
  <c r="BD109" i="46" s="1"/>
  <c r="BC16" i="46"/>
  <c r="AY17" i="46"/>
  <c r="AZ222" i="46" s="1"/>
  <c r="AY16" i="46"/>
  <c r="BA16" i="46" s="1"/>
  <c r="AU17" i="46"/>
  <c r="AV242" i="46"/>
  <c r="AU16" i="46"/>
  <c r="AQ17" i="46"/>
  <c r="AR17" i="46" s="1"/>
  <c r="AQ16" i="46"/>
  <c r="AR221" i="46"/>
  <c r="AR36" i="46"/>
  <c r="AM17" i="46"/>
  <c r="AN27" i="46" s="1"/>
  <c r="AO27" i="46" s="1"/>
  <c r="AM16" i="46"/>
  <c r="AE17" i="46"/>
  <c r="AE16" i="46"/>
  <c r="AG16" i="46"/>
  <c r="AG17" i="46" s="1"/>
  <c r="AA17" i="46"/>
  <c r="AA16" i="46"/>
  <c r="W17" i="46"/>
  <c r="W16" i="46"/>
  <c r="X26" i="46" s="1"/>
  <c r="S17" i="46"/>
  <c r="S16" i="46"/>
  <c r="U16" i="46" s="1"/>
  <c r="O17" i="46"/>
  <c r="O16" i="46"/>
  <c r="P36" i="46" s="1"/>
  <c r="K17" i="46"/>
  <c r="K16" i="46"/>
  <c r="M16" i="46" s="1"/>
  <c r="M17" i="46" s="1"/>
  <c r="G17" i="46"/>
  <c r="G16" i="46"/>
  <c r="I16" i="46" s="1"/>
  <c r="BC15" i="46"/>
  <c r="BD25" i="46" s="1"/>
  <c r="BE25" i="46" s="1"/>
  <c r="AZ15" i="46"/>
  <c r="AZ13" i="46"/>
  <c r="AZ12" i="46"/>
  <c r="AZ11" i="46"/>
  <c r="AV15" i="46"/>
  <c r="AV13" i="46"/>
  <c r="AV12" i="46"/>
  <c r="AV11" i="46"/>
  <c r="AR15" i="46"/>
  <c r="AR13" i="46"/>
  <c r="AR12" i="46"/>
  <c r="AR11" i="46"/>
  <c r="AN15" i="46"/>
  <c r="AN13" i="46"/>
  <c r="AN12" i="46"/>
  <c r="AN11" i="46"/>
  <c r="BD14" i="46"/>
  <c r="BD13" i="46"/>
  <c r="BD12" i="46"/>
  <c r="BD11" i="46"/>
  <c r="AU14" i="46"/>
  <c r="AV219" i="46" s="1"/>
  <c r="AQ14" i="46"/>
  <c r="AM14" i="46"/>
  <c r="AN44" i="46" s="1"/>
  <c r="AI14" i="46"/>
  <c r="P14" i="46"/>
  <c r="P13" i="46"/>
  <c r="P12" i="46"/>
  <c r="P11" i="46"/>
  <c r="L14" i="46"/>
  <c r="L13" i="46"/>
  <c r="L12" i="46"/>
  <c r="L11" i="46"/>
  <c r="H14" i="46"/>
  <c r="H13" i="46"/>
  <c r="H12" i="46"/>
  <c r="H11" i="46"/>
  <c r="BG16" i="46"/>
  <c r="BH36" i="46" s="1"/>
  <c r="BD70" i="47"/>
  <c r="C38" i="39" s="1"/>
  <c r="AF13" i="46"/>
  <c r="AF12" i="46"/>
  <c r="AF11" i="46"/>
  <c r="AB13" i="46"/>
  <c r="AB12" i="46"/>
  <c r="AB11" i="46"/>
  <c r="X13" i="46"/>
  <c r="X12" i="46"/>
  <c r="X11" i="46"/>
  <c r="T13" i="46"/>
  <c r="T12" i="46"/>
  <c r="T11" i="46"/>
  <c r="BH12" i="46"/>
  <c r="BF11" i="6" s="1"/>
  <c r="BH11" i="46"/>
  <c r="BF10" i="6" s="1"/>
  <c r="BF16" i="6" s="1"/>
  <c r="BF22" i="6" s="1"/>
  <c r="BF28" i="6" s="1"/>
  <c r="BF34" i="6" s="1"/>
  <c r="BX14" i="46"/>
  <c r="BI70" i="47"/>
  <c r="B38" i="39" s="1"/>
  <c r="BH70" i="47"/>
  <c r="O16" i="53" s="1"/>
  <c r="BF70" i="47"/>
  <c r="I16" i="53" s="1"/>
  <c r="D64" i="49"/>
  <c r="J33" i="21" s="1"/>
  <c r="C64" i="49"/>
  <c r="I33" i="21" s="1"/>
  <c r="B64" i="49"/>
  <c r="H33" i="21" s="1"/>
  <c r="G58" i="49"/>
  <c r="AG66" i="9" s="1"/>
  <c r="F58" i="49"/>
  <c r="L27" i="21" s="1"/>
  <c r="E58" i="49"/>
  <c r="E71" i="49" s="1"/>
  <c r="K40" i="21" s="1"/>
  <c r="D43" i="49"/>
  <c r="C43" i="49"/>
  <c r="CA24" i="47" s="1"/>
  <c r="B43" i="49"/>
  <c r="D37" i="49"/>
  <c r="D33" i="49"/>
  <c r="CB20" i="47" s="1"/>
  <c r="C33" i="49"/>
  <c r="B33" i="49"/>
  <c r="D28" i="49"/>
  <c r="D29" i="49" s="1"/>
  <c r="C28" i="49"/>
  <c r="C29" i="49" s="1"/>
  <c r="B28" i="49"/>
  <c r="D26" i="49"/>
  <c r="C26" i="49"/>
  <c r="D24" i="49"/>
  <c r="C24" i="49"/>
  <c r="C25" i="49" s="1"/>
  <c r="B24" i="49"/>
  <c r="G22" i="49"/>
  <c r="D22" i="49"/>
  <c r="D23" i="49" s="1"/>
  <c r="C22" i="49"/>
  <c r="F20" i="49"/>
  <c r="CD14" i="47" s="1"/>
  <c r="D20" i="49"/>
  <c r="D21" i="49" s="1"/>
  <c r="C20" i="49"/>
  <c r="B20" i="49"/>
  <c r="B14" i="49"/>
  <c r="B11" i="49"/>
  <c r="B8" i="49"/>
  <c r="BC100" i="47"/>
  <c r="BB100" i="47"/>
  <c r="BA100" i="47"/>
  <c r="BU99" i="47"/>
  <c r="BT99" i="47"/>
  <c r="AX100" i="47"/>
  <c r="AW100" i="47"/>
  <c r="AV100" i="47"/>
  <c r="AT100" i="47"/>
  <c r="AS100" i="47"/>
  <c r="AR100" i="47"/>
  <c r="AQ100" i="47"/>
  <c r="AO100" i="47"/>
  <c r="AN100" i="47"/>
  <c r="AM100" i="47"/>
  <c r="AL100" i="47"/>
  <c r="AO99" i="47"/>
  <c r="AN99" i="47"/>
  <c r="AM99" i="47"/>
  <c r="AL99" i="47"/>
  <c r="AJ100" i="47"/>
  <c r="AI100" i="47"/>
  <c r="AH100" i="47"/>
  <c r="AG100" i="47"/>
  <c r="AI99" i="47"/>
  <c r="AG99" i="47"/>
  <c r="AE100" i="47"/>
  <c r="AD100" i="47"/>
  <c r="AC100" i="47"/>
  <c r="AB100" i="47"/>
  <c r="AD99" i="47"/>
  <c r="Z100" i="47"/>
  <c r="Y100" i="47"/>
  <c r="X100" i="47"/>
  <c r="W100" i="47"/>
  <c r="AW82" i="47"/>
  <c r="BT82" i="47"/>
  <c r="BT80" i="47"/>
  <c r="BZ85" i="47"/>
  <c r="BZ81" i="47"/>
  <c r="BZ100" i="47" s="1"/>
  <c r="BF82" i="47"/>
  <c r="BA82" i="47"/>
  <c r="BZ80" i="47"/>
  <c r="BY79" i="47"/>
  <c r="BU82" i="47"/>
  <c r="BY80" i="47"/>
  <c r="BX80" i="47"/>
  <c r="BW80" i="47"/>
  <c r="BV80" i="47"/>
  <c r="BU80" i="47"/>
  <c r="BY75" i="47"/>
  <c r="BX75" i="47"/>
  <c r="BW75" i="47"/>
  <c r="BV75" i="47"/>
  <c r="BU75" i="47"/>
  <c r="A74" i="47"/>
  <c r="AU76" i="47"/>
  <c r="AP76" i="47"/>
  <c r="AK76" i="47"/>
  <c r="AF76" i="47"/>
  <c r="AU73" i="47"/>
  <c r="AP73" i="47"/>
  <c r="AK73" i="47"/>
  <c r="AF73" i="47"/>
  <c r="AU72" i="47"/>
  <c r="AP72" i="47"/>
  <c r="AK72" i="47"/>
  <c r="AF72" i="47"/>
  <c r="BY72" i="47"/>
  <c r="BX72" i="47"/>
  <c r="BW72" i="47"/>
  <c r="BV72" i="47"/>
  <c r="BU72" i="47"/>
  <c r="Z70" i="47"/>
  <c r="Y70" i="47"/>
  <c r="X70" i="47"/>
  <c r="W70" i="47"/>
  <c r="CA70" i="47"/>
  <c r="BY70" i="47"/>
  <c r="BX70" i="47"/>
  <c r="BW70" i="47"/>
  <c r="BV70" i="47"/>
  <c r="BB70" i="47"/>
  <c r="BA70" i="47"/>
  <c r="AY70" i="47"/>
  <c r="AX70" i="47"/>
  <c r="AW70" i="47"/>
  <c r="AV70" i="47"/>
  <c r="AT70" i="47"/>
  <c r="AS70" i="47"/>
  <c r="AR70" i="47"/>
  <c r="AQ70" i="47"/>
  <c r="AO70" i="47"/>
  <c r="AN70" i="47"/>
  <c r="AM70" i="47"/>
  <c r="AL70" i="47"/>
  <c r="AJ70" i="47"/>
  <c r="AI70" i="47"/>
  <c r="AH70" i="47"/>
  <c r="AG70" i="47"/>
  <c r="AE70" i="47"/>
  <c r="AD70" i="47"/>
  <c r="AC70" i="47"/>
  <c r="AB70" i="47"/>
  <c r="AU68" i="47"/>
  <c r="BX61" i="47"/>
  <c r="BW61" i="47"/>
  <c r="BV61" i="47"/>
  <c r="BU61" i="47"/>
  <c r="BT61" i="47"/>
  <c r="AU62" i="47"/>
  <c r="AP62" i="47"/>
  <c r="AK62" i="47"/>
  <c r="AF62" i="47"/>
  <c r="AA62" i="47"/>
  <c r="AU61" i="47"/>
  <c r="AP61" i="47"/>
  <c r="AK61" i="47"/>
  <c r="AF61" i="47"/>
  <c r="AA61" i="47"/>
  <c r="AU60" i="47"/>
  <c r="AP60" i="47"/>
  <c r="AK60" i="47"/>
  <c r="AF60" i="47"/>
  <c r="AA60" i="47"/>
  <c r="AU59" i="47"/>
  <c r="AP59" i="47"/>
  <c r="AK59" i="47"/>
  <c r="AF59" i="47"/>
  <c r="AA59" i="47"/>
  <c r="AU49" i="47"/>
  <c r="AP49" i="47"/>
  <c r="AK49" i="47"/>
  <c r="AF49" i="47"/>
  <c r="AA49" i="47"/>
  <c r="AU46" i="47"/>
  <c r="AU48" i="47"/>
  <c r="AP46" i="47"/>
  <c r="AP48" i="47" s="1"/>
  <c r="AK46" i="47"/>
  <c r="AK48" i="47" s="1"/>
  <c r="AF46" i="47"/>
  <c r="AF48" i="47" s="1"/>
  <c r="AA46" i="47"/>
  <c r="AA48" i="47" s="1"/>
  <c r="AU42" i="47"/>
  <c r="AU43" i="47" s="1"/>
  <c r="AP42" i="47"/>
  <c r="AP43" i="47" s="1"/>
  <c r="AK42" i="47"/>
  <c r="AK43" i="47" s="1"/>
  <c r="V42" i="47"/>
  <c r="V43" i="47" s="1"/>
  <c r="B42" i="47"/>
  <c r="B43" i="47" s="1"/>
  <c r="AJ41" i="47"/>
  <c r="AJ42" i="47" s="1"/>
  <c r="AJ43" i="47" s="1"/>
  <c r="AI41" i="47"/>
  <c r="AI42" i="47" s="1"/>
  <c r="AI43" i="47" s="1"/>
  <c r="AH41" i="47"/>
  <c r="AH42" i="47" s="1"/>
  <c r="AH43" i="47" s="1"/>
  <c r="AG41" i="47"/>
  <c r="AG42" i="47" s="1"/>
  <c r="AG43" i="47" s="1"/>
  <c r="AF41" i="47"/>
  <c r="AF42" i="47" s="1"/>
  <c r="AF43" i="47" s="1"/>
  <c r="AE41" i="47"/>
  <c r="AE42" i="47" s="1"/>
  <c r="AE43" i="47" s="1"/>
  <c r="AD41" i="47"/>
  <c r="AD42" i="47" s="1"/>
  <c r="AD43" i="47" s="1"/>
  <c r="AC41" i="47"/>
  <c r="AC42" i="47" s="1"/>
  <c r="AC43" i="47" s="1"/>
  <c r="AB41" i="47"/>
  <c r="AB42" i="47" s="1"/>
  <c r="AB43" i="47" s="1"/>
  <c r="AA41" i="47"/>
  <c r="AA42" i="47" s="1"/>
  <c r="AA43" i="47" s="1"/>
  <c r="Z41" i="47"/>
  <c r="Z42" i="47" s="1"/>
  <c r="Z43" i="47" s="1"/>
  <c r="Y41" i="47"/>
  <c r="Y42" i="47" s="1"/>
  <c r="Y43" i="47" s="1"/>
  <c r="X41" i="47"/>
  <c r="W41" i="47"/>
  <c r="W42" i="47" s="1"/>
  <c r="W43" i="47" s="1"/>
  <c r="CB40" i="47"/>
  <c r="CA40" i="47"/>
  <c r="BZ40" i="47"/>
  <c r="BY40" i="47"/>
  <c r="BX40" i="47"/>
  <c r="BW40" i="47"/>
  <c r="BV40" i="47"/>
  <c r="BU40" i="47"/>
  <c r="BT40" i="47"/>
  <c r="AQ41" i="47" a="1"/>
  <c r="AS41" i="47" s="1"/>
  <c r="AS42" i="47" s="1"/>
  <c r="AS43" i="47" s="1"/>
  <c r="AL41" i="47" a="1"/>
  <c r="AQ38" i="47" a="1"/>
  <c r="AT38" i="47" s="1"/>
  <c r="AQ37" i="47" a="1"/>
  <c r="AT37" i="47" s="1"/>
  <c r="AQ35" i="47" a="1"/>
  <c r="AS35" i="47" s="1"/>
  <c r="AL38" i="47" a="1"/>
  <c r="AL37" i="47" a="1"/>
  <c r="AN37" i="47" s="1"/>
  <c r="AL35" i="47" a="1"/>
  <c r="AG35" i="47" a="1"/>
  <c r="AH35" i="47" s="1"/>
  <c r="AB35" i="47" a="1"/>
  <c r="W35" i="47" a="1"/>
  <c r="Z35" i="47" s="1"/>
  <c r="BA35" i="47" a="1"/>
  <c r="BB35" i="47" s="1"/>
  <c r="AV41" i="47" a="1"/>
  <c r="AV41" i="47" s="1"/>
  <c r="AV42" i="47" s="1"/>
  <c r="AV43" i="47" s="1"/>
  <c r="AV38" i="47" a="1"/>
  <c r="AV37" i="47" a="1"/>
  <c r="AV37" i="47" s="1"/>
  <c r="AV35" i="47" a="1"/>
  <c r="AW35" i="47" s="1"/>
  <c r="AU34" i="47"/>
  <c r="AU39" i="47" s="1"/>
  <c r="AU66" i="47" s="1"/>
  <c r="AP34" i="47"/>
  <c r="AP39" i="47" s="1"/>
  <c r="AP66" i="47" s="1"/>
  <c r="AK34" i="47"/>
  <c r="AK39" i="47" s="1"/>
  <c r="AK66" i="47" s="1"/>
  <c r="AF34" i="47"/>
  <c r="AF39" i="47" s="1"/>
  <c r="AF66" i="47" s="1"/>
  <c r="AA34" i="47"/>
  <c r="AA39" i="47" s="1"/>
  <c r="AA66" i="47" s="1"/>
  <c r="A34" i="47"/>
  <c r="BY30" i="47"/>
  <c r="BX30" i="47"/>
  <c r="BW30" i="47"/>
  <c r="BV30" i="47"/>
  <c r="BU30" i="47"/>
  <c r="BT30" i="47"/>
  <c r="AV31" i="47" a="1"/>
  <c r="AY31" i="47" s="1"/>
  <c r="AQ31" i="47" a="1"/>
  <c r="AL31" i="47" a="1"/>
  <c r="AL31" i="47" s="1"/>
  <c r="AV27" i="47" a="1"/>
  <c r="AY27" i="47" s="1"/>
  <c r="AQ27" i="47" a="1"/>
  <c r="AS27" i="47" s="1"/>
  <c r="AL27" i="47" a="1"/>
  <c r="BA24" i="47" a="1"/>
  <c r="BA24" i="47" s="1"/>
  <c r="AV24" i="47" a="1"/>
  <c r="AY24" i="47" s="1"/>
  <c r="AQ24" i="47" a="1"/>
  <c r="AL24" i="47" a="1"/>
  <c r="AO24" i="47" s="1"/>
  <c r="BY21" i="47"/>
  <c r="BX21" i="47"/>
  <c r="BW21" i="47"/>
  <c r="BV21" i="47"/>
  <c r="BU21" i="47"/>
  <c r="BT21" i="47"/>
  <c r="BY20" i="47"/>
  <c r="BX20" i="47"/>
  <c r="BW20" i="47"/>
  <c r="BT20" i="47"/>
  <c r="BA20" i="47" a="1"/>
  <c r="CI19" i="47"/>
  <c r="BA18" i="47" a="1"/>
  <c r="BC18" i="47" s="1"/>
  <c r="BA17" i="47" a="1"/>
  <c r="BA17" i="47" s="1"/>
  <c r="BA16" i="47" a="1"/>
  <c r="BA15" i="47" a="1"/>
  <c r="BD15" i="47" s="1"/>
  <c r="BA14" i="47" a="1"/>
  <c r="BB14" i="47" s="1"/>
  <c r="CI18" i="47"/>
  <c r="CI17" i="47"/>
  <c r="CI16" i="47"/>
  <c r="CI15" i="47"/>
  <c r="CI14" i="47"/>
  <c r="BY13" i="47"/>
  <c r="BX13" i="47"/>
  <c r="BW13" i="47"/>
  <c r="BV13" i="47"/>
  <c r="BU13" i="47"/>
  <c r="BT13" i="47"/>
  <c r="BY11" i="47"/>
  <c r="BX11" i="47"/>
  <c r="BW11" i="47"/>
  <c r="BV11" i="47"/>
  <c r="BU11" i="47"/>
  <c r="BT11" i="47"/>
  <c r="AV20" i="47" a="1"/>
  <c r="AV18" i="47" a="1"/>
  <c r="AV18" i="47" s="1"/>
  <c r="AV17" i="47" a="1"/>
  <c r="AV17" i="47" s="1"/>
  <c r="AV16" i="47" a="1"/>
  <c r="AX16" i="47" s="1"/>
  <c r="AV15" i="47" a="1"/>
  <c r="AV15" i="47" s="1"/>
  <c r="AV14" i="47" a="1"/>
  <c r="AV14" i="47" s="1"/>
  <c r="AV11" i="47" a="1"/>
  <c r="AV11" i="47" s="1"/>
  <c r="AV10" i="47" a="1"/>
  <c r="AW10" i="47" s="1"/>
  <c r="AQ18" i="47" a="1"/>
  <c r="AQ18" i="47" s="1"/>
  <c r="AQ15" i="47" a="1"/>
  <c r="AT15" i="47" s="1"/>
  <c r="AQ14" i="47" a="1"/>
  <c r="AQ14" i="47" s="1"/>
  <c r="AQ11" i="47" a="1"/>
  <c r="AS11" i="47" s="1"/>
  <c r="AQ10" i="47" a="1"/>
  <c r="AL18" i="47" a="1"/>
  <c r="AM18" i="47" s="1"/>
  <c r="AL17" i="47" a="1"/>
  <c r="AM17" i="47" s="1"/>
  <c r="AL16" i="47" a="1"/>
  <c r="AM16" i="47" s="1"/>
  <c r="AL15" i="47" a="1"/>
  <c r="AL14" i="47" a="1"/>
  <c r="AM14" i="47" s="1"/>
  <c r="AL10" i="47" a="1"/>
  <c r="AN10" i="47" s="1"/>
  <c r="L3" i="55" s="1"/>
  <c r="W15" i="47" a="1"/>
  <c r="Z15" i="47" s="1"/>
  <c r="Q321" i="21"/>
  <c r="P321" i="21"/>
  <c r="O321" i="21"/>
  <c r="N321" i="21"/>
  <c r="M321" i="21"/>
  <c r="L321" i="21"/>
  <c r="K321" i="21"/>
  <c r="D312" i="21"/>
  <c r="C312" i="21"/>
  <c r="Q313" i="21"/>
  <c r="Q312" i="21"/>
  <c r="P312" i="21"/>
  <c r="O312" i="21"/>
  <c r="N312" i="21"/>
  <c r="M312" i="21"/>
  <c r="L312" i="21"/>
  <c r="K312" i="21"/>
  <c r="Q305" i="21"/>
  <c r="P305" i="21"/>
  <c r="O305" i="21"/>
  <c r="N305" i="21"/>
  <c r="M305" i="21"/>
  <c r="L305" i="21"/>
  <c r="K305" i="21"/>
  <c r="Q300" i="21"/>
  <c r="P300" i="21"/>
  <c r="O300" i="21"/>
  <c r="N300" i="21"/>
  <c r="M300" i="21"/>
  <c r="L300" i="21"/>
  <c r="K300" i="21"/>
  <c r="O299" i="21"/>
  <c r="Q296" i="21"/>
  <c r="P296" i="21"/>
  <c r="O296" i="21"/>
  <c r="N296" i="21"/>
  <c r="M296" i="21"/>
  <c r="L296" i="21"/>
  <c r="K296" i="21"/>
  <c r="Q289" i="21"/>
  <c r="P289" i="21"/>
  <c r="O289" i="21"/>
  <c r="N289" i="21"/>
  <c r="M289" i="21"/>
  <c r="L289" i="21"/>
  <c r="K289" i="21"/>
  <c r="Q288" i="21"/>
  <c r="P288" i="21"/>
  <c r="O288" i="21"/>
  <c r="N288" i="21"/>
  <c r="M288" i="21"/>
  <c r="L288" i="21"/>
  <c r="K288" i="21"/>
  <c r="Q283" i="21"/>
  <c r="P283" i="21"/>
  <c r="O283" i="21"/>
  <c r="N283" i="21"/>
  <c r="M283" i="21"/>
  <c r="L283" i="21"/>
  <c r="K283" i="21"/>
  <c r="J283" i="21"/>
  <c r="I283" i="21"/>
  <c r="H283" i="21"/>
  <c r="G283" i="21"/>
  <c r="F283" i="21"/>
  <c r="E283" i="21"/>
  <c r="D283" i="21"/>
  <c r="C283" i="21"/>
  <c r="G275" i="21"/>
  <c r="F275" i="21"/>
  <c r="E275" i="21"/>
  <c r="D275" i="21"/>
  <c r="C275" i="21"/>
  <c r="Q267" i="21"/>
  <c r="P267" i="21"/>
  <c r="O267" i="21"/>
  <c r="N267" i="21"/>
  <c r="M267" i="21"/>
  <c r="L267" i="21"/>
  <c r="K267" i="21"/>
  <c r="J267" i="21"/>
  <c r="I267" i="21"/>
  <c r="H267" i="21"/>
  <c r="G267" i="21"/>
  <c r="F267" i="21"/>
  <c r="E267" i="21"/>
  <c r="D267" i="21"/>
  <c r="C267" i="21"/>
  <c r="Q266" i="21"/>
  <c r="P266" i="21"/>
  <c r="O266" i="21"/>
  <c r="N266" i="21"/>
  <c r="M266" i="21"/>
  <c r="L266" i="21"/>
  <c r="K266" i="21"/>
  <c r="J266" i="21"/>
  <c r="I266" i="21"/>
  <c r="H266" i="21"/>
  <c r="G266" i="21"/>
  <c r="F266" i="21"/>
  <c r="E266" i="21"/>
  <c r="D266" i="21"/>
  <c r="C266" i="21"/>
  <c r="D264" i="21"/>
  <c r="C264" i="21"/>
  <c r="Q242" i="21"/>
  <c r="P242" i="21"/>
  <c r="O242" i="21"/>
  <c r="N242" i="21"/>
  <c r="M242" i="21"/>
  <c r="L242" i="21"/>
  <c r="K242" i="21"/>
  <c r="J242" i="21"/>
  <c r="I242" i="21"/>
  <c r="H242" i="21"/>
  <c r="G242" i="21"/>
  <c r="F242" i="21"/>
  <c r="E242" i="21"/>
  <c r="D242" i="21"/>
  <c r="C242" i="21"/>
  <c r="Q235" i="21"/>
  <c r="P235" i="21"/>
  <c r="O235" i="21"/>
  <c r="N235" i="21"/>
  <c r="M235" i="21"/>
  <c r="L235" i="21"/>
  <c r="K235" i="21"/>
  <c r="J235" i="21"/>
  <c r="I235" i="21"/>
  <c r="H235" i="21"/>
  <c r="G235" i="21"/>
  <c r="F235" i="21"/>
  <c r="E235" i="21"/>
  <c r="D235" i="21"/>
  <c r="C235" i="21"/>
  <c r="Q228" i="21"/>
  <c r="P228" i="21"/>
  <c r="O228" i="21"/>
  <c r="N228" i="21"/>
  <c r="M228" i="21"/>
  <c r="L228" i="21"/>
  <c r="K228" i="21"/>
  <c r="J228" i="21"/>
  <c r="I228" i="21"/>
  <c r="H228" i="21"/>
  <c r="G228" i="21"/>
  <c r="F228" i="21"/>
  <c r="E228" i="21"/>
  <c r="D228" i="21"/>
  <c r="C228" i="21"/>
  <c r="Q227" i="21"/>
  <c r="P227" i="21"/>
  <c r="O227" i="21"/>
  <c r="N227" i="21"/>
  <c r="N259" i="21" s="1"/>
  <c r="M227" i="21"/>
  <c r="L227" i="21"/>
  <c r="K227" i="21"/>
  <c r="J227" i="21"/>
  <c r="K259" i="21" s="1"/>
  <c r="I227" i="21"/>
  <c r="H227" i="21"/>
  <c r="G227" i="21"/>
  <c r="F227" i="21"/>
  <c r="G259" i="21" s="1"/>
  <c r="E227" i="21"/>
  <c r="D227" i="21"/>
  <c r="C227" i="21"/>
  <c r="G226" i="21"/>
  <c r="F226" i="21"/>
  <c r="E226" i="21"/>
  <c r="D226" i="21"/>
  <c r="C226" i="21"/>
  <c r="D202" i="21"/>
  <c r="C202" i="21"/>
  <c r="D200" i="21"/>
  <c r="D199" i="21"/>
  <c r="D198" i="21"/>
  <c r="D197" i="21"/>
  <c r="G200" i="21"/>
  <c r="F200" i="21"/>
  <c r="E200" i="21"/>
  <c r="G199" i="21"/>
  <c r="F199" i="21"/>
  <c r="E199" i="21"/>
  <c r="G198" i="21"/>
  <c r="F198" i="21"/>
  <c r="E198" i="21"/>
  <c r="G197" i="21"/>
  <c r="F197" i="21"/>
  <c r="E197" i="21"/>
  <c r="G191" i="21"/>
  <c r="F191" i="21"/>
  <c r="E191" i="21"/>
  <c r="D191" i="21"/>
  <c r="C191" i="21"/>
  <c r="M180" i="21"/>
  <c r="L180" i="21"/>
  <c r="K180" i="21"/>
  <c r="J180" i="21"/>
  <c r="I180" i="21"/>
  <c r="H180" i="21"/>
  <c r="G180" i="21"/>
  <c r="F180" i="21"/>
  <c r="E180" i="21"/>
  <c r="D180" i="21"/>
  <c r="C180" i="21"/>
  <c r="B180" i="21"/>
  <c r="G177" i="21"/>
  <c r="F177" i="21"/>
  <c r="E177" i="21"/>
  <c r="D177" i="21"/>
  <c r="C177" i="21"/>
  <c r="B177" i="21"/>
  <c r="G174" i="21"/>
  <c r="F174" i="21"/>
  <c r="E174" i="21"/>
  <c r="D174" i="21"/>
  <c r="C174" i="21"/>
  <c r="B174" i="21"/>
  <c r="G172" i="21"/>
  <c r="F172" i="21"/>
  <c r="E172" i="21"/>
  <c r="D172" i="21"/>
  <c r="C172" i="21"/>
  <c r="B172" i="21"/>
  <c r="G167" i="21"/>
  <c r="F167" i="21"/>
  <c r="E167" i="21"/>
  <c r="D167" i="21"/>
  <c r="C167" i="21"/>
  <c r="B167" i="21"/>
  <c r="G163" i="21"/>
  <c r="F163" i="21"/>
  <c r="E163" i="21"/>
  <c r="D163" i="21"/>
  <c r="C163" i="21"/>
  <c r="B163" i="21"/>
  <c r="J161" i="21"/>
  <c r="I161" i="21"/>
  <c r="H161" i="21"/>
  <c r="Q160" i="21"/>
  <c r="M160" i="21"/>
  <c r="L160" i="21"/>
  <c r="K160" i="21"/>
  <c r="J160" i="21"/>
  <c r="I160" i="21"/>
  <c r="H160" i="21"/>
  <c r="G160" i="21"/>
  <c r="F160" i="21"/>
  <c r="E160" i="21"/>
  <c r="D160" i="21"/>
  <c r="C160" i="21"/>
  <c r="B160" i="21"/>
  <c r="A160" i="21"/>
  <c r="Q157" i="21"/>
  <c r="M157" i="21"/>
  <c r="L157" i="21"/>
  <c r="K157" i="21"/>
  <c r="J157" i="21"/>
  <c r="I157" i="21"/>
  <c r="H157" i="21"/>
  <c r="G147" i="21"/>
  <c r="F147" i="21"/>
  <c r="E147" i="21"/>
  <c r="D147" i="21"/>
  <c r="C147" i="21"/>
  <c r="G141" i="21"/>
  <c r="F141" i="21"/>
  <c r="F194" i="21" s="1"/>
  <c r="E141" i="21"/>
  <c r="D141" i="21"/>
  <c r="C141" i="21"/>
  <c r="D134" i="21"/>
  <c r="C134" i="21"/>
  <c r="G132" i="21"/>
  <c r="F132" i="21"/>
  <c r="E132" i="21"/>
  <c r="D132" i="21"/>
  <c r="G131" i="21"/>
  <c r="F131" i="21"/>
  <c r="E131" i="21"/>
  <c r="D131" i="21"/>
  <c r="G130" i="21"/>
  <c r="F130" i="21"/>
  <c r="E130" i="21"/>
  <c r="D130" i="21"/>
  <c r="G129" i="21"/>
  <c r="G195" i="21" s="1"/>
  <c r="F129" i="21"/>
  <c r="F195" i="21"/>
  <c r="E129" i="21"/>
  <c r="E195" i="21" s="1"/>
  <c r="D129" i="21"/>
  <c r="G123" i="21"/>
  <c r="F123" i="21"/>
  <c r="E123" i="21"/>
  <c r="D123" i="21"/>
  <c r="C123" i="21"/>
  <c r="G113" i="21"/>
  <c r="G182" i="21" s="1"/>
  <c r="F113" i="21"/>
  <c r="F182" i="21" s="1"/>
  <c r="E113" i="21"/>
  <c r="E182" i="21" s="1"/>
  <c r="D113" i="21"/>
  <c r="D182" i="21" s="1"/>
  <c r="C113" i="21"/>
  <c r="C182" i="21" s="1"/>
  <c r="B113" i="21"/>
  <c r="B182" i="21" s="1"/>
  <c r="G112" i="21"/>
  <c r="G181" i="21" s="1"/>
  <c r="F112" i="21"/>
  <c r="F181" i="21" s="1"/>
  <c r="E112" i="21"/>
  <c r="E181" i="21" s="1"/>
  <c r="D112" i="21"/>
  <c r="D181" i="21" s="1"/>
  <c r="C112" i="21"/>
  <c r="C181" i="21" s="1"/>
  <c r="B112" i="21"/>
  <c r="B181" i="21"/>
  <c r="G110" i="21"/>
  <c r="G179" i="21" s="1"/>
  <c r="F110" i="21"/>
  <c r="F179" i="21" s="1"/>
  <c r="E110" i="21"/>
  <c r="E179" i="21" s="1"/>
  <c r="D110" i="21"/>
  <c r="D179" i="21" s="1"/>
  <c r="C110" i="21"/>
  <c r="C179" i="21" s="1"/>
  <c r="B110" i="21"/>
  <c r="B179" i="21" s="1"/>
  <c r="G109" i="21"/>
  <c r="G178" i="21" s="1"/>
  <c r="F109" i="21"/>
  <c r="F178" i="21" s="1"/>
  <c r="E109" i="21"/>
  <c r="E178" i="21" s="1"/>
  <c r="D109" i="21"/>
  <c r="D178" i="21" s="1"/>
  <c r="C109" i="21"/>
  <c r="C178" i="21" s="1"/>
  <c r="B109" i="21"/>
  <c r="B178" i="21" s="1"/>
  <c r="G108" i="21"/>
  <c r="F108" i="21"/>
  <c r="E108" i="21"/>
  <c r="D108" i="21"/>
  <c r="C108" i="21"/>
  <c r="B108" i="21"/>
  <c r="G106" i="21"/>
  <c r="G175" i="21" s="1"/>
  <c r="F106" i="21"/>
  <c r="F175" i="21" s="1"/>
  <c r="E106" i="21"/>
  <c r="E175" i="21" s="1"/>
  <c r="D106" i="21"/>
  <c r="D175" i="21" s="1"/>
  <c r="C106" i="21"/>
  <c r="C175" i="21" s="1"/>
  <c r="B106" i="21"/>
  <c r="B175" i="21" s="1"/>
  <c r="G104" i="21"/>
  <c r="G173" i="21" s="1"/>
  <c r="F104" i="21"/>
  <c r="F173" i="21" s="1"/>
  <c r="E104" i="21"/>
  <c r="E173" i="21" s="1"/>
  <c r="D104" i="21"/>
  <c r="D173" i="21" s="1"/>
  <c r="C104" i="21"/>
  <c r="C173" i="21" s="1"/>
  <c r="B104" i="21"/>
  <c r="B173" i="21" s="1"/>
  <c r="G101" i="21"/>
  <c r="G170" i="21" s="1"/>
  <c r="F101" i="21"/>
  <c r="F170" i="21" s="1"/>
  <c r="E101" i="21"/>
  <c r="E170" i="21" s="1"/>
  <c r="D101" i="21"/>
  <c r="D170" i="21" s="1"/>
  <c r="C101" i="21"/>
  <c r="C170" i="21" s="1"/>
  <c r="B101" i="21"/>
  <c r="B170" i="21" s="1"/>
  <c r="G100" i="21"/>
  <c r="G169" i="21" s="1"/>
  <c r="F100" i="21"/>
  <c r="F169" i="21" s="1"/>
  <c r="E100" i="21"/>
  <c r="E169" i="21" s="1"/>
  <c r="D100" i="21"/>
  <c r="D169" i="21" s="1"/>
  <c r="C100" i="21"/>
  <c r="C169" i="21" s="1"/>
  <c r="B100" i="21"/>
  <c r="B169" i="21" s="1"/>
  <c r="G99" i="21"/>
  <c r="G168" i="21" s="1"/>
  <c r="F99" i="21"/>
  <c r="F168" i="21" s="1"/>
  <c r="E99" i="21"/>
  <c r="E168" i="21" s="1"/>
  <c r="D99" i="21"/>
  <c r="D168" i="21" s="1"/>
  <c r="C99" i="21"/>
  <c r="C168" i="21" s="1"/>
  <c r="B99" i="21"/>
  <c r="B168" i="21" s="1"/>
  <c r="G98" i="21"/>
  <c r="F98" i="21"/>
  <c r="E98" i="21"/>
  <c r="D98" i="21"/>
  <c r="C98" i="21"/>
  <c r="B98" i="21"/>
  <c r="G97" i="21"/>
  <c r="G166" i="21" s="1"/>
  <c r="F97" i="21"/>
  <c r="F166" i="21" s="1"/>
  <c r="E97" i="21"/>
  <c r="E166" i="21" s="1"/>
  <c r="D97" i="21"/>
  <c r="D166" i="21" s="1"/>
  <c r="C97" i="21"/>
  <c r="C166" i="21" s="1"/>
  <c r="B97" i="21"/>
  <c r="B166" i="21" s="1"/>
  <c r="G96" i="21"/>
  <c r="G165" i="21" s="1"/>
  <c r="F96" i="21"/>
  <c r="F165" i="21" s="1"/>
  <c r="E96" i="21"/>
  <c r="E165" i="21" s="1"/>
  <c r="D96" i="21"/>
  <c r="D165" i="21" s="1"/>
  <c r="C96" i="21"/>
  <c r="C165" i="21" s="1"/>
  <c r="B96" i="21"/>
  <c r="B165" i="21" s="1"/>
  <c r="G95" i="21"/>
  <c r="G164" i="21" s="1"/>
  <c r="F95" i="21"/>
  <c r="F164" i="21" s="1"/>
  <c r="E95" i="21"/>
  <c r="E164" i="21" s="1"/>
  <c r="D95" i="21"/>
  <c r="D164" i="21" s="1"/>
  <c r="C95" i="21"/>
  <c r="C164" i="21" s="1"/>
  <c r="B95" i="21"/>
  <c r="B164" i="21" s="1"/>
  <c r="B93" i="21"/>
  <c r="B162" i="21" s="1"/>
  <c r="A93" i="21"/>
  <c r="A162" i="21" s="1"/>
  <c r="B92" i="21"/>
  <c r="B161" i="21" s="1"/>
  <c r="A92" i="21"/>
  <c r="A161" i="21" s="1"/>
  <c r="B90" i="21"/>
  <c r="B159" i="21" s="1"/>
  <c r="A90" i="21"/>
  <c r="A159" i="21" s="1"/>
  <c r="Q88" i="21"/>
  <c r="M88" i="21"/>
  <c r="L88" i="21"/>
  <c r="K88" i="21"/>
  <c r="J88" i="21"/>
  <c r="I88" i="21"/>
  <c r="H88" i="21"/>
  <c r="G88" i="21"/>
  <c r="G157" i="21" s="1"/>
  <c r="F88" i="21"/>
  <c r="F157" i="21" s="1"/>
  <c r="E88" i="21"/>
  <c r="E157" i="21" s="1"/>
  <c r="D88" i="21"/>
  <c r="D157" i="21" s="1"/>
  <c r="C88" i="21"/>
  <c r="C157" i="21" s="1"/>
  <c r="B88" i="21"/>
  <c r="B157" i="21" s="1"/>
  <c r="A88" i="21"/>
  <c r="A157" i="21" s="1"/>
  <c r="B86" i="21"/>
  <c r="A86" i="21"/>
  <c r="B84" i="21"/>
  <c r="A84" i="21"/>
  <c r="B83" i="21"/>
  <c r="A83" i="21"/>
  <c r="B82" i="21"/>
  <c r="A82" i="21"/>
  <c r="G80" i="21"/>
  <c r="G146" i="21" s="1"/>
  <c r="F80" i="21"/>
  <c r="F146" i="21" s="1"/>
  <c r="E80" i="21"/>
  <c r="E146" i="21" s="1"/>
  <c r="D80" i="21"/>
  <c r="D146" i="21" s="1"/>
  <c r="C80" i="21"/>
  <c r="C146" i="21" s="1"/>
  <c r="B80" i="21"/>
  <c r="A80" i="21"/>
  <c r="B79" i="21"/>
  <c r="A79" i="21"/>
  <c r="G78" i="21"/>
  <c r="F78" i="21"/>
  <c r="E78" i="21"/>
  <c r="D78" i="21"/>
  <c r="C78" i="21"/>
  <c r="A64" i="21"/>
  <c r="A63" i="21"/>
  <c r="A62" i="21"/>
  <c r="A61" i="21"/>
  <c r="A60" i="21"/>
  <c r="A59" i="21"/>
  <c r="I60" i="21"/>
  <c r="I257" i="21" s="1"/>
  <c r="H60" i="21"/>
  <c r="G60" i="21"/>
  <c r="G257" i="21" s="1"/>
  <c r="F60" i="21"/>
  <c r="F127" i="21" s="1"/>
  <c r="F312" i="21" s="1"/>
  <c r="E60" i="21"/>
  <c r="A47" i="21"/>
  <c r="A113" i="21" s="1"/>
  <c r="A182" i="21" s="1"/>
  <c r="A46" i="21"/>
  <c r="A112" i="21" s="1"/>
  <c r="A181" i="21" s="1"/>
  <c r="A44" i="21"/>
  <c r="A110" i="21" s="1"/>
  <c r="A179" i="21" s="1"/>
  <c r="A43" i="21"/>
  <c r="A109" i="21" s="1"/>
  <c r="A178" i="21" s="1"/>
  <c r="A42" i="21"/>
  <c r="A108" i="21" s="1"/>
  <c r="J40" i="21"/>
  <c r="J106" i="21" s="1"/>
  <c r="J175" i="21" s="1"/>
  <c r="I40" i="21"/>
  <c r="I106" i="21" s="1"/>
  <c r="I175" i="21" s="1"/>
  <c r="H40" i="21"/>
  <c r="H106" i="21" s="1"/>
  <c r="H175" i="21" s="1"/>
  <c r="A40" i="21"/>
  <c r="A106" i="21" s="1"/>
  <c r="A175" i="21" s="1"/>
  <c r="J38" i="21"/>
  <c r="J173" i="21" s="1"/>
  <c r="I38" i="21"/>
  <c r="I104" i="21" s="1"/>
  <c r="I170" i="21" s="1"/>
  <c r="H38" i="21"/>
  <c r="H104" i="21" s="1"/>
  <c r="H170" i="21" s="1"/>
  <c r="A38" i="21"/>
  <c r="A104" i="21" s="1"/>
  <c r="A173" i="21" s="1"/>
  <c r="A36" i="21"/>
  <c r="A35" i="21"/>
  <c r="A101" i="21" s="1"/>
  <c r="A170" i="21" s="1"/>
  <c r="A34" i="21"/>
  <c r="A100" i="21" s="1"/>
  <c r="A169" i="21" s="1"/>
  <c r="A33" i="21"/>
  <c r="A99" i="21" s="1"/>
  <c r="A168" i="21" s="1"/>
  <c r="A32" i="21"/>
  <c r="A98" i="21" s="1"/>
  <c r="A167" i="21" s="1"/>
  <c r="A31" i="21"/>
  <c r="A97" i="21" s="1"/>
  <c r="A166" i="21" s="1"/>
  <c r="A30" i="21"/>
  <c r="A96" i="21" s="1"/>
  <c r="A165" i="21" s="1"/>
  <c r="A29" i="21"/>
  <c r="A95" i="21" s="1"/>
  <c r="A164" i="21" s="1"/>
  <c r="G27" i="21"/>
  <c r="G93" i="21" s="1"/>
  <c r="G162" i="21" s="1"/>
  <c r="F27" i="21"/>
  <c r="F240" i="21" s="1"/>
  <c r="E27" i="21"/>
  <c r="E288" i="21" s="1"/>
  <c r="D27" i="21"/>
  <c r="C27" i="21"/>
  <c r="C93" i="21" s="1"/>
  <c r="C162" i="21" s="1"/>
  <c r="E20" i="21"/>
  <c r="E281" i="21" s="1"/>
  <c r="C20" i="21"/>
  <c r="C281" i="21" s="1"/>
  <c r="G17" i="21"/>
  <c r="F17" i="21"/>
  <c r="F278" i="21" s="1"/>
  <c r="E17" i="21"/>
  <c r="E230" i="21" s="1"/>
  <c r="D17" i="21"/>
  <c r="D278" i="21" s="1"/>
  <c r="C17" i="21"/>
  <c r="Q80" i="21"/>
  <c r="G13" i="21"/>
  <c r="G79" i="21" s="1"/>
  <c r="F13" i="21"/>
  <c r="E13" i="21"/>
  <c r="G12" i="21"/>
  <c r="F12" i="21"/>
  <c r="E12" i="21"/>
  <c r="D12" i="21"/>
  <c r="C12" i="21"/>
  <c r="G11" i="21"/>
  <c r="G77" i="21" s="1"/>
  <c r="F11" i="21"/>
  <c r="F61" i="21" s="1"/>
  <c r="E11" i="21"/>
  <c r="D11" i="21"/>
  <c r="D225" i="21" s="1"/>
  <c r="C11" i="21"/>
  <c r="C77" i="21" s="1"/>
  <c r="C143" i="21" s="1"/>
  <c r="C145" i="21" s="1"/>
  <c r="C186" i="21" s="1"/>
  <c r="G8" i="21"/>
  <c r="G271" i="21" s="1"/>
  <c r="F8" i="21"/>
  <c r="E8" i="21"/>
  <c r="E271" i="21" s="1"/>
  <c r="D8" i="21"/>
  <c r="D271" i="21" s="1"/>
  <c r="C8" i="21"/>
  <c r="C74" i="21" s="1"/>
  <c r="AQ64" i="11"/>
  <c r="AS64" i="11"/>
  <c r="AX64" i="11"/>
  <c r="BG166" i="1"/>
  <c r="BG165" i="1"/>
  <c r="BG84" i="1"/>
  <c r="BG89" i="1" s="1"/>
  <c r="AY219" i="1"/>
  <c r="BO71" i="48"/>
  <c r="BJ71" i="48"/>
  <c r="BH71" i="48"/>
  <c r="BF71" i="48"/>
  <c r="BU88" i="48"/>
  <c r="BT88" i="48"/>
  <c r="BS88" i="48"/>
  <c r="BR88" i="48"/>
  <c r="BQ88" i="48"/>
  <c r="BP88" i="48"/>
  <c r="BO88" i="48"/>
  <c r="BN88" i="48"/>
  <c r="BM88" i="48"/>
  <c r="BL88" i="48"/>
  <c r="BJ88" i="48"/>
  <c r="BI88" i="48"/>
  <c r="BH88" i="48"/>
  <c r="BG88" i="48"/>
  <c r="BF88" i="48"/>
  <c r="BE88" i="48"/>
  <c r="BL68" i="48"/>
  <c r="BJ68" i="48"/>
  <c r="BI68" i="48"/>
  <c r="BH68" i="48"/>
  <c r="BG68" i="48"/>
  <c r="BF68" i="48"/>
  <c r="BE68" i="48"/>
  <c r="BL67" i="48"/>
  <c r="BO65" i="48"/>
  <c r="BN65" i="48"/>
  <c r="BM65" i="48"/>
  <c r="BJ65" i="48"/>
  <c r="BI65" i="48"/>
  <c r="BH65" i="48"/>
  <c r="BG65" i="48"/>
  <c r="BF65" i="48"/>
  <c r="AT65" i="48"/>
  <c r="AS65" i="48"/>
  <c r="AR65" i="48"/>
  <c r="AQ65" i="48"/>
  <c r="AO65" i="48"/>
  <c r="AN65" i="48"/>
  <c r="AM65" i="48"/>
  <c r="AL65" i="48"/>
  <c r="AJ65" i="48"/>
  <c r="AI65" i="48"/>
  <c r="AH65" i="48"/>
  <c r="AG65" i="48"/>
  <c r="AE65" i="48"/>
  <c r="AD65" i="48"/>
  <c r="AC65" i="48"/>
  <c r="AB65" i="48"/>
  <c r="AW95" i="48"/>
  <c r="BK55" i="48"/>
  <c r="BK54" i="48"/>
  <c r="BK53" i="48"/>
  <c r="BU38" i="48"/>
  <c r="BU39" i="48" s="1"/>
  <c r="BT38" i="48"/>
  <c r="BT39" i="48" s="1"/>
  <c r="BS38" i="48"/>
  <c r="BS39" i="48" s="1"/>
  <c r="BR38" i="48"/>
  <c r="BR39" i="48" s="1"/>
  <c r="BQ38" i="48"/>
  <c r="BQ39" i="48" s="1"/>
  <c r="BP38" i="48"/>
  <c r="BP39" i="48" s="1"/>
  <c r="BO38" i="48"/>
  <c r="BN38" i="48" s="1"/>
  <c r="BM38" i="48" s="1"/>
  <c r="BL38" i="48" s="1"/>
  <c r="BD38" i="48"/>
  <c r="BD39" i="48" s="1"/>
  <c r="BC38" i="48"/>
  <c r="BC39" i="48" s="1"/>
  <c r="BB38" i="48"/>
  <c r="BB39" i="48" s="1"/>
  <c r="BA38" i="48"/>
  <c r="BA39" i="48" s="1"/>
  <c r="AY38" i="48"/>
  <c r="AY39" i="48" s="1"/>
  <c r="AX38" i="48"/>
  <c r="AX39" i="48" s="1"/>
  <c r="AW38" i="48"/>
  <c r="AW39" i="48" s="1"/>
  <c r="AV38" i="48"/>
  <c r="AV39" i="48" s="1"/>
  <c r="AT38" i="48"/>
  <c r="AT39" i="48" s="1"/>
  <c r="AS38" i="48"/>
  <c r="AS39" i="48" s="1"/>
  <c r="AR38" i="48"/>
  <c r="AR39" i="48" s="1"/>
  <c r="AQ38" i="48"/>
  <c r="AQ39" i="48" s="1"/>
  <c r="AO38" i="48"/>
  <c r="AO39" i="48" s="1"/>
  <c r="AN38" i="48"/>
  <c r="AN39" i="48" s="1"/>
  <c r="AM38" i="48"/>
  <c r="AM39" i="48" s="1"/>
  <c r="AL38" i="48"/>
  <c r="AL39" i="48" s="1"/>
  <c r="AH37" i="48"/>
  <c r="AC37" i="48"/>
  <c r="AD37" i="48" s="1"/>
  <c r="AE37" i="48" s="1"/>
  <c r="X37" i="48"/>
  <c r="Y37" i="48" s="1"/>
  <c r="Z37" i="48" s="1"/>
  <c r="AZ35" i="48"/>
  <c r="BK30" i="48"/>
  <c r="BJ30" i="48"/>
  <c r="BI30" i="48"/>
  <c r="BH30" i="48"/>
  <c r="BG30" i="48"/>
  <c r="BF30" i="48"/>
  <c r="BE30" i="48"/>
  <c r="BD24" i="48"/>
  <c r="BC24" i="48"/>
  <c r="BA24" i="48"/>
  <c r="AX24" i="48"/>
  <c r="AX26" i="48" s="1"/>
  <c r="AV24" i="48"/>
  <c r="AV50" i="48" s="1"/>
  <c r="AR48" i="48"/>
  <c r="AM48" i="48"/>
  <c r="AI24" i="48"/>
  <c r="AI26" i="48" s="1"/>
  <c r="AC24" i="48"/>
  <c r="Y24" i="48"/>
  <c r="Y26" i="48" s="1"/>
  <c r="BT32" i="48"/>
  <c r="BR32" i="48"/>
  <c r="BQ32" i="48"/>
  <c r="BP32" i="48"/>
  <c r="BO46" i="48"/>
  <c r="BA32" i="48"/>
  <c r="AX32" i="48"/>
  <c r="AW32" i="48"/>
  <c r="AV32" i="48"/>
  <c r="AT32" i="48"/>
  <c r="AR32" i="48"/>
  <c r="AQ32" i="48"/>
  <c r="BU30" i="48"/>
  <c r="BT30" i="48"/>
  <c r="BS30" i="48"/>
  <c r="BR30" i="48"/>
  <c r="BQ30" i="48"/>
  <c r="BP30" i="48"/>
  <c r="BO30" i="48"/>
  <c r="BM30" i="48"/>
  <c r="BL30" i="48"/>
  <c r="BD47" i="48"/>
  <c r="AY47" i="48"/>
  <c r="AT30" i="48"/>
  <c r="AS30" i="48"/>
  <c r="AS31" i="48" s="1"/>
  <c r="AQ30" i="48"/>
  <c r="AJ47" i="48"/>
  <c r="AE47" i="48"/>
  <c r="BM44" i="48"/>
  <c r="BH44" i="48"/>
  <c r="BD44" i="48"/>
  <c r="AY44" i="48"/>
  <c r="AY60" i="48"/>
  <c r="AO44" i="48"/>
  <c r="AJ44" i="48"/>
  <c r="AE60" i="48"/>
  <c r="BM12" i="48"/>
  <c r="BM43" i="48" s="1"/>
  <c r="BH12" i="48"/>
  <c r="BH43" i="48" s="1"/>
  <c r="AO12" i="48"/>
  <c r="AO43" i="48" s="1"/>
  <c r="AJ12" i="48"/>
  <c r="AJ43" i="48" s="1"/>
  <c r="BU47" i="48"/>
  <c r="BT12" i="48"/>
  <c r="BT43" i="48" s="1"/>
  <c r="BR12" i="48"/>
  <c r="BQ44" i="48"/>
  <c r="BN45" i="48"/>
  <c r="BM53" i="48"/>
  <c r="BL46" i="48"/>
  <c r="BJ54" i="48"/>
  <c r="BI53" i="48"/>
  <c r="BG53" i="48"/>
  <c r="BF53" i="48"/>
  <c r="BE12" i="48"/>
  <c r="BB12" i="48"/>
  <c r="BB43" i="48" s="1"/>
  <c r="BA44" i="48"/>
  <c r="AW47" i="48"/>
  <c r="AS46" i="48"/>
  <c r="AR47" i="48"/>
  <c r="AQ12" i="48"/>
  <c r="AQ43" i="48" s="1"/>
  <c r="AN45" i="48"/>
  <c r="AM45" i="48"/>
  <c r="AL55" i="48"/>
  <c r="AJ46" i="48"/>
  <c r="AI55" i="48"/>
  <c r="AH47" i="48"/>
  <c r="AE45" i="48"/>
  <c r="AC47" i="48"/>
  <c r="Y55" i="48"/>
  <c r="X55" i="48"/>
  <c r="W12" i="48"/>
  <c r="W43" i="48" s="1"/>
  <c r="AQ4" i="48"/>
  <c r="AU66" i="1"/>
  <c r="AU97" i="1" s="1"/>
  <c r="D113" i="1"/>
  <c r="H113" i="1"/>
  <c r="L113" i="1"/>
  <c r="P113" i="1"/>
  <c r="T113" i="1"/>
  <c r="X113" i="1"/>
  <c r="AB113" i="1"/>
  <c r="AF113" i="1"/>
  <c r="AJ113" i="1"/>
  <c r="AM113" i="1"/>
  <c r="AN113" i="1" s="1"/>
  <c r="AQ113" i="1"/>
  <c r="AV113" i="1"/>
  <c r="AZ113" i="1"/>
  <c r="BD113" i="1"/>
  <c r="BI113" i="1"/>
  <c r="D114" i="1"/>
  <c r="H114" i="1"/>
  <c r="L114" i="1"/>
  <c r="P114" i="1"/>
  <c r="T114" i="1"/>
  <c r="X114" i="1"/>
  <c r="AB114" i="1"/>
  <c r="AF114" i="1"/>
  <c r="AJ114" i="1"/>
  <c r="AN114" i="1"/>
  <c r="AQ114" i="1"/>
  <c r="AR114" i="1" s="1"/>
  <c r="AV114" i="1"/>
  <c r="AZ114" i="1"/>
  <c r="BD114" i="1"/>
  <c r="BI114" i="1"/>
  <c r="D115" i="1"/>
  <c r="H115" i="1"/>
  <c r="L115" i="1"/>
  <c r="P115" i="1"/>
  <c r="T115" i="1"/>
  <c r="X115" i="1"/>
  <c r="AB115" i="1"/>
  <c r="AF115" i="1"/>
  <c r="AJ115" i="1"/>
  <c r="AN115" i="1"/>
  <c r="AQ115" i="1"/>
  <c r="AR115" i="1" s="1"/>
  <c r="AV115" i="1"/>
  <c r="AZ115" i="1"/>
  <c r="BD115" i="1"/>
  <c r="D116" i="1"/>
  <c r="H116" i="1"/>
  <c r="L116" i="1"/>
  <c r="P116" i="1"/>
  <c r="AI116" i="1"/>
  <c r="AM116" i="1"/>
  <c r="AN116" i="1" s="1"/>
  <c r="AU116" i="1"/>
  <c r="AZ116" i="1"/>
  <c r="BD116" i="1"/>
  <c r="C117" i="1"/>
  <c r="G117" i="1"/>
  <c r="K117" i="1"/>
  <c r="O117" i="1"/>
  <c r="S117" i="1"/>
  <c r="S116" i="1" s="1"/>
  <c r="W117" i="1"/>
  <c r="W116" i="1"/>
  <c r="AA117" i="1"/>
  <c r="AA116" i="1" s="1"/>
  <c r="AE117" i="1"/>
  <c r="AJ117" i="1"/>
  <c r="AN117" i="1"/>
  <c r="AQ117" i="1"/>
  <c r="AR117" i="1" s="1"/>
  <c r="AV117" i="1"/>
  <c r="AZ117" i="1"/>
  <c r="BC117" i="1"/>
  <c r="R35" i="5" s="1"/>
  <c r="BG117" i="1"/>
  <c r="AM118" i="1"/>
  <c r="BC166" i="1"/>
  <c r="AU62" i="1"/>
  <c r="AV62" i="1" s="1"/>
  <c r="N33" i="31"/>
  <c r="M33" i="31" s="1"/>
  <c r="L33" i="31" s="1"/>
  <c r="K33" i="31" s="1"/>
  <c r="J33" i="31" s="1"/>
  <c r="I33" i="31" s="1"/>
  <c r="H33" i="31" s="1"/>
  <c r="G33" i="31" s="1"/>
  <c r="F33" i="31" s="1"/>
  <c r="E33" i="31" s="1"/>
  <c r="D33" i="31" s="1"/>
  <c r="C33" i="31" s="1"/>
  <c r="B33" i="31" s="1"/>
  <c r="H25" i="31"/>
  <c r="I25" i="31" s="1"/>
  <c r="J25" i="31" s="1"/>
  <c r="K25" i="31" s="1"/>
  <c r="L25" i="31" s="1"/>
  <c r="M25" i="31" s="1"/>
  <c r="N25" i="31" s="1"/>
  <c r="O25" i="31" s="1"/>
  <c r="G25" i="31"/>
  <c r="F25" i="31"/>
  <c r="D25" i="31"/>
  <c r="C25" i="31"/>
  <c r="B25" i="31"/>
  <c r="D21" i="31"/>
  <c r="V16" i="31"/>
  <c r="C18" i="31"/>
  <c r="D18" i="31" s="1"/>
  <c r="C16" i="31"/>
  <c r="D16" i="31"/>
  <c r="E16" i="31" s="1"/>
  <c r="F16" i="31" s="1"/>
  <c r="C13" i="31"/>
  <c r="B11" i="31"/>
  <c r="B14" i="31" s="1"/>
  <c r="V10" i="31"/>
  <c r="C10" i="31"/>
  <c r="D10" i="31" s="1"/>
  <c r="C9" i="31"/>
  <c r="D9" i="31" s="1"/>
  <c r="C8" i="31"/>
  <c r="C5" i="31"/>
  <c r="K39" i="32"/>
  <c r="G33" i="32"/>
  <c r="F33" i="32" s="1"/>
  <c r="E33" i="32" s="1"/>
  <c r="D33" i="32" s="1"/>
  <c r="C33" i="32" s="1"/>
  <c r="B33" i="32" s="1"/>
  <c r="H25" i="32"/>
  <c r="G25" i="32"/>
  <c r="F25" i="32"/>
  <c r="D25" i="32"/>
  <c r="C25" i="32"/>
  <c r="B25" i="32"/>
  <c r="D21" i="32"/>
  <c r="N16" i="32"/>
  <c r="C18" i="32"/>
  <c r="D18" i="32" s="1"/>
  <c r="C16" i="32"/>
  <c r="C17" i="32" s="1"/>
  <c r="C29" i="32" s="1"/>
  <c r="C13" i="32"/>
  <c r="D13" i="32" s="1"/>
  <c r="B11" i="32"/>
  <c r="B14" i="32" s="1"/>
  <c r="N10" i="32"/>
  <c r="C10" i="32"/>
  <c r="D10" i="32" s="1"/>
  <c r="E10" i="32" s="1"/>
  <c r="F10" i="32" s="1"/>
  <c r="G10" i="32" s="1"/>
  <c r="H10" i="32" s="1"/>
  <c r="C9" i="32"/>
  <c r="D9" i="32" s="1"/>
  <c r="E9" i="32" s="1"/>
  <c r="F9" i="32" s="1"/>
  <c r="G9" i="32" s="1"/>
  <c r="H9" i="32" s="1"/>
  <c r="C8" i="32"/>
  <c r="C11" i="32" s="1"/>
  <c r="C14" i="32" s="1"/>
  <c r="C5" i="32"/>
  <c r="E25" i="31"/>
  <c r="D23" i="32"/>
  <c r="AH102" i="5"/>
  <c r="AH103" i="5" s="1"/>
  <c r="AH104" i="5" s="1"/>
  <c r="AH105" i="5" s="1"/>
  <c r="AH106" i="5" s="1"/>
  <c r="AH107" i="5" s="1"/>
  <c r="AH108" i="5" s="1"/>
  <c r="AH109" i="5" s="1"/>
  <c r="AH100" i="5"/>
  <c r="AH99" i="5" s="1"/>
  <c r="AH98" i="5" s="1"/>
  <c r="AH97" i="5" s="1"/>
  <c r="R58" i="5"/>
  <c r="BQ34" i="11"/>
  <c r="BQ35" i="11" s="1"/>
  <c r="Q58" i="5"/>
  <c r="N56" i="5"/>
  <c r="M56" i="5" s="1"/>
  <c r="L56" i="5" s="1"/>
  <c r="V50" i="5"/>
  <c r="U50" i="5"/>
  <c r="BT30" i="11" s="1"/>
  <c r="O50" i="5"/>
  <c r="K50" i="5"/>
  <c r="J50" i="5"/>
  <c r="I50" i="5"/>
  <c r="W167" i="1" s="1"/>
  <c r="W166" i="1" s="1"/>
  <c r="G50" i="5"/>
  <c r="Q41" i="5"/>
  <c r="BP24" i="11" s="1"/>
  <c r="P41" i="5"/>
  <c r="BO24" i="11" s="1"/>
  <c r="K41" i="5"/>
  <c r="J41" i="5"/>
  <c r="G20" i="21"/>
  <c r="G233" i="21" s="1"/>
  <c r="I41" i="5"/>
  <c r="F20" i="21"/>
  <c r="F281" i="21" s="1"/>
  <c r="G41" i="5"/>
  <c r="D20" i="21"/>
  <c r="D233" i="21" s="1"/>
  <c r="O36" i="5"/>
  <c r="S35" i="5"/>
  <c r="BR21" i="11" s="1"/>
  <c r="Q35" i="5"/>
  <c r="P35" i="5"/>
  <c r="M35" i="5"/>
  <c r="BM21" i="11" s="1"/>
  <c r="L35" i="5"/>
  <c r="K30" i="5"/>
  <c r="J30" i="5"/>
  <c r="I30" i="5"/>
  <c r="F30" i="5"/>
  <c r="E30" i="5"/>
  <c r="D30" i="5"/>
  <c r="B30" i="5"/>
  <c r="O29" i="5"/>
  <c r="O30" i="5"/>
  <c r="H29" i="5"/>
  <c r="H30" i="5"/>
  <c r="G29" i="5"/>
  <c r="G30" i="5"/>
  <c r="C29" i="5"/>
  <c r="C30" i="5"/>
  <c r="O27" i="5"/>
  <c r="Q26" i="5"/>
  <c r="AE11" i="10" s="1"/>
  <c r="N26" i="5"/>
  <c r="AA11" i="10" s="1"/>
  <c r="M26" i="5"/>
  <c r="Y11" i="10" s="1"/>
  <c r="L26" i="5"/>
  <c r="W11" i="10" s="1"/>
  <c r="H26" i="5"/>
  <c r="G26" i="5"/>
  <c r="C26" i="5"/>
  <c r="G11" i="10" s="1"/>
  <c r="P20" i="5"/>
  <c r="O20" i="5"/>
  <c r="O17" i="5"/>
  <c r="X16" i="5"/>
  <c r="T17" i="5"/>
  <c r="U17" i="5" s="1"/>
  <c r="V17" i="5" s="1"/>
  <c r="P14" i="5"/>
  <c r="O14" i="5"/>
  <c r="O15" i="5" s="1"/>
  <c r="L14" i="5"/>
  <c r="O12" i="5"/>
  <c r="Q11" i="5"/>
  <c r="AE56" i="9" s="1"/>
  <c r="P11" i="5"/>
  <c r="BO12" i="11" s="1"/>
  <c r="BO14" i="11" s="1"/>
  <c r="N11" i="5"/>
  <c r="CB11" i="47" s="1"/>
  <c r="M11" i="5"/>
  <c r="L11" i="5"/>
  <c r="BZ11" i="47" s="1"/>
  <c r="Q8" i="5"/>
  <c r="AE55" i="9"/>
  <c r="AE61" i="9" s="1"/>
  <c r="P8" i="5"/>
  <c r="N8" i="5"/>
  <c r="CB10" i="47" s="1"/>
  <c r="M8" i="5"/>
  <c r="L8" i="5"/>
  <c r="D8" i="5"/>
  <c r="D12" i="5" s="1"/>
  <c r="B8" i="5"/>
  <c r="B32" i="5" s="1"/>
  <c r="B33" i="5" s="1"/>
  <c r="BG215" i="1"/>
  <c r="BI215" i="1" s="1"/>
  <c r="AU216" i="1"/>
  <c r="AO34" i="11" s="1"/>
  <c r="AO35" i="11" s="1"/>
  <c r="AO36" i="11" s="1"/>
  <c r="BM214" i="1"/>
  <c r="BM215" i="1" s="1"/>
  <c r="BM216" i="1" s="1"/>
  <c r="BC214" i="1"/>
  <c r="AW34" i="11" s="1"/>
  <c r="AW35" i="11" s="1"/>
  <c r="AW36" i="11" s="1"/>
  <c r="AU214" i="1"/>
  <c r="AU213" i="1" s="1"/>
  <c r="G213" i="1"/>
  <c r="BG205" i="1"/>
  <c r="BG204" i="1"/>
  <c r="BC206" i="1"/>
  <c r="BC207" i="1" s="1"/>
  <c r="BC208" i="1" s="1"/>
  <c r="BC209" i="1" s="1"/>
  <c r="AY205" i="1"/>
  <c r="BN200" i="1"/>
  <c r="BG195" i="1"/>
  <c r="BG196" i="1" s="1"/>
  <c r="BC198" i="1"/>
  <c r="BC199" i="1" s="1"/>
  <c r="AY195" i="1"/>
  <c r="AU195" i="1"/>
  <c r="C196" i="1"/>
  <c r="C156" i="1" s="1"/>
  <c r="T195" i="1"/>
  <c r="T194" i="1"/>
  <c r="T193" i="1"/>
  <c r="P195" i="1"/>
  <c r="P194" i="1"/>
  <c r="P193" i="1"/>
  <c r="BG164" i="1"/>
  <c r="BG163" i="1"/>
  <c r="BA30" i="11" s="1"/>
  <c r="BC165" i="1"/>
  <c r="AX30" i="11"/>
  <c r="BC164" i="1"/>
  <c r="BC163" i="1"/>
  <c r="BC168" i="1" s="1"/>
  <c r="AY167" i="1"/>
  <c r="Q50" i="5"/>
  <c r="AY166" i="1"/>
  <c r="AT30" i="11"/>
  <c r="AY165" i="1"/>
  <c r="AS30" i="11"/>
  <c r="AY164" i="1"/>
  <c r="AY163" i="1"/>
  <c r="AQ30" i="11" s="1"/>
  <c r="AU167" i="1"/>
  <c r="AU165" i="1"/>
  <c r="AN30" i="11" s="1"/>
  <c r="AU164" i="1"/>
  <c r="AU163" i="1"/>
  <c r="AU168" i="1" s="1"/>
  <c r="AQ167" i="1"/>
  <c r="N50" i="5" s="1"/>
  <c r="BN30" i="11" s="1"/>
  <c r="AQ165" i="1"/>
  <c r="AQ164" i="1"/>
  <c r="AH30" i="11" s="1"/>
  <c r="AQ163" i="1"/>
  <c r="AQ168" i="1" s="1"/>
  <c r="AM167" i="1"/>
  <c r="M50" i="5"/>
  <c r="BM30" i="11" s="1"/>
  <c r="AM165" i="1"/>
  <c r="AD30" i="11"/>
  <c r="AM164" i="1"/>
  <c r="AM163" i="1"/>
  <c r="AI167" i="1"/>
  <c r="L50" i="5"/>
  <c r="BL30" i="11" s="1"/>
  <c r="AI165" i="1"/>
  <c r="AI164" i="1"/>
  <c r="AI163" i="1"/>
  <c r="AE168" i="1"/>
  <c r="AE165" i="1"/>
  <c r="AE169" i="1"/>
  <c r="AA167" i="1"/>
  <c r="AA165" i="1"/>
  <c r="AA169" i="1" s="1"/>
  <c r="AA164" i="1"/>
  <c r="AA163" i="1"/>
  <c r="S169" i="1"/>
  <c r="S168" i="1"/>
  <c r="S167" i="1"/>
  <c r="S166" i="1" s="1"/>
  <c r="O167" i="1"/>
  <c r="O166" i="1"/>
  <c r="O165" i="1"/>
  <c r="O164" i="1"/>
  <c r="O163" i="1"/>
  <c r="K167" i="1"/>
  <c r="K166" i="1"/>
  <c r="K165" i="1"/>
  <c r="K164" i="1"/>
  <c r="K163" i="1"/>
  <c r="K168" i="1" s="1"/>
  <c r="G169" i="1"/>
  <c r="G168" i="1"/>
  <c r="G167" i="1"/>
  <c r="G166" i="1"/>
  <c r="C167" i="1"/>
  <c r="W164" i="1"/>
  <c r="W168" i="1" s="1"/>
  <c r="BG138" i="1"/>
  <c r="BJ138" i="1" s="1"/>
  <c r="AY139" i="1"/>
  <c r="AY138" i="1"/>
  <c r="AU139" i="1"/>
  <c r="BA139" i="1"/>
  <c r="AU138" i="1"/>
  <c r="AA139" i="1"/>
  <c r="AA138" i="1"/>
  <c r="AC138" i="1"/>
  <c r="W139" i="1"/>
  <c r="W138" i="1"/>
  <c r="S139" i="1"/>
  <c r="Y139" i="1"/>
  <c r="S138" i="1"/>
  <c r="Y138" i="1"/>
  <c r="O139" i="1"/>
  <c r="O138" i="1"/>
  <c r="K139" i="1"/>
  <c r="K138" i="1"/>
  <c r="G139" i="1"/>
  <c r="G138" i="1"/>
  <c r="H138" i="1" s="1"/>
  <c r="C139" i="1"/>
  <c r="C138" i="1"/>
  <c r="BC139" i="1"/>
  <c r="BC138" i="1"/>
  <c r="BE138" i="1" s="1"/>
  <c r="BC137" i="1"/>
  <c r="BJ134" i="1"/>
  <c r="BJ133" i="1"/>
  <c r="AE139" i="1"/>
  <c r="AG139" i="1" s="1"/>
  <c r="AE138" i="1"/>
  <c r="AG138" i="1"/>
  <c r="AE137" i="1"/>
  <c r="AA136" i="1"/>
  <c r="AC136" i="1" s="1"/>
  <c r="W136" i="1"/>
  <c r="S136" i="1"/>
  <c r="BE136" i="1"/>
  <c r="BE135" i="1"/>
  <c r="BE134" i="1"/>
  <c r="BE133" i="1"/>
  <c r="BA137" i="1"/>
  <c r="BA136" i="1"/>
  <c r="BA135" i="1"/>
  <c r="BA134" i="1"/>
  <c r="BA133" i="1"/>
  <c r="AQ137" i="1"/>
  <c r="N41" i="5" s="1"/>
  <c r="BN24" i="11" s="1"/>
  <c r="AQ135" i="1"/>
  <c r="AW135" i="1"/>
  <c r="AQ134" i="1"/>
  <c r="AQ133" i="1"/>
  <c r="AS133" i="1" s="1"/>
  <c r="AM137" i="1"/>
  <c r="M41" i="5"/>
  <c r="AM135" i="1"/>
  <c r="AS135" i="1"/>
  <c r="AM134" i="1"/>
  <c r="AM133" i="1"/>
  <c r="AI137" i="1"/>
  <c r="L41" i="5"/>
  <c r="BL24" i="11" s="1"/>
  <c r="AI135" i="1"/>
  <c r="AI134" i="1"/>
  <c r="AO134" i="1" s="1"/>
  <c r="AI133" i="1"/>
  <c r="AI138" i="1" s="1"/>
  <c r="AG135" i="1"/>
  <c r="AG134" i="1"/>
  <c r="AG133" i="1"/>
  <c r="AC137" i="1"/>
  <c r="AC135" i="1"/>
  <c r="AC134" i="1"/>
  <c r="AC133" i="1"/>
  <c r="Y137" i="1"/>
  <c r="Y135" i="1"/>
  <c r="Y134" i="1"/>
  <c r="Y133" i="1"/>
  <c r="U137" i="1"/>
  <c r="U136" i="1"/>
  <c r="U135" i="1"/>
  <c r="U134" i="1"/>
  <c r="U133" i="1"/>
  <c r="Q137" i="1"/>
  <c r="Q136" i="1"/>
  <c r="Q135" i="1"/>
  <c r="Q134" i="1"/>
  <c r="Q133" i="1"/>
  <c r="M137" i="1"/>
  <c r="M136" i="1"/>
  <c r="M135" i="1"/>
  <c r="M134" i="1"/>
  <c r="M133" i="1"/>
  <c r="I137" i="1"/>
  <c r="I136" i="1"/>
  <c r="I135" i="1"/>
  <c r="I134" i="1"/>
  <c r="I133" i="1"/>
  <c r="BG119" i="1"/>
  <c r="BG118" i="1"/>
  <c r="AY119" i="1"/>
  <c r="AY118" i="1"/>
  <c r="AU119" i="1"/>
  <c r="AV119" i="1" s="1"/>
  <c r="AU118" i="1"/>
  <c r="AI119" i="1"/>
  <c r="AI118" i="1"/>
  <c r="BC119" i="1"/>
  <c r="BD119" i="1" s="1"/>
  <c r="BC118" i="1"/>
  <c r="O119" i="1"/>
  <c r="O118" i="1"/>
  <c r="K119" i="1"/>
  <c r="L119" i="1" s="1"/>
  <c r="K118" i="1"/>
  <c r="G119" i="1"/>
  <c r="G118" i="1"/>
  <c r="C119" i="1"/>
  <c r="D59" i="1" s="1"/>
  <c r="C118" i="1"/>
  <c r="AE119" i="1"/>
  <c r="AE118" i="1"/>
  <c r="AA119" i="1"/>
  <c r="AB119" i="1" s="1"/>
  <c r="AA118" i="1"/>
  <c r="W119" i="1"/>
  <c r="W118" i="1"/>
  <c r="S119" i="1"/>
  <c r="T59" i="1" s="1"/>
  <c r="S118" i="1"/>
  <c r="S103" i="1"/>
  <c r="O106" i="1"/>
  <c r="P106" i="1" s="1"/>
  <c r="O104" i="1"/>
  <c r="P104" i="1" s="1"/>
  <c r="K106" i="1"/>
  <c r="K105" i="1"/>
  <c r="K104" i="1"/>
  <c r="K103" i="1"/>
  <c r="K108" i="1" s="1"/>
  <c r="G106" i="1"/>
  <c r="G105" i="1"/>
  <c r="G104" i="1"/>
  <c r="M104" i="1" s="1"/>
  <c r="C103" i="1"/>
  <c r="C108" i="1" s="1"/>
  <c r="D108" i="1" s="1"/>
  <c r="S93" i="1"/>
  <c r="O96" i="1"/>
  <c r="O94" i="1"/>
  <c r="K96" i="1"/>
  <c r="M96" i="1" s="1"/>
  <c r="K95" i="1"/>
  <c r="M95" i="1" s="1"/>
  <c r="K94" i="1"/>
  <c r="L94" i="1"/>
  <c r="K93" i="1"/>
  <c r="L93" i="1" s="1"/>
  <c r="G96" i="1"/>
  <c r="G95" i="1"/>
  <c r="H95" i="1" s="1"/>
  <c r="G94" i="1"/>
  <c r="C93" i="1"/>
  <c r="D93" i="1" s="1"/>
  <c r="AI89" i="1"/>
  <c r="AQ87" i="1"/>
  <c r="N29" i="5"/>
  <c r="AQ85" i="1"/>
  <c r="AI18" i="11" s="1"/>
  <c r="AI45" i="11" s="1"/>
  <c r="AQ84" i="1"/>
  <c r="AQ83" i="1"/>
  <c r="AM87" i="1"/>
  <c r="M29" i="5" s="1"/>
  <c r="AM85" i="1"/>
  <c r="AM95" i="1" s="1"/>
  <c r="AM84" i="1"/>
  <c r="AM83" i="1"/>
  <c r="AI87" i="1"/>
  <c r="L29" i="5" s="1"/>
  <c r="AI85" i="1"/>
  <c r="Y18" i="11" s="1"/>
  <c r="Y45" i="11" s="1"/>
  <c r="AI84" i="1"/>
  <c r="AI83" i="1"/>
  <c r="BG83" i="1"/>
  <c r="BI84" i="1"/>
  <c r="BC86" i="1"/>
  <c r="BC85" i="1"/>
  <c r="BD85" i="1"/>
  <c r="BC84" i="1"/>
  <c r="BD84" i="1" s="1"/>
  <c r="BC83" i="1"/>
  <c r="BD83" i="1" s="1"/>
  <c r="AY87" i="1"/>
  <c r="Q29" i="5" s="1"/>
  <c r="AY86" i="1"/>
  <c r="AY85" i="1"/>
  <c r="AS18" i="11" s="1"/>
  <c r="AS45" i="11" s="1"/>
  <c r="AY84" i="1"/>
  <c r="AY83" i="1"/>
  <c r="AU87" i="1"/>
  <c r="AU85" i="1"/>
  <c r="AN18" i="11" s="1"/>
  <c r="AN45" i="11" s="1"/>
  <c r="AU84" i="1"/>
  <c r="AU83" i="1"/>
  <c r="BA83" i="1"/>
  <c r="BG79" i="1"/>
  <c r="BG78" i="1"/>
  <c r="BG77" i="1"/>
  <c r="AQ79" i="1"/>
  <c r="AS79" i="1" s="1"/>
  <c r="AQ78" i="1"/>
  <c r="AM79" i="1"/>
  <c r="AM78" i="1"/>
  <c r="AI79" i="1"/>
  <c r="AI78" i="1"/>
  <c r="BC79" i="1"/>
  <c r="BC78" i="1"/>
  <c r="BJ78" i="1"/>
  <c r="BC77" i="1"/>
  <c r="AJ77" i="1"/>
  <c r="AJ75" i="1"/>
  <c r="AJ74" i="1"/>
  <c r="AJ73" i="1"/>
  <c r="O77" i="1"/>
  <c r="K79" i="1"/>
  <c r="K78" i="1"/>
  <c r="K77" i="1"/>
  <c r="G77" i="1"/>
  <c r="AQ76" i="1"/>
  <c r="AM76" i="1"/>
  <c r="AS76" i="1" s="1"/>
  <c r="AI76" i="1"/>
  <c r="O75" i="1"/>
  <c r="P75" i="1"/>
  <c r="Q75" i="1"/>
  <c r="AY74" i="1"/>
  <c r="AY73" i="1"/>
  <c r="S75" i="1"/>
  <c r="S95" i="1"/>
  <c r="S125" i="1" s="1"/>
  <c r="S74" i="1"/>
  <c r="U74" i="1" s="1"/>
  <c r="C77" i="1"/>
  <c r="C76" i="1"/>
  <c r="C75" i="1"/>
  <c r="C95" i="1" s="1"/>
  <c r="C74" i="1"/>
  <c r="BJ76" i="1"/>
  <c r="BJ75" i="1"/>
  <c r="BJ74" i="1"/>
  <c r="BI74" i="1"/>
  <c r="BJ73" i="1"/>
  <c r="BI73" i="1"/>
  <c r="BE76" i="1"/>
  <c r="BD76" i="1"/>
  <c r="BE75" i="1"/>
  <c r="BD75" i="1"/>
  <c r="BD74" i="1"/>
  <c r="BD73" i="1"/>
  <c r="AZ77" i="1"/>
  <c r="AZ76" i="1"/>
  <c r="AZ75" i="1"/>
  <c r="AU77" i="1"/>
  <c r="AV77" i="1"/>
  <c r="BA77" i="1"/>
  <c r="AU75" i="1"/>
  <c r="AV75" i="1" s="1"/>
  <c r="AU74" i="1"/>
  <c r="AU73" i="1"/>
  <c r="AS77" i="1"/>
  <c r="AR77" i="1"/>
  <c r="AS75" i="1"/>
  <c r="AR75" i="1"/>
  <c r="AS74" i="1"/>
  <c r="AR74" i="1"/>
  <c r="AS73" i="1"/>
  <c r="AR73" i="1"/>
  <c r="AO77" i="1"/>
  <c r="AN77" i="1"/>
  <c r="AO75" i="1"/>
  <c r="AN75" i="1"/>
  <c r="AO74" i="1"/>
  <c r="AN74" i="1"/>
  <c r="AO73" i="1"/>
  <c r="AN73" i="1"/>
  <c r="AE77" i="1"/>
  <c r="AE76" i="1" s="1"/>
  <c r="AG76" i="1" s="1"/>
  <c r="AE75" i="1"/>
  <c r="AE74" i="1"/>
  <c r="AF74" i="1" s="1"/>
  <c r="AE94" i="1"/>
  <c r="AE124" i="1" s="1"/>
  <c r="AE104" i="1"/>
  <c r="AE73" i="1"/>
  <c r="AA77" i="1"/>
  <c r="AA75" i="1"/>
  <c r="AB75" i="1" s="1"/>
  <c r="AA74" i="1"/>
  <c r="AA73" i="1"/>
  <c r="W77" i="1"/>
  <c r="W75" i="1"/>
  <c r="X75" i="1" s="1"/>
  <c r="W74" i="1"/>
  <c r="W73" i="1"/>
  <c r="Y73" i="1" s="1"/>
  <c r="T73" i="1"/>
  <c r="Q76" i="1"/>
  <c r="P76" i="1"/>
  <c r="Q74" i="1"/>
  <c r="P74" i="1"/>
  <c r="O73" i="1"/>
  <c r="O78" i="1" s="1"/>
  <c r="M76" i="1"/>
  <c r="L76" i="1"/>
  <c r="M75" i="1"/>
  <c r="L75" i="1"/>
  <c r="M74" i="1"/>
  <c r="L74" i="1"/>
  <c r="L73" i="1"/>
  <c r="H76" i="1"/>
  <c r="H75" i="1"/>
  <c r="H74" i="1"/>
  <c r="G73" i="1"/>
  <c r="G103" i="1"/>
  <c r="I103" i="1" s="1"/>
  <c r="D73" i="1"/>
  <c r="AY62" i="1"/>
  <c r="AU64" i="1"/>
  <c r="AV64" i="1" s="1"/>
  <c r="AU63" i="1"/>
  <c r="AU59" i="1"/>
  <c r="AU58" i="1"/>
  <c r="AV57" i="1"/>
  <c r="AV55" i="1"/>
  <c r="AV54" i="1"/>
  <c r="AV53" i="1"/>
  <c r="O59" i="1"/>
  <c r="O58" i="1"/>
  <c r="O57" i="1"/>
  <c r="K59" i="1"/>
  <c r="K58" i="1"/>
  <c r="K57" i="1"/>
  <c r="G59" i="1"/>
  <c r="G58" i="1"/>
  <c r="G57" i="1"/>
  <c r="C59" i="1"/>
  <c r="C58" i="1"/>
  <c r="C57" i="1"/>
  <c r="AU56" i="1"/>
  <c r="AV56" i="1" s="1"/>
  <c r="AE59" i="1"/>
  <c r="AE58" i="1"/>
  <c r="AE57" i="1"/>
  <c r="W59" i="1"/>
  <c r="W58" i="1"/>
  <c r="W57" i="1"/>
  <c r="W56" i="1"/>
  <c r="S59" i="1"/>
  <c r="S58" i="1"/>
  <c r="S57" i="1"/>
  <c r="S56" i="1"/>
  <c r="P56" i="1"/>
  <c r="P55" i="1"/>
  <c r="P54" i="1"/>
  <c r="P53" i="1"/>
  <c r="L56" i="1"/>
  <c r="L55" i="1"/>
  <c r="L54" i="1"/>
  <c r="L53" i="1"/>
  <c r="H56" i="1"/>
  <c r="H55" i="1"/>
  <c r="H54" i="1"/>
  <c r="H53" i="1"/>
  <c r="D56" i="1"/>
  <c r="D55" i="1"/>
  <c r="D54" i="1"/>
  <c r="D53" i="1"/>
  <c r="AY59" i="1"/>
  <c r="AY58" i="1"/>
  <c r="AY57" i="1"/>
  <c r="AZ57" i="1"/>
  <c r="AY56" i="1"/>
  <c r="AT16" i="11" s="1"/>
  <c r="AT43" i="11" s="1"/>
  <c r="AY55" i="1"/>
  <c r="AF55" i="1"/>
  <c r="AF54" i="1"/>
  <c r="AF53" i="1"/>
  <c r="X55" i="1"/>
  <c r="X54" i="1"/>
  <c r="X53" i="1"/>
  <c r="T55" i="1"/>
  <c r="T54" i="1"/>
  <c r="T53" i="1"/>
  <c r="BG54" i="1"/>
  <c r="BG53" i="1"/>
  <c r="BI53" i="1" s="1"/>
  <c r="AZ54" i="1"/>
  <c r="AZ53" i="1"/>
  <c r="AA57" i="1"/>
  <c r="AA56" i="1" s="1"/>
  <c r="AB55" i="1"/>
  <c r="AA55" i="1"/>
  <c r="AB54" i="1"/>
  <c r="AA54" i="1"/>
  <c r="AA58" i="1" s="1"/>
  <c r="BC56" i="1"/>
  <c r="BD56" i="1"/>
  <c r="BC55" i="1"/>
  <c r="BD55" i="1" s="1"/>
  <c r="BC54" i="1"/>
  <c r="BC63" i="1"/>
  <c r="BC53" i="1"/>
  <c r="BC58" i="1" s="1"/>
  <c r="BD58" i="1" s="1"/>
  <c r="AQ57" i="1"/>
  <c r="AR57" i="1"/>
  <c r="AQ55" i="1"/>
  <c r="AQ64" i="1" s="1"/>
  <c r="AQ54" i="1"/>
  <c r="AQ53" i="1"/>
  <c r="AQ62" i="1" s="1"/>
  <c r="AM57" i="1"/>
  <c r="M20" i="5" s="1"/>
  <c r="AM55" i="1"/>
  <c r="AM54" i="1"/>
  <c r="AM63" i="1"/>
  <c r="AM53" i="1"/>
  <c r="AM62" i="1" s="1"/>
  <c r="AI57" i="1"/>
  <c r="AI66" i="1" s="1"/>
  <c r="AI55" i="1"/>
  <c r="AI54" i="1"/>
  <c r="AI53" i="1"/>
  <c r="W16" i="11" s="1"/>
  <c r="W43" i="11" s="1"/>
  <c r="AB53" i="1"/>
  <c r="AJ45" i="1"/>
  <c r="AJ43" i="1"/>
  <c r="AJ42" i="1"/>
  <c r="AJ41" i="1"/>
  <c r="O45" i="1"/>
  <c r="K45" i="1"/>
  <c r="M45" i="1" s="1"/>
  <c r="G45" i="1"/>
  <c r="C45" i="1"/>
  <c r="BJ42" i="1"/>
  <c r="BC44" i="1"/>
  <c r="BC45" i="1" s="1"/>
  <c r="AU44" i="1"/>
  <c r="AQ45" i="1"/>
  <c r="AR45" i="1" s="1"/>
  <c r="AM45" i="1"/>
  <c r="AI44" i="1"/>
  <c r="AJ44" i="1" s="1"/>
  <c r="W45" i="1"/>
  <c r="S45" i="1"/>
  <c r="D44" i="1"/>
  <c r="D43" i="1"/>
  <c r="D42" i="1"/>
  <c r="D41" i="1"/>
  <c r="BI42" i="1"/>
  <c r="BI41" i="1"/>
  <c r="AY45" i="1"/>
  <c r="AY44" i="1"/>
  <c r="AY43" i="1"/>
  <c r="BE43" i="1" s="1"/>
  <c r="AY42" i="1"/>
  <c r="BA42" i="1" s="1"/>
  <c r="BD43" i="1"/>
  <c r="BD42" i="1"/>
  <c r="BC41" i="1"/>
  <c r="BD41" i="1" s="1"/>
  <c r="BA41" i="1"/>
  <c r="AZ41" i="1"/>
  <c r="AV45" i="1"/>
  <c r="AW43" i="1"/>
  <c r="AV43" i="1"/>
  <c r="AW42" i="1"/>
  <c r="AV42" i="1"/>
  <c r="AW41" i="1"/>
  <c r="AV41" i="1"/>
  <c r="AS43" i="1"/>
  <c r="AR43" i="1"/>
  <c r="AS42" i="1"/>
  <c r="AR42" i="1"/>
  <c r="AS41" i="1"/>
  <c r="AR41" i="1"/>
  <c r="AO43" i="1"/>
  <c r="AN43" i="1"/>
  <c r="AO42" i="1"/>
  <c r="AN42" i="1"/>
  <c r="AO41" i="1"/>
  <c r="AN41" i="1"/>
  <c r="AG43" i="1"/>
  <c r="AF43" i="1"/>
  <c r="AG42" i="1"/>
  <c r="AF42" i="1"/>
  <c r="AG41" i="1"/>
  <c r="AF41" i="1"/>
  <c r="AC43" i="1"/>
  <c r="AB43" i="1"/>
  <c r="AC42" i="1"/>
  <c r="AB42" i="1"/>
  <c r="AC41" i="1"/>
  <c r="Y43" i="1"/>
  <c r="X43" i="1"/>
  <c r="Y42" i="1"/>
  <c r="X42" i="1"/>
  <c r="Y41" i="1"/>
  <c r="X41" i="1"/>
  <c r="U43" i="1"/>
  <c r="T43" i="1"/>
  <c r="U42" i="1"/>
  <c r="T42" i="1"/>
  <c r="U41" i="1"/>
  <c r="T41" i="1"/>
  <c r="Q44" i="1"/>
  <c r="P44" i="1"/>
  <c r="Q43" i="1"/>
  <c r="P43" i="1"/>
  <c r="Q42" i="1"/>
  <c r="P42" i="1"/>
  <c r="Q41" i="1"/>
  <c r="P41" i="1"/>
  <c r="M44" i="1"/>
  <c r="L44" i="1"/>
  <c r="M43" i="1"/>
  <c r="L43" i="1"/>
  <c r="M42" i="1"/>
  <c r="L42" i="1"/>
  <c r="M41" i="1"/>
  <c r="L41" i="1"/>
  <c r="I44" i="1"/>
  <c r="H44" i="1"/>
  <c r="I43" i="1"/>
  <c r="H43" i="1"/>
  <c r="I42" i="1"/>
  <c r="H42" i="1"/>
  <c r="I41" i="1"/>
  <c r="H41" i="1"/>
  <c r="BG36" i="1"/>
  <c r="BJ36" i="1" s="1"/>
  <c r="AU37" i="1"/>
  <c r="AU36" i="1"/>
  <c r="AI37" i="1"/>
  <c r="AI36" i="1"/>
  <c r="AJ36" i="1" s="1"/>
  <c r="S37" i="1"/>
  <c r="S36" i="1"/>
  <c r="O37" i="1"/>
  <c r="O36" i="1"/>
  <c r="K37" i="1"/>
  <c r="K36" i="1"/>
  <c r="G37" i="1"/>
  <c r="G36" i="1"/>
  <c r="H36" i="1" s="1"/>
  <c r="AJ35" i="1"/>
  <c r="AJ33" i="1"/>
  <c r="AJ32" i="1"/>
  <c r="AJ31" i="1"/>
  <c r="O35" i="1"/>
  <c r="K35" i="1"/>
  <c r="G35" i="1"/>
  <c r="C37" i="1"/>
  <c r="C36" i="1"/>
  <c r="C35" i="1"/>
  <c r="BJ32" i="1"/>
  <c r="BC34" i="1"/>
  <c r="BC65" i="1" s="1"/>
  <c r="AU34" i="1"/>
  <c r="AQ37" i="1"/>
  <c r="AS37" i="1" s="1"/>
  <c r="AQ36" i="1"/>
  <c r="AQ35" i="1"/>
  <c r="AQ66" i="1" s="1"/>
  <c r="N23" i="5" s="1"/>
  <c r="N24" i="5" s="1"/>
  <c r="AM37" i="1"/>
  <c r="AM36" i="1"/>
  <c r="AM35" i="1"/>
  <c r="M14" i="5"/>
  <c r="CA13" i="47" s="1"/>
  <c r="AI34" i="1"/>
  <c r="AE37" i="1"/>
  <c r="AE36" i="1"/>
  <c r="AE35" i="1"/>
  <c r="AE34" i="1" s="1"/>
  <c r="AA37" i="1"/>
  <c r="AA36" i="1"/>
  <c r="AA35" i="1"/>
  <c r="AC35" i="1" s="1"/>
  <c r="W37" i="1"/>
  <c r="W36" i="1"/>
  <c r="Y36" i="1" s="1"/>
  <c r="W35" i="1"/>
  <c r="W34" i="1" s="1"/>
  <c r="Y34" i="1" s="1"/>
  <c r="S35" i="1"/>
  <c r="D34" i="1"/>
  <c r="D33" i="1"/>
  <c r="D32" i="1"/>
  <c r="D31" i="1"/>
  <c r="BI32" i="1"/>
  <c r="BI31" i="1"/>
  <c r="AY35" i="1"/>
  <c r="AZ35" i="1" s="1"/>
  <c r="AY34" i="1"/>
  <c r="AY33" i="1"/>
  <c r="BA33" i="1" s="1"/>
  <c r="AY32" i="1"/>
  <c r="AR15" i="11"/>
  <c r="BD33" i="1"/>
  <c r="BD32" i="1"/>
  <c r="BC31" i="1"/>
  <c r="BD31" i="1"/>
  <c r="BA31" i="1"/>
  <c r="AZ31" i="1"/>
  <c r="AV35" i="1"/>
  <c r="AW33" i="1"/>
  <c r="AV33" i="1"/>
  <c r="AW32" i="1"/>
  <c r="AV32" i="1"/>
  <c r="AW31" i="1"/>
  <c r="AV31" i="1"/>
  <c r="AS33" i="1"/>
  <c r="AR33" i="1"/>
  <c r="AS32" i="1"/>
  <c r="AR32" i="1"/>
  <c r="AS31" i="1"/>
  <c r="AR31" i="1"/>
  <c r="AO33" i="1"/>
  <c r="AN33" i="1"/>
  <c r="AO32" i="1"/>
  <c r="AN32" i="1"/>
  <c r="AO31" i="1"/>
  <c r="AN31" i="1"/>
  <c r="AG33" i="1"/>
  <c r="AF33" i="1"/>
  <c r="AG32" i="1"/>
  <c r="AF32" i="1"/>
  <c r="AG31" i="1"/>
  <c r="AF31" i="1"/>
  <c r="AC33" i="1"/>
  <c r="AB33" i="1"/>
  <c r="AC32" i="1"/>
  <c r="AB32" i="1"/>
  <c r="AC31" i="1"/>
  <c r="AB31" i="1"/>
  <c r="Y33" i="1"/>
  <c r="X33" i="1"/>
  <c r="Y32" i="1"/>
  <c r="X32" i="1"/>
  <c r="Y31" i="1"/>
  <c r="X31" i="1"/>
  <c r="U33" i="1"/>
  <c r="T33" i="1"/>
  <c r="U32" i="1"/>
  <c r="T32" i="1"/>
  <c r="U31" i="1"/>
  <c r="T31" i="1"/>
  <c r="Q34" i="1"/>
  <c r="P34" i="1"/>
  <c r="Q33" i="1"/>
  <c r="P33" i="1"/>
  <c r="Q32" i="1"/>
  <c r="P32" i="1"/>
  <c r="Q31" i="1"/>
  <c r="P31" i="1"/>
  <c r="M34" i="1"/>
  <c r="L34" i="1"/>
  <c r="M33" i="1"/>
  <c r="L33" i="1"/>
  <c r="M32" i="1"/>
  <c r="L32" i="1"/>
  <c r="M31" i="1"/>
  <c r="L31" i="1"/>
  <c r="I34" i="1"/>
  <c r="H34" i="1"/>
  <c r="I33" i="1"/>
  <c r="H33" i="1"/>
  <c r="I32" i="1"/>
  <c r="H32" i="1"/>
  <c r="I31" i="1"/>
  <c r="H31" i="1"/>
  <c r="BG26" i="1"/>
  <c r="AY27" i="1"/>
  <c r="AY26" i="1"/>
  <c r="AU27" i="1"/>
  <c r="AV27" i="1" s="1"/>
  <c r="AU26" i="1"/>
  <c r="AQ27" i="1"/>
  <c r="AQ26" i="1"/>
  <c r="AM27" i="1"/>
  <c r="AN27" i="1" s="1"/>
  <c r="AM26" i="1"/>
  <c r="AI27" i="1"/>
  <c r="AI26" i="1"/>
  <c r="S27" i="1"/>
  <c r="T27" i="1" s="1"/>
  <c r="S26" i="1"/>
  <c r="O27" i="1"/>
  <c r="O26" i="1"/>
  <c r="K27" i="1"/>
  <c r="L27" i="1" s="1"/>
  <c r="K26" i="1"/>
  <c r="G27" i="1"/>
  <c r="G26" i="1"/>
  <c r="BO25" i="1"/>
  <c r="BC27" i="1"/>
  <c r="BC26" i="1"/>
  <c r="BC25" i="1"/>
  <c r="F99" i="8"/>
  <c r="AJ25" i="1"/>
  <c r="AJ23" i="1"/>
  <c r="AJ22" i="1"/>
  <c r="AJ21" i="1"/>
  <c r="O25" i="1"/>
  <c r="F34" i="8"/>
  <c r="K25" i="1"/>
  <c r="F27" i="8"/>
  <c r="G25" i="1"/>
  <c r="F20" i="8"/>
  <c r="C27" i="1"/>
  <c r="C26" i="1"/>
  <c r="C25" i="1"/>
  <c r="F13" i="8"/>
  <c r="AU24" i="1"/>
  <c r="F84" i="8"/>
  <c r="R84" i="8" s="1"/>
  <c r="AQ24" i="1"/>
  <c r="F77" i="8"/>
  <c r="AM24" i="1"/>
  <c r="F70" i="8"/>
  <c r="AJ69" i="8" s="1"/>
  <c r="AI24" i="1"/>
  <c r="F63" i="8"/>
  <c r="AE27" i="1"/>
  <c r="AE26" i="1"/>
  <c r="AF26" i="1" s="1"/>
  <c r="AG26" i="1" s="1"/>
  <c r="AE25" i="1"/>
  <c r="AA25" i="1"/>
  <c r="F55" i="8" s="1"/>
  <c r="W27" i="1"/>
  <c r="W26" i="1"/>
  <c r="W25" i="1"/>
  <c r="F48" i="8" s="1"/>
  <c r="S25" i="1"/>
  <c r="F41" i="8" s="1"/>
  <c r="D24" i="1"/>
  <c r="I24" i="1" s="1"/>
  <c r="D23" i="1"/>
  <c r="D22" i="1"/>
  <c r="D21" i="1"/>
  <c r="BI22" i="1"/>
  <c r="BI21" i="1"/>
  <c r="BD24" i="1"/>
  <c r="BD23" i="1"/>
  <c r="BD22" i="1"/>
  <c r="BE22" i="1" s="1"/>
  <c r="BD21" i="1"/>
  <c r="AZ25" i="1"/>
  <c r="AZ24" i="1"/>
  <c r="AZ23" i="1"/>
  <c r="AZ22" i="1"/>
  <c r="AZ21" i="1"/>
  <c r="AV25" i="1"/>
  <c r="AV23" i="1"/>
  <c r="AW23" i="1" s="1"/>
  <c r="AV22" i="1"/>
  <c r="AV21" i="1"/>
  <c r="AR25" i="1"/>
  <c r="AR23" i="1"/>
  <c r="AS23" i="1" s="1"/>
  <c r="AR22" i="1"/>
  <c r="AR21" i="1"/>
  <c r="AN25" i="1"/>
  <c r="AO25" i="1" s="1"/>
  <c r="AN23" i="1"/>
  <c r="AO23" i="1" s="1"/>
  <c r="AN22" i="1"/>
  <c r="AO22" i="1" s="1"/>
  <c r="AN21" i="1"/>
  <c r="AO21" i="1"/>
  <c r="AF23" i="1"/>
  <c r="AF22" i="1"/>
  <c r="AG22" i="1" s="1"/>
  <c r="AF21" i="1"/>
  <c r="AB23" i="1"/>
  <c r="AG23" i="1" s="1"/>
  <c r="AB22" i="1"/>
  <c r="AA21" i="1"/>
  <c r="F51" i="8"/>
  <c r="X23" i="1"/>
  <c r="Y23" i="1" s="1"/>
  <c r="X22" i="1"/>
  <c r="X21" i="1"/>
  <c r="T23" i="1"/>
  <c r="T22" i="1"/>
  <c r="U22" i="1" s="1"/>
  <c r="T21" i="1"/>
  <c r="P24" i="1"/>
  <c r="P23" i="1"/>
  <c r="Q23" i="1" s="1"/>
  <c r="P22" i="1"/>
  <c r="P21" i="1"/>
  <c r="L24" i="1"/>
  <c r="M24" i="1" s="1"/>
  <c r="L23" i="1"/>
  <c r="L22" i="1"/>
  <c r="M22" i="1"/>
  <c r="L21" i="1"/>
  <c r="Q21" i="1" s="1"/>
  <c r="H24" i="1"/>
  <c r="H23" i="1"/>
  <c r="I23" i="1" s="1"/>
  <c r="H22" i="1"/>
  <c r="I22" i="1"/>
  <c r="H21" i="1"/>
  <c r="I21" i="1" s="1"/>
  <c r="BG16" i="1"/>
  <c r="BI26" i="1" s="1"/>
  <c r="BJ26" i="1" s="1"/>
  <c r="AI17" i="1"/>
  <c r="AJ37" i="1" s="1"/>
  <c r="AI16" i="1"/>
  <c r="C17" i="1"/>
  <c r="D27" i="1" s="1"/>
  <c r="C16" i="1"/>
  <c r="BC17" i="1"/>
  <c r="BD79" i="1"/>
  <c r="BC16" i="1"/>
  <c r="AY17" i="1"/>
  <c r="BD17" i="1" s="1"/>
  <c r="AZ27" i="1"/>
  <c r="AY16" i="1"/>
  <c r="AU17" i="1"/>
  <c r="AU16" i="1"/>
  <c r="AQ17" i="1"/>
  <c r="AQ16" i="1"/>
  <c r="AR26" i="1" s="1"/>
  <c r="AW26" i="1" s="1"/>
  <c r="AM17" i="1"/>
  <c r="AN17" i="1"/>
  <c r="AM16" i="1"/>
  <c r="AO16" i="1" s="1"/>
  <c r="AE17" i="1"/>
  <c r="AF27" i="1" s="1"/>
  <c r="AE16" i="1"/>
  <c r="AF36" i="1" s="1"/>
  <c r="AA17" i="1"/>
  <c r="AB37" i="1" s="1"/>
  <c r="AA16" i="1"/>
  <c r="AC16" i="1" s="1"/>
  <c r="W17" i="1"/>
  <c r="W16" i="1"/>
  <c r="S17" i="1"/>
  <c r="U17" i="1" s="1"/>
  <c r="S16" i="1"/>
  <c r="O17" i="1"/>
  <c r="P37" i="1"/>
  <c r="O16" i="1"/>
  <c r="P36" i="1" s="1"/>
  <c r="K17" i="1"/>
  <c r="K16" i="1"/>
  <c r="G17" i="1"/>
  <c r="I17" i="1" s="1"/>
  <c r="G16" i="1"/>
  <c r="BC15" i="1"/>
  <c r="D99" i="8"/>
  <c r="AZ15" i="1"/>
  <c r="AZ13" i="1"/>
  <c r="AX12" i="6"/>
  <c r="AX18" i="6" s="1"/>
  <c r="AX24" i="6" s="1"/>
  <c r="AX30" i="6" s="1"/>
  <c r="AX36" i="6" s="1"/>
  <c r="AZ12" i="1"/>
  <c r="AX11" i="6" s="1"/>
  <c r="AX17" i="6" s="1"/>
  <c r="AX23" i="6" s="1"/>
  <c r="AX29" i="6" s="1"/>
  <c r="AX35" i="6" s="1"/>
  <c r="AZ11" i="1"/>
  <c r="AX10" i="6" s="1"/>
  <c r="AX16" i="6" s="1"/>
  <c r="AX22" i="6" s="1"/>
  <c r="AX28" i="6" s="1"/>
  <c r="AX34" i="6" s="1"/>
  <c r="AV15" i="1"/>
  <c r="AV13" i="1"/>
  <c r="AT12" i="6"/>
  <c r="AT18" i="6" s="1"/>
  <c r="AT24" i="6" s="1"/>
  <c r="AT30" i="6" s="1"/>
  <c r="AT36" i="6" s="1"/>
  <c r="AV12" i="1"/>
  <c r="AT11" i="6" s="1"/>
  <c r="AT17" i="6" s="1"/>
  <c r="AT23" i="6" s="1"/>
  <c r="AT29" i="6" s="1"/>
  <c r="AT35" i="6" s="1"/>
  <c r="AV11" i="1"/>
  <c r="AT10" i="6"/>
  <c r="AT16" i="6"/>
  <c r="AT22" i="6" s="1"/>
  <c r="AT28" i="6" s="1"/>
  <c r="AT34" i="6" s="1"/>
  <c r="AR15" i="1"/>
  <c r="AR13" i="1"/>
  <c r="AP12" i="6" s="1"/>
  <c r="AP18" i="6" s="1"/>
  <c r="AP24" i="6" s="1"/>
  <c r="AP30" i="6" s="1"/>
  <c r="AP36" i="6" s="1"/>
  <c r="AR12" i="1"/>
  <c r="AP11" i="6"/>
  <c r="AP17" i="6" s="1"/>
  <c r="AP23" i="6" s="1"/>
  <c r="AP29" i="6" s="1"/>
  <c r="AP35" i="6" s="1"/>
  <c r="AR11" i="1"/>
  <c r="AP10" i="6"/>
  <c r="AP16" i="6" s="1"/>
  <c r="AP22" i="6" s="1"/>
  <c r="AP28" i="6" s="1"/>
  <c r="AP34" i="6" s="1"/>
  <c r="AN15" i="1"/>
  <c r="AN13" i="1"/>
  <c r="AL12" i="6" s="1"/>
  <c r="AL18" i="6" s="1"/>
  <c r="AL24" i="6" s="1"/>
  <c r="AL30" i="6" s="1"/>
  <c r="AL36" i="6" s="1"/>
  <c r="AN12" i="1"/>
  <c r="AL11" i="6" s="1"/>
  <c r="AL17" i="6" s="1"/>
  <c r="AL23" i="6" s="1"/>
  <c r="AL29" i="6" s="1"/>
  <c r="AL35" i="6" s="1"/>
  <c r="AN11" i="1"/>
  <c r="AL10" i="6" s="1"/>
  <c r="AL16" i="6" s="1"/>
  <c r="AL22" i="6" s="1"/>
  <c r="AL28" i="6" s="1"/>
  <c r="AL34" i="6" s="1"/>
  <c r="BD14" i="1"/>
  <c r="BB13" i="6" s="1"/>
  <c r="BB19" i="6" s="1"/>
  <c r="BB25" i="6" s="1"/>
  <c r="BB31" i="6" s="1"/>
  <c r="BB37" i="6" s="1"/>
  <c r="BD13" i="1"/>
  <c r="BB12" i="6" s="1"/>
  <c r="BB18" i="6" s="1"/>
  <c r="BB24" i="6" s="1"/>
  <c r="BB30" i="6" s="1"/>
  <c r="BB36" i="6" s="1"/>
  <c r="BD12" i="1"/>
  <c r="BB11" i="6" s="1"/>
  <c r="BB17" i="6" s="1"/>
  <c r="BB23" i="6" s="1"/>
  <c r="BB29" i="6" s="1"/>
  <c r="BB35" i="6" s="1"/>
  <c r="BD11" i="1"/>
  <c r="BB10" i="6" s="1"/>
  <c r="BB16" i="6" s="1"/>
  <c r="BB22" i="6" s="1"/>
  <c r="BB28" i="6" s="1"/>
  <c r="BB34" i="6" s="1"/>
  <c r="AU14" i="1"/>
  <c r="S93" i="3" s="1"/>
  <c r="AQ14" i="1"/>
  <c r="S86" i="3" s="1"/>
  <c r="C93" i="3" s="1"/>
  <c r="G93" i="3" s="1"/>
  <c r="AM14" i="1"/>
  <c r="S79" i="3" s="1"/>
  <c r="AI14" i="1"/>
  <c r="AJ116" i="1" s="1"/>
  <c r="P14" i="1"/>
  <c r="R13" i="6" s="1"/>
  <c r="R19" i="6" s="1"/>
  <c r="R25" i="6" s="1"/>
  <c r="R31" i="6" s="1"/>
  <c r="R37" i="6" s="1"/>
  <c r="P13" i="1"/>
  <c r="R12" i="6" s="1"/>
  <c r="R18" i="6" s="1"/>
  <c r="R24" i="6" s="1"/>
  <c r="R30" i="6" s="1"/>
  <c r="R36" i="6" s="1"/>
  <c r="P12" i="1"/>
  <c r="R11" i="6" s="1"/>
  <c r="R17" i="6" s="1"/>
  <c r="R23" i="6" s="1"/>
  <c r="R29" i="6" s="1"/>
  <c r="R35" i="6" s="1"/>
  <c r="P11" i="1"/>
  <c r="R10" i="6" s="1"/>
  <c r="R16" i="6" s="1"/>
  <c r="R22" i="6" s="1"/>
  <c r="R28" i="6" s="1"/>
  <c r="R34" i="6" s="1"/>
  <c r="L14" i="1"/>
  <c r="N13" i="6" s="1"/>
  <c r="N19" i="6" s="1"/>
  <c r="N25" i="6" s="1"/>
  <c r="N31" i="6" s="1"/>
  <c r="N37" i="6" s="1"/>
  <c r="L13" i="1"/>
  <c r="N12" i="6" s="1"/>
  <c r="N18" i="6" s="1"/>
  <c r="N24" i="6" s="1"/>
  <c r="N30" i="6" s="1"/>
  <c r="N36" i="6" s="1"/>
  <c r="L12" i="1"/>
  <c r="N11" i="6" s="1"/>
  <c r="N17" i="6" s="1"/>
  <c r="N23" i="6" s="1"/>
  <c r="N29" i="6" s="1"/>
  <c r="N35" i="6" s="1"/>
  <c r="L11" i="1"/>
  <c r="N10" i="6" s="1"/>
  <c r="N16" i="6" s="1"/>
  <c r="N22" i="6" s="1"/>
  <c r="N28" i="6" s="1"/>
  <c r="N34" i="6" s="1"/>
  <c r="H14" i="1"/>
  <c r="J13" i="6" s="1"/>
  <c r="J19" i="6" s="1"/>
  <c r="J25" i="6" s="1"/>
  <c r="J31" i="6" s="1"/>
  <c r="J37" i="6" s="1"/>
  <c r="H13" i="1"/>
  <c r="J12" i="6" s="1"/>
  <c r="J18" i="6" s="1"/>
  <c r="J24" i="6" s="1"/>
  <c r="J30" i="6" s="1"/>
  <c r="J36" i="6" s="1"/>
  <c r="H12" i="1"/>
  <c r="J11" i="6" s="1"/>
  <c r="J17" i="6" s="1"/>
  <c r="J23" i="6" s="1"/>
  <c r="J29" i="6" s="1"/>
  <c r="J35" i="6" s="1"/>
  <c r="H11" i="1"/>
  <c r="J10" i="6" s="1"/>
  <c r="J16" i="6" s="1"/>
  <c r="J22" i="6" s="1"/>
  <c r="J28" i="6" s="1"/>
  <c r="J34" i="6" s="1"/>
  <c r="AF13" i="1"/>
  <c r="AF12" i="1"/>
  <c r="AF11" i="1"/>
  <c r="AB13" i="1"/>
  <c r="AD12" i="6"/>
  <c r="AD18" i="6" s="1"/>
  <c r="AD24" i="6" s="1"/>
  <c r="AD30" i="6" s="1"/>
  <c r="AD36" i="6" s="1"/>
  <c r="AB12" i="1"/>
  <c r="AD11" i="6"/>
  <c r="AD17" i="6" s="1"/>
  <c r="AD23" i="6" s="1"/>
  <c r="AD29" i="6" s="1"/>
  <c r="AD35" i="6" s="1"/>
  <c r="AB11" i="1"/>
  <c r="AD10" i="6"/>
  <c r="AD16" i="6" s="1"/>
  <c r="AD22" i="6" s="1"/>
  <c r="AD28" i="6" s="1"/>
  <c r="AD34" i="6" s="1"/>
  <c r="X13" i="1"/>
  <c r="Z12" i="6"/>
  <c r="Z18" i="6" s="1"/>
  <c r="Z24" i="6" s="1"/>
  <c r="Z30" i="6" s="1"/>
  <c r="Z36" i="6" s="1"/>
  <c r="X12" i="1"/>
  <c r="Z11" i="6"/>
  <c r="Z17" i="6" s="1"/>
  <c r="Z23" i="6" s="1"/>
  <c r="Z29" i="6" s="1"/>
  <c r="Z35" i="6" s="1"/>
  <c r="X11" i="1"/>
  <c r="Z10" i="6"/>
  <c r="Z16" i="6" s="1"/>
  <c r="Z22" i="6" s="1"/>
  <c r="Z28" i="6" s="1"/>
  <c r="Z34" i="6" s="1"/>
  <c r="T13" i="1"/>
  <c r="V12" i="6"/>
  <c r="V18" i="6" s="1"/>
  <c r="V24" i="6" s="1"/>
  <c r="V30" i="6" s="1"/>
  <c r="V36" i="6" s="1"/>
  <c r="T12" i="1"/>
  <c r="V11" i="6"/>
  <c r="V17" i="6" s="1"/>
  <c r="V23" i="6" s="1"/>
  <c r="V29" i="6" s="1"/>
  <c r="V35" i="6" s="1"/>
  <c r="T11" i="1"/>
  <c r="V10" i="6"/>
  <c r="V16" i="6" s="1"/>
  <c r="V22" i="6" s="1"/>
  <c r="V28" i="6" s="1"/>
  <c r="V34" i="6" s="1"/>
  <c r="BI12" i="1"/>
  <c r="BI11" i="1"/>
  <c r="BT15" i="1"/>
  <c r="BS15" i="1"/>
  <c r="BT14" i="1"/>
  <c r="BS14" i="1"/>
  <c r="BT13" i="1"/>
  <c r="BS13" i="1"/>
  <c r="BT12" i="1"/>
  <c r="BS12" i="1"/>
  <c r="BT11" i="1"/>
  <c r="BS11" i="1"/>
  <c r="BQ15" i="1"/>
  <c r="BP15" i="1"/>
  <c r="BO15" i="1"/>
  <c r="BN15" i="1"/>
  <c r="BM15" i="1"/>
  <c r="BQ14" i="1"/>
  <c r="BP14" i="1"/>
  <c r="BO14" i="1"/>
  <c r="BN14" i="1"/>
  <c r="BM14" i="1"/>
  <c r="BQ13" i="1"/>
  <c r="BP13" i="1"/>
  <c r="BO13" i="1"/>
  <c r="BN13" i="1"/>
  <c r="BM13" i="1"/>
  <c r="BQ12" i="1"/>
  <c r="BP12" i="1"/>
  <c r="BO12" i="1"/>
  <c r="BN12" i="1"/>
  <c r="BM12" i="1"/>
  <c r="BQ11" i="1"/>
  <c r="BP11" i="1"/>
  <c r="BO11" i="1"/>
  <c r="BN11" i="1"/>
  <c r="BM11" i="1"/>
  <c r="BC82" i="11"/>
  <c r="BB82" i="11"/>
  <c r="BA82" i="11"/>
  <c r="BF81" i="11"/>
  <c r="BE81" i="11"/>
  <c r="AX82" i="11"/>
  <c r="AW82" i="11"/>
  <c r="AV82" i="11"/>
  <c r="AT82" i="11"/>
  <c r="AS82" i="11"/>
  <c r="AR82" i="11"/>
  <c r="AQ82" i="11"/>
  <c r="AO82" i="11"/>
  <c r="AN82" i="11"/>
  <c r="AM82" i="11"/>
  <c r="AL82" i="11"/>
  <c r="AO81" i="11"/>
  <c r="AM81" i="11"/>
  <c r="AJ82" i="11"/>
  <c r="AI82" i="11"/>
  <c r="AH82" i="11"/>
  <c r="AG82" i="11"/>
  <c r="AH81" i="11"/>
  <c r="AG81" i="11"/>
  <c r="AE82" i="11"/>
  <c r="AD82" i="11"/>
  <c r="AC82" i="11"/>
  <c r="AB82" i="11"/>
  <c r="AE81" i="11"/>
  <c r="Z82" i="11"/>
  <c r="Y82" i="11"/>
  <c r="X82" i="11"/>
  <c r="W82" i="11"/>
  <c r="X81" i="11"/>
  <c r="BE64" i="11"/>
  <c r="BE62" i="11"/>
  <c r="BL67" i="11"/>
  <c r="BL62" i="11"/>
  <c r="BL61" i="11"/>
  <c r="BF64" i="11"/>
  <c r="BJ62" i="11"/>
  <c r="BI62" i="11"/>
  <c r="BH62" i="11"/>
  <c r="BG62" i="11"/>
  <c r="BF62" i="11"/>
  <c r="Z54" i="11"/>
  <c r="Y54" i="11"/>
  <c r="X54" i="11"/>
  <c r="W54" i="11"/>
  <c r="BM54" i="11"/>
  <c r="BJ54" i="11"/>
  <c r="BI54" i="11"/>
  <c r="BH54" i="11"/>
  <c r="BG54" i="11"/>
  <c r="BB54" i="11"/>
  <c r="BA54" i="11"/>
  <c r="AY54" i="11"/>
  <c r="AY89" i="11" s="1"/>
  <c r="AX54" i="11"/>
  <c r="AW54" i="11"/>
  <c r="AW89" i="11" s="1"/>
  <c r="AV54" i="11"/>
  <c r="AT54" i="11"/>
  <c r="AS54" i="11"/>
  <c r="AS89" i="11" s="1"/>
  <c r="AR54" i="11"/>
  <c r="AQ54" i="11"/>
  <c r="AO54" i="11"/>
  <c r="AN54" i="11"/>
  <c r="AM54" i="11"/>
  <c r="AR89" i="11"/>
  <c r="AL54" i="11"/>
  <c r="AJ54" i="11"/>
  <c r="AI54" i="11"/>
  <c r="AH54" i="11"/>
  <c r="AG54" i="11"/>
  <c r="AL89" i="11"/>
  <c r="AE54" i="11"/>
  <c r="AD54" i="11"/>
  <c r="AC54" i="11"/>
  <c r="AB54" i="11"/>
  <c r="AU52" i="11"/>
  <c r="BK38" i="11"/>
  <c r="BE34" i="11"/>
  <c r="BB34" i="11"/>
  <c r="BA34" i="11"/>
  <c r="BA35" i="11" s="1"/>
  <c r="BA36" i="11" s="1"/>
  <c r="AY34" i="11"/>
  <c r="AY35" i="11" s="1"/>
  <c r="AY36" i="11" s="1"/>
  <c r="AV34" i="11"/>
  <c r="AV35" i="11" s="1"/>
  <c r="AV36" i="11" s="1"/>
  <c r="AT34" i="11"/>
  <c r="AS34" i="11"/>
  <c r="AS35" i="11" s="1"/>
  <c r="AS36" i="11" s="1"/>
  <c r="AR34" i="11"/>
  <c r="AR35" i="11" s="1"/>
  <c r="AR36" i="11" s="1"/>
  <c r="AQ34" i="11"/>
  <c r="AQ35" i="11" s="1"/>
  <c r="AQ36" i="11" s="1"/>
  <c r="AN34" i="11"/>
  <c r="AN35" i="11"/>
  <c r="AN36" i="11" s="1"/>
  <c r="AM34" i="11"/>
  <c r="AM35" i="11"/>
  <c r="AM36" i="11" s="1"/>
  <c r="BU30" i="11"/>
  <c r="BI30" i="11"/>
  <c r="BG30" i="11"/>
  <c r="BF30" i="11"/>
  <c r="BE30" i="11"/>
  <c r="BD30" i="11"/>
  <c r="BB30" i="11"/>
  <c r="AY30" i="11"/>
  <c r="AW30" i="11"/>
  <c r="AR30" i="11"/>
  <c r="AM30" i="11"/>
  <c r="AI30" i="11"/>
  <c r="AB30" i="11"/>
  <c r="X30" i="11"/>
  <c r="W30" i="11"/>
  <c r="BJ24" i="11"/>
  <c r="BG24" i="11"/>
  <c r="BF24" i="11"/>
  <c r="BE24" i="11"/>
  <c r="BB24" i="11"/>
  <c r="BA24" i="11"/>
  <c r="AY24" i="11"/>
  <c r="AX24" i="11"/>
  <c r="AW24" i="11"/>
  <c r="AV24" i="11"/>
  <c r="AT24" i="11"/>
  <c r="AS24" i="11"/>
  <c r="AR24" i="11"/>
  <c r="AQ24" i="11"/>
  <c r="AO24" i="11"/>
  <c r="AN24" i="11"/>
  <c r="AM24" i="11"/>
  <c r="AL24" i="11"/>
  <c r="AI24" i="11"/>
  <c r="AH24" i="11"/>
  <c r="AG24" i="11"/>
  <c r="AD24" i="11"/>
  <c r="AC24" i="11"/>
  <c r="X24" i="11"/>
  <c r="W24" i="11"/>
  <c r="BJ21" i="11"/>
  <c r="BI21" i="11"/>
  <c r="BH21" i="11"/>
  <c r="BG21" i="11"/>
  <c r="BF21" i="11"/>
  <c r="BE21" i="11"/>
  <c r="BD21" i="11"/>
  <c r="BC21" i="11"/>
  <c r="BB21" i="11"/>
  <c r="BA21" i="11"/>
  <c r="AY21" i="11"/>
  <c r="AX21" i="11"/>
  <c r="AW21" i="11"/>
  <c r="AV21" i="11"/>
  <c r="AT21" i="11"/>
  <c r="AS21" i="11"/>
  <c r="AR21" i="11"/>
  <c r="AQ21" i="11"/>
  <c r="AN21" i="11"/>
  <c r="AM21" i="11"/>
  <c r="AL21" i="11"/>
  <c r="AH21" i="11"/>
  <c r="AD21" i="11"/>
  <c r="AC21" i="11"/>
  <c r="Y21" i="11"/>
  <c r="X21" i="11"/>
  <c r="W21" i="11"/>
  <c r="BD18" i="11"/>
  <c r="BC18" i="11"/>
  <c r="BA18" i="11"/>
  <c r="BA45" i="11" s="1"/>
  <c r="BU18" i="11"/>
  <c r="BT18" i="11"/>
  <c r="BS18" i="11"/>
  <c r="BM17" i="11"/>
  <c r="BJ17" i="11"/>
  <c r="BI17" i="11"/>
  <c r="BH17" i="11"/>
  <c r="BG17" i="11"/>
  <c r="BE17" i="11"/>
  <c r="BD17" i="11"/>
  <c r="BC17" i="11"/>
  <c r="BB17" i="11"/>
  <c r="BA17" i="11"/>
  <c r="BJ16" i="11"/>
  <c r="BI16" i="11"/>
  <c r="BH16" i="11"/>
  <c r="BG16" i="11"/>
  <c r="BF16" i="11"/>
  <c r="BE16" i="11"/>
  <c r="BD16" i="11"/>
  <c r="BC16" i="11"/>
  <c r="BJ15" i="11"/>
  <c r="BI15" i="11"/>
  <c r="BH15" i="11"/>
  <c r="BI55" i="11" s="1"/>
  <c r="BG15" i="11"/>
  <c r="BF15" i="11"/>
  <c r="BE15" i="11"/>
  <c r="BB15" i="11"/>
  <c r="BB55" i="11" s="1"/>
  <c r="BA15" i="11"/>
  <c r="AX18" i="11"/>
  <c r="AY17" i="11"/>
  <c r="AX17" i="11"/>
  <c r="AX44" i="11" s="1"/>
  <c r="AW17" i="11"/>
  <c r="AV17" i="11"/>
  <c r="AY16" i="11"/>
  <c r="AW16" i="11"/>
  <c r="AX15" i="11"/>
  <c r="AW15" i="11"/>
  <c r="AV15" i="11"/>
  <c r="AV42" i="11" s="1"/>
  <c r="AR18" i="11"/>
  <c r="AQ18" i="11"/>
  <c r="AT17" i="11"/>
  <c r="AS17" i="11"/>
  <c r="AR17" i="11"/>
  <c r="AR16" i="11"/>
  <c r="AQ16" i="11"/>
  <c r="AQ43" i="11" s="1"/>
  <c r="AQ15" i="11"/>
  <c r="AN16" i="11"/>
  <c r="AN43" i="11" s="1"/>
  <c r="AM16" i="11"/>
  <c r="AL16" i="11"/>
  <c r="AO15" i="11"/>
  <c r="AN15" i="11"/>
  <c r="AN42" i="11" s="1"/>
  <c r="AM15" i="11"/>
  <c r="AL15" i="11"/>
  <c r="AQ55" i="11" s="1"/>
  <c r="AI17" i="11"/>
  <c r="AH17" i="11"/>
  <c r="AG17" i="11"/>
  <c r="AH16" i="11"/>
  <c r="AI15" i="11"/>
  <c r="AH15" i="11"/>
  <c r="AG15" i="11"/>
  <c r="AD18" i="11"/>
  <c r="AD17" i="11"/>
  <c r="AC17" i="11"/>
  <c r="AB17" i="11"/>
  <c r="AD16" i="11"/>
  <c r="AD43" i="11" s="1"/>
  <c r="AC16" i="11"/>
  <c r="AD15" i="11"/>
  <c r="AC15" i="11"/>
  <c r="AB15" i="11"/>
  <c r="AB42" i="11" s="1"/>
  <c r="W18" i="11"/>
  <c r="Z17" i="11"/>
  <c r="Y17" i="11"/>
  <c r="X17" i="11"/>
  <c r="W17" i="11"/>
  <c r="X16" i="11"/>
  <c r="Z15" i="11"/>
  <c r="Z42" i="11" s="1"/>
  <c r="Y15" i="11"/>
  <c r="X15" i="11"/>
  <c r="W15" i="11"/>
  <c r="BM12" i="11"/>
  <c r="BJ12" i="11"/>
  <c r="BI12" i="11"/>
  <c r="BH12" i="11"/>
  <c r="BG12" i="11"/>
  <c r="BF12" i="11"/>
  <c r="BE12" i="11"/>
  <c r="BB12" i="11"/>
  <c r="BA12" i="11"/>
  <c r="BA14" i="11" s="1"/>
  <c r="BA41" i="11" s="1"/>
  <c r="AY12" i="11"/>
  <c r="AX12" i="11"/>
  <c r="AW12" i="11"/>
  <c r="AV12" i="11"/>
  <c r="AV14" i="11" s="1"/>
  <c r="AV41" i="11" s="1"/>
  <c r="AT12" i="11"/>
  <c r="AS12" i="11"/>
  <c r="AR12" i="11"/>
  <c r="AQ12" i="11"/>
  <c r="AQ14" i="11" s="1"/>
  <c r="AQ41" i="11" s="1"/>
  <c r="AN12" i="11"/>
  <c r="AM12" i="11"/>
  <c r="AL12" i="11"/>
  <c r="AI12" i="11"/>
  <c r="AH12" i="11"/>
  <c r="AG12" i="11"/>
  <c r="AD12" i="11"/>
  <c r="AC12" i="11"/>
  <c r="AC14" i="11" s="1"/>
  <c r="AC41" i="11" s="1"/>
  <c r="AB12" i="11"/>
  <c r="Y12" i="11"/>
  <c r="X12" i="11"/>
  <c r="W12" i="11"/>
  <c r="BP10" i="11"/>
  <c r="BB10" i="11"/>
  <c r="BB44" i="11"/>
  <c r="BA10" i="11"/>
  <c r="BB4" i="11"/>
  <c r="AY10" i="11"/>
  <c r="AY43" i="11"/>
  <c r="AX10" i="11"/>
  <c r="AX14" i="11"/>
  <c r="AX41" i="11" s="1"/>
  <c r="AW10" i="11"/>
  <c r="AV10" i="11"/>
  <c r="AT10" i="11"/>
  <c r="AT44" i="11"/>
  <c r="AS10" i="11"/>
  <c r="AS44" i="11" s="1"/>
  <c r="AR10" i="11"/>
  <c r="AR45" i="11" s="1"/>
  <c r="AQ10" i="11"/>
  <c r="AQ45" i="11" s="1"/>
  <c r="AO10" i="11"/>
  <c r="AN10" i="11"/>
  <c r="AM10" i="11"/>
  <c r="AM14" i="11" s="1"/>
  <c r="AM41" i="11" s="1"/>
  <c r="AL10" i="11"/>
  <c r="AL14" i="11"/>
  <c r="AL41" i="11" s="1"/>
  <c r="AI10" i="11"/>
  <c r="AH10" i="11"/>
  <c r="AH14" i="11" s="1"/>
  <c r="AH41" i="11" s="1"/>
  <c r="AG10" i="11"/>
  <c r="AD10" i="11"/>
  <c r="AC10" i="11"/>
  <c r="AC44" i="11"/>
  <c r="AB10" i="11"/>
  <c r="Y10" i="11"/>
  <c r="Y14" i="11" s="1"/>
  <c r="Y41" i="11" s="1"/>
  <c r="X10" i="11"/>
  <c r="X43" i="11" s="1"/>
  <c r="W10" i="11"/>
  <c r="W14" i="11" s="1"/>
  <c r="W41" i="11" s="1"/>
  <c r="AQ4" i="11"/>
  <c r="D8" i="31"/>
  <c r="N12" i="5"/>
  <c r="P9" i="5"/>
  <c r="L17" i="5"/>
  <c r="P17" i="5"/>
  <c r="O21" i="5"/>
  <c r="BF17" i="11"/>
  <c r="X26" i="5"/>
  <c r="X41" i="5"/>
  <c r="Y16" i="1"/>
  <c r="Y17" i="1" s="1"/>
  <c r="AB16" i="1"/>
  <c r="AG16" i="1"/>
  <c r="AB41" i="1"/>
  <c r="AA27" i="1"/>
  <c r="AB21" i="1"/>
  <c r="AC21" i="1" s="1"/>
  <c r="AA26" i="1"/>
  <c r="AB26" i="1"/>
  <c r="AC26" i="1" s="1"/>
  <c r="AE24" i="1"/>
  <c r="AT15" i="11"/>
  <c r="AZ34" i="1"/>
  <c r="AG36" i="1"/>
  <c r="AA24" i="1"/>
  <c r="F54" i="8"/>
  <c r="AJ76" i="1"/>
  <c r="Z10" i="11"/>
  <c r="AJ34" i="1"/>
  <c r="L16" i="1"/>
  <c r="P26" i="1"/>
  <c r="AZ58" i="1"/>
  <c r="U21" i="1"/>
  <c r="X26" i="1"/>
  <c r="Z25" i="6" s="1"/>
  <c r="Z31" i="6" s="1"/>
  <c r="Z37" i="6" s="1"/>
  <c r="AZ26" i="1"/>
  <c r="BE26" i="1" s="1"/>
  <c r="AY63" i="1"/>
  <c r="AY94" i="1" s="1"/>
  <c r="AZ32" i="1"/>
  <c r="BE32" i="1"/>
  <c r="AY36" i="1"/>
  <c r="BA36" i="1" s="1"/>
  <c r="BA32" i="1"/>
  <c r="AC36" i="1"/>
  <c r="AN14" i="1"/>
  <c r="AL13" i="6" s="1"/>
  <c r="AL19" i="6" s="1"/>
  <c r="AL25" i="6" s="1"/>
  <c r="AL31" i="6" s="1"/>
  <c r="AL37" i="6" s="1"/>
  <c r="H26" i="1"/>
  <c r="I16" i="1"/>
  <c r="H16" i="1"/>
  <c r="AR36" i="1"/>
  <c r="AN35" i="1"/>
  <c r="AM34" i="1"/>
  <c r="AN34" i="1" s="1"/>
  <c r="AO35" i="1"/>
  <c r="AN63" i="1"/>
  <c r="S24" i="1"/>
  <c r="F40" i="8"/>
  <c r="AN36" i="1"/>
  <c r="AQ34" i="1"/>
  <c r="AS34" i="1" s="1"/>
  <c r="L36" i="1"/>
  <c r="AV36" i="1"/>
  <c r="AZ42" i="1"/>
  <c r="BE42" i="1"/>
  <c r="AZ59" i="1"/>
  <c r="AU88" i="1"/>
  <c r="AV83" i="1"/>
  <c r="H104" i="1"/>
  <c r="BA74" i="1"/>
  <c r="AV74" i="1"/>
  <c r="Q77" i="1"/>
  <c r="BE86" i="1"/>
  <c r="BD86" i="1"/>
  <c r="BJ86" i="1"/>
  <c r="G126" i="1"/>
  <c r="L79" i="1"/>
  <c r="AV59" i="1"/>
  <c r="D36" i="1"/>
  <c r="AO36" i="1"/>
  <c r="D45" i="1"/>
  <c r="AM64" i="1"/>
  <c r="AN64" i="1" s="1"/>
  <c r="AN55" i="1"/>
  <c r="AQ63" i="1"/>
  <c r="AW63" i="1" s="1"/>
  <c r="AR54" i="1"/>
  <c r="AU65" i="1"/>
  <c r="AV65" i="1" s="1"/>
  <c r="AV63" i="1"/>
  <c r="L78" i="1"/>
  <c r="I35" i="1"/>
  <c r="AO45" i="1"/>
  <c r="AN45" i="1"/>
  <c r="AM44" i="1"/>
  <c r="AN44" i="1" s="1"/>
  <c r="AY18" i="11"/>
  <c r="AY45" i="11" s="1"/>
  <c r="BD78" i="1"/>
  <c r="L26" i="1"/>
  <c r="X36" i="1"/>
  <c r="AC37" i="1"/>
  <c r="AJ54" i="1"/>
  <c r="AI63" i="1"/>
  <c r="AJ63" i="1" s="1"/>
  <c r="AI58" i="1"/>
  <c r="AJ58" i="1" s="1"/>
  <c r="C105" i="1"/>
  <c r="D105" i="1" s="1"/>
  <c r="AZ73" i="1"/>
  <c r="AY78" i="1"/>
  <c r="AV87" i="1"/>
  <c r="G124" i="1"/>
  <c r="AB58" i="1"/>
  <c r="BC37" i="1"/>
  <c r="AQ44" i="1"/>
  <c r="AS44" i="1" s="1"/>
  <c r="AJ55" i="1"/>
  <c r="AJ57" i="1"/>
  <c r="AN54" i="1"/>
  <c r="BD54" i="1"/>
  <c r="BI54" i="1"/>
  <c r="AU95" i="1"/>
  <c r="H73" i="1"/>
  <c r="X73" i="1"/>
  <c r="Y74" i="1"/>
  <c r="AB74" i="1"/>
  <c r="AW77" i="1"/>
  <c r="BA75" i="1"/>
  <c r="T74" i="1"/>
  <c r="AZ83" i="1"/>
  <c r="AZ87" i="1"/>
  <c r="K125" i="1"/>
  <c r="L135" i="1" s="1"/>
  <c r="L95" i="1"/>
  <c r="Q94" i="1"/>
  <c r="S123" i="1"/>
  <c r="T133" i="1" s="1"/>
  <c r="T93" i="1"/>
  <c r="W94" i="1"/>
  <c r="W124" i="1" s="1"/>
  <c r="AI64" i="1"/>
  <c r="W78" i="1"/>
  <c r="Y78" i="1" s="1"/>
  <c r="AG74" i="1"/>
  <c r="G78" i="1"/>
  <c r="AY88" i="1"/>
  <c r="BJ83" i="1"/>
  <c r="BJ85" i="1"/>
  <c r="C96" i="1"/>
  <c r="G93" i="1"/>
  <c r="G98" i="1" s="1"/>
  <c r="K123" i="1"/>
  <c r="M123" i="1" s="1"/>
  <c r="AI107" i="1"/>
  <c r="AJ107" i="1" s="1"/>
  <c r="W103" i="1"/>
  <c r="W93" i="1"/>
  <c r="W98" i="1" s="1"/>
  <c r="Y98" i="1" s="1"/>
  <c r="AE105" i="1"/>
  <c r="AE95" i="1"/>
  <c r="S104" i="1"/>
  <c r="S94" i="1"/>
  <c r="U94" i="1" s="1"/>
  <c r="S78" i="1"/>
  <c r="O105" i="1"/>
  <c r="Q105" i="1" s="1"/>
  <c r="O95" i="1"/>
  <c r="Q95" i="1" s="1"/>
  <c r="G125" i="1"/>
  <c r="AM136" i="1"/>
  <c r="AE24" i="11" s="1"/>
  <c r="AM138" i="1"/>
  <c r="AO135" i="1"/>
  <c r="AO137" i="1"/>
  <c r="AW133" i="1"/>
  <c r="AI168" i="1"/>
  <c r="AQ169" i="1"/>
  <c r="BG206" i="1"/>
  <c r="BG207" i="1" s="1"/>
  <c r="BG208" i="1" s="1"/>
  <c r="BG209" i="1" s="1"/>
  <c r="AU196" i="1"/>
  <c r="AU197" i="1" s="1"/>
  <c r="AU198" i="1" s="1"/>
  <c r="AU199" i="1" s="1"/>
  <c r="AY193" i="1"/>
  <c r="BA53" i="11"/>
  <c r="AC43" i="11"/>
  <c r="AM42" i="11"/>
  <c r="AM43" i="11"/>
  <c r="AI53" i="11"/>
  <c r="AD44" i="11"/>
  <c r="AD14" i="11"/>
  <c r="AD41" i="11" s="1"/>
  <c r="AH44" i="11"/>
  <c r="G123" i="1"/>
  <c r="G129" i="1" s="1"/>
  <c r="H93" i="1"/>
  <c r="I93" i="1"/>
  <c r="AF105" i="1"/>
  <c r="AZ63" i="1"/>
  <c r="T104" i="1"/>
  <c r="Y93" i="1"/>
  <c r="P105" i="1"/>
  <c r="BD37" i="1"/>
  <c r="L104" i="1"/>
  <c r="X103" i="1"/>
  <c r="Q104" i="1"/>
  <c r="AF104" i="1"/>
  <c r="H105" i="1"/>
  <c r="BE77" i="1"/>
  <c r="BJ79" i="1"/>
  <c r="AE103" i="1"/>
  <c r="AE93" i="1"/>
  <c r="AF93" i="1" s="1"/>
  <c r="AF73" i="1"/>
  <c r="AE79" i="1"/>
  <c r="AV44" i="1"/>
  <c r="BB14" i="11"/>
  <c r="BB41" i="11" s="1"/>
  <c r="AG21" i="1"/>
  <c r="BA21" i="1"/>
  <c r="BE21" i="1"/>
  <c r="BE24" i="1"/>
  <c r="BJ24" i="1"/>
  <c r="BP12" i="11"/>
  <c r="BP14" i="11" s="1"/>
  <c r="BP41" i="11" s="1"/>
  <c r="X11" i="5"/>
  <c r="AL56" i="9" s="1"/>
  <c r="Q12" i="5"/>
  <c r="AE78" i="1"/>
  <c r="O126" i="1"/>
  <c r="P126" i="1" s="1"/>
  <c r="P96" i="1"/>
  <c r="AC30" i="11"/>
  <c r="AM169" i="1"/>
  <c r="BC30" i="11"/>
  <c r="AW16" i="1"/>
  <c r="AW17" i="1" s="1"/>
  <c r="AV58" i="1"/>
  <c r="AV26" i="1"/>
  <c r="AV16" i="11"/>
  <c r="AV43" i="11" s="1"/>
  <c r="P73" i="1"/>
  <c r="W45" i="11"/>
  <c r="AG44" i="11"/>
  <c r="AZ88" i="1"/>
  <c r="AJ64" i="1"/>
  <c r="AO63" i="1"/>
  <c r="AI94" i="1"/>
  <c r="AI124" i="1" s="1"/>
  <c r="AY14" i="11"/>
  <c r="AY41" i="11" s="1"/>
  <c r="BE16" i="1"/>
  <c r="BE17" i="1" s="1"/>
  <c r="BJ23" i="1"/>
  <c r="BE23" i="1"/>
  <c r="L36" i="5"/>
  <c r="BL21" i="11"/>
  <c r="E16" i="1"/>
  <c r="D26" i="1"/>
  <c r="L15" i="5"/>
  <c r="L18" i="5"/>
  <c r="BL15" i="11"/>
  <c r="AM53" i="11"/>
  <c r="AV44" i="11"/>
  <c r="R8" i="5"/>
  <c r="R12" i="5" s="1"/>
  <c r="AR37" i="1"/>
  <c r="AR79" i="1"/>
  <c r="D118" i="1"/>
  <c r="AZ17" i="1"/>
  <c r="AJ24" i="1"/>
  <c r="Z12" i="11"/>
  <c r="Z14" i="11"/>
  <c r="Z41" i="11" s="1"/>
  <c r="R11" i="5"/>
  <c r="BQ12" i="11" s="1"/>
  <c r="AV84" i="1"/>
  <c r="L118" i="1"/>
  <c r="AV118" i="1"/>
  <c r="AN26" i="1"/>
  <c r="AN78" i="1"/>
  <c r="AN24" i="1"/>
  <c r="AE12" i="11"/>
  <c r="BE41" i="1"/>
  <c r="BJ41" i="1"/>
  <c r="BE83" i="1"/>
  <c r="AV18" i="11"/>
  <c r="AV45" i="11" s="1"/>
  <c r="AM139" i="1"/>
  <c r="AB24" i="11"/>
  <c r="AC139" i="1"/>
  <c r="AA168" i="1"/>
  <c r="AF75" i="1"/>
  <c r="Q22" i="1"/>
  <c r="AV24" i="1"/>
  <c r="BA24" i="1" s="1"/>
  <c r="AO12" i="11"/>
  <c r="AC74" i="1"/>
  <c r="BE139" i="1"/>
  <c r="AI169" i="1"/>
  <c r="Y30" i="11"/>
  <c r="AM89" i="11"/>
  <c r="AV34" i="1"/>
  <c r="AW36" i="1"/>
  <c r="Y21" i="1"/>
  <c r="BD27" i="1"/>
  <c r="BE27" i="1" s="1"/>
  <c r="AY37" i="1"/>
  <c r="BA37" i="1" s="1"/>
  <c r="AI166" i="1"/>
  <c r="Z30" i="11" s="1"/>
  <c r="AY194" i="1"/>
  <c r="AS21" i="1"/>
  <c r="AZ74" i="1"/>
  <c r="BE74" i="1"/>
  <c r="M105" i="1"/>
  <c r="AJ118" i="1"/>
  <c r="AQ139" i="1"/>
  <c r="AW139" i="1" s="1"/>
  <c r="BC36" i="1"/>
  <c r="Q14" i="5"/>
  <c r="X14" i="5" s="1"/>
  <c r="AL57" i="9" s="1"/>
  <c r="X74" i="1"/>
  <c r="W104" i="1"/>
  <c r="W108" i="1" s="1"/>
  <c r="AC77" i="1"/>
  <c r="AZ84" i="1"/>
  <c r="AS134" i="1"/>
  <c r="AW134" i="1"/>
  <c r="AU194" i="1"/>
  <c r="AU193" i="1"/>
  <c r="AV116" i="1"/>
  <c r="G79" i="1"/>
  <c r="X59" i="1"/>
  <c r="AJ119" i="1"/>
  <c r="BD44" i="1"/>
  <c r="M73" i="1"/>
  <c r="L105" i="1"/>
  <c r="L59" i="1"/>
  <c r="P50" i="5"/>
  <c r="P17" i="1"/>
  <c r="AF58" i="1"/>
  <c r="AZ118" i="1"/>
  <c r="Q20" i="5"/>
  <c r="Q21" i="5" s="1"/>
  <c r="BA87" i="1"/>
  <c r="AZ119" i="1"/>
  <c r="G146" i="1"/>
  <c r="G156" i="1" s="1"/>
  <c r="X119" i="1"/>
  <c r="AO21" i="11"/>
  <c r="AB21" i="11"/>
  <c r="AF118" i="1"/>
  <c r="D58" i="1"/>
  <c r="AQ118" i="1"/>
  <c r="N35" i="5"/>
  <c r="BO21" i="11"/>
  <c r="H123" i="1"/>
  <c r="H133" i="1"/>
  <c r="G143" i="1"/>
  <c r="G153" i="1" s="1"/>
  <c r="G128" i="1"/>
  <c r="D119" i="1"/>
  <c r="M125" i="1"/>
  <c r="AG21" i="11"/>
  <c r="K145" i="1"/>
  <c r="K175" i="1" s="1"/>
  <c r="K185" i="1" s="1"/>
  <c r="L185" i="1" s="1"/>
  <c r="AI21" i="11"/>
  <c r="AQ119" i="1"/>
  <c r="AR119" i="1" s="1"/>
  <c r="L58" i="1"/>
  <c r="AM119" i="1"/>
  <c r="AO42" i="11"/>
  <c r="Z44" i="11"/>
  <c r="O23" i="5"/>
  <c r="O24" i="5" s="1"/>
  <c r="BP34" i="11"/>
  <c r="BP35" i="11" s="1"/>
  <c r="BP36" i="11" s="1"/>
  <c r="BQ4" i="11"/>
  <c r="AX45" i="11"/>
  <c r="AT89" i="11"/>
  <c r="X58" i="1"/>
  <c r="X118" i="1"/>
  <c r="H118" i="1"/>
  <c r="H58" i="1"/>
  <c r="BP17" i="11"/>
  <c r="BP44" i="11" s="1"/>
  <c r="Q27" i="5"/>
  <c r="Z21" i="11"/>
  <c r="L27" i="5"/>
  <c r="BL10" i="11"/>
  <c r="BL42" i="11" s="1"/>
  <c r="Q9" i="5"/>
  <c r="M12" i="5"/>
  <c r="P36" i="5"/>
  <c r="Q17" i="5"/>
  <c r="O146" i="1"/>
  <c r="P146" i="1" s="1"/>
  <c r="AF78" i="1"/>
  <c r="X104" i="1"/>
  <c r="AJ94" i="1"/>
  <c r="BD36" i="1"/>
  <c r="AE109" i="1"/>
  <c r="AF103" i="1"/>
  <c r="AE108" i="1"/>
  <c r="X20" i="5"/>
  <c r="S275" i="21" s="1"/>
  <c r="BO30" i="11"/>
  <c r="O176" i="1"/>
  <c r="O186" i="1" s="1"/>
  <c r="H143" i="1"/>
  <c r="AF109" i="1"/>
  <c r="AF108" i="1"/>
  <c r="BD15" i="1"/>
  <c r="BD25" i="1"/>
  <c r="BE25" i="1" s="1"/>
  <c r="P45" i="1"/>
  <c r="Y45" i="1"/>
  <c r="M79" i="1"/>
  <c r="AE98" i="1"/>
  <c r="AF98" i="1" s="1"/>
  <c r="L133" i="1"/>
  <c r="AO64" i="1"/>
  <c r="AR34" i="1"/>
  <c r="AH53" i="11"/>
  <c r="AC53" i="11"/>
  <c r="AS53" i="11"/>
  <c r="AW43" i="11"/>
  <c r="AW42" i="11"/>
  <c r="BF55" i="11"/>
  <c r="AD81" i="11"/>
  <c r="W24" i="1"/>
  <c r="F47" i="8" s="1"/>
  <c r="M103" i="1"/>
  <c r="AJ17" i="11"/>
  <c r="BA84" i="1"/>
  <c r="AU94" i="1"/>
  <c r="AM18" i="11"/>
  <c r="AM45" i="11" s="1"/>
  <c r="H128" i="1"/>
  <c r="S98" i="1"/>
  <c r="T98" i="1" s="1"/>
  <c r="AC75" i="1"/>
  <c r="C104" i="1"/>
  <c r="C78" i="1"/>
  <c r="D78" i="1" s="1"/>
  <c r="C94" i="1"/>
  <c r="S105" i="1"/>
  <c r="T105" i="1" s="1"/>
  <c r="T75" i="1"/>
  <c r="I77" i="1"/>
  <c r="AN79" i="1"/>
  <c r="AO79" i="1"/>
  <c r="AU206" i="1"/>
  <c r="AU207" i="1" s="1"/>
  <c r="AU208" i="1" s="1"/>
  <c r="AU209" i="1" s="1"/>
  <c r="AU205" i="1"/>
  <c r="AU204" i="1"/>
  <c r="AU203" i="1"/>
  <c r="AY203" i="1"/>
  <c r="AY206" i="1"/>
  <c r="BN17" i="11"/>
  <c r="G144" i="1"/>
  <c r="H144" i="1" s="1"/>
  <c r="H124" i="1"/>
  <c r="H134" i="1"/>
  <c r="I105" i="1"/>
  <c r="AQ53" i="11"/>
  <c r="AV53" i="11"/>
  <c r="AL55" i="11"/>
  <c r="AQ81" i="11"/>
  <c r="AC22" i="1"/>
  <c r="AV37" i="1"/>
  <c r="AW37" i="1"/>
  <c r="Y24" i="11"/>
  <c r="AK135" i="1"/>
  <c r="Y136" i="1"/>
  <c r="AE99" i="1"/>
  <c r="AF99" i="1" s="1"/>
  <c r="BJ55" i="11"/>
  <c r="H125" i="1"/>
  <c r="H135" i="1"/>
  <c r="AF95" i="1"/>
  <c r="AE125" i="1"/>
  <c r="C126" i="1"/>
  <c r="D96" i="1"/>
  <c r="AO37" i="1"/>
  <c r="AL53" i="11"/>
  <c r="AG14" i="11"/>
  <c r="AG41" i="11" s="1"/>
  <c r="AG53" i="11"/>
  <c r="AG42" i="11"/>
  <c r="W42" i="11"/>
  <c r="T26" i="1"/>
  <c r="AC18" i="11"/>
  <c r="AC45" i="11" s="1"/>
  <c r="AM94" i="1"/>
  <c r="AM104" i="1" s="1"/>
  <c r="D103" i="1"/>
  <c r="L106" i="1"/>
  <c r="M106" i="1"/>
  <c r="Q106" i="1"/>
  <c r="BG168" i="1"/>
  <c r="BG169" i="1"/>
  <c r="D74" i="1"/>
  <c r="AV88" i="1"/>
  <c r="BA88" i="1"/>
  <c r="AN37" i="1"/>
  <c r="U16" i="1"/>
  <c r="X16" i="1"/>
  <c r="T58" i="1"/>
  <c r="T36" i="1"/>
  <c r="T118" i="1"/>
  <c r="H59" i="1"/>
  <c r="AN16" i="1"/>
  <c r="AJ26" i="1"/>
  <c r="S79" i="1"/>
  <c r="T79" i="1" s="1"/>
  <c r="BJ84" i="1"/>
  <c r="BH24" i="11"/>
  <c r="AW14" i="11"/>
  <c r="AW41" i="11" s="1"/>
  <c r="S143" i="1"/>
  <c r="S153" i="1" s="1"/>
  <c r="U75" i="1"/>
  <c r="AZ78" i="1"/>
  <c r="BE78" i="1"/>
  <c r="AY93" i="1"/>
  <c r="AY103" i="1" s="1"/>
  <c r="AZ62" i="1"/>
  <c r="AJ78" i="1"/>
  <c r="AQ86" i="1"/>
  <c r="AJ18" i="11" s="1"/>
  <c r="AG18" i="11"/>
  <c r="H106" i="1"/>
  <c r="T103" i="1"/>
  <c r="Y103" i="1"/>
  <c r="S108" i="1"/>
  <c r="AF59" i="1"/>
  <c r="P119" i="1"/>
  <c r="P59" i="1"/>
  <c r="U23" i="1"/>
  <c r="BA138" i="1"/>
  <c r="D13" i="31"/>
  <c r="I74" i="1"/>
  <c r="AF79" i="1"/>
  <c r="W105" i="1"/>
  <c r="X105" i="1" s="1"/>
  <c r="W79" i="1"/>
  <c r="Y79" i="1" s="1"/>
  <c r="G99" i="1"/>
  <c r="M94" i="1"/>
  <c r="I94" i="1"/>
  <c r="H94" i="1"/>
  <c r="AN119" i="1"/>
  <c r="G145" i="1"/>
  <c r="AL42" i="11"/>
  <c r="H78" i="1"/>
  <c r="AR44" i="1"/>
  <c r="S34" i="1"/>
  <c r="U35" i="1"/>
  <c r="AO16" i="11"/>
  <c r="AO43" i="11" s="1"/>
  <c r="BE85" i="1"/>
  <c r="AH18" i="11"/>
  <c r="AH45" i="11" s="1"/>
  <c r="AQ94" i="1"/>
  <c r="BP30" i="11"/>
  <c r="BC34" i="11"/>
  <c r="BC35" i="11" s="1"/>
  <c r="BC36" i="11" s="1"/>
  <c r="X35" i="5"/>
  <c r="AB81" i="11"/>
  <c r="AB118" i="1"/>
  <c r="AB36" i="1"/>
  <c r="BD16" i="1"/>
  <c r="BD26" i="1"/>
  <c r="BA34" i="1"/>
  <c r="BG63" i="1"/>
  <c r="BG59" i="1"/>
  <c r="BB16" i="11"/>
  <c r="BB43" i="11" s="1"/>
  <c r="S26" i="5"/>
  <c r="BJ77" i="1"/>
  <c r="AU86" i="1"/>
  <c r="AV86" i="1" s="1"/>
  <c r="AB18" i="11"/>
  <c r="AM86" i="1"/>
  <c r="AE18" i="11" s="1"/>
  <c r="AE45" i="11" s="1"/>
  <c r="BE137" i="1"/>
  <c r="R41" i="5"/>
  <c r="H136" i="1"/>
  <c r="H126" i="1"/>
  <c r="AR17" i="1"/>
  <c r="AV17" i="1"/>
  <c r="AR27" i="1"/>
  <c r="BA23" i="1"/>
  <c r="AJ12" i="11"/>
  <c r="BA45" i="1"/>
  <c r="AZ45" i="1"/>
  <c r="AN53" i="1"/>
  <c r="AG73" i="1"/>
  <c r="AC73" i="1"/>
  <c r="AB73" i="1"/>
  <c r="AA78" i="1"/>
  <c r="AB78" i="1" s="1"/>
  <c r="AA79" i="1"/>
  <c r="AG79" i="1" s="1"/>
  <c r="AA103" i="1"/>
  <c r="AC103" i="1" s="1"/>
  <c r="AE17" i="11"/>
  <c r="AE44" i="11" s="1"/>
  <c r="X18" i="11"/>
  <c r="AI104" i="1"/>
  <c r="AJ104" i="1" s="1"/>
  <c r="AE136" i="1"/>
  <c r="AG136" i="1" s="1"/>
  <c r="AK137" i="1"/>
  <c r="AG137" i="1"/>
  <c r="BC215" i="1"/>
  <c r="AX34" i="11" s="1"/>
  <c r="AX35" i="11" s="1"/>
  <c r="AX36" i="11" s="1"/>
  <c r="BI24" i="11"/>
  <c r="BP16" i="11"/>
  <c r="BP43" i="11" s="1"/>
  <c r="AA93" i="1"/>
  <c r="E8" i="31"/>
  <c r="AQ42" i="11"/>
  <c r="BG55" i="11"/>
  <c r="AS25" i="1"/>
  <c r="H27" i="1"/>
  <c r="Y37" i="1"/>
  <c r="X37" i="1"/>
  <c r="AA94" i="1"/>
  <c r="AA76" i="1"/>
  <c r="AL17" i="11"/>
  <c r="AL44" i="11" s="1"/>
  <c r="AV73" i="1"/>
  <c r="AU93" i="1"/>
  <c r="AL19" i="11" s="1"/>
  <c r="AL22" i="11" s="1"/>
  <c r="AU78" i="1"/>
  <c r="AW73" i="1"/>
  <c r="AQ17" i="11"/>
  <c r="AQ44" i="11" s="1"/>
  <c r="AY79" i="1"/>
  <c r="BE79" i="1" s="1"/>
  <c r="BE73" i="1"/>
  <c r="BA73" i="1"/>
  <c r="M77" i="1"/>
  <c r="R26" i="5"/>
  <c r="BQ17" i="11" s="1"/>
  <c r="BD77" i="1"/>
  <c r="H96" i="1"/>
  <c r="I96" i="1"/>
  <c r="AM166" i="1"/>
  <c r="AE30" i="11" s="1"/>
  <c r="AM168" i="1"/>
  <c r="BO10" i="11"/>
  <c r="T78" i="1"/>
  <c r="AV64" i="11"/>
  <c r="BC59" i="1"/>
  <c r="BD59" i="1" s="1"/>
  <c r="AM17" i="11"/>
  <c r="AM44" i="11"/>
  <c r="AW74" i="1"/>
  <c r="C106" i="1"/>
  <c r="D106" i="1"/>
  <c r="D76" i="1"/>
  <c r="I76" i="1"/>
  <c r="P29" i="5"/>
  <c r="P30" i="5"/>
  <c r="P94" i="1"/>
  <c r="O124" i="1"/>
  <c r="AU169" i="1"/>
  <c r="AW21" i="1"/>
  <c r="AZ55" i="1"/>
  <c r="AS16" i="11"/>
  <c r="AS43" i="11" s="1"/>
  <c r="S77" i="1"/>
  <c r="AJ79" i="1"/>
  <c r="BL63" i="11"/>
  <c r="BL82" i="11" s="1"/>
  <c r="BJ30" i="11"/>
  <c r="AE167" i="1"/>
  <c r="AE166" i="1" s="1"/>
  <c r="E25" i="32"/>
  <c r="BA44" i="1"/>
  <c r="AZ44" i="1"/>
  <c r="AQ56" i="1"/>
  <c r="AR56" i="1" s="1"/>
  <c r="N20" i="5"/>
  <c r="AO78" i="1"/>
  <c r="K99" i="1"/>
  <c r="L99" i="1" s="1"/>
  <c r="BD118" i="1"/>
  <c r="AQ166" i="1"/>
  <c r="AJ30" i="11" s="1"/>
  <c r="AF16" i="1"/>
  <c r="Y16" i="11"/>
  <c r="Y43" i="11" s="1"/>
  <c r="AL81" i="11"/>
  <c r="AS78" i="1"/>
  <c r="AZ86" i="1"/>
  <c r="AT18" i="11"/>
  <c r="AT45" i="11" s="1"/>
  <c r="AL18" i="11"/>
  <c r="AL45" i="11" s="1"/>
  <c r="I45" i="1"/>
  <c r="AY196" i="1"/>
  <c r="BC193" i="1" s="1"/>
  <c r="BC194" i="1" s="1"/>
  <c r="BN12" i="11"/>
  <c r="AE116" i="1"/>
  <c r="AM66" i="1"/>
  <c r="AM65" i="1" s="1"/>
  <c r="M17" i="5"/>
  <c r="AR113" i="1"/>
  <c r="AQ116" i="1"/>
  <c r="AJ21" i="11"/>
  <c r="W44" i="1"/>
  <c r="X45" i="1"/>
  <c r="AE56" i="1"/>
  <c r="S44" i="1"/>
  <c r="U44" i="1" s="1"/>
  <c r="T45" i="1"/>
  <c r="U45" i="1"/>
  <c r="AN66" i="1"/>
  <c r="AV78" i="1"/>
  <c r="AW78" i="1"/>
  <c r="BA78" i="1"/>
  <c r="G154" i="1"/>
  <c r="BO18" i="11"/>
  <c r="AU123" i="1"/>
  <c r="AB103" i="1"/>
  <c r="AG103" i="1"/>
  <c r="G155" i="1"/>
  <c r="G175" i="1"/>
  <c r="H145" i="1"/>
  <c r="C98" i="1"/>
  <c r="D98" i="1" s="1"/>
  <c r="D94" i="1"/>
  <c r="C124" i="1"/>
  <c r="D124" i="1" s="1"/>
  <c r="AY197" i="1"/>
  <c r="M99" i="1"/>
  <c r="AC79" i="1"/>
  <c r="BI63" i="1"/>
  <c r="E13" i="31"/>
  <c r="F13" i="31" s="1"/>
  <c r="G13" i="31" s="1"/>
  <c r="H13" i="31" s="1"/>
  <c r="I13" i="31" s="1"/>
  <c r="J13" i="31" s="1"/>
  <c r="K13" i="31" s="1"/>
  <c r="L13" i="31" s="1"/>
  <c r="M13" i="31" s="1"/>
  <c r="N13" i="31" s="1"/>
  <c r="O13" i="31" s="1"/>
  <c r="AM124" i="1"/>
  <c r="AO124" i="1" s="1"/>
  <c r="AN94" i="1"/>
  <c r="AC19" i="11"/>
  <c r="AO94" i="1"/>
  <c r="AG78" i="1"/>
  <c r="T108" i="1"/>
  <c r="AS81" i="11"/>
  <c r="AR81" i="11"/>
  <c r="AU124" i="1"/>
  <c r="AV94" i="1"/>
  <c r="AM19" i="11"/>
  <c r="AB93" i="1"/>
  <c r="AA123" i="1"/>
  <c r="AA98" i="1"/>
  <c r="AC98" i="1" s="1"/>
  <c r="BR17" i="11"/>
  <c r="BC203" i="1"/>
  <c r="AY207" i="1"/>
  <c r="AY208" i="1" s="1"/>
  <c r="AY209" i="1" s="1"/>
  <c r="D104" i="1"/>
  <c r="I104" i="1"/>
  <c r="C109" i="1"/>
  <c r="D109" i="1" s="1"/>
  <c r="I126" i="1"/>
  <c r="D136" i="1"/>
  <c r="D126" i="1"/>
  <c r="C146" i="1"/>
  <c r="BQ24" i="11"/>
  <c r="U34" i="1"/>
  <c r="O144" i="1"/>
  <c r="O174" i="1" s="1"/>
  <c r="P134" i="1"/>
  <c r="P124" i="1"/>
  <c r="AU104" i="1"/>
  <c r="X79" i="1"/>
  <c r="S173" i="1"/>
  <c r="S183" i="1" s="1"/>
  <c r="AG94" i="1"/>
  <c r="F8" i="31"/>
  <c r="G8" i="31" s="1"/>
  <c r="AR94" i="1"/>
  <c r="I106" i="1"/>
  <c r="AQ19" i="11"/>
  <c r="AQ22" i="11" s="1"/>
  <c r="BA93" i="1"/>
  <c r="AF135" i="1"/>
  <c r="AF125" i="1"/>
  <c r="AE145" i="1"/>
  <c r="T44" i="1"/>
  <c r="Y44" i="1"/>
  <c r="AB123" i="1"/>
  <c r="AA143" i="1"/>
  <c r="AA173" i="1" s="1"/>
  <c r="AB133" i="1"/>
  <c r="AV123" i="1"/>
  <c r="D134" i="1"/>
  <c r="T173" i="1"/>
  <c r="D146" i="1"/>
  <c r="C176" i="1"/>
  <c r="D176" i="1" s="1"/>
  <c r="AV134" i="1"/>
  <c r="AU144" i="1"/>
  <c r="AU174" i="1"/>
  <c r="AV124" i="1"/>
  <c r="AV104" i="1"/>
  <c r="AY198" i="1"/>
  <c r="AY199" i="1" s="1"/>
  <c r="H175" i="1"/>
  <c r="G185" i="1"/>
  <c r="AV144" i="1"/>
  <c r="AU154" i="1"/>
  <c r="AZ154" i="1" s="1"/>
  <c r="AC55" i="11"/>
  <c r="AC42" i="11"/>
  <c r="AX42" i="11"/>
  <c r="AT35" i="11"/>
  <c r="AT36" i="11" s="1"/>
  <c r="R27" i="5"/>
  <c r="BP15" i="11"/>
  <c r="BP55" i="11" s="1"/>
  <c r="AT42" i="11"/>
  <c r="AT55" i="11"/>
  <c r="W44" i="11"/>
  <c r="AD42" i="11"/>
  <c r="AI55" i="11"/>
  <c r="AD55" i="11"/>
  <c r="AM55" i="11"/>
  <c r="AH42" i="11"/>
  <c r="AH55" i="11"/>
  <c r="BA44" i="11"/>
  <c r="BP53" i="11"/>
  <c r="BO45" i="11"/>
  <c r="AM22" i="11"/>
  <c r="AM26" i="11" s="1"/>
  <c r="Y77" i="1"/>
  <c r="S76" i="1"/>
  <c r="U76" i="1" s="1"/>
  <c r="U77" i="1"/>
  <c r="AB45" i="11"/>
  <c r="X45" i="11"/>
  <c r="AG45" i="11"/>
  <c r="AQ46" i="11"/>
  <c r="C22" i="31"/>
  <c r="C22" i="32"/>
  <c r="AC46" i="11"/>
  <c r="AC38" i="11"/>
  <c r="AC22" i="11"/>
  <c r="AC48" i="11" s="1"/>
  <c r="AD45" i="11"/>
  <c r="AY44" i="11"/>
  <c r="AR14" i="11"/>
  <c r="AR41" i="11" s="1"/>
  <c r="AR43" i="11"/>
  <c r="AR53" i="11"/>
  <c r="AW53" i="11"/>
  <c r="AR44" i="11"/>
  <c r="BN21" i="11"/>
  <c r="BB35" i="11"/>
  <c r="BB36" i="11" s="1"/>
  <c r="AV89" i="11"/>
  <c r="AQ89" i="11"/>
  <c r="M35" i="1"/>
  <c r="Q35" i="1"/>
  <c r="BL17" i="11"/>
  <c r="BL44" i="11" s="1"/>
  <c r="Q36" i="5"/>
  <c r="BP21" i="11"/>
  <c r="N9" i="5"/>
  <c r="M9" i="5"/>
  <c r="BM10" i="11"/>
  <c r="BO15" i="11"/>
  <c r="BO42" i="11" s="1"/>
  <c r="P15" i="5"/>
  <c r="BO16" i="11"/>
  <c r="BO43" i="11" s="1"/>
  <c r="P21" i="5"/>
  <c r="AD53" i="11"/>
  <c r="AN53" i="11"/>
  <c r="AX53" i="11"/>
  <c r="AS14" i="11"/>
  <c r="AS41" i="11"/>
  <c r="Y44" i="11"/>
  <c r="AB44" i="11"/>
  <c r="AB14" i="11"/>
  <c r="AB41" i="11" s="1"/>
  <c r="AB53" i="11"/>
  <c r="AW44" i="11"/>
  <c r="BB53" i="11"/>
  <c r="BC4" i="11"/>
  <c r="BD4" i="11"/>
  <c r="X44" i="11"/>
  <c r="BA42" i="11"/>
  <c r="AI42" i="11"/>
  <c r="X42" i="11"/>
  <c r="X14" i="11"/>
  <c r="X41" i="11" s="1"/>
  <c r="BM53" i="11"/>
  <c r="BM44" i="11"/>
  <c r="AC26" i="11"/>
  <c r="AC32" i="11" s="1"/>
  <c r="AC47" i="11"/>
  <c r="AC49" i="11"/>
  <c r="F44" i="7"/>
  <c r="F50" i="7" s="1"/>
  <c r="F32" i="7"/>
  <c r="L44" i="7"/>
  <c r="L50" i="7"/>
  <c r="L32" i="7"/>
  <c r="S45" i="7"/>
  <c r="S51" i="7" s="1"/>
  <c r="S33" i="7"/>
  <c r="S57" i="7" s="1"/>
  <c r="W45" i="7"/>
  <c r="W51" i="7" s="1"/>
  <c r="W33" i="7"/>
  <c r="AA45" i="7"/>
  <c r="AA51" i="7" s="1"/>
  <c r="AA33" i="7"/>
  <c r="AA57" i="7" s="1"/>
  <c r="J44" i="7"/>
  <c r="P45" i="7"/>
  <c r="P33" i="7"/>
  <c r="P57" i="7" s="1"/>
  <c r="P51" i="7"/>
  <c r="P58" i="7"/>
  <c r="D44" i="7"/>
  <c r="D50" i="7" s="1"/>
  <c r="D32" i="7"/>
  <c r="D56" i="7" s="1"/>
  <c r="U45" i="7"/>
  <c r="U51" i="7" s="1"/>
  <c r="U33" i="7"/>
  <c r="U57" i="7" s="1"/>
  <c r="Y45" i="7"/>
  <c r="Y51" i="7" s="1"/>
  <c r="Y33" i="7"/>
  <c r="Y57" i="7" s="1"/>
  <c r="AC45" i="7"/>
  <c r="H44" i="7"/>
  <c r="N45" i="7"/>
  <c r="N51" i="7" s="1"/>
  <c r="AE32" i="7"/>
  <c r="D34" i="7"/>
  <c r="F34" i="7"/>
  <c r="H34" i="7"/>
  <c r="H58" i="7"/>
  <c r="J34" i="7"/>
  <c r="S35" i="7"/>
  <c r="U35" i="7"/>
  <c r="W35" i="7"/>
  <c r="W59" i="7" s="1"/>
  <c r="Y35" i="7"/>
  <c r="AA35" i="7"/>
  <c r="AC35" i="7"/>
  <c r="AE45" i="7"/>
  <c r="AE51" i="7" s="1"/>
  <c r="S44" i="7"/>
  <c r="W44" i="7"/>
  <c r="AA44" i="7"/>
  <c r="AA50" i="7" s="1"/>
  <c r="AC44" i="7"/>
  <c r="AC50" i="7" s="1"/>
  <c r="I18" i="6"/>
  <c r="BD36" i="6"/>
  <c r="L17" i="8"/>
  <c r="L25" i="8"/>
  <c r="C24" i="31"/>
  <c r="C24" i="32"/>
  <c r="AE48" i="10"/>
  <c r="C16" i="4"/>
  <c r="D18" i="4"/>
  <c r="L19" i="4"/>
  <c r="M20" i="4" s="1"/>
  <c r="AH27" i="3"/>
  <c r="AA84" i="3"/>
  <c r="AR86" i="3"/>
  <c r="C84" i="3"/>
  <c r="U77" i="3"/>
  <c r="C77" i="3"/>
  <c r="G77" i="3" s="1"/>
  <c r="AH77" i="3"/>
  <c r="C92" i="3"/>
  <c r="G92" i="3" s="1"/>
  <c r="AH85" i="3"/>
  <c r="U85" i="3"/>
  <c r="C34" i="3"/>
  <c r="G34" i="3" s="1"/>
  <c r="M85" i="3"/>
  <c r="U79" i="3"/>
  <c r="U91" i="3"/>
  <c r="AH91" i="3"/>
  <c r="AJ91" i="3" s="1"/>
  <c r="M98" i="3"/>
  <c r="AH99" i="3"/>
  <c r="C106" i="3"/>
  <c r="G106" i="3" s="1"/>
  <c r="U99" i="3"/>
  <c r="W99" i="3" s="1"/>
  <c r="AH93" i="3"/>
  <c r="C91" i="3"/>
  <c r="G91" i="3" s="1"/>
  <c r="C99" i="3"/>
  <c r="G99" i="3" s="1"/>
  <c r="U98" i="3"/>
  <c r="AH107" i="3"/>
  <c r="C107" i="3"/>
  <c r="G107" i="3" s="1"/>
  <c r="U106" i="3"/>
  <c r="AR104" i="3"/>
  <c r="C104" i="3"/>
  <c r="G104" i="3" s="1"/>
  <c r="AH104" i="3"/>
  <c r="AH106" i="3"/>
  <c r="U104" i="3"/>
  <c r="W104" i="3" s="1"/>
  <c r="C111" i="3"/>
  <c r="G111" i="3" s="1"/>
  <c r="AV259" i="46"/>
  <c r="S34" i="46"/>
  <c r="U34" i="46" s="1"/>
  <c r="O115" i="46"/>
  <c r="P145" i="46" s="1"/>
  <c r="Q74" i="46"/>
  <c r="P74" i="46"/>
  <c r="AV44" i="46"/>
  <c r="T36" i="46"/>
  <c r="AS16" i="46"/>
  <c r="O113" i="46"/>
  <c r="P143" i="46" s="1"/>
  <c r="U72" i="46"/>
  <c r="Q72" i="46"/>
  <c r="P72" i="46"/>
  <c r="I75" i="46"/>
  <c r="AG72" i="46"/>
  <c r="D74" i="46"/>
  <c r="BA83" i="46"/>
  <c r="BD95" i="46"/>
  <c r="AE113" i="46"/>
  <c r="AN93" i="46"/>
  <c r="AV95" i="46"/>
  <c r="L116" i="46"/>
  <c r="AU115" i="46"/>
  <c r="AV115" i="46" s="1"/>
  <c r="O156" i="46"/>
  <c r="AS143" i="46"/>
  <c r="AE146" i="46"/>
  <c r="AG146" i="46" s="1"/>
  <c r="AS145" i="46"/>
  <c r="S153" i="46"/>
  <c r="S163" i="46" s="1"/>
  <c r="X163" i="46" s="1"/>
  <c r="AO220" i="46"/>
  <c r="BG179" i="46"/>
  <c r="AI319" i="46"/>
  <c r="AJ319" i="46" s="1"/>
  <c r="AI256" i="46"/>
  <c r="AK256" i="46" s="1"/>
  <c r="AK226" i="46"/>
  <c r="BG176" i="46"/>
  <c r="BG177" i="46" s="1"/>
  <c r="AJ220" i="46"/>
  <c r="AJ226" i="46"/>
  <c r="AO226" i="46" s="1"/>
  <c r="AM319" i="46"/>
  <c r="AJ228" i="46"/>
  <c r="BH226" i="46"/>
  <c r="AK239" i="46"/>
  <c r="AW240" i="46"/>
  <c r="BI259" i="46"/>
  <c r="BA262" i="46"/>
  <c r="AI321" i="46"/>
  <c r="AJ321" i="46" s="1"/>
  <c r="AI258" i="46"/>
  <c r="AQ319" i="46"/>
  <c r="AR319" i="46" s="1"/>
  <c r="AQ256" i="46"/>
  <c r="AK329" i="46"/>
  <c r="AJ329" i="46"/>
  <c r="F276" i="21"/>
  <c r="D230" i="21"/>
  <c r="F233" i="21"/>
  <c r="F288" i="21"/>
  <c r="E274" i="21"/>
  <c r="E225" i="21"/>
  <c r="E77" i="21"/>
  <c r="E143" i="21" s="1"/>
  <c r="E145" i="21" s="1"/>
  <c r="E186" i="21" s="1"/>
  <c r="C233" i="21"/>
  <c r="E187" i="21"/>
  <c r="F271" i="21"/>
  <c r="F222" i="21"/>
  <c r="F74" i="21"/>
  <c r="F225" i="21"/>
  <c r="F258" i="21" s="1"/>
  <c r="C271" i="21"/>
  <c r="G222" i="21"/>
  <c r="E276" i="21"/>
  <c r="E79" i="21"/>
  <c r="C278" i="21"/>
  <c r="C230" i="21"/>
  <c r="C83" i="21"/>
  <c r="G278" i="21"/>
  <c r="G230" i="21"/>
  <c r="G83" i="21"/>
  <c r="E86" i="21"/>
  <c r="E240" i="21"/>
  <c r="I127" i="21"/>
  <c r="I312" i="21" s="1"/>
  <c r="D189" i="21"/>
  <c r="D194" i="21"/>
  <c r="D188" i="21"/>
  <c r="G187" i="21"/>
  <c r="G288" i="21"/>
  <c r="C189" i="21"/>
  <c r="C188" i="21"/>
  <c r="G189" i="21"/>
  <c r="G188" i="21"/>
  <c r="F188" i="21"/>
  <c r="E189" i="21"/>
  <c r="E188" i="21"/>
  <c r="F259" i="21"/>
  <c r="O259" i="21"/>
  <c r="D259" i="21"/>
  <c r="H259" i="21"/>
  <c r="L259" i="21"/>
  <c r="P259" i="21"/>
  <c r="AC56" i="7"/>
  <c r="L56" i="7"/>
  <c r="F56" i="7"/>
  <c r="D38" i="31"/>
  <c r="D38" i="32"/>
  <c r="AA59" i="7"/>
  <c r="C38" i="31"/>
  <c r="C38" i="32"/>
  <c r="Y59" i="7"/>
  <c r="B38" i="32"/>
  <c r="B38" i="31"/>
  <c r="O155" i="46"/>
  <c r="Q115" i="46"/>
  <c r="BH13" i="46"/>
  <c r="BF12" i="6" s="1"/>
  <c r="BF18" i="6" s="1"/>
  <c r="BF24" i="6" s="1"/>
  <c r="BF30" i="6" s="1"/>
  <c r="BF36" i="6" s="1"/>
  <c r="F104" i="8"/>
  <c r="BH311" i="46"/>
  <c r="BH218" i="46"/>
  <c r="BH105" i="46"/>
  <c r="BH53" i="46"/>
  <c r="BH238" i="46"/>
  <c r="BH125" i="46"/>
  <c r="BH43" i="46"/>
  <c r="BH63" i="46"/>
  <c r="BH248" i="46"/>
  <c r="BH85" i="46"/>
  <c r="BG27" i="46"/>
  <c r="AI35" i="9"/>
  <c r="AE23" i="7"/>
  <c r="BF24" i="47" a="1"/>
  <c r="BG24" i="47" s="1"/>
  <c r="AS107" i="47"/>
  <c r="AN107" i="47"/>
  <c r="AJ55" i="48"/>
  <c r="AK67" i="46"/>
  <c r="AO106" i="46"/>
  <c r="BA23" i="46"/>
  <c r="AM257" i="46"/>
  <c r="AN257" i="46"/>
  <c r="P135" i="46"/>
  <c r="AK331" i="46"/>
  <c r="AJ331" i="46"/>
  <c r="F28" i="49"/>
  <c r="CD18" i="47" s="1"/>
  <c r="AC87" i="46"/>
  <c r="AV314" i="46"/>
  <c r="AI268" i="46"/>
  <c r="Y37" i="46"/>
  <c r="AK72" i="46"/>
  <c r="AF72" i="46"/>
  <c r="Y146" i="46"/>
  <c r="BA149" i="46"/>
  <c r="Y65" i="46"/>
  <c r="AB37" i="46"/>
  <c r="AC37" i="46"/>
  <c r="AW35" i="46"/>
  <c r="M65" i="46"/>
  <c r="AZ127" i="46"/>
  <c r="Y76" i="46"/>
  <c r="AB17" i="47" a="1"/>
  <c r="AM229" i="46"/>
  <c r="AM322" i="46" s="1"/>
  <c r="D62" i="49"/>
  <c r="J31" i="21" s="1"/>
  <c r="AR226" i="46"/>
  <c r="BE16" i="46"/>
  <c r="P134" i="46"/>
  <c r="BA41" i="47" a="1"/>
  <c r="G113" i="46"/>
  <c r="G153" i="46" s="1"/>
  <c r="I153" i="46" s="1"/>
  <c r="AE115" i="46"/>
  <c r="AF145" i="46" s="1"/>
  <c r="BG262" i="46"/>
  <c r="BH258" i="46"/>
  <c r="BI258" i="46"/>
  <c r="BI33" i="46"/>
  <c r="BG37" i="46"/>
  <c r="K119" i="3"/>
  <c r="U119" i="3" s="1"/>
  <c r="W119" i="3" s="1"/>
  <c r="BI145" i="46"/>
  <c r="BG149" i="46"/>
  <c r="BM63" i="11"/>
  <c r="BM82" i="11" s="1"/>
  <c r="N15" i="4"/>
  <c r="N18" i="4" s="1"/>
  <c r="P15" i="4" s="1"/>
  <c r="P18" i="4" s="1"/>
  <c r="CC81" i="47" s="1"/>
  <c r="CC100" i="47" s="1"/>
  <c r="CA81" i="47"/>
  <c r="CA100" i="47" s="1"/>
  <c r="M31" i="4"/>
  <c r="M19" i="4"/>
  <c r="G37" i="4"/>
  <c r="BF67" i="11" s="1"/>
  <c r="M60" i="21"/>
  <c r="M195" i="21" s="1"/>
  <c r="BQ54" i="11"/>
  <c r="CD70" i="47"/>
  <c r="L60" i="21"/>
  <c r="L257" i="21" s="1"/>
  <c r="L315" i="21" s="1"/>
  <c r="AG45" i="48"/>
  <c r="BU85" i="47"/>
  <c r="BM64" i="11"/>
  <c r="M34" i="4"/>
  <c r="BM66" i="11"/>
  <c r="BM81" i="11"/>
  <c r="CA82" i="47"/>
  <c r="CA99" i="47"/>
  <c r="BS32" i="48"/>
  <c r="BH54" i="46"/>
  <c r="BH106" i="46"/>
  <c r="BG15" i="46"/>
  <c r="BH87" i="46" s="1"/>
  <c r="BH64" i="46"/>
  <c r="BH219" i="46"/>
  <c r="BH44" i="46"/>
  <c r="D105" i="8"/>
  <c r="BH312" i="46"/>
  <c r="BH75" i="46"/>
  <c r="BA10" i="47" a="1"/>
  <c r="BA11" i="47" a="1"/>
  <c r="BC11" i="47" s="1"/>
  <c r="BH249" i="46"/>
  <c r="BH14" i="46"/>
  <c r="BF13" i="6" s="1"/>
  <c r="BF19" i="6" s="1"/>
  <c r="BF25" i="6" s="1"/>
  <c r="BF31" i="6" s="1"/>
  <c r="BF37" i="6" s="1"/>
  <c r="BH126" i="46"/>
  <c r="BH86" i="46"/>
  <c r="BH239" i="46"/>
  <c r="BE25" i="6"/>
  <c r="BX25" i="6" s="1"/>
  <c r="L53" i="8"/>
  <c r="L45" i="8"/>
  <c r="I16" i="6"/>
  <c r="D35" i="6"/>
  <c r="AJ37" i="6"/>
  <c r="AF36" i="6"/>
  <c r="AW18" i="6"/>
  <c r="T36" i="6"/>
  <c r="BD34" i="6"/>
  <c r="BE16" i="6"/>
  <c r="AV36" i="6"/>
  <c r="AW36" i="6" s="1"/>
  <c r="M17" i="6"/>
  <c r="AV35" i="6"/>
  <c r="BA35" i="6" s="1"/>
  <c r="AK31" i="6"/>
  <c r="AK17" i="6"/>
  <c r="M18" i="6"/>
  <c r="AK18" i="6"/>
  <c r="H34" i="6"/>
  <c r="H40" i="6" s="1"/>
  <c r="BA29" i="6"/>
  <c r="AF34" i="6"/>
  <c r="AK34" i="6" s="1"/>
  <c r="AS24" i="6"/>
  <c r="U29" i="6"/>
  <c r="BA28" i="6"/>
  <c r="T35" i="6"/>
  <c r="Q29" i="6"/>
  <c r="AO11" i="6"/>
  <c r="AS37" i="6"/>
  <c r="BE28" i="6"/>
  <c r="I29" i="6"/>
  <c r="AZ35" i="6"/>
  <c r="AK16" i="6"/>
  <c r="AJ76" i="8"/>
  <c r="AR43" i="6"/>
  <c r="H75" i="8"/>
  <c r="N75" i="8" s="1"/>
  <c r="AS19" i="6"/>
  <c r="I17" i="6"/>
  <c r="AN43" i="6"/>
  <c r="BE17" i="6"/>
  <c r="L35" i="6"/>
  <c r="AO19" i="6"/>
  <c r="Y23" i="6"/>
  <c r="AJ34" i="6"/>
  <c r="BE19" i="6"/>
  <c r="AS11" i="6"/>
  <c r="Q17" i="6"/>
  <c r="AJ35" i="6"/>
  <c r="AZ34" i="6"/>
  <c r="BE34" i="6" s="1"/>
  <c r="AO28" i="6"/>
  <c r="AR40" i="6"/>
  <c r="AS34" i="6"/>
  <c r="Y30" i="6"/>
  <c r="AO37" i="6"/>
  <c r="H47" i="8"/>
  <c r="J47" i="8" s="1"/>
  <c r="BA16" i="6"/>
  <c r="AS18" i="6"/>
  <c r="AC17" i="6"/>
  <c r="Q30" i="6"/>
  <c r="BA17" i="6"/>
  <c r="AS16" i="6"/>
  <c r="T83" i="8"/>
  <c r="X68" i="8"/>
  <c r="J84" i="8"/>
  <c r="P84" i="8"/>
  <c r="T84" i="8"/>
  <c r="N83" i="8"/>
  <c r="AJ84" i="8"/>
  <c r="AJ67" i="8"/>
  <c r="T76" i="8"/>
  <c r="N76" i="8"/>
  <c r="AJ60" i="8"/>
  <c r="X76" i="8"/>
  <c r="Z76" i="8" s="1"/>
  <c r="AN229" i="46"/>
  <c r="AO329" i="46"/>
  <c r="AM335" i="46"/>
  <c r="AN329" i="46"/>
  <c r="AS329" i="46"/>
  <c r="L144" i="46"/>
  <c r="K154" i="46"/>
  <c r="AK89" i="46"/>
  <c r="M114" i="46"/>
  <c r="AJ47" i="46"/>
  <c r="AK47" i="46"/>
  <c r="AN314" i="46"/>
  <c r="L114" i="46"/>
  <c r="BM66" i="46"/>
  <c r="AS25" i="46"/>
  <c r="AS23" i="46"/>
  <c r="AW221" i="46"/>
  <c r="AV221" i="46"/>
  <c r="AO242" i="46"/>
  <c r="AW312" i="46"/>
  <c r="BD313" i="46"/>
  <c r="BI313" i="46"/>
  <c r="AJ75" i="46"/>
  <c r="AN26" i="46"/>
  <c r="AS26" i="46" s="1"/>
  <c r="AN16" i="46"/>
  <c r="AY322" i="46"/>
  <c r="BA229" i="46"/>
  <c r="AZ229" i="46"/>
  <c r="AG11" i="47" a="1"/>
  <c r="AG11" i="47" s="1"/>
  <c r="AR24" i="46"/>
  <c r="D113" i="46"/>
  <c r="E113" i="46"/>
  <c r="M21" i="46"/>
  <c r="AV222" i="46"/>
  <c r="AO77" i="46"/>
  <c r="AK77" i="46"/>
  <c r="AR228" i="46"/>
  <c r="AQ258" i="46"/>
  <c r="AS258" i="46" s="1"/>
  <c r="AQ321" i="46"/>
  <c r="AQ257" i="46"/>
  <c r="AQ261" i="46"/>
  <c r="AW261" i="46" s="1"/>
  <c r="AJ315" i="46"/>
  <c r="AO315" i="46"/>
  <c r="AZ329" i="46"/>
  <c r="AL11" i="47" a="1"/>
  <c r="AM11" i="47" s="1"/>
  <c r="E87" i="46"/>
  <c r="I87" i="46"/>
  <c r="H43" i="49"/>
  <c r="AZ314" i="46"/>
  <c r="AK315" i="46"/>
  <c r="AQ320" i="46"/>
  <c r="AR320" i="46" s="1"/>
  <c r="BD77" i="46"/>
  <c r="BD26" i="46"/>
  <c r="BD56" i="46"/>
  <c r="AW64" i="46"/>
  <c r="AG16" i="47" a="1"/>
  <c r="AG16" i="47" s="1"/>
  <c r="AV87" i="46"/>
  <c r="E26" i="49"/>
  <c r="CC17" i="47" s="1"/>
  <c r="AW87" i="46"/>
  <c r="AN241" i="46"/>
  <c r="AJ222" i="46"/>
  <c r="AJ129" i="46"/>
  <c r="AR46" i="46"/>
  <c r="H144" i="46"/>
  <c r="I114" i="46"/>
  <c r="H114" i="46"/>
  <c r="L27" i="46"/>
  <c r="AV36" i="46"/>
  <c r="AO54" i="46"/>
  <c r="AU230" i="46"/>
  <c r="AU232" i="46"/>
  <c r="BD47" i="46"/>
  <c r="AF37" i="46"/>
  <c r="AU321" i="46"/>
  <c r="AV321" i="46" s="1"/>
  <c r="AV228" i="46"/>
  <c r="BA228" i="46"/>
  <c r="AW228" i="46"/>
  <c r="AN219" i="46"/>
  <c r="BA25" i="46"/>
  <c r="G20" i="49"/>
  <c r="AV14" i="46"/>
  <c r="AG10" i="47" a="1"/>
  <c r="AG10" i="47" s="1"/>
  <c r="AR249" i="46"/>
  <c r="AR219" i="46"/>
  <c r="AC16" i="46"/>
  <c r="AC17" i="46" s="1"/>
  <c r="AK106" i="46"/>
  <c r="W18" i="47" a="1"/>
  <c r="W18" i="47" s="1"/>
  <c r="P144" i="46"/>
  <c r="AS226" i="46"/>
  <c r="AN226" i="46"/>
  <c r="AS242" i="46"/>
  <c r="H26" i="46"/>
  <c r="G156" i="46"/>
  <c r="G166" i="46" s="1"/>
  <c r="L166" i="46" s="1"/>
  <c r="BD330" i="46"/>
  <c r="BI23" i="46"/>
  <c r="BX23" i="46" s="1"/>
  <c r="M23" i="46"/>
  <c r="Q24" i="46"/>
  <c r="AN34" i="46"/>
  <c r="AB13" i="47" a="1"/>
  <c r="AC13" i="47" s="1"/>
  <c r="AU319" i="46"/>
  <c r="AV319" i="46" s="1"/>
  <c r="BC320" i="46"/>
  <c r="BD320" i="46" s="1"/>
  <c r="AO47" i="46"/>
  <c r="B17" i="49"/>
  <c r="BK329" i="46"/>
  <c r="BL329" i="46" s="1"/>
  <c r="H6" i="21"/>
  <c r="H269" i="21" s="1"/>
  <c r="B35" i="49"/>
  <c r="BH329" i="46"/>
  <c r="BK79" i="46"/>
  <c r="K118" i="3"/>
  <c r="V109" i="8"/>
  <c r="AK35" i="9"/>
  <c r="AO28" i="9"/>
  <c r="E23" i="31"/>
  <c r="BG260" i="46"/>
  <c r="BH260" i="46" s="1"/>
  <c r="H65" i="49"/>
  <c r="BH259" i="46"/>
  <c r="BA38" i="47" a="1"/>
  <c r="BA38" i="47" s="1"/>
  <c r="BH240" i="46"/>
  <c r="S8" i="4"/>
  <c r="BH220" i="46"/>
  <c r="BI34" i="46"/>
  <c r="BG35" i="46"/>
  <c r="H14" i="49" s="1"/>
  <c r="BA13" i="47" a="1"/>
  <c r="BG116" i="46"/>
  <c r="BG136" i="46" s="1"/>
  <c r="BG25" i="46"/>
  <c r="F105" i="8"/>
  <c r="J76" i="8"/>
  <c r="AH76" i="8" s="1"/>
  <c r="AK35" i="6"/>
  <c r="AO34" i="6"/>
  <c r="AJ41" i="6"/>
  <c r="AN40" i="6"/>
  <c r="AJ40" i="6"/>
  <c r="BD40" i="6"/>
  <c r="AS257" i="46"/>
  <c r="L154" i="46"/>
  <c r="M154" i="46"/>
  <c r="K164" i="46"/>
  <c r="P164" i="46" s="1"/>
  <c r="AB164" i="46"/>
  <c r="AR321" i="46"/>
  <c r="AN335" i="46"/>
  <c r="AI17" i="7"/>
  <c r="BI146" i="46"/>
  <c r="BG147" i="46"/>
  <c r="BI147" i="46" s="1"/>
  <c r="H105" i="8"/>
  <c r="BD37" i="6"/>
  <c r="BH43" i="6" s="1"/>
  <c r="BE13" i="6"/>
  <c r="BX26" i="6" s="1"/>
  <c r="H17" i="21"/>
  <c r="B44" i="49"/>
  <c r="BD20" i="47"/>
  <c r="C12" i="39" s="1"/>
  <c r="AJ239" i="46"/>
  <c r="AJ219" i="46"/>
  <c r="AJ24" i="46"/>
  <c r="BD55" i="46"/>
  <c r="BD15" i="46"/>
  <c r="AS64" i="46"/>
  <c r="AB16" i="47" a="1"/>
  <c r="AB16" i="47" s="1"/>
  <c r="AS66" i="46"/>
  <c r="AE114" i="46"/>
  <c r="AF73" i="46"/>
  <c r="AW257" i="46"/>
  <c r="BI332" i="46"/>
  <c r="AW331" i="46"/>
  <c r="AJ54" i="46"/>
  <c r="AE153" i="46"/>
  <c r="AG153" i="46" s="1"/>
  <c r="AV64" i="46"/>
  <c r="J17" i="21"/>
  <c r="J152" i="21" s="1"/>
  <c r="CB24" i="47"/>
  <c r="BC113" i="46"/>
  <c r="BC37" i="46"/>
  <c r="BD37" i="46" s="1"/>
  <c r="AK74" i="46"/>
  <c r="AF74" i="46"/>
  <c r="U74" i="46"/>
  <c r="S75" i="46"/>
  <c r="BD94" i="46"/>
  <c r="BC98" i="46"/>
  <c r="BD98" i="46" s="1"/>
  <c r="H146" i="46"/>
  <c r="H116" i="46"/>
  <c r="AQ148" i="46"/>
  <c r="AQ149" i="46"/>
  <c r="AW143" i="46"/>
  <c r="AQ232" i="46"/>
  <c r="AR227" i="46"/>
  <c r="BG322" i="46"/>
  <c r="BH322" i="46" s="1"/>
  <c r="BH229" i="46"/>
  <c r="BM329" i="46"/>
  <c r="AJ106" i="46"/>
  <c r="BI228" i="46"/>
  <c r="E28" i="49"/>
  <c r="E29" i="49" s="1"/>
  <c r="AS331" i="46"/>
  <c r="AU301" i="46"/>
  <c r="AV301" i="46" s="1"/>
  <c r="X37" i="46"/>
  <c r="BD46" i="46"/>
  <c r="AK78" i="46"/>
  <c r="AJ78" i="46"/>
  <c r="BE83" i="46"/>
  <c r="AZ83" i="46"/>
  <c r="AB37" i="47" a="1"/>
  <c r="AC37" i="47" s="1"/>
  <c r="AM259" i="46"/>
  <c r="AS312" i="46"/>
  <c r="AR312" i="46"/>
  <c r="AQ13" i="47" a="1"/>
  <c r="AS13" i="47" s="1"/>
  <c r="BA33" i="46"/>
  <c r="AY115" i="46"/>
  <c r="BE33" i="46"/>
  <c r="Q76" i="46"/>
  <c r="AK66" i="46"/>
  <c r="AO66" i="46"/>
  <c r="BM242" i="46"/>
  <c r="I156" i="46"/>
  <c r="AS227" i="46"/>
  <c r="AW55" i="46"/>
  <c r="E22" i="49"/>
  <c r="CC15" i="47" s="1"/>
  <c r="BE61" i="46"/>
  <c r="AZ61" i="46"/>
  <c r="AY65" i="46"/>
  <c r="BE65" i="46" s="1"/>
  <c r="H72" i="46"/>
  <c r="I72" i="46"/>
  <c r="BM108" i="46"/>
  <c r="D143" i="46"/>
  <c r="C153" i="46"/>
  <c r="AM231" i="46"/>
  <c r="AN231" i="46" s="1"/>
  <c r="AM256" i="46"/>
  <c r="AM261" i="46" s="1"/>
  <c r="BC321" i="46"/>
  <c r="BD321" i="46" s="1"/>
  <c r="BE228" i="46"/>
  <c r="BD228" i="46"/>
  <c r="CC11" i="47"/>
  <c r="AI113" i="46"/>
  <c r="AJ143" i="46" s="1"/>
  <c r="AK93" i="46"/>
  <c r="AI257" i="46"/>
  <c r="AI267" i="46" s="1"/>
  <c r="AK227" i="46"/>
  <c r="AI320" i="46"/>
  <c r="AI231" i="46"/>
  <c r="BD315" i="46"/>
  <c r="BE315" i="46"/>
  <c r="AZ33" i="46"/>
  <c r="AW148" i="46"/>
  <c r="AN330" i="46"/>
  <c r="AM334" i="46"/>
  <c r="AN334" i="46" s="1"/>
  <c r="AR257" i="46"/>
  <c r="BI220" i="46"/>
  <c r="F71" i="49"/>
  <c r="L40" i="21" s="1"/>
  <c r="AO64" i="46"/>
  <c r="G64" i="49"/>
  <c r="M33" i="21" s="1"/>
  <c r="AJ66" i="46"/>
  <c r="AJ126" i="46"/>
  <c r="AJ34" i="46"/>
  <c r="BI262" i="46"/>
  <c r="BA34" i="46"/>
  <c r="AK73" i="46"/>
  <c r="P27" i="46"/>
  <c r="P17" i="46"/>
  <c r="Q21" i="46"/>
  <c r="AV24" i="46"/>
  <c r="W137" i="46"/>
  <c r="Y137" i="46" s="1"/>
  <c r="X72" i="46"/>
  <c r="W113" i="46"/>
  <c r="AI332" i="46"/>
  <c r="AJ332" i="46" s="1"/>
  <c r="W20" i="47" a="1"/>
  <c r="Y20" i="47" s="1"/>
  <c r="AU320" i="46"/>
  <c r="AU231" i="46"/>
  <c r="AV231" i="46"/>
  <c r="AL36" i="47" a="1"/>
  <c r="AL36" i="47" s="1"/>
  <c r="AV126" i="46"/>
  <c r="AV249" i="46"/>
  <c r="AV239" i="46"/>
  <c r="AU116" i="46"/>
  <c r="AV106" i="46"/>
  <c r="Q35" i="46"/>
  <c r="U35" i="46"/>
  <c r="AI232" i="46"/>
  <c r="AJ221" i="46"/>
  <c r="AW46" i="46"/>
  <c r="BA46" i="46"/>
  <c r="AR258" i="46"/>
  <c r="I116" i="46"/>
  <c r="AW36" i="46"/>
  <c r="AW56" i="46"/>
  <c r="BI45" i="46"/>
  <c r="W10" i="47" a="1"/>
  <c r="BI66" i="46"/>
  <c r="BM229" i="46"/>
  <c r="AB94" i="46"/>
  <c r="AG94" i="46"/>
  <c r="BH228" i="46"/>
  <c r="AN77" i="46"/>
  <c r="AO16" i="46"/>
  <c r="AN88" i="46"/>
  <c r="AN66" i="46"/>
  <c r="BD66" i="46"/>
  <c r="BD88" i="46"/>
  <c r="Y23" i="46"/>
  <c r="AV72" i="46"/>
  <c r="AU77" i="46"/>
  <c r="AW77" i="46" s="1"/>
  <c r="BG98" i="46"/>
  <c r="BI98" i="46" s="1"/>
  <c r="BI108" i="46"/>
  <c r="BD108" i="46"/>
  <c r="BE108" i="46"/>
  <c r="G43" i="49"/>
  <c r="M17" i="21" s="1"/>
  <c r="AW149" i="46"/>
  <c r="BE313" i="46"/>
  <c r="AW23" i="46"/>
  <c r="P37" i="46"/>
  <c r="AC55" i="46"/>
  <c r="AU114" i="46"/>
  <c r="AU300" i="46" s="1"/>
  <c r="BA108" i="46"/>
  <c r="M134" i="46"/>
  <c r="BD241" i="46"/>
  <c r="AR56" i="46"/>
  <c r="AC22" i="46"/>
  <c r="AC72" i="46"/>
  <c r="BE147" i="46"/>
  <c r="AQ231" i="46"/>
  <c r="AR231" i="46" s="1"/>
  <c r="AW231" i="46" s="1"/>
  <c r="BE260" i="46"/>
  <c r="L17" i="46"/>
  <c r="AV26" i="46"/>
  <c r="Q22" i="46"/>
  <c r="BE95" i="46"/>
  <c r="Q134" i="46"/>
  <c r="S115" i="3"/>
  <c r="BZ24" i="47"/>
  <c r="AN14" i="47"/>
  <c r="AW89" i="46"/>
  <c r="AV89" i="46"/>
  <c r="AL21" i="47" a="1"/>
  <c r="AL21" i="47" s="1"/>
  <c r="AU99" i="46"/>
  <c r="AV99" i="46" s="1"/>
  <c r="AU97" i="46"/>
  <c r="AW93" i="46"/>
  <c r="AV93" i="46"/>
  <c r="AI148" i="46"/>
  <c r="AK148" i="46" s="1"/>
  <c r="AV114" i="46"/>
  <c r="AC95" i="46"/>
  <c r="AG95" i="46"/>
  <c r="AB95" i="46"/>
  <c r="AW47" i="46"/>
  <c r="AW54" i="46"/>
  <c r="AS54" i="46"/>
  <c r="AR54" i="46"/>
  <c r="AG15" i="47" a="1"/>
  <c r="AG15" i="47" s="1"/>
  <c r="AG55" i="46"/>
  <c r="AW57" i="46"/>
  <c r="AV57" i="46"/>
  <c r="W16" i="47" a="1"/>
  <c r="X16" i="47" s="1"/>
  <c r="AK64" i="46"/>
  <c r="AJ64" i="46"/>
  <c r="Y113" i="46"/>
  <c r="W153" i="46"/>
  <c r="X153" i="46" s="1"/>
  <c r="AQ332" i="46"/>
  <c r="AR332" i="46" s="1"/>
  <c r="AW75" i="46"/>
  <c r="AG20" i="47" a="1"/>
  <c r="AI20" i="47" s="1"/>
  <c r="AK88" i="46"/>
  <c r="AO88" i="46"/>
  <c r="AY116" i="46"/>
  <c r="AY302" i="46" s="1"/>
  <c r="AK44" i="46"/>
  <c r="W14" i="47" a="1"/>
  <c r="Y14" i="47" s="1"/>
  <c r="AJ44" i="46"/>
  <c r="AO44" i="46" s="1"/>
  <c r="BA47" i="46"/>
  <c r="BE47" i="46"/>
  <c r="AK87" i="46"/>
  <c r="AJ268" i="46"/>
  <c r="AK268" i="46"/>
  <c r="O118" i="46"/>
  <c r="P118" i="46" s="1"/>
  <c r="BA314" i="46"/>
  <c r="AV128" i="46"/>
  <c r="O166" i="46"/>
  <c r="T166" i="46"/>
  <c r="Q156" i="46"/>
  <c r="P156" i="46"/>
  <c r="D36" i="46"/>
  <c r="D26" i="46"/>
  <c r="H16" i="46"/>
  <c r="E16" i="46"/>
  <c r="E17" i="46" s="1"/>
  <c r="Q23" i="46"/>
  <c r="U23" i="46"/>
  <c r="AE24" i="46"/>
  <c r="AJ36" i="46"/>
  <c r="C45" i="46"/>
  <c r="AG14" i="47" a="1"/>
  <c r="AJ14" i="47" s="1"/>
  <c r="BE46" i="46"/>
  <c r="BE56" i="46"/>
  <c r="AG65" i="46"/>
  <c r="I24" i="49"/>
  <c r="CG16" i="47" s="1"/>
  <c r="BM65" i="46"/>
  <c r="AA115" i="46"/>
  <c r="AC74" i="46"/>
  <c r="AG74" i="46"/>
  <c r="AB74" i="46"/>
  <c r="AS221" i="46"/>
  <c r="AN221" i="46"/>
  <c r="BH222" i="46"/>
  <c r="AV227" i="46"/>
  <c r="AW227" i="46"/>
  <c r="E65" i="49"/>
  <c r="K34" i="21" s="1"/>
  <c r="K169" i="21" s="1"/>
  <c r="AI335" i="46"/>
  <c r="AK335" i="46" s="1"/>
  <c r="AZ332" i="46"/>
  <c r="BA332" i="46"/>
  <c r="C114" i="3"/>
  <c r="AH114" i="3"/>
  <c r="Y72" i="46"/>
  <c r="W75" i="46"/>
  <c r="BI260" i="46"/>
  <c r="AI324" i="46"/>
  <c r="BD113" i="46"/>
  <c r="AN36" i="46"/>
  <c r="AV261" i="46"/>
  <c r="AR315" i="46"/>
  <c r="AR27" i="46"/>
  <c r="AS27" i="46" s="1"/>
  <c r="AB27" i="46"/>
  <c r="AC27" i="46" s="1"/>
  <c r="BE22" i="46"/>
  <c r="BI22" i="46"/>
  <c r="AO34" i="46"/>
  <c r="W13" i="47" a="1"/>
  <c r="AW45" i="46"/>
  <c r="E20" i="49"/>
  <c r="CC14" i="47" s="1"/>
  <c r="AV45" i="46"/>
  <c r="AK46" i="46"/>
  <c r="AJ46" i="46"/>
  <c r="G49" i="49"/>
  <c r="CE27" i="47" s="1"/>
  <c r="BA221" i="46"/>
  <c r="AK241" i="46"/>
  <c r="AV330" i="46"/>
  <c r="BD329" i="46"/>
  <c r="BE329" i="46"/>
  <c r="BC334" i="46"/>
  <c r="AH113" i="3"/>
  <c r="C113" i="3"/>
  <c r="AF16" i="46"/>
  <c r="E49" i="49"/>
  <c r="K20" i="21" s="1"/>
  <c r="AR250" i="46"/>
  <c r="AI325" i="46"/>
  <c r="AJ325" i="46" s="1"/>
  <c r="K11" i="21"/>
  <c r="K77" i="21" s="1"/>
  <c r="I113" i="46"/>
  <c r="H113" i="46"/>
  <c r="H143" i="46"/>
  <c r="G118" i="46"/>
  <c r="H118" i="46" s="1"/>
  <c r="I76" i="46"/>
  <c r="AV17" i="46"/>
  <c r="AV262" i="46"/>
  <c r="AV47" i="46"/>
  <c r="AV315" i="46"/>
  <c r="AV67" i="46"/>
  <c r="AV27" i="46"/>
  <c r="AV129" i="46"/>
  <c r="P26" i="46"/>
  <c r="BI89" i="46"/>
  <c r="O154" i="46"/>
  <c r="Q114" i="46"/>
  <c r="P114" i="46"/>
  <c r="AM148" i="46"/>
  <c r="AO148" i="46" s="1"/>
  <c r="AM149" i="46"/>
  <c r="AS149" i="46" s="1"/>
  <c r="AY321" i="46"/>
  <c r="AZ321" i="46" s="1"/>
  <c r="AZ228" i="46"/>
  <c r="BG320" i="46"/>
  <c r="BI227" i="46"/>
  <c r="BG231" i="46"/>
  <c r="BH227" i="46"/>
  <c r="AW242" i="46"/>
  <c r="BA242" i="46"/>
  <c r="CE24" i="47"/>
  <c r="AW16" i="46"/>
  <c r="AW17" i="46" s="1"/>
  <c r="AV46" i="46"/>
  <c r="AV108" i="46"/>
  <c r="AV88" i="46"/>
  <c r="BI242" i="46"/>
  <c r="AN319" i="46"/>
  <c r="BD78" i="46"/>
  <c r="AZ94" i="46"/>
  <c r="BE94" i="46"/>
  <c r="AV107" i="46"/>
  <c r="BA107" i="46"/>
  <c r="AK108" i="46"/>
  <c r="AO108" i="46"/>
  <c r="Q116" i="46"/>
  <c r="P146" i="46"/>
  <c r="AS144" i="46"/>
  <c r="AO144" i="46"/>
  <c r="AV77" i="46"/>
  <c r="BC36" i="46"/>
  <c r="BE36" i="46" s="1"/>
  <c r="AV13" i="47" a="1"/>
  <c r="AY13" i="47" s="1"/>
  <c r="BE31" i="46"/>
  <c r="BI31" i="46"/>
  <c r="BC35" i="46"/>
  <c r="G14" i="49" s="1"/>
  <c r="AQ34" i="46"/>
  <c r="AW34" i="46" s="1"/>
  <c r="C115" i="46"/>
  <c r="I74" i="46"/>
  <c r="AY330" i="46"/>
  <c r="AY334" i="46" s="1"/>
  <c r="BE73" i="46"/>
  <c r="BD93" i="46"/>
  <c r="BC97" i="46"/>
  <c r="G37" i="49" s="1"/>
  <c r="H135" i="46"/>
  <c r="AM146" i="46"/>
  <c r="AO146" i="46" s="1"/>
  <c r="BI241" i="46"/>
  <c r="AJ258" i="46"/>
  <c r="AK258" i="46"/>
  <c r="M24" i="46"/>
  <c r="AA137" i="46"/>
  <c r="AC137" i="46" s="1"/>
  <c r="E74" i="46"/>
  <c r="H26" i="49"/>
  <c r="AR93" i="46"/>
  <c r="AQ113" i="46"/>
  <c r="AC146" i="46"/>
  <c r="F64" i="49"/>
  <c r="AZ240" i="46"/>
  <c r="AE118" i="46"/>
  <c r="AF118" i="46" s="1"/>
  <c r="AG113" i="46"/>
  <c r="AF113" i="46"/>
  <c r="AF143" i="46"/>
  <c r="AN108" i="46"/>
  <c r="T27" i="46"/>
  <c r="AY67" i="46"/>
  <c r="BE67" i="46" s="1"/>
  <c r="BA61" i="46"/>
  <c r="G24" i="49"/>
  <c r="BD65" i="46"/>
  <c r="AJ67" i="46"/>
  <c r="BG114" i="46"/>
  <c r="BG300" i="46" s="1"/>
  <c r="BG97" i="46"/>
  <c r="BI97" i="46" s="1"/>
  <c r="K136" i="46"/>
  <c r="M97" i="46"/>
  <c r="AR109" i="46"/>
  <c r="AR329" i="46"/>
  <c r="AQ334" i="46"/>
  <c r="AR334" i="46" s="1"/>
  <c r="BH94" i="46"/>
  <c r="BK321" i="46"/>
  <c r="BM228" i="46"/>
  <c r="T17" i="46"/>
  <c r="X17" i="46"/>
  <c r="U17" i="46"/>
  <c r="AJ26" i="46"/>
  <c r="O45" i="46"/>
  <c r="AZ62" i="46"/>
  <c r="AJ97" i="46"/>
  <c r="B37" i="49"/>
  <c r="BE96" i="46"/>
  <c r="S96" i="46"/>
  <c r="S136" i="46"/>
  <c r="Q97" i="46"/>
  <c r="AN312" i="46"/>
  <c r="T26" i="46"/>
  <c r="AO239" i="46"/>
  <c r="H17" i="46"/>
  <c r="AF26" i="46"/>
  <c r="BE332" i="46"/>
  <c r="H37" i="46"/>
  <c r="AR64" i="46"/>
  <c r="S115" i="46"/>
  <c r="S155" i="46" s="1"/>
  <c r="U155" i="46" s="1"/>
  <c r="BC115" i="46"/>
  <c r="BC301" i="46" s="1"/>
  <c r="BE301" i="46" s="1"/>
  <c r="BG99" i="46"/>
  <c r="BI329" i="46"/>
  <c r="D25" i="49"/>
  <c r="AB17" i="46"/>
  <c r="AG22" i="46"/>
  <c r="AS22" i="46"/>
  <c r="BA22" i="46"/>
  <c r="K45" i="46"/>
  <c r="AJ93" i="46"/>
  <c r="AR37" i="47"/>
  <c r="D27" i="49"/>
  <c r="J6" i="21"/>
  <c r="J72" i="21" s="1"/>
  <c r="K6" i="21"/>
  <c r="U113" i="3"/>
  <c r="W113" i="3" s="1"/>
  <c r="AS37" i="46"/>
  <c r="AO37" i="46"/>
  <c r="AZ129" i="46"/>
  <c r="AZ315" i="46"/>
  <c r="AZ17" i="46"/>
  <c r="AZ262" i="46"/>
  <c r="BE21" i="46"/>
  <c r="BA21" i="46"/>
  <c r="AG35" i="46"/>
  <c r="AE34" i="46"/>
  <c r="AO46" i="46"/>
  <c r="AN46" i="46"/>
  <c r="AS46" i="46"/>
  <c r="AM126" i="46"/>
  <c r="AN123" i="46"/>
  <c r="AM129" i="46"/>
  <c r="AM128" i="46"/>
  <c r="AN128" i="46" s="1"/>
  <c r="BD229" i="46"/>
  <c r="BE229" i="46"/>
  <c r="BC322" i="46"/>
  <c r="BD322" i="46" s="1"/>
  <c r="AZ241" i="46"/>
  <c r="BH250" i="46"/>
  <c r="BI250" i="46"/>
  <c r="BI229" i="46"/>
  <c r="AM115" i="46"/>
  <c r="AM301" i="46" s="1"/>
  <c r="AO95" i="46"/>
  <c r="AS95" i="46"/>
  <c r="N17" i="21"/>
  <c r="N83" i="21" s="1"/>
  <c r="CF24" i="47"/>
  <c r="BI37" i="46"/>
  <c r="X16" i="46"/>
  <c r="AV230" i="46"/>
  <c r="E63" i="49"/>
  <c r="E27" i="49"/>
  <c r="BI109" i="46"/>
  <c r="BH109" i="46"/>
  <c r="AV232" i="46"/>
  <c r="Q155" i="46"/>
  <c r="P155" i="46"/>
  <c r="O165" i="46"/>
  <c r="T165" i="46" s="1"/>
  <c r="BK178" i="46"/>
  <c r="BK198" i="46" s="1"/>
  <c r="BK291" i="46" s="1"/>
  <c r="AN109" i="46"/>
  <c r="K153" i="46"/>
  <c r="L153" i="46" s="1"/>
  <c r="L143" i="46"/>
  <c r="L113" i="46"/>
  <c r="M113" i="46"/>
  <c r="K118" i="46"/>
  <c r="L118" i="46" s="1"/>
  <c r="AQ129" i="46"/>
  <c r="AQ133" i="46"/>
  <c r="AQ153" i="46" s="1"/>
  <c r="AR123" i="46"/>
  <c r="AQ126" i="46"/>
  <c r="AR126" i="46" s="1"/>
  <c r="AQ128" i="46"/>
  <c r="AR128" i="46" s="1"/>
  <c r="AS148" i="46"/>
  <c r="E17" i="49"/>
  <c r="BI57" i="46"/>
  <c r="AN89" i="46"/>
  <c r="AO89" i="46"/>
  <c r="AY88" i="46"/>
  <c r="AY227" i="46"/>
  <c r="BE227" i="46" s="1"/>
  <c r="BA84" i="46"/>
  <c r="AY87" i="46"/>
  <c r="AZ87" i="46"/>
  <c r="AQ17" i="47" a="1"/>
  <c r="BE84" i="46"/>
  <c r="AZ84" i="46"/>
  <c r="W96" i="46"/>
  <c r="AC96" i="46" s="1"/>
  <c r="Y97" i="46"/>
  <c r="BD107" i="46"/>
  <c r="BE107" i="46"/>
  <c r="AA26" i="46"/>
  <c r="AB26" i="46" s="1"/>
  <c r="AA24" i="46"/>
  <c r="AB21" i="46"/>
  <c r="AC21" i="46" s="1"/>
  <c r="AA113" i="46"/>
  <c r="AB143" i="46" s="1"/>
  <c r="AJ56" i="46"/>
  <c r="AK56" i="46"/>
  <c r="AO56" i="46"/>
  <c r="X115" i="46"/>
  <c r="Y115" i="46"/>
  <c r="W155" i="46"/>
  <c r="Y155" i="46" s="1"/>
  <c r="X145" i="46"/>
  <c r="AS78" i="46"/>
  <c r="AF36" i="46"/>
  <c r="AE137" i="46"/>
  <c r="AU76" i="46"/>
  <c r="AU117" i="46" s="1"/>
  <c r="AL20" i="47" a="1"/>
  <c r="AU78" i="46"/>
  <c r="AV78" i="46" s="1"/>
  <c r="AU329" i="46"/>
  <c r="AU113" i="46"/>
  <c r="AW113" i="46" s="1"/>
  <c r="BA72" i="46"/>
  <c r="AW72" i="46"/>
  <c r="AR94" i="46"/>
  <c r="M116" i="46"/>
  <c r="K156" i="46"/>
  <c r="BI65" i="46"/>
  <c r="H24" i="49"/>
  <c r="BH65" i="46"/>
  <c r="P115" i="46"/>
  <c r="BA35" i="46"/>
  <c r="AZ35" i="46"/>
  <c r="F14" i="49"/>
  <c r="CD13" i="47" s="1"/>
  <c r="AW95" i="46"/>
  <c r="AE136" i="46"/>
  <c r="AG136" i="46" s="1"/>
  <c r="E62" i="49"/>
  <c r="K31" i="21" s="1"/>
  <c r="AV220" i="46"/>
  <c r="AW220" i="46"/>
  <c r="BE222" i="46"/>
  <c r="AK312" i="46"/>
  <c r="AJ88" i="46"/>
  <c r="AJ314" i="46"/>
  <c r="AJ108" i="46"/>
  <c r="AJ77" i="46"/>
  <c r="AJ241" i="46"/>
  <c r="AO21" i="46"/>
  <c r="AV65" i="46"/>
  <c r="E24" i="49"/>
  <c r="AS86" i="46"/>
  <c r="AR95" i="46"/>
  <c r="AA136" i="46"/>
  <c r="AC97" i="46"/>
  <c r="AA96" i="46"/>
  <c r="AA135" i="46" s="1"/>
  <c r="AJ163" i="46"/>
  <c r="BD16" i="46"/>
  <c r="BA55" i="46"/>
  <c r="AZ55" i="46"/>
  <c r="F22" i="49"/>
  <c r="AC73" i="46"/>
  <c r="AA114" i="46"/>
  <c r="AG73" i="46"/>
  <c r="AB73" i="46"/>
  <c r="AR77" i="46"/>
  <c r="C62" i="49"/>
  <c r="I31" i="21" s="1"/>
  <c r="AN220" i="46"/>
  <c r="BA222" i="46"/>
  <c r="AU98" i="46"/>
  <c r="AZ109" i="46"/>
  <c r="AR108" i="46"/>
  <c r="AW108" i="46"/>
  <c r="I22" i="46"/>
  <c r="BC299" i="46"/>
  <c r="BD299" i="46" s="1"/>
  <c r="BC133" i="46"/>
  <c r="BA36" i="46"/>
  <c r="AJ87" i="46"/>
  <c r="AW88" i="46"/>
  <c r="AR88" i="46"/>
  <c r="AJ128" i="46"/>
  <c r="AO143" i="46"/>
  <c r="AK242" i="46"/>
  <c r="AJ242" i="46"/>
  <c r="AR241" i="46"/>
  <c r="AR16" i="46"/>
  <c r="AV16" i="46"/>
  <c r="AN227" i="46"/>
  <c r="AM320" i="46"/>
  <c r="AS320" i="46" s="1"/>
  <c r="AZ260" i="46"/>
  <c r="F65" i="49"/>
  <c r="AW256" i="46"/>
  <c r="AR256" i="46"/>
  <c r="P16" i="46"/>
  <c r="AR66" i="46"/>
  <c r="E73" i="46"/>
  <c r="D73" i="46"/>
  <c r="I73" i="46"/>
  <c r="AO258" i="46"/>
  <c r="AW313" i="46"/>
  <c r="AV313" i="46"/>
  <c r="AS315" i="46"/>
  <c r="AR75" i="46"/>
  <c r="I35" i="46"/>
  <c r="AZ47" i="46"/>
  <c r="AK57" i="46"/>
  <c r="AJ57" i="46"/>
  <c r="AZ57" i="46"/>
  <c r="AJ95" i="46"/>
  <c r="AI115" i="46"/>
  <c r="AK95" i="46"/>
  <c r="BI93" i="46"/>
  <c r="BI94" i="46"/>
  <c r="BG113" i="46"/>
  <c r="BG118" i="46" s="1"/>
  <c r="AK220" i="46"/>
  <c r="BH93" i="46"/>
  <c r="AZ14" i="46"/>
  <c r="Y74" i="46"/>
  <c r="T74" i="46"/>
  <c r="AN97" i="46"/>
  <c r="AM117" i="46"/>
  <c r="AM137" i="46" s="1"/>
  <c r="AN137" i="46" s="1"/>
  <c r="AS97" i="46"/>
  <c r="BC99" i="46"/>
  <c r="BD99" i="46" s="1"/>
  <c r="BE93" i="46"/>
  <c r="D134" i="46"/>
  <c r="I134" i="46"/>
  <c r="BG115" i="46"/>
  <c r="BG119" i="46" s="1"/>
  <c r="BI95" i="46"/>
  <c r="G45" i="46"/>
  <c r="Y114" i="46"/>
  <c r="BC114" i="46"/>
  <c r="BC134" i="46" s="1"/>
  <c r="P116" i="46"/>
  <c r="BE241" i="46"/>
  <c r="BH95" i="46"/>
  <c r="AV229" i="46"/>
  <c r="AV54" i="46"/>
  <c r="AV332" i="46"/>
  <c r="AV75" i="46"/>
  <c r="AV96" i="46"/>
  <c r="AV34" i="46"/>
  <c r="AV312" i="46"/>
  <c r="AV86" i="46"/>
  <c r="AS36" i="46"/>
  <c r="AZ330" i="46"/>
  <c r="AY226" i="46"/>
  <c r="AY89" i="46"/>
  <c r="AO93" i="46"/>
  <c r="AM99" i="46"/>
  <c r="U134" i="46"/>
  <c r="T134" i="46"/>
  <c r="AI146" i="46"/>
  <c r="AK146" i="46" s="1"/>
  <c r="T37" i="46"/>
  <c r="T113" i="46"/>
  <c r="N31" i="21"/>
  <c r="CF35" i="47"/>
  <c r="L8" i="21"/>
  <c r="L143" i="21" s="1"/>
  <c r="C18" i="49"/>
  <c r="I11" i="21"/>
  <c r="D35" i="49"/>
  <c r="D34" i="49"/>
  <c r="D77" i="49"/>
  <c r="J46" i="21" s="1"/>
  <c r="J181" i="21" s="1"/>
  <c r="J13" i="21"/>
  <c r="H11" i="21"/>
  <c r="B15" i="49"/>
  <c r="C77" i="49"/>
  <c r="I13" i="21"/>
  <c r="I276" i="21" s="1"/>
  <c r="CA20" i="47"/>
  <c r="E21" i="49"/>
  <c r="AM260" i="46"/>
  <c r="AN260" i="46" s="1"/>
  <c r="AJ165" i="46"/>
  <c r="AG24" i="47" a="1"/>
  <c r="AI24" i="47" s="1"/>
  <c r="E23" i="49"/>
  <c r="X113" i="46"/>
  <c r="AV116" i="46"/>
  <c r="AU136" i="46"/>
  <c r="AU302" i="46"/>
  <c r="AV320" i="46"/>
  <c r="CC18" i="47"/>
  <c r="AB163" i="46"/>
  <c r="U75" i="46"/>
  <c r="X143" i="46"/>
  <c r="AB37" i="47"/>
  <c r="Y153" i="46"/>
  <c r="AK231" i="46"/>
  <c r="AJ231" i="46"/>
  <c r="AO231" i="46"/>
  <c r="AZ65" i="46"/>
  <c r="AF114" i="46"/>
  <c r="AF144" i="46"/>
  <c r="AG114" i="46"/>
  <c r="AE154" i="46"/>
  <c r="AI261" i="46"/>
  <c r="AJ261" i="46" s="1"/>
  <c r="AJ320" i="46"/>
  <c r="AK320" i="46"/>
  <c r="AI133" i="46"/>
  <c r="AO133" i="46" s="1"/>
  <c r="Y75" i="46"/>
  <c r="AW24" i="46"/>
  <c r="AJ232" i="46"/>
  <c r="AK232" i="46"/>
  <c r="C163" i="46"/>
  <c r="H163" i="46" s="1"/>
  <c r="E153" i="46"/>
  <c r="D153" i="46"/>
  <c r="AZ115" i="46"/>
  <c r="AY135" i="46"/>
  <c r="AZ145" i="46" s="1"/>
  <c r="AY301" i="46"/>
  <c r="AE119" i="46"/>
  <c r="AF119" i="46" s="1"/>
  <c r="AV13" i="47"/>
  <c r="T115" i="46"/>
  <c r="U115" i="46"/>
  <c r="AR34" i="46"/>
  <c r="AB145" i="46"/>
  <c r="AA155" i="46"/>
  <c r="AB155" i="46"/>
  <c r="AC115" i="46"/>
  <c r="AB115" i="46"/>
  <c r="BI320" i="46"/>
  <c r="L136" i="46"/>
  <c r="AY335" i="46"/>
  <c r="AZ335" i="46" s="1"/>
  <c r="AY341" i="46"/>
  <c r="AZ341" i="46" s="1"/>
  <c r="AG20" i="47"/>
  <c r="AG49" i="47" s="1"/>
  <c r="AR113" i="46"/>
  <c r="BH114" i="46"/>
  <c r="D115" i="46"/>
  <c r="D145" i="46"/>
  <c r="E115" i="46"/>
  <c r="C155" i="46"/>
  <c r="AY136" i="46"/>
  <c r="AY156" i="46" s="1"/>
  <c r="AZ156" i="46" s="1"/>
  <c r="AV97" i="46"/>
  <c r="E37" i="49"/>
  <c r="AW97" i="46"/>
  <c r="BE35" i="46"/>
  <c r="BD115" i="46"/>
  <c r="AJ324" i="46"/>
  <c r="AK324" i="46"/>
  <c r="O164" i="46"/>
  <c r="T164" i="46" s="1"/>
  <c r="Q154" i="46"/>
  <c r="P154" i="46"/>
  <c r="AV98" i="46"/>
  <c r="E25" i="49"/>
  <c r="CC16" i="47"/>
  <c r="CC35" i="47"/>
  <c r="F18" i="49"/>
  <c r="L11" i="21"/>
  <c r="M153" i="46"/>
  <c r="AN115" i="46"/>
  <c r="AU133" i="46"/>
  <c r="AU138" i="46" s="1"/>
  <c r="AU118" i="46"/>
  <c r="AV118" i="46"/>
  <c r="AA119" i="46"/>
  <c r="AA118" i="46"/>
  <c r="AG118" i="46"/>
  <c r="AB113" i="46"/>
  <c r="BA87" i="46"/>
  <c r="F26" i="49"/>
  <c r="T26" i="49"/>
  <c r="AR143" i="46"/>
  <c r="AB24" i="47" a="1"/>
  <c r="AC24" i="47" s="1"/>
  <c r="AU334" i="46"/>
  <c r="AW334" i="46" s="1"/>
  <c r="AV329" i="46"/>
  <c r="AU335" i="46"/>
  <c r="AU333" i="46"/>
  <c r="AV333" i="46"/>
  <c r="AW329" i="46"/>
  <c r="BE88" i="46"/>
  <c r="AZ88" i="46"/>
  <c r="BA88" i="46"/>
  <c r="K32" i="21"/>
  <c r="CC36" i="47"/>
  <c r="AZ89" i="46"/>
  <c r="BA89" i="46"/>
  <c r="BE89" i="46"/>
  <c r="BD143" i="46"/>
  <c r="BD133" i="46"/>
  <c r="BC153" i="46"/>
  <c r="BC206" i="46"/>
  <c r="AG21" i="46"/>
  <c r="AW78" i="46"/>
  <c r="X155" i="46"/>
  <c r="AB165" i="46"/>
  <c r="AZ227" i="46"/>
  <c r="AY320" i="46"/>
  <c r="AZ320" i="46" s="1"/>
  <c r="BC118" i="46"/>
  <c r="BD118" i="46" s="1"/>
  <c r="AV76" i="46"/>
  <c r="AY230" i="46"/>
  <c r="AB144" i="46"/>
  <c r="AA154" i="46"/>
  <c r="AC154" i="46" s="1"/>
  <c r="AB114" i="46"/>
  <c r="AC114" i="46"/>
  <c r="L156" i="46"/>
  <c r="M156" i="46"/>
  <c r="K166" i="46"/>
  <c r="P166" i="46"/>
  <c r="AN117" i="46"/>
  <c r="BA329" i="46"/>
  <c r="BG133" i="46"/>
  <c r="CD38" i="47"/>
  <c r="L34" i="21"/>
  <c r="H274" i="21"/>
  <c r="H77" i="21"/>
  <c r="H128" i="21" s="1"/>
  <c r="H225" i="21"/>
  <c r="H146" i="21"/>
  <c r="I46" i="21"/>
  <c r="I112" i="21" s="1"/>
  <c r="AZ135" i="46"/>
  <c r="AY155" i="46"/>
  <c r="AZ155" i="46" s="1"/>
  <c r="AG154" i="46"/>
  <c r="AF154" i="46"/>
  <c r="AJ164" i="46"/>
  <c r="AV136" i="46"/>
  <c r="AV146" i="46"/>
  <c r="AU156" i="46"/>
  <c r="AV156" i="46" s="1"/>
  <c r="AV302" i="46"/>
  <c r="C65" i="49"/>
  <c r="I34" i="21" s="1"/>
  <c r="I100" i="21" s="1"/>
  <c r="C165" i="46"/>
  <c r="H165" i="46" s="1"/>
  <c r="D155" i="46"/>
  <c r="E155" i="46"/>
  <c r="AF165" i="46"/>
  <c r="AC155" i="46"/>
  <c r="AV335" i="46"/>
  <c r="AJ167" i="46"/>
  <c r="CD17" i="47"/>
  <c r="AF164" i="46"/>
  <c r="AB154" i="46"/>
  <c r="BD153" i="46"/>
  <c r="BC163" i="46"/>
  <c r="AJ166" i="46"/>
  <c r="AF163" i="46"/>
  <c r="AB118" i="46"/>
  <c r="AU209" i="46"/>
  <c r="AV209" i="46" s="1"/>
  <c r="X167" i="46"/>
  <c r="AB166" i="46"/>
  <c r="AF166" i="46"/>
  <c r="AB167" i="46"/>
  <c r="AF167" i="46"/>
  <c r="AI64" i="10"/>
  <c r="AK57" i="10"/>
  <c r="AM57" i="10" s="1"/>
  <c r="F106" i="8"/>
  <c r="BH25" i="46"/>
  <c r="BI24" i="46"/>
  <c r="H11" i="49"/>
  <c r="CF11" i="47" s="1"/>
  <c r="BL61" i="46"/>
  <c r="BL236" i="46"/>
  <c r="BL11" i="46"/>
  <c r="BJ10" i="6" s="1"/>
  <c r="BL123" i="46"/>
  <c r="BL103" i="46"/>
  <c r="D109" i="8"/>
  <c r="L109" i="8" s="1"/>
  <c r="BL51" i="46"/>
  <c r="BL309" i="46"/>
  <c r="BL41" i="46"/>
  <c r="BL216" i="46"/>
  <c r="BL246" i="46"/>
  <c r="X42" i="47"/>
  <c r="X43" i="47" s="1"/>
  <c r="BI44" i="48"/>
  <c r="AY58" i="48"/>
  <c r="AT45" i="48"/>
  <c r="AT55" i="48"/>
  <c r="AO95" i="48"/>
  <c r="AQ60" i="48"/>
  <c r="BU32" i="48"/>
  <c r="W45" i="48"/>
  <c r="AD55" i="48"/>
  <c r="AR30" i="48"/>
  <c r="AN61" i="48"/>
  <c r="AC60" i="48"/>
  <c r="BB32" i="48"/>
  <c r="AT61" i="48"/>
  <c r="AO58" i="48"/>
  <c r="BC54" i="11"/>
  <c r="BG24" i="1"/>
  <c r="BD12" i="11" s="1"/>
  <c r="BG44" i="1"/>
  <c r="BJ44" i="1" s="1"/>
  <c r="BI14" i="1"/>
  <c r="BD10" i="11"/>
  <c r="BD45" i="11" s="1"/>
  <c r="BI86" i="1"/>
  <c r="BI116" i="1"/>
  <c r="BI56" i="1"/>
  <c r="F109" i="8"/>
  <c r="K141" i="21"/>
  <c r="AJ20" i="47"/>
  <c r="AV10" i="47"/>
  <c r="R3" i="55" s="1"/>
  <c r="AV35" i="47"/>
  <c r="CE16" i="47"/>
  <c r="G113" i="3"/>
  <c r="CE31" i="47"/>
  <c r="CE41" i="47" s="1"/>
  <c r="CE42" i="47" s="1"/>
  <c r="CE43" i="47" s="1"/>
  <c r="M27" i="21"/>
  <c r="M290" i="21" s="1"/>
  <c r="G71" i="49"/>
  <c r="M40" i="21" s="1"/>
  <c r="C9" i="49"/>
  <c r="D9" i="49"/>
  <c r="E15" i="49"/>
  <c r="AW15" i="47"/>
  <c r="BD18" i="47"/>
  <c r="G77" i="49"/>
  <c r="M46" i="21" s="1"/>
  <c r="I17" i="21"/>
  <c r="I230" i="21" s="1"/>
  <c r="AN41" i="47"/>
  <c r="AN42" i="47" s="1"/>
  <c r="AN43" i="47" s="1"/>
  <c r="CC10" i="47"/>
  <c r="E12" i="49"/>
  <c r="BG189" i="46"/>
  <c r="BG188" i="46"/>
  <c r="BH15" i="46"/>
  <c r="BH45" i="46"/>
  <c r="D106" i="8"/>
  <c r="L106" i="8" s="1"/>
  <c r="BH108" i="46"/>
  <c r="G118" i="3"/>
  <c r="BM21" i="46"/>
  <c r="BI113" i="46"/>
  <c r="H37" i="49"/>
  <c r="CF21" i="47" s="1"/>
  <c r="BH113" i="46"/>
  <c r="BG299" i="46"/>
  <c r="BI299" i="46" s="1"/>
  <c r="BH261" i="46"/>
  <c r="BH231" i="46"/>
  <c r="BH26" i="46"/>
  <c r="BH16" i="46"/>
  <c r="BH221" i="46"/>
  <c r="BH314" i="46"/>
  <c r="BH241" i="46"/>
  <c r="BI16" i="46"/>
  <c r="BI17" i="46"/>
  <c r="BH128" i="46"/>
  <c r="BH98" i="46"/>
  <c r="BH133" i="46"/>
  <c r="BI133" i="46"/>
  <c r="BH143" i="46"/>
  <c r="BH46" i="46"/>
  <c r="BH66" i="46"/>
  <c r="BG153" i="46"/>
  <c r="BI153" i="46" s="1"/>
  <c r="BH89" i="46"/>
  <c r="BH99" i="46"/>
  <c r="T37" i="8"/>
  <c r="BM87" i="46"/>
  <c r="BL226" i="46"/>
  <c r="BK319" i="46"/>
  <c r="BL319" i="46" s="1"/>
  <c r="BM256" i="46"/>
  <c r="BL256" i="46"/>
  <c r="I62" i="49"/>
  <c r="BK332" i="46"/>
  <c r="BM332" i="46" s="1"/>
  <c r="AI56" i="9"/>
  <c r="AR261" i="46"/>
  <c r="L175" i="1"/>
  <c r="AR55" i="11"/>
  <c r="AR42" i="11"/>
  <c r="AW70" i="11" s="1"/>
  <c r="AW55" i="11"/>
  <c r="AR66" i="1"/>
  <c r="BE63" i="1"/>
  <c r="BD63" i="1"/>
  <c r="BJ63" i="1"/>
  <c r="BL18" i="11"/>
  <c r="BL45" i="11" s="1"/>
  <c r="L30" i="5"/>
  <c r="BM18" i="11"/>
  <c r="BM45" i="11" s="1"/>
  <c r="M30" i="5"/>
  <c r="BN18" i="11"/>
  <c r="BM24" i="11"/>
  <c r="AL34" i="11"/>
  <c r="AL35" i="11" s="1"/>
  <c r="AL36" i="11" s="1"/>
  <c r="AU219" i="1"/>
  <c r="AU217" i="1"/>
  <c r="P58" i="5" s="1"/>
  <c r="BJ215" i="1"/>
  <c r="N8" i="21"/>
  <c r="N143" i="21" s="1"/>
  <c r="AL38" i="11"/>
  <c r="AL50" i="11" s="1"/>
  <c r="AQ56" i="11"/>
  <c r="X134" i="1"/>
  <c r="W144" i="1"/>
  <c r="X124" i="1"/>
  <c r="AS26" i="1"/>
  <c r="AI97" i="1"/>
  <c r="L23" i="5"/>
  <c r="L24" i="5" s="1"/>
  <c r="AJ66" i="1"/>
  <c r="BP18" i="11"/>
  <c r="BP45" i="11" s="1"/>
  <c r="X29" i="5"/>
  <c r="Z29" i="5"/>
  <c r="Q30" i="5"/>
  <c r="Q32" i="5"/>
  <c r="Q33" i="5" s="1"/>
  <c r="G281" i="21"/>
  <c r="E13" i="32"/>
  <c r="E18" i="32"/>
  <c r="F18" i="32" s="1"/>
  <c r="E9" i="31"/>
  <c r="E18" i="31"/>
  <c r="BI99" i="46"/>
  <c r="AG98" i="1"/>
  <c r="J275" i="21"/>
  <c r="J226" i="21"/>
  <c r="AN14" i="11"/>
  <c r="AN41" i="11" s="1"/>
  <c r="AT14" i="11"/>
  <c r="AT41" i="11" s="1"/>
  <c r="AL43" i="11"/>
  <c r="AH79" i="3"/>
  <c r="D70" i="8"/>
  <c r="C86" i="3"/>
  <c r="G86" i="3" s="1"/>
  <c r="D84" i="8"/>
  <c r="C100" i="3"/>
  <c r="G100" i="3" s="1"/>
  <c r="M16" i="1"/>
  <c r="M17" i="1" s="1"/>
  <c r="BA22" i="1"/>
  <c r="BE31" i="1"/>
  <c r="BJ31" i="1"/>
  <c r="H45" i="1"/>
  <c r="Y55" i="9"/>
  <c r="Y78" i="10"/>
  <c r="CA10" i="47"/>
  <c r="CA66" i="47" s="1"/>
  <c r="AA78" i="10"/>
  <c r="AC55" i="9"/>
  <c r="AA55" i="9"/>
  <c r="AA62" i="9" s="1"/>
  <c r="W57" i="9"/>
  <c r="BZ13" i="47"/>
  <c r="AC57" i="9"/>
  <c r="AA57" i="9"/>
  <c r="L20" i="5"/>
  <c r="K275" i="21"/>
  <c r="K226" i="21"/>
  <c r="Q11" i="10"/>
  <c r="BV20" i="47"/>
  <c r="S94" i="3"/>
  <c r="D85" i="8" s="1"/>
  <c r="L83" i="8"/>
  <c r="E42" i="30"/>
  <c r="G56" i="30"/>
  <c r="G58" i="30" s="1"/>
  <c r="X22" i="44"/>
  <c r="X25" i="44"/>
  <c r="X14" i="44"/>
  <c r="W14" i="44" s="1"/>
  <c r="X24" i="44"/>
  <c r="X20" i="44"/>
  <c r="BA230" i="46"/>
  <c r="AQ36" i="47" a="1"/>
  <c r="BA226" i="46"/>
  <c r="AY231" i="46"/>
  <c r="E33" i="49"/>
  <c r="E77" i="49" s="1"/>
  <c r="K46" i="21" s="1"/>
  <c r="AW76" i="46"/>
  <c r="BI114" i="46"/>
  <c r="BA227" i="46"/>
  <c r="AR133" i="46"/>
  <c r="AA153" i="46"/>
  <c r="AB153" i="46" s="1"/>
  <c r="AC113" i="46"/>
  <c r="AV113" i="46"/>
  <c r="AU299" i="46"/>
  <c r="K163" i="46"/>
  <c r="P163" i="46" s="1"/>
  <c r="U96" i="46"/>
  <c r="BE115" i="46"/>
  <c r="Q45" i="46"/>
  <c r="BA116" i="46"/>
  <c r="BG134" i="46"/>
  <c r="BG138" i="46"/>
  <c r="BH138" i="46" s="1"/>
  <c r="AQ299" i="46"/>
  <c r="T145" i="46"/>
  <c r="E45" i="46"/>
  <c r="BE37" i="6"/>
  <c r="AV42" i="6"/>
  <c r="M127" i="21"/>
  <c r="M313" i="21" s="1"/>
  <c r="AC50" i="11"/>
  <c r="BM14" i="11"/>
  <c r="AM48" i="11"/>
  <c r="BN16" i="11"/>
  <c r="Y105" i="1"/>
  <c r="AU103" i="1"/>
  <c r="G173" i="1"/>
  <c r="H146" i="1"/>
  <c r="L125" i="1"/>
  <c r="L275" i="21"/>
  <c r="L226" i="21"/>
  <c r="AN19" i="11"/>
  <c r="X94" i="1"/>
  <c r="W123" i="1"/>
  <c r="AC123" i="1" s="1"/>
  <c r="BA63" i="1"/>
  <c r="AY53" i="11"/>
  <c r="AE10" i="11"/>
  <c r="AE14" i="11" s="1"/>
  <c r="AE41" i="11" s="1"/>
  <c r="AZ14" i="1"/>
  <c r="AX13" i="6" s="1"/>
  <c r="AX19" i="6" s="1"/>
  <c r="AX25" i="6" s="1"/>
  <c r="AX31" i="6" s="1"/>
  <c r="AX37" i="6" s="1"/>
  <c r="AN118" i="1"/>
  <c r="AG37" i="1"/>
  <c r="AW45" i="1"/>
  <c r="AS45" i="1"/>
  <c r="P26" i="5"/>
  <c r="BI83" i="1"/>
  <c r="K124" i="1"/>
  <c r="W55" i="9"/>
  <c r="W60" i="9" s="1"/>
  <c r="W78" i="10"/>
  <c r="BZ10" i="47"/>
  <c r="BZ56" i="47" s="1"/>
  <c r="AE60" i="9"/>
  <c r="CA11" i="47"/>
  <c r="Y56" i="9"/>
  <c r="AC56" i="9"/>
  <c r="BU20" i="47"/>
  <c r="C13" i="21"/>
  <c r="O11" i="10"/>
  <c r="AT95" i="48"/>
  <c r="D13" i="21"/>
  <c r="D276" i="21" s="1"/>
  <c r="E194" i="21"/>
  <c r="BH127" i="46"/>
  <c r="AR99" i="47"/>
  <c r="AB89" i="8"/>
  <c r="AS99" i="47"/>
  <c r="I28" i="30"/>
  <c r="R28" i="30"/>
  <c r="F51" i="30"/>
  <c r="G51" i="30" s="1"/>
  <c r="H58" i="30"/>
  <c r="I337" i="44"/>
  <c r="AR26" i="46"/>
  <c r="AW26" i="46"/>
  <c r="BA94" i="46"/>
  <c r="BA240" i="46"/>
  <c r="C76" i="3"/>
  <c r="G76" i="3" s="1"/>
  <c r="AA90" i="3"/>
  <c r="AA94" i="3" s="1"/>
  <c r="AH90" i="3"/>
  <c r="AG42" i="9"/>
  <c r="AG45" i="9" s="1"/>
  <c r="V45" i="8"/>
  <c r="X60" i="8"/>
  <c r="D60" i="8"/>
  <c r="AB83" i="8"/>
  <c r="AD83" i="8" s="1"/>
  <c r="D81" i="8"/>
  <c r="L88" i="8" s="1"/>
  <c r="S34" i="7"/>
  <c r="U34" i="7"/>
  <c r="U58" i="7" s="1"/>
  <c r="F46" i="7"/>
  <c r="F58" i="7" s="1"/>
  <c r="J46" i="7"/>
  <c r="J58" i="7"/>
  <c r="U47" i="7"/>
  <c r="U59" i="7" s="1"/>
  <c r="AC47" i="7"/>
  <c r="AC59" i="7"/>
  <c r="D60" i="30"/>
  <c r="H60" i="30" s="1"/>
  <c r="BH34" i="6"/>
  <c r="AG44" i="7"/>
  <c r="BM259" i="46"/>
  <c r="BG70" i="47"/>
  <c r="L16" i="53" s="1"/>
  <c r="AO75" i="46"/>
  <c r="AO97" i="46"/>
  <c r="AS220" i="46"/>
  <c r="AW226" i="46"/>
  <c r="AO331" i="46"/>
  <c r="J47" i="3"/>
  <c r="AH76" i="3"/>
  <c r="S87" i="3"/>
  <c r="C94" i="3" s="1"/>
  <c r="AH84" i="3"/>
  <c r="C98" i="3"/>
  <c r="G98" i="3" s="1"/>
  <c r="O98" i="3" s="1"/>
  <c r="AH92" i="3"/>
  <c r="AR98" i="3"/>
  <c r="U112" i="3"/>
  <c r="X84" i="8"/>
  <c r="AB82" i="8"/>
  <c r="F33" i="7"/>
  <c r="F57" i="7" s="1"/>
  <c r="H33" i="7"/>
  <c r="N34" i="7"/>
  <c r="H52" i="7"/>
  <c r="J45" i="7"/>
  <c r="W53" i="7"/>
  <c r="AY83" i="47" s="1"/>
  <c r="AA53" i="7"/>
  <c r="D28" i="30"/>
  <c r="D29" i="30" s="1"/>
  <c r="I24" i="30"/>
  <c r="I26" i="30" s="1"/>
  <c r="J24" i="30" s="1"/>
  <c r="J26" i="30" s="1"/>
  <c r="S18" i="30"/>
  <c r="U66" i="30"/>
  <c r="G333" i="44"/>
  <c r="G334" i="44" s="1"/>
  <c r="E335" i="44"/>
  <c r="AE46" i="7"/>
  <c r="AG32" i="7"/>
  <c r="AG56" i="7" s="1"/>
  <c r="AE52" i="7"/>
  <c r="BI34" i="6"/>
  <c r="BH40" i="6"/>
  <c r="J337" i="44"/>
  <c r="I56" i="30"/>
  <c r="I58" i="30" s="1"/>
  <c r="J56" i="30" s="1"/>
  <c r="J58" i="30" s="1"/>
  <c r="K56" i="30" s="1"/>
  <c r="M56" i="30"/>
  <c r="M58" i="30" s="1"/>
  <c r="BG99" i="47"/>
  <c r="AB96" i="8"/>
  <c r="BB99" i="47"/>
  <c r="AW99" i="47"/>
  <c r="AW81" i="11"/>
  <c r="BB81" i="11"/>
  <c r="BM41" i="11"/>
  <c r="BA231" i="46"/>
  <c r="U53" i="7"/>
  <c r="F52" i="7"/>
  <c r="F18" i="31"/>
  <c r="Q38" i="5"/>
  <c r="Q39" i="5" s="1"/>
  <c r="AI127" i="1"/>
  <c r="AJ97" i="1"/>
  <c r="G344" i="44"/>
  <c r="G38" i="44"/>
  <c r="G39" i="44" s="1"/>
  <c r="U18" i="30"/>
  <c r="AW65" i="11"/>
  <c r="BB83" i="47"/>
  <c r="C15" i="32"/>
  <c r="C15" i="31"/>
  <c r="J51" i="7"/>
  <c r="J57" i="7"/>
  <c r="AB90" i="8"/>
  <c r="AT81" i="11"/>
  <c r="AT99" i="47"/>
  <c r="F28" i="30"/>
  <c r="S28" i="30"/>
  <c r="T28" i="30" s="1"/>
  <c r="E62" i="21"/>
  <c r="C276" i="21"/>
  <c r="K144" i="1"/>
  <c r="L144" i="1" s="1"/>
  <c r="L134" i="1"/>
  <c r="Q124" i="1"/>
  <c r="L124" i="1"/>
  <c r="M124" i="1"/>
  <c r="AC11" i="10"/>
  <c r="BO17" i="11"/>
  <c r="BO44" i="11" s="1"/>
  <c r="P27" i="5"/>
  <c r="AN46" i="11"/>
  <c r="G183" i="1"/>
  <c r="H173" i="1"/>
  <c r="AR299" i="46"/>
  <c r="BH144" i="46"/>
  <c r="BG154" i="46"/>
  <c r="BH134" i="46"/>
  <c r="AW299" i="46"/>
  <c r="AV299" i="46"/>
  <c r="E35" i="49"/>
  <c r="AC53" i="7"/>
  <c r="D15" i="31" s="1"/>
  <c r="J52" i="7"/>
  <c r="H275" i="21"/>
  <c r="H226" i="21"/>
  <c r="BL16" i="11"/>
  <c r="BL43" i="11" s="1"/>
  <c r="L21" i="5"/>
  <c r="F9" i="31"/>
  <c r="F13" i="32"/>
  <c r="W174" i="1"/>
  <c r="X144" i="1"/>
  <c r="G9" i="31"/>
  <c r="X174" i="1"/>
  <c r="AX65" i="11"/>
  <c r="BH154" i="46"/>
  <c r="BG207" i="46"/>
  <c r="BG164" i="46"/>
  <c r="K174" i="1"/>
  <c r="Q144" i="1"/>
  <c r="G13" i="32"/>
  <c r="B22" i="32"/>
  <c r="B22" i="31"/>
  <c r="BH99" i="47"/>
  <c r="AX99" i="47"/>
  <c r="AJ137" i="1"/>
  <c r="AJ127" i="1"/>
  <c r="AI147" i="1"/>
  <c r="AI177" i="1" s="1"/>
  <c r="Q44" i="5"/>
  <c r="Q45" i="5" s="1"/>
  <c r="G18" i="31"/>
  <c r="H18" i="31" s="1"/>
  <c r="I18" i="31" s="1"/>
  <c r="J18" i="31" s="1"/>
  <c r="K18" i="31" s="1"/>
  <c r="L18" i="31" s="1"/>
  <c r="M18" i="31" s="1"/>
  <c r="N18" i="31" s="1"/>
  <c r="O18" i="31" s="1"/>
  <c r="AX83" i="47"/>
  <c r="AR65" i="11"/>
  <c r="K337" i="44"/>
  <c r="H13" i="32"/>
  <c r="L174" i="1"/>
  <c r="H9" i="31"/>
  <c r="I9" i="31" s="1"/>
  <c r="J9" i="31" s="1"/>
  <c r="K9" i="31" s="1"/>
  <c r="L9" i="31" s="1"/>
  <c r="M9" i="31" s="1"/>
  <c r="N9" i="31" s="1"/>
  <c r="O9" i="31" s="1"/>
  <c r="AE9" i="10"/>
  <c r="C21" i="31" s="1"/>
  <c r="AJ147" i="1"/>
  <c r="BL52" i="46"/>
  <c r="BL124" i="46"/>
  <c r="BL62" i="46"/>
  <c r="BL12" i="46"/>
  <c r="BJ11" i="6" s="1"/>
  <c r="BL217" i="46"/>
  <c r="BL310" i="46"/>
  <c r="BL247" i="46"/>
  <c r="BK16" i="46"/>
  <c r="BL42" i="46"/>
  <c r="BL237" i="46"/>
  <c r="BL73" i="46"/>
  <c r="BL104" i="46"/>
  <c r="D110" i="8"/>
  <c r="L110" i="8" s="1"/>
  <c r="BL84" i="46"/>
  <c r="BK36" i="46"/>
  <c r="F110" i="8"/>
  <c r="BM94" i="46"/>
  <c r="L100" i="21"/>
  <c r="L169" i="21"/>
  <c r="N166" i="21"/>
  <c r="N97" i="21"/>
  <c r="H230" i="21"/>
  <c r="H63" i="21"/>
  <c r="H83" i="21"/>
  <c r="H278" i="21"/>
  <c r="H152" i="21"/>
  <c r="V110" i="8"/>
  <c r="C127" i="46"/>
  <c r="I55" i="9"/>
  <c r="I62" i="9" s="1"/>
  <c r="C15" i="46"/>
  <c r="D76" i="46" s="1"/>
  <c r="H8" i="5"/>
  <c r="H32" i="5" s="1"/>
  <c r="AP49" i="3"/>
  <c r="CF31" i="47"/>
  <c r="CF41" i="47" s="1"/>
  <c r="CF42" i="47" s="1"/>
  <c r="CF43" i="47" s="1"/>
  <c r="H71" i="49"/>
  <c r="N40" i="21" s="1"/>
  <c r="N175" i="21" s="1"/>
  <c r="BM331" i="46"/>
  <c r="BK78" i="46"/>
  <c r="BF20" i="47" a="1"/>
  <c r="CG35" i="47"/>
  <c r="BK334" i="46"/>
  <c r="BL330" i="46"/>
  <c r="BM227" i="46"/>
  <c r="BK230" i="46"/>
  <c r="BK323" i="46" s="1"/>
  <c r="BK261" i="46"/>
  <c r="BM261" i="46" s="1"/>
  <c r="BL257" i="46"/>
  <c r="BM257" i="46"/>
  <c r="BL227" i="46"/>
  <c r="BK231" i="46"/>
  <c r="BM231" i="46" s="1"/>
  <c r="BK232" i="46"/>
  <c r="BL232" i="46" s="1"/>
  <c r="BK320" i="46"/>
  <c r="BL314" i="46"/>
  <c r="BK26" i="46"/>
  <c r="BL26" i="46" s="1"/>
  <c r="BM26" i="46" s="1"/>
  <c r="BK114" i="46"/>
  <c r="BK300" i="46" s="1"/>
  <c r="BK98" i="46"/>
  <c r="BM16" i="46"/>
  <c r="BL66" i="46"/>
  <c r="BK148" i="46"/>
  <c r="BM148" i="46" s="1"/>
  <c r="BM144" i="46"/>
  <c r="BL13" i="46"/>
  <c r="BJ12" i="6" s="1"/>
  <c r="BJ18" i="6" s="1"/>
  <c r="BJ24" i="6" s="1"/>
  <c r="BJ30" i="6" s="1"/>
  <c r="BJ36" i="6" s="1"/>
  <c r="BL53" i="46"/>
  <c r="BL105" i="46"/>
  <c r="BL218" i="46"/>
  <c r="BL311" i="46"/>
  <c r="BK17" i="46"/>
  <c r="D111" i="8"/>
  <c r="L111" i="8" s="1"/>
  <c r="BL248" i="46"/>
  <c r="BL43" i="46"/>
  <c r="BL238" i="46"/>
  <c r="BL228" i="46"/>
  <c r="BL85" i="46"/>
  <c r="BL63" i="46"/>
  <c r="BL125" i="46"/>
  <c r="BM33" i="46"/>
  <c r="BW33" i="46" s="1"/>
  <c r="BK27" i="46"/>
  <c r="BL27" i="46" s="1"/>
  <c r="BK37" i="46"/>
  <c r="BM36" i="46"/>
  <c r="O31" i="21"/>
  <c r="D17" i="49"/>
  <c r="D12" i="49"/>
  <c r="D44" i="49"/>
  <c r="E9" i="49"/>
  <c r="BG34" i="1"/>
  <c r="BJ34" i="1" s="1"/>
  <c r="BI76" i="1"/>
  <c r="BC13" i="47"/>
  <c r="BA13" i="47"/>
  <c r="BB13" i="47"/>
  <c r="BD13" i="47"/>
  <c r="C9" i="39" s="1"/>
  <c r="F17" i="49"/>
  <c r="AH118" i="3"/>
  <c r="U118" i="3"/>
  <c r="P68" i="8"/>
  <c r="T68" i="8"/>
  <c r="AJ68" i="8"/>
  <c r="P69" i="8"/>
  <c r="J69" i="8"/>
  <c r="AH69" i="8" s="1"/>
  <c r="AN31" i="47"/>
  <c r="BA31" i="47" a="1"/>
  <c r="BB31" i="47" s="1"/>
  <c r="BF41" i="47" a="1"/>
  <c r="BG41" i="47" s="1"/>
  <c r="BG42" i="47" s="1"/>
  <c r="BG43" i="47" s="1"/>
  <c r="T32" i="8"/>
  <c r="AH120" i="3"/>
  <c r="CD27" i="47"/>
  <c r="BL331" i="46"/>
  <c r="BH116" i="46"/>
  <c r="BM78" i="46"/>
  <c r="BG302" i="46"/>
  <c r="BI78" i="46"/>
  <c r="BH77" i="46"/>
  <c r="BK260" i="46"/>
  <c r="BM260" i="46" s="1"/>
  <c r="BM258" i="46"/>
  <c r="BK262" i="46"/>
  <c r="BM262" i="46" s="1"/>
  <c r="BL258" i="46"/>
  <c r="BF38" i="47" a="1"/>
  <c r="BL242" i="46"/>
  <c r="BL222" i="46"/>
  <c r="BL315" i="46"/>
  <c r="BL129" i="46"/>
  <c r="BL109" i="46"/>
  <c r="BL78" i="46"/>
  <c r="BL57" i="46"/>
  <c r="BM95" i="46"/>
  <c r="BK99" i="46"/>
  <c r="BM99" i="46" s="1"/>
  <c r="F111" i="8"/>
  <c r="BK115" i="46"/>
  <c r="BL115" i="46" s="1"/>
  <c r="BL262" i="46"/>
  <c r="BL99" i="46"/>
  <c r="BM145" i="46"/>
  <c r="BK149" i="46"/>
  <c r="K120" i="3"/>
  <c r="M120" i="3" s="1"/>
  <c r="V111" i="8"/>
  <c r="J120" i="3"/>
  <c r="AS95" i="48"/>
  <c r="BM45" i="48"/>
  <c r="AL60" i="48"/>
  <c r="BN53" i="48"/>
  <c r="W55" i="48"/>
  <c r="AS32" i="48"/>
  <c r="BM58" i="48"/>
  <c r="AS55" i="48"/>
  <c r="AG55" i="48"/>
  <c r="BG58" i="48"/>
  <c r="BB61" i="48"/>
  <c r="AT46" i="48"/>
  <c r="BS60" i="48"/>
  <c r="BH53" i="48"/>
  <c r="BH54" i="48"/>
  <c r="AR45" i="48"/>
  <c r="AI61" i="48"/>
  <c r="AD24" i="48"/>
  <c r="AD26" i="48" s="1"/>
  <c r="BF44" i="48"/>
  <c r="AJ45" i="48"/>
  <c r="AG44" i="48"/>
  <c r="AX61" i="48"/>
  <c r="AN95" i="48"/>
  <c r="AG12" i="48"/>
  <c r="AG43" i="48" s="1"/>
  <c r="AW60" i="48"/>
  <c r="BP46" i="48"/>
  <c r="BD58" i="48"/>
  <c r="BS58" i="48"/>
  <c r="BR60" i="48"/>
  <c r="AS61" i="48"/>
  <c r="BP58" i="48"/>
  <c r="AB60" i="48"/>
  <c r="AJ60" i="48"/>
  <c r="AB58" i="48"/>
  <c r="AB12" i="48"/>
  <c r="AB43" i="48" s="1"/>
  <c r="AB45" i="48"/>
  <c r="AT58" i="48"/>
  <c r="AO48" i="48"/>
  <c r="AO46" i="48"/>
  <c r="AO45" i="48"/>
  <c r="AO55" i="48"/>
  <c r="AV60" i="48"/>
  <c r="BA60" i="48"/>
  <c r="BC32" i="48"/>
  <c r="BQ4" i="48"/>
  <c r="BU44" i="48"/>
  <c r="AY46" i="48"/>
  <c r="AY32" i="48"/>
  <c r="AH24" i="48"/>
  <c r="AH26" i="48" s="1"/>
  <c r="C119" i="3"/>
  <c r="G119" i="3" s="1"/>
  <c r="BG13" i="1"/>
  <c r="BC10" i="11" s="1"/>
  <c r="BQ226" i="46"/>
  <c r="BO319" i="46"/>
  <c r="BU319" i="46" s="1"/>
  <c r="BQ229" i="46"/>
  <c r="B25" i="49"/>
  <c r="B21" i="49"/>
  <c r="CC56" i="47"/>
  <c r="AK64" i="10"/>
  <c r="C23" i="31"/>
  <c r="BD31" i="47"/>
  <c r="AU65" i="47"/>
  <c r="AW24" i="47"/>
  <c r="AY15" i="47"/>
  <c r="AT11" i="47"/>
  <c r="AX15" i="47"/>
  <c r="BG18" i="47"/>
  <c r="BF18" i="47"/>
  <c r="BF14" i="47"/>
  <c r="AX35" i="47"/>
  <c r="BD35" i="47"/>
  <c r="AO18" i="47"/>
  <c r="AY35" i="47"/>
  <c r="AW11" i="47"/>
  <c r="BA35" i="47"/>
  <c r="AY17" i="47"/>
  <c r="W10" i="47"/>
  <c r="BC35" i="47"/>
  <c r="BW71" i="47"/>
  <c r="AM35" i="47"/>
  <c r="AW13" i="47"/>
  <c r="AQ10" i="47"/>
  <c r="N3" i="55" s="1"/>
  <c r="AB17" i="47"/>
  <c r="AS18" i="47"/>
  <c r="AX13" i="47"/>
  <c r="BC71" i="47" s="1"/>
  <c r="AJ49" i="47"/>
  <c r="AO35" i="47"/>
  <c r="AE16" i="47"/>
  <c r="W15" i="47"/>
  <c r="AS37" i="47"/>
  <c r="AM13" i="47"/>
  <c r="AC17" i="47"/>
  <c r="BI16" i="47"/>
  <c r="AQ37" i="47"/>
  <c r="AG34" i="46"/>
  <c r="U137" i="46"/>
  <c r="E114" i="46"/>
  <c r="C119" i="46"/>
  <c r="D144" i="46"/>
  <c r="C154" i="46"/>
  <c r="D114" i="46"/>
  <c r="CE20" i="47"/>
  <c r="M13" i="21"/>
  <c r="AB14" i="47"/>
  <c r="AE14" i="47"/>
  <c r="AQ301" i="46"/>
  <c r="AS301" i="46" s="1"/>
  <c r="AQ135" i="46"/>
  <c r="AR115" i="46"/>
  <c r="AS115" i="46"/>
  <c r="K33" i="21"/>
  <c r="K168" i="21" s="1"/>
  <c r="CC37" i="47"/>
  <c r="Y11" i="47"/>
  <c r="CA21" i="47"/>
  <c r="CA57" i="47" s="1"/>
  <c r="I12" i="21"/>
  <c r="AO22" i="46"/>
  <c r="D27" i="46"/>
  <c r="D37" i="46"/>
  <c r="BE55" i="46"/>
  <c r="AO57" i="46"/>
  <c r="AO78" i="46"/>
  <c r="AS93" i="46"/>
  <c r="C118" i="46"/>
  <c r="E118" i="46"/>
  <c r="BM222" i="46"/>
  <c r="BQ313" i="46"/>
  <c r="CE37" i="47"/>
  <c r="AS319" i="46"/>
  <c r="BI21" i="46"/>
  <c r="AJ89" i="46"/>
  <c r="AO227" i="46"/>
  <c r="BK113" i="46"/>
  <c r="BK118" i="46" s="1"/>
  <c r="BL118" i="46" s="1"/>
  <c r="BM22" i="46"/>
  <c r="BO321" i="46"/>
  <c r="BU321" i="46" s="1"/>
  <c r="AF17" i="46"/>
  <c r="M87" i="46"/>
  <c r="BM314" i="46"/>
  <c r="BQ242" i="46"/>
  <c r="BQ315" i="46"/>
  <c r="BL95" i="46"/>
  <c r="BL37" i="46"/>
  <c r="BM37" i="46"/>
  <c r="BD89" i="46"/>
  <c r="BM220" i="46"/>
  <c r="C120" i="3"/>
  <c r="G120" i="3" s="1"/>
  <c r="C136" i="46"/>
  <c r="D136" i="46" s="1"/>
  <c r="I97" i="46"/>
  <c r="E97" i="46"/>
  <c r="BK335" i="46"/>
  <c r="BL335" i="46" s="1"/>
  <c r="BM88" i="46"/>
  <c r="CD31" i="47"/>
  <c r="CD41" i="47" s="1"/>
  <c r="CD42" i="47" s="1"/>
  <c r="CD43" i="47" s="1"/>
  <c r="J20" i="49"/>
  <c r="CH14" i="47" s="1"/>
  <c r="BM45" i="46"/>
  <c r="BK76" i="46"/>
  <c r="BQ240" i="46"/>
  <c r="BG23" i="1"/>
  <c r="BC12" i="11" s="1"/>
  <c r="BC14" i="11" s="1"/>
  <c r="BC41" i="11" s="1"/>
  <c r="N74" i="21"/>
  <c r="AM21" i="47"/>
  <c r="AN21" i="47"/>
  <c r="AO21" i="47"/>
  <c r="J230" i="21"/>
  <c r="K99" i="21"/>
  <c r="BC41" i="47"/>
  <c r="BC42" i="47" s="1"/>
  <c r="BC43" i="47" s="1"/>
  <c r="BD41" i="47"/>
  <c r="C26" i="39" s="1"/>
  <c r="BA41" i="47"/>
  <c r="BA42" i="47" s="1"/>
  <c r="BA43" i="47" s="1"/>
  <c r="BB41" i="47"/>
  <c r="BB42" i="47" s="1"/>
  <c r="BB43" i="47" s="1"/>
  <c r="AI37" i="48"/>
  <c r="AJ37" i="48" s="1"/>
  <c r="BO39" i="48"/>
  <c r="BN39" i="48" s="1"/>
  <c r="BM39" i="48" s="1"/>
  <c r="BL39" i="48" s="1"/>
  <c r="AT12" i="48"/>
  <c r="AT43" i="48" s="1"/>
  <c r="D19" i="4"/>
  <c r="D22" i="4" s="1"/>
  <c r="D23" i="4" s="1"/>
  <c r="D34" i="4"/>
  <c r="E15" i="4"/>
  <c r="AR43" i="3"/>
  <c r="G8" i="5"/>
  <c r="G27" i="5" s="1"/>
  <c r="H13" i="4"/>
  <c r="BJ10" i="11"/>
  <c r="K17" i="5"/>
  <c r="Y17" i="4"/>
  <c r="Z17" i="4" s="1"/>
  <c r="E10" i="49"/>
  <c r="K60" i="21"/>
  <c r="K314" i="21" s="1"/>
  <c r="CC70" i="47"/>
  <c r="BO54" i="11"/>
  <c r="E127" i="21"/>
  <c r="E312" i="21" s="1"/>
  <c r="E257" i="21"/>
  <c r="D29" i="4"/>
  <c r="H257" i="21"/>
  <c r="H127" i="21"/>
  <c r="H312" i="21" s="1"/>
  <c r="CA84" i="47"/>
  <c r="BL81" i="11"/>
  <c r="CE70" i="47"/>
  <c r="C22" i="4"/>
  <c r="C8" i="5"/>
  <c r="C12" i="5" s="1"/>
  <c r="BF65" i="11"/>
  <c r="BP54" i="11"/>
  <c r="I118" i="46"/>
  <c r="D118" i="46"/>
  <c r="M276" i="21"/>
  <c r="M79" i="21"/>
  <c r="M148" i="21"/>
  <c r="D154" i="46"/>
  <c r="E154" i="46"/>
  <c r="C164" i="46"/>
  <c r="H164" i="46" s="1"/>
  <c r="BK133" i="46"/>
  <c r="BK153" i="46" s="1"/>
  <c r="BK119" i="46"/>
  <c r="I147" i="21"/>
  <c r="I78" i="21"/>
  <c r="AR145" i="46"/>
  <c r="AR135" i="46"/>
  <c r="AQ155" i="46"/>
  <c r="AQ208" i="46" s="1"/>
  <c r="E119" i="46"/>
  <c r="C133" i="46"/>
  <c r="D119" i="46"/>
  <c r="BO79" i="46"/>
  <c r="I33" i="49"/>
  <c r="BZ220" i="46"/>
  <c r="E18" i="4"/>
  <c r="O78" i="10"/>
  <c r="BM133" i="46"/>
  <c r="D133" i="46"/>
  <c r="CG20" i="47"/>
  <c r="CG49" i="47" s="1"/>
  <c r="E34" i="4"/>
  <c r="F15" i="4"/>
  <c r="F19" i="4" s="1"/>
  <c r="E19" i="4"/>
  <c r="E20" i="4" s="1"/>
  <c r="E22" i="4"/>
  <c r="E23" i="4" s="1"/>
  <c r="F18" i="4"/>
  <c r="BE63" i="11" s="1"/>
  <c r="BE82" i="11" s="1"/>
  <c r="D41" i="7"/>
  <c r="BQ257" i="46"/>
  <c r="W61" i="9"/>
  <c r="AA61" i="9"/>
  <c r="AG29" i="7"/>
  <c r="AO14" i="9"/>
  <c r="AO17" i="10" s="1"/>
  <c r="AO28" i="10" s="1"/>
  <c r="H23" i="31" s="1"/>
  <c r="I23" i="31" s="1"/>
  <c r="J23" i="31" s="1"/>
  <c r="K23" i="31" s="1"/>
  <c r="L23" i="31" s="1"/>
  <c r="M23" i="31" s="1"/>
  <c r="N23" i="31" s="1"/>
  <c r="O23" i="31" s="1"/>
  <c r="AA37" i="9"/>
  <c r="AA47" i="9" s="1"/>
  <c r="S35" i="9"/>
  <c r="S37" i="9" s="1"/>
  <c r="AQ14" i="9"/>
  <c r="AS14" i="9" s="1"/>
  <c r="G37" i="9"/>
  <c r="M47" i="9"/>
  <c r="H41" i="7"/>
  <c r="AS40" i="9"/>
  <c r="AU40" i="9" s="1"/>
  <c r="AW40" i="9" s="1"/>
  <c r="AK28" i="10"/>
  <c r="F23" i="32" s="1"/>
  <c r="BK35" i="47"/>
  <c r="BM35" i="47"/>
  <c r="CA12" i="47"/>
  <c r="CA55" i="47" s="1"/>
  <c r="AH16" i="47"/>
  <c r="W16" i="47"/>
  <c r="AI16" i="47"/>
  <c r="BC38" i="47"/>
  <c r="AC16" i="47"/>
  <c r="AR13" i="47"/>
  <c r="AJ16" i="47"/>
  <c r="AH20" i="47"/>
  <c r="AH49" i="47" s="1"/>
  <c r="AD16" i="47"/>
  <c r="BB38" i="47"/>
  <c r="BD38" i="47"/>
  <c r="AX31" i="47"/>
  <c r="AL35" i="47"/>
  <c r="AN35" i="47"/>
  <c r="BH14" i="47"/>
  <c r="BI14" i="47"/>
  <c r="BG14" i="47"/>
  <c r="BH18" i="47"/>
  <c r="BI18" i="47"/>
  <c r="BA27" i="47"/>
  <c r="BD27" i="47"/>
  <c r="C20" i="39" s="1"/>
  <c r="Z16" i="47"/>
  <c r="Y16" i="47"/>
  <c r="AT18" i="47"/>
  <c r="AR18" i="47"/>
  <c r="AW14" i="47"/>
  <c r="AD37" i="47"/>
  <c r="AE37" i="47"/>
  <c r="Y15" i="47"/>
  <c r="X15" i="47"/>
  <c r="AL15" i="47"/>
  <c r="AM15" i="47"/>
  <c r="AL13" i="47"/>
  <c r="AO13" i="47"/>
  <c r="W14" i="47"/>
  <c r="AF65" i="47"/>
  <c r="BK290" i="46"/>
  <c r="I58" i="49"/>
  <c r="CG31" i="47" s="1"/>
  <c r="CG41" i="47" s="1"/>
  <c r="CG42" i="47" s="1"/>
  <c r="CG43" i="47" s="1"/>
  <c r="T314" i="21"/>
  <c r="C79" i="21"/>
  <c r="R315" i="21"/>
  <c r="D288" i="21"/>
  <c r="D93" i="21"/>
  <c r="D162" i="21" s="1"/>
  <c r="D240" i="21"/>
  <c r="F86" i="21"/>
  <c r="D222" i="21"/>
  <c r="G274" i="21"/>
  <c r="H316" i="21" s="1"/>
  <c r="G61" i="21"/>
  <c r="E278" i="21"/>
  <c r="R259" i="21"/>
  <c r="L314" i="21"/>
  <c r="AI30" i="9"/>
  <c r="X102" i="8"/>
  <c r="BR43" i="48"/>
  <c r="AX95" i="48"/>
  <c r="W44" i="48"/>
  <c r="AG60" i="48"/>
  <c r="AM60" i="48"/>
  <c r="BU46" i="48"/>
  <c r="AO61" i="48"/>
  <c r="AJ48" i="48"/>
  <c r="BM54" i="48"/>
  <c r="AJ61" i="48"/>
  <c r="BL45" i="48"/>
  <c r="BL54" i="48"/>
  <c r="AE61" i="48"/>
  <c r="BN54" i="48"/>
  <c r="AH19" i="3"/>
  <c r="AH40" i="3"/>
  <c r="C53" i="3"/>
  <c r="G53" i="3" s="1"/>
  <c r="Z99" i="47"/>
  <c r="AB75" i="8"/>
  <c r="AH99" i="47"/>
  <c r="AB77" i="8"/>
  <c r="AD77" i="8" s="1"/>
  <c r="AJ99" i="47"/>
  <c r="AJ81" i="11"/>
  <c r="K94" i="3"/>
  <c r="U93" i="3"/>
  <c r="M100" i="3"/>
  <c r="AQ93" i="3"/>
  <c r="AR99" i="3"/>
  <c r="M99" i="3"/>
  <c r="M105" i="3"/>
  <c r="AB68" i="8"/>
  <c r="AD68" i="8" s="1"/>
  <c r="AC99" i="47"/>
  <c r="AC81" i="11"/>
  <c r="AA78" i="3"/>
  <c r="AB70" i="8"/>
  <c r="AE99" i="47"/>
  <c r="AA83" i="3"/>
  <c r="AA79" i="3"/>
  <c r="AA91" i="3"/>
  <c r="AC91" i="3" s="1"/>
  <c r="AA93" i="3"/>
  <c r="AJ93" i="3" s="1"/>
  <c r="AP106" i="3"/>
  <c r="AR106" i="3" s="1"/>
  <c r="P11" i="4"/>
  <c r="AA106" i="3"/>
  <c r="AJ106" i="3" s="1"/>
  <c r="AA98" i="3"/>
  <c r="AQ99" i="47"/>
  <c r="AA97" i="3"/>
  <c r="AB88" i="8"/>
  <c r="AA99" i="3"/>
  <c r="M106" i="3"/>
  <c r="AA92" i="3"/>
  <c r="BK70" i="47"/>
  <c r="BM70" i="47"/>
  <c r="AB69" i="8"/>
  <c r="AD69" i="8" s="1"/>
  <c r="BL70" i="47"/>
  <c r="AP113" i="3"/>
  <c r="AP120" i="3" s="1"/>
  <c r="AB91" i="8"/>
  <c r="Q31" i="4"/>
  <c r="BP81" i="11" s="1"/>
  <c r="AA100" i="3"/>
  <c r="AJ92" i="3"/>
  <c r="AA104" i="3"/>
  <c r="AJ104" i="3" s="1"/>
  <c r="AA105" i="3"/>
  <c r="AC105" i="3" s="1"/>
  <c r="AV81" i="11"/>
  <c r="BA81" i="11"/>
  <c r="AB95" i="8"/>
  <c r="BA99" i="47"/>
  <c r="AV99" i="47"/>
  <c r="BF99" i="47"/>
  <c r="Y50" i="48"/>
  <c r="AX50" i="48"/>
  <c r="BD26" i="48"/>
  <c r="BD51" i="48" s="1"/>
  <c r="BW12" i="46"/>
  <c r="BZ12" i="46" s="1"/>
  <c r="BX11" i="46"/>
  <c r="BD15" i="11"/>
  <c r="BD42" i="11" s="1"/>
  <c r="L99" i="8"/>
  <c r="M113" i="3"/>
  <c r="O113" i="3" s="1"/>
  <c r="AP118" i="3"/>
  <c r="AP125" i="3" s="1"/>
  <c r="AR111" i="3"/>
  <c r="BF10" i="47" a="1"/>
  <c r="D112" i="8"/>
  <c r="L112" i="8" s="1"/>
  <c r="BL126" i="46"/>
  <c r="BL259" i="46"/>
  <c r="BL249" i="46"/>
  <c r="BL64" i="46"/>
  <c r="BL106" i="46"/>
  <c r="BL239" i="46"/>
  <c r="BL75" i="46"/>
  <c r="BL219" i="46"/>
  <c r="BL86" i="46"/>
  <c r="BL54" i="46"/>
  <c r="BL312" i="46"/>
  <c r="BK15" i="46"/>
  <c r="BL65" i="46" s="1"/>
  <c r="BL44" i="46"/>
  <c r="BL14" i="46"/>
  <c r="BJ13" i="6" s="1"/>
  <c r="BJ19" i="6" s="1"/>
  <c r="BJ25" i="6" s="1"/>
  <c r="BJ31" i="6" s="1"/>
  <c r="BJ37" i="6" s="1"/>
  <c r="AR118" i="3"/>
  <c r="BF11" i="47" a="1"/>
  <c r="BK25" i="46"/>
  <c r="I11" i="49" s="1"/>
  <c r="F112" i="8"/>
  <c r="BK116" i="46"/>
  <c r="BG10" i="47"/>
  <c r="AA3" i="55" s="1"/>
  <c r="D113" i="8"/>
  <c r="L113" i="8" s="1"/>
  <c r="BL127" i="46"/>
  <c r="BL87" i="46"/>
  <c r="BK97" i="46"/>
  <c r="BM97" i="46" s="1"/>
  <c r="BF21" i="47" a="1"/>
  <c r="BM96" i="46"/>
  <c r="F113" i="8"/>
  <c r="BX22" i="46"/>
  <c r="AM28" i="10"/>
  <c r="AQ33" i="9"/>
  <c r="AS33" i="9" s="1"/>
  <c r="AU33" i="9" s="1"/>
  <c r="AW33" i="9" s="1"/>
  <c r="AH121" i="3"/>
  <c r="I77" i="49"/>
  <c r="O46" i="21" s="1"/>
  <c r="AK11" i="10"/>
  <c r="O13" i="21"/>
  <c r="O79" i="21" s="1"/>
  <c r="O112" i="21" s="1"/>
  <c r="BI11" i="47"/>
  <c r="B6" i="39" s="1"/>
  <c r="O17" i="21"/>
  <c r="O230" i="21" s="1"/>
  <c r="CG24" i="47"/>
  <c r="BL322" i="46"/>
  <c r="BM116" i="46"/>
  <c r="BF13" i="47" a="1"/>
  <c r="BK35" i="46"/>
  <c r="BM35" i="46" s="1"/>
  <c r="BM34" i="46"/>
  <c r="BL313" i="46"/>
  <c r="BL240" i="46"/>
  <c r="BL220" i="46"/>
  <c r="F22" i="31"/>
  <c r="F22" i="32"/>
  <c r="O276" i="21"/>
  <c r="O278" i="21"/>
  <c r="I14" i="49"/>
  <c r="CG13" i="47" s="1"/>
  <c r="BK147" i="46"/>
  <c r="BM147" i="46" s="1"/>
  <c r="BM146" i="46"/>
  <c r="BF27" i="47" a="1"/>
  <c r="BF27" i="47" s="1"/>
  <c r="H112" i="8"/>
  <c r="BI13" i="6"/>
  <c r="I49" i="49"/>
  <c r="O20" i="21" s="1"/>
  <c r="AK46" i="10"/>
  <c r="F24" i="32" s="1"/>
  <c r="AG47" i="7"/>
  <c r="AG53" i="7" s="1"/>
  <c r="F15" i="31" s="1"/>
  <c r="AG35" i="7"/>
  <c r="F38" i="32" s="1"/>
  <c r="F38" i="31"/>
  <c r="AG59" i="7"/>
  <c r="AK30" i="9"/>
  <c r="AK37" i="9" s="1"/>
  <c r="BQ330" i="46"/>
  <c r="BO77" i="46"/>
  <c r="BO78" i="46"/>
  <c r="BO335" i="46"/>
  <c r="BQ329" i="46"/>
  <c r="BO334" i="46"/>
  <c r="BQ334" i="46" s="1"/>
  <c r="AJ37" i="8"/>
  <c r="AJ109" i="8"/>
  <c r="AJ99" i="3"/>
  <c r="CD99" i="47"/>
  <c r="AC98" i="3"/>
  <c r="AE98" i="3" s="1"/>
  <c r="F15" i="32"/>
  <c r="BH83" i="47"/>
  <c r="G18" i="49"/>
  <c r="CE13" i="47"/>
  <c r="AG57" i="9"/>
  <c r="M11" i="21"/>
  <c r="M225" i="21" s="1"/>
  <c r="BH146" i="46"/>
  <c r="BG156" i="46"/>
  <c r="BH136" i="46"/>
  <c r="BP19" i="11"/>
  <c r="BP46" i="11" s="1"/>
  <c r="AD25" i="6"/>
  <c r="AD31" i="6" s="1"/>
  <c r="AD37" i="6" s="1"/>
  <c r="H153" i="46"/>
  <c r="AO104" i="1"/>
  <c r="AN104" i="1"/>
  <c r="H139" i="1"/>
  <c r="H98" i="1"/>
  <c r="BA94" i="1"/>
  <c r="AY124" i="1"/>
  <c r="AZ94" i="1"/>
  <c r="AR19" i="11"/>
  <c r="AY104" i="1"/>
  <c r="O83" i="21"/>
  <c r="O152" i="21"/>
  <c r="AB135" i="46"/>
  <c r="AG26" i="46"/>
  <c r="AU184" i="1"/>
  <c r="AZ184" i="1" s="1"/>
  <c r="AV174" i="1"/>
  <c r="AY69" i="11"/>
  <c r="BD206" i="46"/>
  <c r="J112" i="21"/>
  <c r="H8" i="31"/>
  <c r="AU134" i="46"/>
  <c r="BD43" i="6"/>
  <c r="L195" i="21"/>
  <c r="M24" i="30"/>
  <c r="H29" i="30"/>
  <c r="H41" i="30"/>
  <c r="I35" i="30"/>
  <c r="I37" i="30" s="1"/>
  <c r="M35" i="30"/>
  <c r="M37" i="30" s="1"/>
  <c r="F334" i="44"/>
  <c r="F344" i="44"/>
  <c r="F335" i="44"/>
  <c r="F40" i="44"/>
  <c r="F38" i="44"/>
  <c r="F39" i="44" s="1"/>
  <c r="AI14" i="11"/>
  <c r="AI41" i="11" s="1"/>
  <c r="F14" i="30"/>
  <c r="E19" i="30"/>
  <c r="BI37" i="6"/>
  <c r="AO17" i="1"/>
  <c r="BA25" i="1"/>
  <c r="I73" i="1"/>
  <c r="BA95" i="46"/>
  <c r="AK145" i="46"/>
  <c r="K54" i="3"/>
  <c r="S47" i="7"/>
  <c r="AS58" i="44"/>
  <c r="M58" i="44"/>
  <c r="N50" i="44"/>
  <c r="X45" i="44"/>
  <c r="H45" i="44"/>
  <c r="N44" i="44"/>
  <c r="X43" i="44"/>
  <c r="H43" i="44"/>
  <c r="N42" i="44"/>
  <c r="BG58" i="44"/>
  <c r="AA58" i="44"/>
  <c r="U50" i="44"/>
  <c r="E50" i="44"/>
  <c r="O45" i="44"/>
  <c r="U44" i="44"/>
  <c r="E44" i="44"/>
  <c r="O43" i="44"/>
  <c r="U42" i="44"/>
  <c r="Z43" i="44"/>
  <c r="Z46" i="44" s="1"/>
  <c r="Z49" i="44" s="1"/>
  <c r="AB42" i="44"/>
  <c r="H58" i="44"/>
  <c r="X58" i="44"/>
  <c r="AN58" i="44"/>
  <c r="BD58" i="44"/>
  <c r="BT58" i="44"/>
  <c r="R58" i="44"/>
  <c r="AH58" i="44"/>
  <c r="AX58" i="44"/>
  <c r="BN58" i="44"/>
  <c r="I311" i="44"/>
  <c r="Y311" i="44"/>
  <c r="Y53" i="44" s="1"/>
  <c r="Y57" i="44" s="1"/>
  <c r="P312" i="44"/>
  <c r="X313" i="44"/>
  <c r="X55" i="44" s="1"/>
  <c r="O309" i="44"/>
  <c r="L311" i="44"/>
  <c r="L312" i="44"/>
  <c r="D313" i="44"/>
  <c r="G314" i="44"/>
  <c r="L309" i="44"/>
  <c r="AB309" i="44"/>
  <c r="AB47" i="44"/>
  <c r="H311" i="44"/>
  <c r="X311" i="44"/>
  <c r="X53" i="44" s="1"/>
  <c r="T313" i="44"/>
  <c r="O314" i="44"/>
  <c r="N311" i="44"/>
  <c r="G310" i="44"/>
  <c r="U311" i="44"/>
  <c r="K312" i="44"/>
  <c r="I309" i="44"/>
  <c r="K310" i="44"/>
  <c r="AA312" i="44"/>
  <c r="AA54" i="44"/>
  <c r="R309" i="44"/>
  <c r="T310" i="44"/>
  <c r="M310" i="44"/>
  <c r="AA310" i="44"/>
  <c r="AA48" i="44" s="1"/>
  <c r="U310" i="44"/>
  <c r="K311" i="44"/>
  <c r="W311" i="44"/>
  <c r="W53" i="44" s="1"/>
  <c r="M312" i="44"/>
  <c r="Z312" i="44"/>
  <c r="Z54" i="44" s="1"/>
  <c r="U313" i="44"/>
  <c r="Q314" i="44"/>
  <c r="AA314" i="44"/>
  <c r="AA56" i="44" s="1"/>
  <c r="N313" i="44"/>
  <c r="Z313" i="44"/>
  <c r="Z55" i="44" s="1"/>
  <c r="T314" i="44"/>
  <c r="AB314" i="44"/>
  <c r="AB56" i="44"/>
  <c r="AO58" i="44"/>
  <c r="I58" i="44"/>
  <c r="P50" i="44"/>
  <c r="Z45" i="44"/>
  <c r="J45" i="44"/>
  <c r="P44" i="44"/>
  <c r="V43" i="44"/>
  <c r="BK58" i="44"/>
  <c r="AE58" i="44"/>
  <c r="AA50" i="44"/>
  <c r="K50" i="44"/>
  <c r="U45" i="44"/>
  <c r="AA44" i="44"/>
  <c r="K44" i="44"/>
  <c r="U43" i="44"/>
  <c r="AA42" i="44"/>
  <c r="S42" i="44"/>
  <c r="AG45" i="7"/>
  <c r="AG51" i="7"/>
  <c r="AG46" i="7"/>
  <c r="AG52" i="7" s="1"/>
  <c r="S72" i="3"/>
  <c r="O169" i="1"/>
  <c r="X83" i="8"/>
  <c r="Z83" i="8" s="1"/>
  <c r="AG34" i="7"/>
  <c r="C121" i="3"/>
  <c r="G121" i="3" s="1"/>
  <c r="V52" i="8"/>
  <c r="AA13" i="44"/>
  <c r="R13" i="44" s="1"/>
  <c r="BQ228" i="46"/>
  <c r="U100" i="3"/>
  <c r="AG47" i="44"/>
  <c r="AO47" i="44"/>
  <c r="AW47" i="44"/>
  <c r="BE47" i="44"/>
  <c r="BM47" i="44"/>
  <c r="BU47" i="44"/>
  <c r="CC47" i="44"/>
  <c r="CK47" i="44"/>
  <c r="CS47" i="44"/>
  <c r="DA47" i="44"/>
  <c r="DI47" i="44"/>
  <c r="DQ47" i="44"/>
  <c r="DY47" i="44"/>
  <c r="EG47" i="44"/>
  <c r="EO47" i="44"/>
  <c r="EW47" i="44"/>
  <c r="FE47" i="44"/>
  <c r="FM47" i="44"/>
  <c r="FU47" i="44"/>
  <c r="GC47" i="44"/>
  <c r="GK47" i="44"/>
  <c r="GS47" i="44"/>
  <c r="HA47" i="44"/>
  <c r="HI47" i="44"/>
  <c r="HQ47" i="44"/>
  <c r="HY47" i="44"/>
  <c r="IG47" i="44"/>
  <c r="IO47" i="44"/>
  <c r="AP47" i="44"/>
  <c r="AP49" i="44" s="1"/>
  <c r="BF47" i="44"/>
  <c r="BF49" i="44" s="1"/>
  <c r="AM47" i="44"/>
  <c r="BC47" i="44"/>
  <c r="BS47" i="44"/>
  <c r="CI47" i="44"/>
  <c r="CY47" i="44"/>
  <c r="AN47" i="44"/>
  <c r="AN49" i="44" s="1"/>
  <c r="BD47" i="44"/>
  <c r="BT47" i="44"/>
  <c r="BT49" i="44" s="1"/>
  <c r="CJ47" i="44"/>
  <c r="CJ49" i="44" s="1"/>
  <c r="CZ47" i="44"/>
  <c r="CZ49" i="44" s="1"/>
  <c r="DP47" i="44"/>
  <c r="DP49" i="44" s="1"/>
  <c r="EF47" i="44"/>
  <c r="EF49" i="44" s="1"/>
  <c r="EV47" i="44"/>
  <c r="EV49" i="44" s="1"/>
  <c r="FD47" i="44"/>
  <c r="FD49" i="44" s="1"/>
  <c r="FL47" i="44"/>
  <c r="FL49" i="44" s="1"/>
  <c r="FT47" i="44"/>
  <c r="FT49" i="44" s="1"/>
  <c r="GB47" i="44"/>
  <c r="GB49" i="44" s="1"/>
  <c r="GJ47" i="44"/>
  <c r="GJ49" i="44" s="1"/>
  <c r="GR47" i="44"/>
  <c r="GR49" i="44" s="1"/>
  <c r="GZ47" i="44"/>
  <c r="GZ49" i="44" s="1"/>
  <c r="HH47" i="44"/>
  <c r="HP47" i="44"/>
  <c r="HP49" i="44" s="1"/>
  <c r="HX47" i="44"/>
  <c r="IF47" i="44"/>
  <c r="IF49" i="44" s="1"/>
  <c r="BA58" i="44"/>
  <c r="U58" i="44"/>
  <c r="R50" i="44"/>
  <c r="AB45" i="44"/>
  <c r="L45" i="44"/>
  <c r="R44" i="44"/>
  <c r="AB43" i="44"/>
  <c r="L43" i="44"/>
  <c r="R42" i="44"/>
  <c r="BO58" i="44"/>
  <c r="AI58" i="44"/>
  <c r="Y50" i="44"/>
  <c r="I50" i="44"/>
  <c r="S45" i="44"/>
  <c r="Y44" i="44"/>
  <c r="I44" i="44"/>
  <c r="S43" i="44"/>
  <c r="Y42" i="44"/>
  <c r="I42" i="44"/>
  <c r="H42" i="44"/>
  <c r="T58" i="44"/>
  <c r="AJ58" i="44"/>
  <c r="AZ58" i="44"/>
  <c r="BP58" i="44"/>
  <c r="N58" i="44"/>
  <c r="AD58" i="44"/>
  <c r="AT58" i="44"/>
  <c r="BJ58" i="44"/>
  <c r="E155" i="44"/>
  <c r="C243" i="44" s="1"/>
  <c r="E215" i="44"/>
  <c r="U223" i="44" s="1"/>
  <c r="H313" i="44"/>
  <c r="P310" i="44"/>
  <c r="J311" i="44"/>
  <c r="K309" i="44"/>
  <c r="AA309" i="44"/>
  <c r="AA47" i="44"/>
  <c r="G312" i="44"/>
  <c r="W312" i="44"/>
  <c r="W54" i="44" s="1"/>
  <c r="Y313" i="44"/>
  <c r="Y55" i="44"/>
  <c r="H309" i="44"/>
  <c r="X309" i="44"/>
  <c r="X47" i="44" s="1"/>
  <c r="R310" i="44"/>
  <c r="AB310" i="44"/>
  <c r="AB48" i="44" s="1"/>
  <c r="S312" i="44"/>
  <c r="M313" i="44"/>
  <c r="I314" i="44"/>
  <c r="O310" i="44"/>
  <c r="U309" i="44"/>
  <c r="P311" i="44"/>
  <c r="Z311" i="44"/>
  <c r="Z53" i="44" s="1"/>
  <c r="S314" i="44"/>
  <c r="Y309" i="44"/>
  <c r="Y47" i="44" s="1"/>
  <c r="N309" i="44"/>
  <c r="H310" i="44"/>
  <c r="I310" i="44"/>
  <c r="S313" i="44"/>
  <c r="G311" i="44"/>
  <c r="I312" i="44"/>
  <c r="P313" i="44"/>
  <c r="K314" i="44"/>
  <c r="J313" i="44"/>
  <c r="P314" i="44"/>
  <c r="AW58" i="44"/>
  <c r="Q58" i="44"/>
  <c r="T50" i="44"/>
  <c r="D50" i="44"/>
  <c r="N45" i="44"/>
  <c r="T44" i="44"/>
  <c r="D44" i="44"/>
  <c r="BS58" i="44"/>
  <c r="AM58" i="44"/>
  <c r="G58" i="44"/>
  <c r="O50" i="44"/>
  <c r="Y45" i="44"/>
  <c r="I45" i="44"/>
  <c r="O44" i="44"/>
  <c r="Y43" i="44"/>
  <c r="I43" i="44"/>
  <c r="W42" i="44"/>
  <c r="AL106" i="3"/>
  <c r="M26" i="30"/>
  <c r="M29" i="30"/>
  <c r="BP22" i="11"/>
  <c r="BP48" i="11" s="1"/>
  <c r="K223" i="44"/>
  <c r="H223" i="44"/>
  <c r="T223" i="44"/>
  <c r="J223" i="44"/>
  <c r="V223" i="44"/>
  <c r="Y46" i="44"/>
  <c r="Y49" i="44" s="1"/>
  <c r="D63" i="8"/>
  <c r="C79" i="3"/>
  <c r="S73" i="3"/>
  <c r="AG57" i="7"/>
  <c r="AZ134" i="1"/>
  <c r="AY144" i="1"/>
  <c r="AZ124" i="1"/>
  <c r="BA124" i="1"/>
  <c r="BG166" i="46"/>
  <c r="BG209" i="46"/>
  <c r="BH156" i="46"/>
  <c r="M146" i="21"/>
  <c r="AV134" i="46"/>
  <c r="AV144" i="46"/>
  <c r="AU154" i="46"/>
  <c r="AV154" i="46" s="1"/>
  <c r="AZ104" i="1"/>
  <c r="BA104" i="1"/>
  <c r="AR56" i="11"/>
  <c r="AU207" i="46"/>
  <c r="AV207" i="46" s="1"/>
  <c r="BH209" i="46"/>
  <c r="BG269" i="46"/>
  <c r="BG279" i="46" s="1"/>
  <c r="N24" i="30"/>
  <c r="N29" i="30"/>
  <c r="AY154" i="1"/>
  <c r="BD154" i="1" s="1"/>
  <c r="AY174" i="1"/>
  <c r="AZ144" i="1"/>
  <c r="BA144" i="1"/>
  <c r="BP26" i="11"/>
  <c r="BP28" i="11" s="1"/>
  <c r="BA174" i="1"/>
  <c r="V116" i="8"/>
  <c r="K126" i="3"/>
  <c r="M126" i="3" s="1"/>
  <c r="BK100" i="47"/>
  <c r="K127" i="3"/>
  <c r="BL100" i="47"/>
  <c r="V117" i="8"/>
  <c r="BM100" i="47"/>
  <c r="BP11" i="46"/>
  <c r="BN10" i="6" s="1"/>
  <c r="BP226" i="46"/>
  <c r="BP309" i="46"/>
  <c r="D116" i="8"/>
  <c r="BP246" i="46"/>
  <c r="BP236" i="46"/>
  <c r="BP216" i="46"/>
  <c r="BP329" i="46"/>
  <c r="F116" i="8"/>
  <c r="R16" i="49"/>
  <c r="BO175" i="46"/>
  <c r="BO174" i="46"/>
  <c r="BK302" i="46"/>
  <c r="BL116" i="46"/>
  <c r="BK136" i="46"/>
  <c r="BG267" i="46"/>
  <c r="BH207" i="46"/>
  <c r="BH27" i="47"/>
  <c r="BM149" i="46"/>
  <c r="AC153" i="46"/>
  <c r="BA301" i="46"/>
  <c r="AZ301" i="46"/>
  <c r="BL143" i="46"/>
  <c r="BB71" i="47"/>
  <c r="BM98" i="46"/>
  <c r="BL98" i="46"/>
  <c r="BL56" i="46"/>
  <c r="BL88" i="46"/>
  <c r="BL128" i="46"/>
  <c r="BL46" i="46"/>
  <c r="BL108" i="46"/>
  <c r="BL231" i="46"/>
  <c r="BM17" i="46"/>
  <c r="BL16" i="46"/>
  <c r="BL221" i="46"/>
  <c r="BL261" i="46"/>
  <c r="BL36" i="46"/>
  <c r="BA156" i="46"/>
  <c r="AZ226" i="46"/>
  <c r="AY319" i="46"/>
  <c r="AY232" i="46"/>
  <c r="AJ145" i="46"/>
  <c r="AJ115" i="46"/>
  <c r="AK115" i="46"/>
  <c r="AI135" i="46"/>
  <c r="AI301" i="46"/>
  <c r="AI341" i="46" s="1"/>
  <c r="T155" i="46"/>
  <c r="S165" i="46"/>
  <c r="X165" i="46"/>
  <c r="AO114" i="46"/>
  <c r="AM119" i="46"/>
  <c r="AN149" i="46" s="1"/>
  <c r="F63" i="49"/>
  <c r="L32" i="21" s="1"/>
  <c r="L98" i="21" s="1"/>
  <c r="AZ230" i="46"/>
  <c r="AV133" i="46"/>
  <c r="AJ133" i="46"/>
  <c r="AU269" i="46"/>
  <c r="AV269" i="46" s="1"/>
  <c r="I45" i="46"/>
  <c r="M45" i="46"/>
  <c r="AM157" i="46"/>
  <c r="BE37" i="46"/>
  <c r="AZ37" i="46"/>
  <c r="AG134" i="46"/>
  <c r="AB134" i="46"/>
  <c r="I154" i="46"/>
  <c r="H154" i="46"/>
  <c r="G164" i="46"/>
  <c r="L164" i="46" s="1"/>
  <c r="AM299" i="46"/>
  <c r="AO113" i="46"/>
  <c r="AS113" i="46"/>
  <c r="AM133" i="46"/>
  <c r="AN113" i="46"/>
  <c r="BD42" i="47"/>
  <c r="BD43" i="47" s="1"/>
  <c r="N106" i="21"/>
  <c r="I271" i="21"/>
  <c r="J143" i="21"/>
  <c r="J271" i="21"/>
  <c r="J222" i="21"/>
  <c r="J74" i="21"/>
  <c r="K222" i="21"/>
  <c r="N290" i="21"/>
  <c r="K166" i="21"/>
  <c r="K97" i="21"/>
  <c r="M278" i="21"/>
  <c r="M83" i="21"/>
  <c r="M152" i="21"/>
  <c r="M230" i="21"/>
  <c r="J97" i="21"/>
  <c r="J166" i="21"/>
  <c r="H166" i="21"/>
  <c r="BP319" i="46"/>
  <c r="AI155" i="46"/>
  <c r="AJ135" i="46"/>
  <c r="BG277" i="46"/>
  <c r="BH267" i="46"/>
  <c r="BL146" i="46"/>
  <c r="BL136" i="46"/>
  <c r="BK156" i="46"/>
  <c r="BM136" i="46"/>
  <c r="AM153" i="46"/>
  <c r="AS299" i="46"/>
  <c r="AZ232" i="46"/>
  <c r="BA232" i="46"/>
  <c r="AN157" i="46"/>
  <c r="BL302" i="46"/>
  <c r="BM302" i="46"/>
  <c r="CD36" i="47"/>
  <c r="AK301" i="46"/>
  <c r="BQ256" i="46"/>
  <c r="BO261" i="46"/>
  <c r="BU261" i="46" s="1"/>
  <c r="BP256" i="46"/>
  <c r="BP330" i="46"/>
  <c r="BO16" i="46"/>
  <c r="BP257" i="46"/>
  <c r="BP247" i="46"/>
  <c r="BP310" i="46"/>
  <c r="BP237" i="46"/>
  <c r="D117" i="8"/>
  <c r="BP12" i="46"/>
  <c r="BN11" i="6" s="1"/>
  <c r="BN17" i="6" s="1"/>
  <c r="BN23" i="6" s="1"/>
  <c r="BN29" i="6" s="1"/>
  <c r="BN35" i="6" s="1"/>
  <c r="BP217" i="46"/>
  <c r="AI208" i="46"/>
  <c r="AJ155" i="46"/>
  <c r="AM206" i="46"/>
  <c r="AN153" i="46"/>
  <c r="AS153" i="46"/>
  <c r="BK209" i="46"/>
  <c r="BM156" i="46"/>
  <c r="BK166" i="46"/>
  <c r="BL166" i="46" s="1"/>
  <c r="BL156" i="46"/>
  <c r="BQ261" i="46"/>
  <c r="BQ143" i="46"/>
  <c r="BP334" i="46"/>
  <c r="BO36" i="46"/>
  <c r="AJ208" i="46"/>
  <c r="AK208" i="46"/>
  <c r="AN206" i="46"/>
  <c r="AM266" i="46"/>
  <c r="BX32" i="46"/>
  <c r="AH125" i="3"/>
  <c r="C125" i="3"/>
  <c r="G125" i="3" s="1"/>
  <c r="AJ17" i="8"/>
  <c r="CI35" i="47"/>
  <c r="R31" i="21"/>
  <c r="R166" i="21" s="1"/>
  <c r="Q31" i="21"/>
  <c r="Q166" i="21" s="1"/>
  <c r="BO179" i="46"/>
  <c r="BO199" i="46" s="1"/>
  <c r="BO292" i="46" s="1"/>
  <c r="BO288" i="46"/>
  <c r="L43" i="49"/>
  <c r="BO178" i="46"/>
  <c r="BO198" i="46" s="1"/>
  <c r="BO291" i="46" s="1"/>
  <c r="J17" i="8"/>
  <c r="N24" i="8"/>
  <c r="T17" i="8"/>
  <c r="CJ35" i="47"/>
  <c r="F117" i="8"/>
  <c r="BO26" i="46"/>
  <c r="BP26" i="46" s="1"/>
  <c r="BQ26" i="46" s="1"/>
  <c r="BO148" i="46"/>
  <c r="BQ144" i="46"/>
  <c r="BQ148" i="46"/>
  <c r="AH126" i="3"/>
  <c r="C126" i="3"/>
  <c r="G126" i="3" s="1"/>
  <c r="AR64" i="3" l="1"/>
  <c r="E8" i="5"/>
  <c r="E15" i="5" s="1"/>
  <c r="D25" i="46"/>
  <c r="O15" i="1"/>
  <c r="D34" i="8" s="1"/>
  <c r="O127" i="46"/>
  <c r="E78" i="10"/>
  <c r="L98" i="8"/>
  <c r="D55" i="39" s="1"/>
  <c r="AL47" i="11"/>
  <c r="AL48" i="11"/>
  <c r="AL26" i="11"/>
  <c r="Q78" i="1"/>
  <c r="U78" i="1"/>
  <c r="P78" i="1"/>
  <c r="P41" i="6"/>
  <c r="Q35" i="6"/>
  <c r="S24" i="30"/>
  <c r="S26" i="30" s="1"/>
  <c r="T24" i="30" s="1"/>
  <c r="T26" i="30" s="1"/>
  <c r="U24" i="30" s="1"/>
  <c r="U26" i="30" s="1"/>
  <c r="R29" i="30"/>
  <c r="G24" i="30"/>
  <c r="G26" i="30" s="1"/>
  <c r="F29" i="30"/>
  <c r="BK206" i="46"/>
  <c r="BK163" i="46"/>
  <c r="BM153" i="46"/>
  <c r="BL153" i="46"/>
  <c r="K60" i="30"/>
  <c r="K58" i="30"/>
  <c r="L56" i="30" s="1"/>
  <c r="L58" i="30" s="1"/>
  <c r="AO301" i="46"/>
  <c r="AN301" i="46"/>
  <c r="M12" i="21"/>
  <c r="M147" i="21" s="1"/>
  <c r="CE21" i="47"/>
  <c r="AZ302" i="46"/>
  <c r="BA302" i="46"/>
  <c r="AV300" i="46"/>
  <c r="AU303" i="46"/>
  <c r="AU340" i="46"/>
  <c r="AU304" i="46"/>
  <c r="AU305" i="46"/>
  <c r="AQ26" i="11"/>
  <c r="AQ48" i="11"/>
  <c r="AQ47" i="11"/>
  <c r="AJ134" i="1"/>
  <c r="AJ124" i="1"/>
  <c r="AI144" i="1"/>
  <c r="BD65" i="1"/>
  <c r="BC96" i="1"/>
  <c r="BD45" i="1"/>
  <c r="BE45" i="1"/>
  <c r="AR62" i="1"/>
  <c r="AQ65" i="1"/>
  <c r="AS62" i="1"/>
  <c r="AQ93" i="1"/>
  <c r="BQ36" i="11"/>
  <c r="AD25" i="44" s="1"/>
  <c r="C16" i="44" s="1"/>
  <c r="C59" i="44"/>
  <c r="H15" i="44" s="1"/>
  <c r="E10" i="31"/>
  <c r="D11" i="31"/>
  <c r="D14" i="31" s="1"/>
  <c r="G16" i="31"/>
  <c r="H16" i="31" s="1"/>
  <c r="I16" i="31" s="1"/>
  <c r="J16" i="31" s="1"/>
  <c r="K16" i="31" s="1"/>
  <c r="L16" i="31" s="1"/>
  <c r="M16" i="31" s="1"/>
  <c r="N16" i="31" s="1"/>
  <c r="O16" i="31" s="1"/>
  <c r="R36" i="5"/>
  <c r="BQ21" i="11"/>
  <c r="AV97" i="1"/>
  <c r="AU127" i="1"/>
  <c r="AD11" i="47"/>
  <c r="AB11" i="47"/>
  <c r="H136" i="46"/>
  <c r="I136" i="46"/>
  <c r="M136" i="46"/>
  <c r="F33" i="49"/>
  <c r="AZ76" i="46"/>
  <c r="BA76" i="46"/>
  <c r="BE76" i="46"/>
  <c r="AV137" i="46"/>
  <c r="AV147" i="46"/>
  <c r="AU157" i="46"/>
  <c r="CD35" i="47"/>
  <c r="L31" i="21"/>
  <c r="M34" i="21"/>
  <c r="CE38" i="47"/>
  <c r="W98" i="3"/>
  <c r="W84" i="3"/>
  <c r="W91" i="3"/>
  <c r="U34" i="6"/>
  <c r="T40" i="6"/>
  <c r="BH41" i="6"/>
  <c r="BD41" i="6"/>
  <c r="BE35" i="6"/>
  <c r="H51" i="7"/>
  <c r="H57" i="7"/>
  <c r="D40" i="30"/>
  <c r="D41" i="30"/>
  <c r="E35" i="30"/>
  <c r="E37" i="30" s="1"/>
  <c r="BI35" i="6"/>
  <c r="BP113" i="46"/>
  <c r="BQ113" i="46"/>
  <c r="BO133" i="46"/>
  <c r="BO299" i="46"/>
  <c r="BL300" i="46"/>
  <c r="BM300" i="46"/>
  <c r="K181" i="21"/>
  <c r="K112" i="21"/>
  <c r="G18" i="32"/>
  <c r="H18" i="32" s="1"/>
  <c r="X108" i="1"/>
  <c r="Y108" i="1"/>
  <c r="AV69" i="11"/>
  <c r="Y136" i="46"/>
  <c r="AC136" i="46"/>
  <c r="AI48" i="10"/>
  <c r="E24" i="31"/>
  <c r="AR208" i="46"/>
  <c r="AQ268" i="46"/>
  <c r="BM334" i="46"/>
  <c r="D17" i="31"/>
  <c r="D29" i="31" s="1"/>
  <c r="AO57" i="10"/>
  <c r="BD144" i="46"/>
  <c r="BC138" i="46"/>
  <c r="BD134" i="46"/>
  <c r="BI134" i="46"/>
  <c r="BC154" i="46"/>
  <c r="BH119" i="46"/>
  <c r="BG304" i="46"/>
  <c r="BH300" i="46"/>
  <c r="AO261" i="46"/>
  <c r="AN261" i="46"/>
  <c r="P174" i="1"/>
  <c r="O184" i="1"/>
  <c r="Q174" i="1"/>
  <c r="AR64" i="1"/>
  <c r="AS64" i="1"/>
  <c r="AQ95" i="1"/>
  <c r="AN95" i="1"/>
  <c r="AM105" i="1"/>
  <c r="AM125" i="1"/>
  <c r="AD19" i="11"/>
  <c r="L108" i="1"/>
  <c r="AO138" i="1"/>
  <c r="AK138" i="1"/>
  <c r="BO19" i="11"/>
  <c r="BO41" i="11"/>
  <c r="AG56" i="9"/>
  <c r="CE11" i="47"/>
  <c r="M8" i="21"/>
  <c r="M137" i="46"/>
  <c r="Q137" i="46"/>
  <c r="I155" i="46"/>
  <c r="G165" i="46"/>
  <c r="L165" i="46" s="1"/>
  <c r="H155" i="46"/>
  <c r="M155" i="46"/>
  <c r="K165" i="46"/>
  <c r="P165" i="46" s="1"/>
  <c r="L155" i="46"/>
  <c r="AS146" i="46"/>
  <c r="AG27" i="47" a="1"/>
  <c r="AH27" i="47" s="1"/>
  <c r="AW146" i="46"/>
  <c r="N33" i="21"/>
  <c r="CF37" i="47"/>
  <c r="AR333" i="46"/>
  <c r="AW333" i="46"/>
  <c r="D24" i="31"/>
  <c r="D24" i="32"/>
  <c r="AG48" i="10"/>
  <c r="BP114" i="46"/>
  <c r="BQ114" i="46"/>
  <c r="AM49" i="11"/>
  <c r="AM28" i="11"/>
  <c r="AM32" i="11"/>
  <c r="AM33" i="11" s="1"/>
  <c r="AW27" i="1"/>
  <c r="BA27" i="1"/>
  <c r="AF134" i="1"/>
  <c r="AF124" i="1"/>
  <c r="AE144" i="1"/>
  <c r="BA50" i="48"/>
  <c r="BA26" i="48"/>
  <c r="AW117" i="46"/>
  <c r="AS117" i="46"/>
  <c r="AQ137" i="46"/>
  <c r="AW137" i="46" s="1"/>
  <c r="AR117" i="46"/>
  <c r="Z24" i="47"/>
  <c r="X24" i="47"/>
  <c r="AK341" i="46"/>
  <c r="AJ341" i="46"/>
  <c r="CG11" i="47"/>
  <c r="AK56" i="9"/>
  <c r="F22" i="4"/>
  <c r="F23" i="4" s="1"/>
  <c r="F20" i="4"/>
  <c r="U28" i="30"/>
  <c r="U29" i="30" s="1"/>
  <c r="T29" i="30"/>
  <c r="N56" i="30"/>
  <c r="N58" i="30" s="1"/>
  <c r="R56" i="30"/>
  <c r="AV138" i="46"/>
  <c r="AV148" i="46"/>
  <c r="BA334" i="46"/>
  <c r="AZ334" i="46"/>
  <c r="U35" i="6"/>
  <c r="AN65" i="1"/>
  <c r="AM96" i="1"/>
  <c r="BA103" i="1"/>
  <c r="AZ103" i="1"/>
  <c r="AY108" i="1"/>
  <c r="AZ108" i="1" s="1"/>
  <c r="AN62" i="1"/>
  <c r="AM93" i="1"/>
  <c r="M21" i="5"/>
  <c r="BM16" i="11"/>
  <c r="BM43" i="11" s="1"/>
  <c r="I275" i="21"/>
  <c r="I226" i="21"/>
  <c r="C125" i="1"/>
  <c r="D95" i="1"/>
  <c r="I95" i="1"/>
  <c r="S145" i="1"/>
  <c r="T125" i="1"/>
  <c r="T135" i="1"/>
  <c r="T58" i="5"/>
  <c r="BG197" i="1"/>
  <c r="BG198" i="1" s="1"/>
  <c r="BG199" i="1" s="1"/>
  <c r="BG216" i="1"/>
  <c r="Y26" i="46"/>
  <c r="AC26" i="46"/>
  <c r="W17" i="47" a="1"/>
  <c r="AK86" i="46"/>
  <c r="AJ86" i="46"/>
  <c r="AI229" i="46"/>
  <c r="CE17" i="47"/>
  <c r="AM304" i="46"/>
  <c r="AN300" i="46"/>
  <c r="AG21" i="47" a="1"/>
  <c r="AR96" i="46"/>
  <c r="AW96" i="46"/>
  <c r="BC302" i="46"/>
  <c r="BE116" i="46"/>
  <c r="BC136" i="46"/>
  <c r="BD116" i="46"/>
  <c r="BI116" i="46"/>
  <c r="P136" i="46"/>
  <c r="U136" i="46"/>
  <c r="Q136" i="46"/>
  <c r="CF18" i="47"/>
  <c r="F44" i="49"/>
  <c r="L17" i="21"/>
  <c r="CD24" i="47"/>
  <c r="CE73" i="47" s="1"/>
  <c r="AJ333" i="46"/>
  <c r="AK333" i="46"/>
  <c r="S40" i="4"/>
  <c r="BJ15" i="1"/>
  <c r="I35" i="6"/>
  <c r="M35" i="6"/>
  <c r="H41" i="6"/>
  <c r="L41" i="6"/>
  <c r="AK36" i="6"/>
  <c r="AJ42" i="6"/>
  <c r="AR42" i="6"/>
  <c r="AS36" i="6"/>
  <c r="AO36" i="6"/>
  <c r="AN42" i="6"/>
  <c r="L34" i="7"/>
  <c r="L58" i="7" s="1"/>
  <c r="L46" i="7"/>
  <c r="L52" i="7"/>
  <c r="AC58" i="7"/>
  <c r="BA36" i="6"/>
  <c r="BD42" i="6"/>
  <c r="BE36" i="6"/>
  <c r="AZ42" i="6"/>
  <c r="BP77" i="46"/>
  <c r="BQ77" i="46"/>
  <c r="BU77" i="46"/>
  <c r="BI334" i="46"/>
  <c r="AV70" i="11"/>
  <c r="AQ99" i="1"/>
  <c r="AW95" i="1"/>
  <c r="I137" i="46"/>
  <c r="B4" i="62" a="1"/>
  <c r="AR49" i="44"/>
  <c r="CU49" i="44"/>
  <c r="FX49" i="44"/>
  <c r="BW21" i="46"/>
  <c r="U126" i="3"/>
  <c r="BQ36" i="46"/>
  <c r="BP36" i="46"/>
  <c r="BP227" i="46"/>
  <c r="AJ301" i="46"/>
  <c r="BK342" i="46"/>
  <c r="BL342" i="46" s="1"/>
  <c r="AM210" i="46"/>
  <c r="L16" i="46"/>
  <c r="W154" i="46"/>
  <c r="AS231" i="46"/>
  <c r="AC134" i="46"/>
  <c r="BG158" i="46"/>
  <c r="AI153" i="46"/>
  <c r="AV143" i="46"/>
  <c r="AY165" i="46"/>
  <c r="AN114" i="46"/>
  <c r="AY166" i="46"/>
  <c r="BL334" i="46"/>
  <c r="AW301" i="46"/>
  <c r="AN99" i="46"/>
  <c r="BI138" i="46"/>
  <c r="BI27" i="47"/>
  <c r="B20" i="39" s="1"/>
  <c r="BO63" i="11"/>
  <c r="BO82" i="11" s="1"/>
  <c r="F223" i="44"/>
  <c r="M223" i="44"/>
  <c r="D223" i="44"/>
  <c r="G223" i="44"/>
  <c r="R223" i="44"/>
  <c r="BP56" i="11"/>
  <c r="P19" i="4"/>
  <c r="BG88" i="1"/>
  <c r="AT44" i="48"/>
  <c r="AA46" i="44"/>
  <c r="AA49" i="44" s="1"/>
  <c r="F16" i="30"/>
  <c r="AT53" i="11"/>
  <c r="BC266" i="46"/>
  <c r="X98" i="1"/>
  <c r="AY98" i="1"/>
  <c r="AZ98" i="1" s="1"/>
  <c r="I98" i="1"/>
  <c r="N19" i="4"/>
  <c r="E65" i="30"/>
  <c r="T51" i="8"/>
  <c r="BL35" i="46"/>
  <c r="H6" i="39"/>
  <c r="I6" i="39"/>
  <c r="S122" i="3"/>
  <c r="BL97" i="46"/>
  <c r="BL230" i="46"/>
  <c r="AR125" i="3"/>
  <c r="AP132" i="3"/>
  <c r="Y48" i="48"/>
  <c r="AH50" i="48"/>
  <c r="Z14" i="47"/>
  <c r="AW41" i="47"/>
  <c r="AW42" i="47" s="1"/>
  <c r="AW43" i="47" s="1"/>
  <c r="AI15" i="47"/>
  <c r="BK177" i="46"/>
  <c r="S47" i="9"/>
  <c r="F34" i="4"/>
  <c r="AR155" i="46"/>
  <c r="BK299" i="46"/>
  <c r="BM113" i="46"/>
  <c r="BL64" i="11"/>
  <c r="BM65" i="11" s="1"/>
  <c r="L34" i="4"/>
  <c r="D37" i="4"/>
  <c r="AW61" i="48"/>
  <c r="BQ227" i="46"/>
  <c r="BH242" i="46"/>
  <c r="AR41" i="47"/>
  <c r="AR42" i="47" s="1"/>
  <c r="AR43" i="47" s="1"/>
  <c r="BA31" i="47"/>
  <c r="BO231" i="46"/>
  <c r="AR44" i="48"/>
  <c r="AO60" i="48"/>
  <c r="AI48" i="48"/>
  <c r="AR55" i="48"/>
  <c r="BK301" i="46"/>
  <c r="I65" i="49"/>
  <c r="BM115" i="46"/>
  <c r="BL89" i="46"/>
  <c r="BG335" i="46"/>
  <c r="BH76" i="46"/>
  <c r="X82" i="8"/>
  <c r="AD82" i="8"/>
  <c r="CD10" i="47"/>
  <c r="AR14" i="47"/>
  <c r="BK134" i="46"/>
  <c r="BM114" i="46"/>
  <c r="BF36" i="47" a="1"/>
  <c r="BG36" i="47" s="1"/>
  <c r="BK333" i="46"/>
  <c r="B27" i="5"/>
  <c r="B36" i="5"/>
  <c r="M240" i="21"/>
  <c r="M291" i="21" s="1"/>
  <c r="AE29" i="10"/>
  <c r="AE50" i="10" s="1"/>
  <c r="AE80" i="10" s="1"/>
  <c r="Q47" i="5"/>
  <c r="L337" i="44"/>
  <c r="Q42" i="5"/>
  <c r="AX81" i="11"/>
  <c r="AB97" i="8"/>
  <c r="BH148" i="46"/>
  <c r="S29" i="30"/>
  <c r="M144" i="1"/>
  <c r="AC143" i="1"/>
  <c r="D15" i="32"/>
  <c r="K13" i="21"/>
  <c r="E34" i="49"/>
  <c r="W143" i="1"/>
  <c r="AE53" i="11"/>
  <c r="K128" i="1"/>
  <c r="AE50" i="7"/>
  <c r="G40" i="44"/>
  <c r="P8" i="4"/>
  <c r="D42" i="30"/>
  <c r="D43" i="30" s="1"/>
  <c r="D63" i="30" s="1"/>
  <c r="AZ231" i="46"/>
  <c r="AU108" i="1"/>
  <c r="AV103" i="1"/>
  <c r="AJ83" i="8"/>
  <c r="AJ84" i="3"/>
  <c r="AA34" i="7"/>
  <c r="AA58" i="7" s="1"/>
  <c r="AG47" i="9"/>
  <c r="AJ90" i="3"/>
  <c r="C78" i="3"/>
  <c r="G78" i="3" s="1"/>
  <c r="BD222" i="46"/>
  <c r="N42" i="30"/>
  <c r="O42" i="30" s="1"/>
  <c r="P42" i="30" s="1"/>
  <c r="Q42" i="30" s="1"/>
  <c r="AA56" i="9"/>
  <c r="AW35" i="1"/>
  <c r="AV14" i="1"/>
  <c r="AT13" i="6" s="1"/>
  <c r="AT19" i="6" s="1"/>
  <c r="AT25" i="6" s="1"/>
  <c r="AT31" i="6" s="1"/>
  <c r="AT37" i="6" s="1"/>
  <c r="AU125" i="1"/>
  <c r="AU143" i="1"/>
  <c r="AF145" i="1"/>
  <c r="AM106" i="1"/>
  <c r="BD36" i="46"/>
  <c r="CC27" i="47"/>
  <c r="BA67" i="46"/>
  <c r="F15" i="49"/>
  <c r="AZ146" i="46"/>
  <c r="AG119" i="46"/>
  <c r="AW133" i="46"/>
  <c r="I47" i="30"/>
  <c r="E29" i="30"/>
  <c r="W56" i="9"/>
  <c r="AS137" i="1"/>
  <c r="Y57" i="9"/>
  <c r="U86" i="3"/>
  <c r="W86" i="3" s="1"/>
  <c r="U95" i="1"/>
  <c r="BC94" i="1"/>
  <c r="AQ97" i="1"/>
  <c r="AW66" i="1"/>
  <c r="M175" i="1"/>
  <c r="BH67" i="46"/>
  <c r="BI26" i="46"/>
  <c r="BH56" i="46"/>
  <c r="F29" i="49"/>
  <c r="BB45" i="48"/>
  <c r="AR31" i="48"/>
  <c r="AR33" i="48" s="1"/>
  <c r="AV334" i="46"/>
  <c r="AB119" i="46"/>
  <c r="BA136" i="46"/>
  <c r="Q118" i="46"/>
  <c r="BI115" i="46"/>
  <c r="BD114" i="46"/>
  <c r="AG137" i="46"/>
  <c r="AA133" i="46"/>
  <c r="AU119" i="46"/>
  <c r="AO115" i="46"/>
  <c r="AJ335" i="46"/>
  <c r="AS334" i="46"/>
  <c r="BC135" i="46"/>
  <c r="AW332" i="46"/>
  <c r="AY333" i="46"/>
  <c r="BE330" i="46"/>
  <c r="AG13" i="47" a="1"/>
  <c r="AE133" i="46"/>
  <c r="AK133" i="46" s="1"/>
  <c r="AI262" i="46"/>
  <c r="AK113" i="46"/>
  <c r="AJ113" i="46"/>
  <c r="W119" i="46"/>
  <c r="AC119" i="46" s="1"/>
  <c r="AK257" i="46"/>
  <c r="AS256" i="46"/>
  <c r="BG230" i="46"/>
  <c r="AZ128" i="46"/>
  <c r="BA65" i="46"/>
  <c r="X114" i="46"/>
  <c r="BH115" i="46"/>
  <c r="BE109" i="46"/>
  <c r="BE87" i="46"/>
  <c r="BI261" i="46"/>
  <c r="AS67" i="46"/>
  <c r="T16" i="46"/>
  <c r="AG37" i="47" a="1"/>
  <c r="AH37" i="47" s="1"/>
  <c r="AN315" i="46"/>
  <c r="D49" i="49"/>
  <c r="Y134" i="46"/>
  <c r="AI117" i="46"/>
  <c r="AN67" i="46"/>
  <c r="AN78" i="46"/>
  <c r="AA75" i="46"/>
  <c r="AC75" i="46" s="1"/>
  <c r="AZ26" i="46"/>
  <c r="BA26" i="46" s="1"/>
  <c r="AG17" i="47" a="1"/>
  <c r="AJ312" i="46"/>
  <c r="BA220" i="46"/>
  <c r="AS94" i="46"/>
  <c r="BH57" i="46"/>
  <c r="AO109" i="46"/>
  <c r="AB16" i="46"/>
  <c r="BE261" i="46"/>
  <c r="X36" i="46"/>
  <c r="AM96" i="46"/>
  <c r="AN129" i="46"/>
  <c r="AZ242" i="46"/>
  <c r="AN37" i="46"/>
  <c r="BI315" i="46"/>
  <c r="U87" i="46"/>
  <c r="BD27" i="46"/>
  <c r="BE27" i="46" s="1"/>
  <c r="L135" i="46"/>
  <c r="U97" i="46"/>
  <c r="BE62" i="46"/>
  <c r="AO26" i="46"/>
  <c r="AQ335" i="46"/>
  <c r="M115" i="46"/>
  <c r="AY66" i="46"/>
  <c r="AN75" i="46"/>
  <c r="BD250" i="46"/>
  <c r="AB27" i="47" a="1"/>
  <c r="AD27" i="47" s="1"/>
  <c r="BA73" i="46"/>
  <c r="AY78" i="46"/>
  <c r="AR35" i="46"/>
  <c r="BI36" i="46"/>
  <c r="AY98" i="46"/>
  <c r="AV56" i="46"/>
  <c r="BE331" i="46"/>
  <c r="AW27" i="46"/>
  <c r="G119" i="46"/>
  <c r="BA147" i="46"/>
  <c r="AB36" i="46"/>
  <c r="BE221" i="46"/>
  <c r="AN222" i="46"/>
  <c r="AR57" i="46"/>
  <c r="AR89" i="46"/>
  <c r="G114" i="3"/>
  <c r="AI334" i="46"/>
  <c r="BE314" i="46"/>
  <c r="AZ220" i="46"/>
  <c r="AR44" i="46"/>
  <c r="O153" i="46"/>
  <c r="Q113" i="46"/>
  <c r="AI266" i="46"/>
  <c r="AO87" i="46"/>
  <c r="AZ116" i="46"/>
  <c r="AK55" i="46"/>
  <c r="BM47" i="46"/>
  <c r="AN47" i="46"/>
  <c r="AG23" i="46"/>
  <c r="AO17" i="46"/>
  <c r="BD260" i="46"/>
  <c r="L36" i="46"/>
  <c r="Y36" i="46"/>
  <c r="AV127" i="46"/>
  <c r="AK330" i="46"/>
  <c r="AI98" i="46"/>
  <c r="BH330" i="46"/>
  <c r="AM230" i="46"/>
  <c r="BE57" i="46"/>
  <c r="BC319" i="46"/>
  <c r="BD314" i="46"/>
  <c r="AN259" i="46"/>
  <c r="AK76" i="46"/>
  <c r="AR37" i="46"/>
  <c r="AU135" i="46"/>
  <c r="H49" i="49"/>
  <c r="AR232" i="46"/>
  <c r="AW232" i="46" s="1"/>
  <c r="AN94" i="46"/>
  <c r="AE155" i="46"/>
  <c r="AW66" i="46"/>
  <c r="AN64" i="46"/>
  <c r="BD45" i="46"/>
  <c r="B23" i="32"/>
  <c r="BI240" i="46"/>
  <c r="AW239" i="46"/>
  <c r="AN17" i="46"/>
  <c r="BE45" i="46"/>
  <c r="AN24" i="46"/>
  <c r="AN54" i="46"/>
  <c r="AR67" i="46"/>
  <c r="AS228" i="46"/>
  <c r="AN242" i="46"/>
  <c r="AS314" i="46"/>
  <c r="L34" i="6"/>
  <c r="Y29" i="6"/>
  <c r="M30" i="6"/>
  <c r="AV34" i="6"/>
  <c r="AR35" i="6"/>
  <c r="AF37" i="6"/>
  <c r="AO18" i="6"/>
  <c r="BA37" i="6"/>
  <c r="AF40" i="6"/>
  <c r="G127" i="21"/>
  <c r="G312" i="21" s="1"/>
  <c r="AE57" i="7"/>
  <c r="Y35" i="46"/>
  <c r="AN86" i="46"/>
  <c r="T73" i="46"/>
  <c r="Q16" i="46"/>
  <c r="Q17" i="46" s="1"/>
  <c r="D14" i="49"/>
  <c r="BC335" i="46"/>
  <c r="BD335" i="46" s="1"/>
  <c r="M35" i="46"/>
  <c r="AN106" i="46"/>
  <c r="P113" i="46"/>
  <c r="J259" i="21"/>
  <c r="G194" i="21"/>
  <c r="G240" i="21"/>
  <c r="F83" i="21"/>
  <c r="D61" i="21"/>
  <c r="H145" i="46"/>
  <c r="AJ94" i="46"/>
  <c r="X73" i="46"/>
  <c r="AZ45" i="46"/>
  <c r="W106" i="3"/>
  <c r="S101" i="3"/>
  <c r="U83" i="3"/>
  <c r="W97" i="3" s="1"/>
  <c r="U78" i="3"/>
  <c r="W85" i="3" s="1"/>
  <c r="U16" i="6"/>
  <c r="W50" i="7"/>
  <c r="D58" i="7"/>
  <c r="H50" i="7"/>
  <c r="AC51" i="7"/>
  <c r="J32" i="7"/>
  <c r="J56" i="7" s="1"/>
  <c r="W57" i="7"/>
  <c r="AM47" i="11"/>
  <c r="BB42" i="11"/>
  <c r="P18" i="5"/>
  <c r="AG77" i="1"/>
  <c r="N36" i="5"/>
  <c r="BP42" i="11"/>
  <c r="AB143" i="1"/>
  <c r="AM144" i="1"/>
  <c r="AN134" i="1"/>
  <c r="P144" i="1"/>
  <c r="I124" i="1"/>
  <c r="AV133" i="1"/>
  <c r="AE175" i="1"/>
  <c r="AQ38" i="11"/>
  <c r="AQ104" i="1"/>
  <c r="AA124" i="1"/>
  <c r="AG124" i="1" s="1"/>
  <c r="N21" i="5"/>
  <c r="AB98" i="1"/>
  <c r="AZ79" i="1"/>
  <c r="AU128" i="1"/>
  <c r="BG94" i="1"/>
  <c r="BA86" i="1"/>
  <c r="W109" i="1"/>
  <c r="M145" i="1"/>
  <c r="AW93" i="1"/>
  <c r="G149" i="1"/>
  <c r="G174" i="1"/>
  <c r="M23" i="5"/>
  <c r="M24" i="5" s="1"/>
  <c r="Q45" i="1"/>
  <c r="AU166" i="1"/>
  <c r="AO30" i="11" s="1"/>
  <c r="AL30" i="11"/>
  <c r="AM56" i="1"/>
  <c r="L96" i="1"/>
  <c r="AG11" i="10"/>
  <c r="BH55" i="11"/>
  <c r="AG93" i="1"/>
  <c r="BC219" i="1"/>
  <c r="AI86" i="1"/>
  <c r="Z18" i="11" s="1"/>
  <c r="Z45" i="11" s="1"/>
  <c r="AY65" i="1"/>
  <c r="AB16" i="11"/>
  <c r="AB43" i="11" s="1"/>
  <c r="BG57" i="1"/>
  <c r="S20" i="5" s="1"/>
  <c r="AW34" i="1"/>
  <c r="BL12" i="11"/>
  <c r="BL14" i="11" s="1"/>
  <c r="BA85" i="1"/>
  <c r="AZ85" i="1"/>
  <c r="Y35" i="1"/>
  <c r="AW44" i="1"/>
  <c r="AZ37" i="1"/>
  <c r="G148" i="1"/>
  <c r="T17" i="1"/>
  <c r="AF119" i="1"/>
  <c r="T123" i="1"/>
  <c r="AI136" i="1"/>
  <c r="BE37" i="1"/>
  <c r="AW18" i="11"/>
  <c r="AW45" i="11" s="1"/>
  <c r="L17" i="1"/>
  <c r="D16" i="32"/>
  <c r="E16" i="32" s="1"/>
  <c r="F16" i="32" s="1"/>
  <c r="G16" i="32" s="1"/>
  <c r="H16" i="32" s="1"/>
  <c r="BG167" i="1"/>
  <c r="S50" i="5" s="1"/>
  <c r="BR30" i="11" s="1"/>
  <c r="AB55" i="11"/>
  <c r="M21" i="1"/>
  <c r="P12" i="5"/>
  <c r="Y22" i="1"/>
  <c r="N27" i="5"/>
  <c r="C79" i="1"/>
  <c r="AA95" i="1"/>
  <c r="S124" i="1"/>
  <c r="G109" i="1"/>
  <c r="AJ15" i="11"/>
  <c r="K143" i="1"/>
  <c r="BD117" i="1"/>
  <c r="P176" i="1"/>
  <c r="BA26" i="1"/>
  <c r="AE123" i="1"/>
  <c r="P136" i="1"/>
  <c r="X19" i="11"/>
  <c r="AS139" i="1"/>
  <c r="AX89" i="11"/>
  <c r="O32" i="5"/>
  <c r="L123" i="1"/>
  <c r="M36" i="5"/>
  <c r="H79" i="1"/>
  <c r="Y104" i="1"/>
  <c r="AE57" i="9"/>
  <c r="BC35" i="1"/>
  <c r="BD34" i="1"/>
  <c r="N17" i="5"/>
  <c r="BC89" i="1"/>
  <c r="AC78" i="10"/>
  <c r="BI16" i="1"/>
  <c r="AN55" i="11"/>
  <c r="O93" i="1"/>
  <c r="BD53" i="1"/>
  <c r="AV16" i="1"/>
  <c r="K109" i="1"/>
  <c r="X78" i="1"/>
  <c r="P95" i="1"/>
  <c r="M93" i="1"/>
  <c r="AR63" i="1"/>
  <c r="AY169" i="1"/>
  <c r="BC169" i="1"/>
  <c r="AO133" i="1"/>
  <c r="AQ136" i="1"/>
  <c r="L103" i="1"/>
  <c r="BC88" i="1"/>
  <c r="AA104" i="1"/>
  <c r="K98" i="1"/>
  <c r="BC62" i="1"/>
  <c r="AR53" i="1"/>
  <c r="AJ53" i="1"/>
  <c r="D75" i="1"/>
  <c r="W95" i="1"/>
  <c r="AY64" i="1"/>
  <c r="AR14" i="1"/>
  <c r="AP13" i="6" s="1"/>
  <c r="AP19" i="6" s="1"/>
  <c r="AP25" i="6" s="1"/>
  <c r="AP31" i="6" s="1"/>
  <c r="AP37" i="6" s="1"/>
  <c r="AO44" i="1"/>
  <c r="AW64" i="1"/>
  <c r="AF94" i="1"/>
  <c r="BI36" i="1"/>
  <c r="BE33" i="1"/>
  <c r="BA16" i="11"/>
  <c r="BA43" i="11" s="1"/>
  <c r="AO34" i="1"/>
  <c r="AS16" i="1"/>
  <c r="BA16" i="1"/>
  <c r="BA17" i="1" s="1"/>
  <c r="Q16" i="1"/>
  <c r="AB27" i="1"/>
  <c r="O9" i="5"/>
  <c r="AI44" i="11"/>
  <c r="BA55" i="11"/>
  <c r="AY15" i="11"/>
  <c r="AV30" i="11"/>
  <c r="BH30" i="11"/>
  <c r="AN89" i="11"/>
  <c r="AF37" i="1"/>
  <c r="BI118" i="1"/>
  <c r="AS22" i="1"/>
  <c r="AW22" i="1"/>
  <c r="BJ21" i="1"/>
  <c r="AS15" i="11"/>
  <c r="BA35" i="1"/>
  <c r="AG35" i="1"/>
  <c r="L37" i="1"/>
  <c r="BA43" i="1"/>
  <c r="AI62" i="1"/>
  <c r="AG16" i="11"/>
  <c r="AG43" i="11" s="1"/>
  <c r="AR55" i="1"/>
  <c r="BC57" i="1"/>
  <c r="BC64" i="1"/>
  <c r="BG62" i="1"/>
  <c r="AW75" i="1"/>
  <c r="AV85" i="1"/>
  <c r="BE84" i="1"/>
  <c r="P23" i="5"/>
  <c r="P24" i="5" s="1"/>
  <c r="D8" i="32"/>
  <c r="AV48" i="48"/>
  <c r="BN46" i="48"/>
  <c r="BQ12" i="48"/>
  <c r="BQ22" i="48" s="1"/>
  <c r="BH60" i="48"/>
  <c r="BM60" i="48"/>
  <c r="BQ60" i="48"/>
  <c r="BU60" i="48"/>
  <c r="AG46" i="48"/>
  <c r="W24" i="48"/>
  <c r="AB24" i="48"/>
  <c r="AG24" i="48"/>
  <c r="AL24" i="48"/>
  <c r="AQ24" i="48"/>
  <c r="AE24" i="48"/>
  <c r="AE26" i="48" s="1"/>
  <c r="BT71" i="48"/>
  <c r="J60" i="21"/>
  <c r="J257" i="21" s="1"/>
  <c r="AB20" i="47" a="1"/>
  <c r="AD20" i="47" s="1"/>
  <c r="AQ21" i="47" a="1"/>
  <c r="F21" i="49"/>
  <c r="CE15" i="47"/>
  <c r="I17" i="46"/>
  <c r="Y21" i="46"/>
  <c r="AZ34" i="46"/>
  <c r="BM46" i="46"/>
  <c r="AS57" i="46"/>
  <c r="AY113" i="46"/>
  <c r="S114" i="46"/>
  <c r="AZ73" i="46"/>
  <c r="AM332" i="46"/>
  <c r="AS108" i="46"/>
  <c r="H115" i="46"/>
  <c r="E43" i="49"/>
  <c r="B49" i="49"/>
  <c r="BA250" i="46"/>
  <c r="I64" i="49"/>
  <c r="BA313" i="46"/>
  <c r="BM315" i="46"/>
  <c r="AJ330" i="46"/>
  <c r="AR330" i="46"/>
  <c r="BM330" i="46"/>
  <c r="F37" i="4"/>
  <c r="Q37" i="10"/>
  <c r="E37" i="10"/>
  <c r="AA64" i="10"/>
  <c r="T67" i="8"/>
  <c r="AH70" i="8"/>
  <c r="L97" i="8"/>
  <c r="L96" i="8"/>
  <c r="AN35" i="6"/>
  <c r="H36" i="6"/>
  <c r="M36" i="6" s="1"/>
  <c r="AB36" i="6"/>
  <c r="AO24" i="6"/>
  <c r="P36" i="6"/>
  <c r="BI29" i="6"/>
  <c r="P32" i="7"/>
  <c r="P56" i="7" s="1"/>
  <c r="GX49" i="44"/>
  <c r="H15" i="30"/>
  <c r="AF49" i="44"/>
  <c r="AJ49" i="44"/>
  <c r="BI46" i="44"/>
  <c r="BI49" i="44" s="1"/>
  <c r="BL49" i="44"/>
  <c r="BO46" i="44"/>
  <c r="BO49" i="44" s="1"/>
  <c r="BR49" i="44"/>
  <c r="CT49" i="44"/>
  <c r="CW46" i="44"/>
  <c r="CW49" i="44" s="1"/>
  <c r="DA46" i="44"/>
  <c r="DA49" i="44" s="1"/>
  <c r="DH49" i="44"/>
  <c r="DK46" i="44"/>
  <c r="DK49" i="44" s="1"/>
  <c r="DN49" i="44"/>
  <c r="EG46" i="44"/>
  <c r="EG49" i="44" s="1"/>
  <c r="EN49" i="44"/>
  <c r="EQ46" i="44"/>
  <c r="EQ49" i="44" s="1"/>
  <c r="ET49" i="44"/>
  <c r="FG46" i="44"/>
  <c r="FG49" i="44" s="1"/>
  <c r="FJ49" i="44"/>
  <c r="FW46" i="44"/>
  <c r="FW49" i="44" s="1"/>
  <c r="FZ49" i="44"/>
  <c r="GW46" i="44"/>
  <c r="GW49" i="44" s="1"/>
  <c r="HG46" i="44"/>
  <c r="HG49" i="44" s="1"/>
  <c r="IA46" i="44"/>
  <c r="IA49" i="44" s="1"/>
  <c r="HJ57" i="44"/>
  <c r="IP57" i="44"/>
  <c r="BG321" i="46"/>
  <c r="BH321" i="46" s="1"/>
  <c r="BM129" i="47"/>
  <c r="BW23" i="46"/>
  <c r="BH36" i="6"/>
  <c r="BM18" i="6"/>
  <c r="BQ47" i="46"/>
  <c r="BU47" i="46"/>
  <c r="BQ108" i="46"/>
  <c r="BP108" i="46"/>
  <c r="BU108" i="46"/>
  <c r="BP128" i="46"/>
  <c r="BO320" i="46"/>
  <c r="BU320" i="46" s="1"/>
  <c r="BM16" i="6"/>
  <c r="AI56" i="7"/>
  <c r="BM119" i="46"/>
  <c r="E39" i="39"/>
  <c r="BL114" i="46"/>
  <c r="BE335" i="46"/>
  <c r="BJ22" i="1"/>
  <c r="D37" i="1"/>
  <c r="N74" i="8"/>
  <c r="ER49" i="44"/>
  <c r="FK49" i="44"/>
  <c r="GA49" i="44"/>
  <c r="T104" i="8"/>
  <c r="BQ109" i="46"/>
  <c r="BU109" i="46"/>
  <c r="AU153" i="46"/>
  <c r="AY208" i="46"/>
  <c r="AM134" i="46"/>
  <c r="BE226" i="46"/>
  <c r="AY209" i="46"/>
  <c r="BL241" i="46"/>
  <c r="BG15" i="1"/>
  <c r="BI57" i="1" s="1"/>
  <c r="AR301" i="46"/>
  <c r="W27" i="47" a="1"/>
  <c r="Y27" i="47" s="1"/>
  <c r="AK261" i="46"/>
  <c r="BM232" i="46"/>
  <c r="BG27" i="47"/>
  <c r="BP47" i="11"/>
  <c r="D64" i="8"/>
  <c r="AU139" i="46"/>
  <c r="G79" i="3"/>
  <c r="L223" i="44"/>
  <c r="O223" i="44"/>
  <c r="C223" i="44"/>
  <c r="Q223" i="44"/>
  <c r="E223" i="44"/>
  <c r="W100" i="3"/>
  <c r="AG58" i="7"/>
  <c r="BI78" i="1"/>
  <c r="J49" i="3"/>
  <c r="S226" i="21"/>
  <c r="I63" i="49"/>
  <c r="H129" i="1"/>
  <c r="BK117" i="46"/>
  <c r="F23" i="31"/>
  <c r="BX21" i="46"/>
  <c r="BL229" i="46"/>
  <c r="BL332" i="46"/>
  <c r="M91" i="3"/>
  <c r="M97" i="3"/>
  <c r="AP100" i="3"/>
  <c r="U90" i="3"/>
  <c r="W90" i="3" s="1"/>
  <c r="BA48" i="48"/>
  <c r="R314" i="21"/>
  <c r="J104" i="21"/>
  <c r="J170" i="21" s="1"/>
  <c r="D62" i="21"/>
  <c r="BZ66" i="47"/>
  <c r="AN17" i="47"/>
  <c r="AA60" i="9"/>
  <c r="G15" i="4"/>
  <c r="G18" i="4" s="1"/>
  <c r="BL133" i="46"/>
  <c r="BL113" i="46"/>
  <c r="D20" i="4"/>
  <c r="BZ99" i="47"/>
  <c r="M28" i="4"/>
  <c r="H15" i="5"/>
  <c r="AT47" i="48"/>
  <c r="CC38" i="47"/>
  <c r="BQ220" i="46"/>
  <c r="BA37" i="46"/>
  <c r="BE149" i="46"/>
  <c r="BD262" i="46"/>
  <c r="AS21" i="46"/>
  <c r="BC232" i="46"/>
  <c r="BC31" i="47"/>
  <c r="BU12" i="48"/>
  <c r="BU22" i="48" s="1"/>
  <c r="BU45" i="48"/>
  <c r="BO58" i="48"/>
  <c r="AM44" i="48"/>
  <c r="BR58" i="48"/>
  <c r="BA61" i="48"/>
  <c r="AR95" i="48"/>
  <c r="AT60" i="48"/>
  <c r="BK135" i="46"/>
  <c r="BL67" i="46"/>
  <c r="BM77" i="46"/>
  <c r="BV220" i="46"/>
  <c r="BE148" i="46"/>
  <c r="AJ82" i="8"/>
  <c r="J83" i="8"/>
  <c r="R83" i="8" s="1"/>
  <c r="F9" i="49"/>
  <c r="E55" i="9"/>
  <c r="E61" i="9" s="1"/>
  <c r="B15" i="5"/>
  <c r="M119" i="3"/>
  <c r="O119" i="3" s="1"/>
  <c r="C21" i="32"/>
  <c r="Q52" i="5"/>
  <c r="K184" i="1"/>
  <c r="I60" i="30"/>
  <c r="M60" i="30" s="1"/>
  <c r="BC81" i="11"/>
  <c r="K154" i="1"/>
  <c r="BF83" i="47"/>
  <c r="AQ339" i="46"/>
  <c r="AN22" i="11"/>
  <c r="W128" i="1"/>
  <c r="X123" i="1"/>
  <c r="D79" i="21"/>
  <c r="AH94" i="3"/>
  <c r="H333" i="44"/>
  <c r="G335" i="44"/>
  <c r="S129" i="1"/>
  <c r="AS65" i="11"/>
  <c r="C112" i="3"/>
  <c r="G112" i="3" s="1"/>
  <c r="C90" i="3"/>
  <c r="G90" i="3" s="1"/>
  <c r="O90" i="3" s="1"/>
  <c r="AA85" i="3"/>
  <c r="AC92" i="3" s="1"/>
  <c r="AE92" i="3" s="1"/>
  <c r="C105" i="3"/>
  <c r="G105" i="3" s="1"/>
  <c r="O105" i="3" s="1"/>
  <c r="AH83" i="3"/>
  <c r="AH87" i="3" s="1"/>
  <c r="R42" i="30"/>
  <c r="S42" i="30" s="1"/>
  <c r="T42" i="30" s="1"/>
  <c r="U42" i="30" s="1"/>
  <c r="U43" i="30" s="1"/>
  <c r="D65" i="30"/>
  <c r="X93" i="1"/>
  <c r="R17" i="5"/>
  <c r="K155" i="1"/>
  <c r="AU98" i="1"/>
  <c r="M32" i="5"/>
  <c r="C144" i="1"/>
  <c r="BD334" i="46"/>
  <c r="BD35" i="46"/>
  <c r="BC119" i="46"/>
  <c r="BA335" i="46"/>
  <c r="AH86" i="3"/>
  <c r="S99" i="1"/>
  <c r="T95" i="1"/>
  <c r="AO66" i="1"/>
  <c r="AL46" i="11"/>
  <c r="AS261" i="46"/>
  <c r="N12" i="21"/>
  <c r="N78" i="21" s="1"/>
  <c r="BI35" i="47"/>
  <c r="BM55" i="46"/>
  <c r="BH97" i="46"/>
  <c r="BH107" i="46"/>
  <c r="BA21" i="47"/>
  <c r="T20" i="49"/>
  <c r="X14" i="47"/>
  <c r="BI25" i="46"/>
  <c r="AU166" i="46"/>
  <c r="M118" i="46"/>
  <c r="BG135" i="46"/>
  <c r="AM135" i="46"/>
  <c r="AO335" i="46"/>
  <c r="BD97" i="46"/>
  <c r="BE321" i="46"/>
  <c r="AS34" i="46"/>
  <c r="M20" i="21"/>
  <c r="M233" i="21" s="1"/>
  <c r="BA115" i="46"/>
  <c r="AN256" i="46"/>
  <c r="F24" i="49"/>
  <c r="F25" i="49" s="1"/>
  <c r="AB38" i="47" a="1"/>
  <c r="AK332" i="46"/>
  <c r="AM262" i="46"/>
  <c r="L6" i="21"/>
  <c r="L145" i="46"/>
  <c r="BA330" i="46"/>
  <c r="BA36" i="47" a="1"/>
  <c r="AZ93" i="46"/>
  <c r="AV21" i="47" a="1"/>
  <c r="AC35" i="46"/>
  <c r="BI96" i="46"/>
  <c r="BA260" i="46"/>
  <c r="AM232" i="46"/>
  <c r="AI149" i="46"/>
  <c r="B26" i="49"/>
  <c r="B27" i="49" s="1"/>
  <c r="AW222" i="46"/>
  <c r="AZ16" i="46"/>
  <c r="AF153" i="46"/>
  <c r="AQ229" i="46"/>
  <c r="AE96" i="46"/>
  <c r="AQ114" i="46"/>
  <c r="AQ99" i="46"/>
  <c r="W34" i="46"/>
  <c r="AG18" i="47" a="1"/>
  <c r="AG18" i="47" s="1"/>
  <c r="AY114" i="46"/>
  <c r="K119" i="46"/>
  <c r="AO256" i="46"/>
  <c r="AZ261" i="46"/>
  <c r="Y16" i="46"/>
  <c r="Y17" i="46" s="1"/>
  <c r="BA241" i="46"/>
  <c r="AN126" i="46"/>
  <c r="BA17" i="46"/>
  <c r="AY97" i="46"/>
  <c r="Q135" i="46"/>
  <c r="BD96" i="46"/>
  <c r="AI96" i="46"/>
  <c r="AI116" i="46" s="1"/>
  <c r="AZ46" i="46"/>
  <c r="BM321" i="46"/>
  <c r="AW109" i="46"/>
  <c r="AQ16" i="47" a="1"/>
  <c r="AC36" i="46"/>
  <c r="C49" i="49"/>
  <c r="AS35" i="46"/>
  <c r="AY99" i="46"/>
  <c r="AV241" i="46"/>
  <c r="AS147" i="46"/>
  <c r="BI67" i="46"/>
  <c r="BC333" i="46"/>
  <c r="AW330" i="46"/>
  <c r="AR222" i="46"/>
  <c r="AR242" i="46"/>
  <c r="AO330" i="46"/>
  <c r="BE220" i="46"/>
  <c r="AS44" i="46"/>
  <c r="AJ256" i="46"/>
  <c r="BA96" i="46"/>
  <c r="AG97" i="46"/>
  <c r="BI87" i="46"/>
  <c r="AE75" i="46"/>
  <c r="L26" i="46"/>
  <c r="BA331" i="46"/>
  <c r="W118" i="46"/>
  <c r="BA24" i="46"/>
  <c r="BH262" i="46"/>
  <c r="B22" i="49"/>
  <c r="B23" i="49" s="1"/>
  <c r="AW258" i="46"/>
  <c r="AS330" i="46"/>
  <c r="BD76" i="46"/>
  <c r="AI99" i="46"/>
  <c r="AO99" i="46" s="1"/>
  <c r="BC231" i="46"/>
  <c r="AO314" i="46"/>
  <c r="T153" i="46"/>
  <c r="BI107" i="46"/>
  <c r="AO94" i="46"/>
  <c r="BE113" i="46"/>
  <c r="AR86" i="46"/>
  <c r="AG115" i="46"/>
  <c r="BD87" i="46"/>
  <c r="AN14" i="46"/>
  <c r="U153" i="46"/>
  <c r="T41" i="6"/>
  <c r="BG333" i="46"/>
  <c r="H22" i="49"/>
  <c r="BD57" i="46"/>
  <c r="AM321" i="46"/>
  <c r="AS241" i="46"/>
  <c r="AB36" i="47" a="1"/>
  <c r="T69" i="8"/>
  <c r="AW17" i="6"/>
  <c r="AW19" i="6"/>
  <c r="AZ43" i="6"/>
  <c r="M16" i="6"/>
  <c r="BE18" i="6"/>
  <c r="BE29" i="6"/>
  <c r="BH55" i="46"/>
  <c r="H8" i="49"/>
  <c r="H38" i="49" s="1"/>
  <c r="BO32" i="48"/>
  <c r="D135" i="46"/>
  <c r="AZ108" i="46"/>
  <c r="AW106" i="46"/>
  <c r="F189" i="21"/>
  <c r="C240" i="21"/>
  <c r="AO228" i="46"/>
  <c r="AI114" i="46"/>
  <c r="AI119" i="46" s="1"/>
  <c r="H36" i="46"/>
  <c r="M92" i="3"/>
  <c r="G84" i="3"/>
  <c r="S80" i="3"/>
  <c r="F29" i="4"/>
  <c r="F42" i="4" s="1"/>
  <c r="P50" i="7"/>
  <c r="BQ10" i="11"/>
  <c r="M15" i="5"/>
  <c r="X44" i="1"/>
  <c r="AM38" i="11"/>
  <c r="Q15" i="5"/>
  <c r="Q18" i="5"/>
  <c r="C186" i="1"/>
  <c r="AN124" i="1"/>
  <c r="O154" i="1"/>
  <c r="I146" i="1"/>
  <c r="AY123" i="1"/>
  <c r="AS94" i="1"/>
  <c r="AB94" i="1"/>
  <c r="AJ16" i="11"/>
  <c r="AC93" i="1"/>
  <c r="AW94" i="1"/>
  <c r="AC78" i="1"/>
  <c r="AO18" i="11"/>
  <c r="AO45" i="11" s="1"/>
  <c r="AB79" i="1"/>
  <c r="AV93" i="1"/>
  <c r="U105" i="1"/>
  <c r="AM97" i="1"/>
  <c r="AW137" i="1"/>
  <c r="AI56" i="1"/>
  <c r="AI106" i="1" s="1"/>
  <c r="AJ106" i="1" s="1"/>
  <c r="AG30" i="11"/>
  <c r="AN57" i="1"/>
  <c r="G176" i="1"/>
  <c r="Q96" i="1"/>
  <c r="AA59" i="1"/>
  <c r="AV55" i="11"/>
  <c r="AB59" i="1"/>
  <c r="AO76" i="1"/>
  <c r="AI81" i="11"/>
  <c r="BG58" i="1"/>
  <c r="BI58" i="1" s="1"/>
  <c r="BM15" i="11"/>
  <c r="BM55" i="11" s="1"/>
  <c r="W76" i="1"/>
  <c r="T119" i="1"/>
  <c r="O125" i="1"/>
  <c r="H119" i="1"/>
  <c r="BC87" i="1"/>
  <c r="AO26" i="1"/>
  <c r="H17" i="1"/>
  <c r="T16" i="1"/>
  <c r="Y94" i="1"/>
  <c r="AG75" i="1"/>
  <c r="T94" i="1"/>
  <c r="AU89" i="1"/>
  <c r="AV89" i="1" s="1"/>
  <c r="AR76" i="1"/>
  <c r="G108" i="1"/>
  <c r="AE21" i="11"/>
  <c r="BE36" i="1"/>
  <c r="AK94" i="1"/>
  <c r="L12" i="5"/>
  <c r="AR118" i="1"/>
  <c r="P58" i="1"/>
  <c r="P118" i="1"/>
  <c r="AA34" i="1"/>
  <c r="AC34" i="1" s="1"/>
  <c r="AZ33" i="1"/>
  <c r="AZ43" i="1"/>
  <c r="AS17" i="1"/>
  <c r="E17" i="1"/>
  <c r="AG55" i="11"/>
  <c r="O103" i="1"/>
  <c r="U73" i="1"/>
  <c r="AS63" i="1"/>
  <c r="AZ36" i="1"/>
  <c r="U104" i="1"/>
  <c r="AE15" i="11"/>
  <c r="Y42" i="11"/>
  <c r="BC167" i="1"/>
  <c r="R50" i="5" s="1"/>
  <c r="BQ30" i="11" s="1"/>
  <c r="AQ138" i="1"/>
  <c r="AK133" i="1"/>
  <c r="AQ59" i="1"/>
  <c r="AR59" i="1" s="1"/>
  <c r="AI103" i="1"/>
  <c r="AI95" i="1"/>
  <c r="AN76" i="1"/>
  <c r="AU79" i="1"/>
  <c r="I75" i="1"/>
  <c r="BJ16" i="1"/>
  <c r="AU76" i="1"/>
  <c r="AU96" i="1" s="1"/>
  <c r="AM59" i="1"/>
  <c r="AN59" i="1" s="1"/>
  <c r="AR35" i="1"/>
  <c r="AS35" i="1"/>
  <c r="AR78" i="1"/>
  <c r="P16" i="1"/>
  <c r="M23" i="1"/>
  <c r="M18" i="5"/>
  <c r="AI16" i="11"/>
  <c r="AI43" i="11" s="1"/>
  <c r="AN17" i="11"/>
  <c r="AN38" i="11" s="1"/>
  <c r="BB18" i="11"/>
  <c r="BB45" i="11" s="1"/>
  <c r="AO89" i="11"/>
  <c r="Q24" i="1"/>
  <c r="AW25" i="1"/>
  <c r="BE34" i="1"/>
  <c r="AS36" i="1"/>
  <c r="BE44" i="1"/>
  <c r="AW62" i="1"/>
  <c r="AV66" i="1"/>
  <c r="BG87" i="1"/>
  <c r="AK134" i="1"/>
  <c r="W169" i="1"/>
  <c r="O168" i="1"/>
  <c r="AA166" i="1"/>
  <c r="C11" i="31"/>
  <c r="C14" i="31" s="1"/>
  <c r="C17" i="31" s="1"/>
  <c r="C29" i="31" s="1"/>
  <c r="Z12" i="48"/>
  <c r="Z43" i="48" s="1"/>
  <c r="BM71" i="48"/>
  <c r="BU71" i="48"/>
  <c r="AB99" i="47"/>
  <c r="CG14" i="47"/>
  <c r="BH78" i="46"/>
  <c r="Y87" i="46"/>
  <c r="BI88" i="46"/>
  <c r="BE262" i="46"/>
  <c r="K49" i="3"/>
  <c r="M49" i="3" s="1"/>
  <c r="Q28" i="10"/>
  <c r="S48" i="10"/>
  <c r="O48" i="10"/>
  <c r="W48" i="10"/>
  <c r="W64" i="10"/>
  <c r="L24" i="8"/>
  <c r="L32" i="8"/>
  <c r="L44" i="8"/>
  <c r="T63" i="8"/>
  <c r="AD97" i="8"/>
  <c r="U17" i="6"/>
  <c r="ED49" i="44"/>
  <c r="AD49" i="44"/>
  <c r="AH49" i="44"/>
  <c r="AL49" i="44"/>
  <c r="AS46" i="44"/>
  <c r="AS49" i="44" s="1"/>
  <c r="AV49" i="44"/>
  <c r="AY46" i="44"/>
  <c r="AY49" i="44" s="1"/>
  <c r="BB49" i="44"/>
  <c r="BH49" i="44"/>
  <c r="BN49" i="44"/>
  <c r="BW46" i="44"/>
  <c r="BW49" i="44" s="1"/>
  <c r="BZ49" i="44"/>
  <c r="CC46" i="44"/>
  <c r="CC49" i="44" s="1"/>
  <c r="CF49" i="44"/>
  <c r="CI46" i="44"/>
  <c r="CI49" i="44" s="1"/>
  <c r="CL49" i="44"/>
  <c r="CO46" i="44"/>
  <c r="CO49" i="44" s="1"/>
  <c r="CR49" i="44"/>
  <c r="CY46" i="44"/>
  <c r="CY49" i="44" s="1"/>
  <c r="DC46" i="44"/>
  <c r="DC49" i="44" s="1"/>
  <c r="DF49" i="44"/>
  <c r="DS46" i="44"/>
  <c r="DS49" i="44" s="1"/>
  <c r="DV49" i="44"/>
  <c r="DY46" i="44"/>
  <c r="DY49" i="44" s="1"/>
  <c r="EB49" i="44"/>
  <c r="EE46" i="44"/>
  <c r="EE49" i="44" s="1"/>
  <c r="EI46" i="44"/>
  <c r="EI49" i="44" s="1"/>
  <c r="EL49" i="44"/>
  <c r="EY46" i="44"/>
  <c r="EY49" i="44" s="1"/>
  <c r="FB49" i="44"/>
  <c r="FO46" i="44"/>
  <c r="FO49" i="44" s="1"/>
  <c r="FR49" i="44"/>
  <c r="GE46" i="44"/>
  <c r="GE49" i="44" s="1"/>
  <c r="GH49" i="44"/>
  <c r="GL49" i="44"/>
  <c r="GO46" i="44"/>
  <c r="GO49" i="44" s="1"/>
  <c r="GU46" i="44"/>
  <c r="GU49" i="44" s="1"/>
  <c r="HB49" i="44"/>
  <c r="HE46" i="44"/>
  <c r="HE49" i="44" s="1"/>
  <c r="HK46" i="44"/>
  <c r="HK49" i="44" s="1"/>
  <c r="HN49" i="44"/>
  <c r="HR49" i="44"/>
  <c r="HV49" i="44"/>
  <c r="HY46" i="44"/>
  <c r="HY49" i="44" s="1"/>
  <c r="IR49" i="44"/>
  <c r="HZ57" i="44"/>
  <c r="BM24" i="46"/>
  <c r="BW24" i="46" s="1"/>
  <c r="BU56" i="46"/>
  <c r="BQ56" i="46"/>
  <c r="BP56" i="46"/>
  <c r="BQ66" i="46"/>
  <c r="BU66" i="46"/>
  <c r="BP66" i="46"/>
  <c r="BQ89" i="46"/>
  <c r="BU89" i="46"/>
  <c r="R43" i="49"/>
  <c r="BO187" i="46"/>
  <c r="BO188" i="46" s="1"/>
  <c r="BO189" i="46" s="1"/>
  <c r="BL34" i="6"/>
  <c r="AI50" i="7"/>
  <c r="BT81" i="47"/>
  <c r="BT100" i="47" s="1"/>
  <c r="AM56" i="47"/>
  <c r="AM340" i="46"/>
  <c r="BG49" i="44"/>
  <c r="DO49" i="44"/>
  <c r="EU49" i="44"/>
  <c r="IH49" i="44"/>
  <c r="H35" i="49"/>
  <c r="I4" i="62"/>
  <c r="I5" i="62" s="1"/>
  <c r="F4" i="62"/>
  <c r="F5" i="62" s="1"/>
  <c r="G4" i="62"/>
  <c r="G5" i="62" s="1"/>
  <c r="H4" i="62"/>
  <c r="H5" i="62" s="1"/>
  <c r="BI24" i="6"/>
  <c r="BM24" i="6"/>
  <c r="BQ65" i="46"/>
  <c r="BU65" i="46"/>
  <c r="BP88" i="46"/>
  <c r="BQ88" i="46"/>
  <c r="BU88" i="46"/>
  <c r="BQ93" i="46"/>
  <c r="BP93" i="46"/>
  <c r="BP94" i="46"/>
  <c r="BQ94" i="46"/>
  <c r="BO98" i="46"/>
  <c r="BK269" i="46"/>
  <c r="BP16" i="46"/>
  <c r="BQ16" i="46"/>
  <c r="AN119" i="46"/>
  <c r="BK36" i="47" a="1"/>
  <c r="AM118" i="46"/>
  <c r="AN147" i="46"/>
  <c r="I71" i="49"/>
  <c r="O40" i="21" s="1"/>
  <c r="I223" i="44"/>
  <c r="P223" i="44"/>
  <c r="S223" i="44"/>
  <c r="N223" i="44"/>
  <c r="AC23" i="1"/>
  <c r="CB81" i="47"/>
  <c r="CB100" i="47" s="1"/>
  <c r="BG340" i="46"/>
  <c r="BQ335" i="46"/>
  <c r="BL260" i="46"/>
  <c r="AI49" i="48"/>
  <c r="AC106" i="3"/>
  <c r="AC99" i="3"/>
  <c r="AA86" i="3"/>
  <c r="AJ79" i="3"/>
  <c r="U105" i="3"/>
  <c r="AI37" i="9"/>
  <c r="AM10" i="47"/>
  <c r="K3" i="55" s="1"/>
  <c r="BF31" i="47" a="1"/>
  <c r="J67" i="8"/>
  <c r="AH67" i="8" s="1"/>
  <c r="P83" i="8"/>
  <c r="BL119" i="46"/>
  <c r="BM76" i="46"/>
  <c r="M32" i="4"/>
  <c r="BM240" i="46"/>
  <c r="BE334" i="46"/>
  <c r="I115" i="46"/>
  <c r="W135" i="46"/>
  <c r="AS332" i="46"/>
  <c r="AW115" i="46"/>
  <c r="BO232" i="46"/>
  <c r="BO230" i="46"/>
  <c r="BQ241" i="46"/>
  <c r="BB58" i="48"/>
  <c r="BD60" i="48"/>
  <c r="BO47" i="48"/>
  <c r="BQ45" i="48"/>
  <c r="BL17" i="46"/>
  <c r="BI331" i="46"/>
  <c r="BI76" i="46"/>
  <c r="BG117" i="46"/>
  <c r="BK179" i="46"/>
  <c r="BK199" i="46" s="1"/>
  <c r="BK292" i="46" s="1"/>
  <c r="J68" i="8"/>
  <c r="T82" i="8"/>
  <c r="F12" i="49"/>
  <c r="B12" i="5"/>
  <c r="B21" i="5"/>
  <c r="M93" i="21"/>
  <c r="M162" i="21" s="1"/>
  <c r="AW65" i="1"/>
  <c r="L32" i="5"/>
  <c r="CC20" i="47"/>
  <c r="CC49" i="47" s="1"/>
  <c r="Y123" i="1"/>
  <c r="X133" i="1"/>
  <c r="P32" i="5"/>
  <c r="K129" i="1"/>
  <c r="C87" i="3"/>
  <c r="G87" i="3" s="1"/>
  <c r="AH97" i="3"/>
  <c r="AJ97" i="3" s="1"/>
  <c r="AH78" i="3"/>
  <c r="AH80" i="3" s="1"/>
  <c r="AY66" i="1"/>
  <c r="AK104" i="1"/>
  <c r="AZ67" i="46"/>
  <c r="BI35" i="46"/>
  <c r="BG301" i="46"/>
  <c r="BH301" i="46" s="1"/>
  <c r="L84" i="8"/>
  <c r="D77" i="8"/>
  <c r="N30" i="5"/>
  <c r="AS66" i="1"/>
  <c r="AZ136" i="46"/>
  <c r="AM324" i="46"/>
  <c r="AN324" i="46" s="1"/>
  <c r="BC300" i="46"/>
  <c r="Y96" i="46"/>
  <c r="AQ116" i="46"/>
  <c r="BC117" i="46"/>
  <c r="AI299" i="46"/>
  <c r="AU341" i="46"/>
  <c r="AV341" i="46" s="1"/>
  <c r="AJ257" i="46"/>
  <c r="AO257" i="46"/>
  <c r="D75" i="46"/>
  <c r="C116" i="46"/>
  <c r="AR14" i="46"/>
  <c r="BH47" i="46"/>
  <c r="AN57" i="46"/>
  <c r="I28" i="49"/>
  <c r="CG18" i="47" s="1"/>
  <c r="AW94" i="46"/>
  <c r="AZ221" i="46"/>
  <c r="AW99" i="46"/>
  <c r="O119" i="46"/>
  <c r="AQ98" i="46"/>
  <c r="AW98" i="46" s="1"/>
  <c r="AR78" i="46"/>
  <c r="AR106" i="46"/>
  <c r="AR129" i="46"/>
  <c r="AV36" i="47" a="1"/>
  <c r="AY36" i="47" s="1"/>
  <c r="BD17" i="46"/>
  <c r="BD129" i="46"/>
  <c r="S135" i="46"/>
  <c r="L115" i="46"/>
  <c r="AB10" i="47" a="1"/>
  <c r="AQ20" i="47" a="1"/>
  <c r="AY77" i="46"/>
  <c r="BD242" i="46"/>
  <c r="AS17" i="46"/>
  <c r="AZ56" i="46"/>
  <c r="S118" i="46"/>
  <c r="AR47" i="46"/>
  <c r="BD127" i="46"/>
  <c r="BD221" i="46"/>
  <c r="BI226" i="46"/>
  <c r="AO55" i="46"/>
  <c r="BD220" i="46"/>
  <c r="BD240" i="46"/>
  <c r="H156" i="46"/>
  <c r="BI330" i="46"/>
  <c r="AF115" i="46"/>
  <c r="BC230" i="46"/>
  <c r="AN239" i="46"/>
  <c r="AM98" i="46"/>
  <c r="AQ262" i="46"/>
  <c r="G8" i="49"/>
  <c r="G38" i="49" s="1"/>
  <c r="BH35" i="46"/>
  <c r="AR239" i="46"/>
  <c r="AN228" i="46"/>
  <c r="AJ109" i="46"/>
  <c r="AQ341" i="46"/>
  <c r="AO221" i="46"/>
  <c r="N67" i="8"/>
  <c r="X36" i="6"/>
  <c r="AW37" i="6"/>
  <c r="AZ41" i="6"/>
  <c r="BA19" i="6"/>
  <c r="BH313" i="46"/>
  <c r="BQ58" i="48"/>
  <c r="BI149" i="46"/>
  <c r="BH37" i="46"/>
  <c r="T143" i="46"/>
  <c r="BE17" i="46"/>
  <c r="Y73" i="46"/>
  <c r="AZ36" i="46"/>
  <c r="BH27" i="46"/>
  <c r="BI27" i="46" s="1"/>
  <c r="S50" i="7"/>
  <c r="E61" i="21"/>
  <c r="E74" i="21"/>
  <c r="C83" i="3"/>
  <c r="G83" i="3" s="1"/>
  <c r="C85" i="3"/>
  <c r="G85" i="3" s="1"/>
  <c r="O85" i="3" s="1"/>
  <c r="AA77" i="3"/>
  <c r="K48" i="3"/>
  <c r="M48" i="3" s="1"/>
  <c r="Y44" i="7"/>
  <c r="Y56" i="7" s="1"/>
  <c r="U44" i="7"/>
  <c r="U56" i="7" s="1"/>
  <c r="R9" i="5"/>
  <c r="BM42" i="11"/>
  <c r="M27" i="5"/>
  <c r="AM46" i="11"/>
  <c r="BG104" i="1"/>
  <c r="AZ93" i="1"/>
  <c r="AH19" i="11"/>
  <c r="AM56" i="11" s="1"/>
  <c r="AQ124" i="1"/>
  <c r="AC94" i="1"/>
  <c r="H99" i="1"/>
  <c r="T143" i="1"/>
  <c r="S109" i="1"/>
  <c r="C99" i="1"/>
  <c r="AU99" i="1"/>
  <c r="AR116" i="1"/>
  <c r="L45" i="1"/>
  <c r="BN14" i="11"/>
  <c r="X17" i="1"/>
  <c r="N14" i="5"/>
  <c r="N32" i="5" s="1"/>
  <c r="AU105" i="1"/>
  <c r="K126" i="1"/>
  <c r="AZ56" i="1"/>
  <c r="AM58" i="1"/>
  <c r="AN58" i="1" s="1"/>
  <c r="AR24" i="1"/>
  <c r="AS27" i="1"/>
  <c r="T37" i="1"/>
  <c r="AY89" i="1"/>
  <c r="H37" i="1"/>
  <c r="I78" i="1"/>
  <c r="Y75" i="1"/>
  <c r="AG17" i="1"/>
  <c r="BA62" i="1"/>
  <c r="AA105" i="1"/>
  <c r="Y26" i="1"/>
  <c r="AI139" i="1"/>
  <c r="H103" i="1"/>
  <c r="L145" i="1"/>
  <c r="BN54" i="11"/>
  <c r="C123" i="1"/>
  <c r="C128" i="1" s="1"/>
  <c r="AO14" i="11"/>
  <c r="AO41" i="11" s="1"/>
  <c r="AO24" i="1"/>
  <c r="AJ10" i="11"/>
  <c r="AJ53" i="11" s="1"/>
  <c r="AV95" i="1"/>
  <c r="AX16" i="11"/>
  <c r="AX43" i="11" s="1"/>
  <c r="O79" i="1"/>
  <c r="U79" i="1" s="1"/>
  <c r="Q73" i="1"/>
  <c r="AZ16" i="1"/>
  <c r="K169" i="1"/>
  <c r="AI59" i="1"/>
  <c r="AJ59" i="1" s="1"/>
  <c r="M78" i="1"/>
  <c r="AQ58" i="1"/>
  <c r="AR58" i="1" s="1"/>
  <c r="AR16" i="1"/>
  <c r="Q17" i="1"/>
  <c r="BN10" i="11"/>
  <c r="X27" i="1"/>
  <c r="Y27" i="1" s="1"/>
  <c r="AF17" i="1"/>
  <c r="P27" i="1"/>
  <c r="AI105" i="1"/>
  <c r="BS46" i="48"/>
  <c r="BU71" i="47"/>
  <c r="AO107" i="47"/>
  <c r="AT107" i="47"/>
  <c r="AY107" i="47"/>
  <c r="CB70" i="47"/>
  <c r="B29" i="49"/>
  <c r="AW37" i="46"/>
  <c r="CF14" i="47"/>
  <c r="H30" i="49"/>
  <c r="N14" i="21" s="1"/>
  <c r="BM56" i="46"/>
  <c r="AS56" i="46"/>
  <c r="BA315" i="46"/>
  <c r="BQ314" i="46"/>
  <c r="Y35" i="3"/>
  <c r="K87" i="3"/>
  <c r="M94" i="3" s="1"/>
  <c r="Q46" i="10"/>
  <c r="Q48" i="10" s="1"/>
  <c r="K48" i="10"/>
  <c r="Y48" i="10"/>
  <c r="AJ46" i="8"/>
  <c r="T77" i="8"/>
  <c r="BA18" i="6"/>
  <c r="Q19" i="6"/>
  <c r="D36" i="6"/>
  <c r="BY49" i="44"/>
  <c r="HJ49" i="44"/>
  <c r="IB49" i="44"/>
  <c r="AE46" i="44"/>
  <c r="AE49" i="44" s="1"/>
  <c r="AI46" i="44"/>
  <c r="AI49" i="44" s="1"/>
  <c r="AM46" i="44"/>
  <c r="AM49" i="44" s="1"/>
  <c r="AT49" i="44"/>
  <c r="BU46" i="44"/>
  <c r="BU49" i="44" s="1"/>
  <c r="BX49" i="44"/>
  <c r="CA46" i="44"/>
  <c r="CA49" i="44" s="1"/>
  <c r="CD49" i="44"/>
  <c r="CG46" i="44"/>
  <c r="CG49" i="44" s="1"/>
  <c r="CP49" i="44"/>
  <c r="CS46" i="44"/>
  <c r="CS49" i="44" s="1"/>
  <c r="DD49" i="44"/>
  <c r="DG46" i="44"/>
  <c r="DG49" i="44" s="1"/>
  <c r="DJ49" i="44"/>
  <c r="DQ46" i="44"/>
  <c r="DQ49" i="44" s="1"/>
  <c r="DT49" i="44"/>
  <c r="DW46" i="44"/>
  <c r="DW49" i="44" s="1"/>
  <c r="DZ49" i="44"/>
  <c r="EC46" i="44"/>
  <c r="EC49" i="44" s="1"/>
  <c r="EJ49" i="44"/>
  <c r="EM46" i="44"/>
  <c r="EM49" i="44" s="1"/>
  <c r="EP49" i="44"/>
  <c r="EW46" i="44"/>
  <c r="EW49" i="44" s="1"/>
  <c r="EZ49" i="44"/>
  <c r="FC46" i="44"/>
  <c r="FC49" i="44" s="1"/>
  <c r="FM46" i="44"/>
  <c r="FM49" i="44" s="1"/>
  <c r="FP49" i="44"/>
  <c r="FS46" i="44"/>
  <c r="FS49" i="44" s="1"/>
  <c r="GC46" i="44"/>
  <c r="GC49" i="44" s="1"/>
  <c r="GF49" i="44"/>
  <c r="GI46" i="44"/>
  <c r="GI49" i="44" s="1"/>
  <c r="GM46" i="44"/>
  <c r="GM49" i="44" s="1"/>
  <c r="GP49" i="44"/>
  <c r="GV49" i="44"/>
  <c r="GY46" i="44"/>
  <c r="GY49" i="44" s="1"/>
  <c r="HF49" i="44"/>
  <c r="HI46" i="44"/>
  <c r="HI49" i="44" s="1"/>
  <c r="HL49" i="44"/>
  <c r="HO46" i="44"/>
  <c r="HO49" i="44" s="1"/>
  <c r="HS46" i="44"/>
  <c r="HS49" i="44" s="1"/>
  <c r="HW46" i="44"/>
  <c r="HW49" i="44" s="1"/>
  <c r="HZ49" i="44"/>
  <c r="IC46" i="44"/>
  <c r="IC49" i="44" s="1"/>
  <c r="IG46" i="44"/>
  <c r="IG49" i="44" s="1"/>
  <c r="IP49" i="44"/>
  <c r="HR57" i="44"/>
  <c r="ID57" i="44"/>
  <c r="IL57" i="44"/>
  <c r="C180" i="44"/>
  <c r="AJ102" i="8"/>
  <c r="BW22" i="46"/>
  <c r="BQ46" i="46"/>
  <c r="BP46" i="46"/>
  <c r="BU46" i="46"/>
  <c r="BQ57" i="46"/>
  <c r="BU57" i="46"/>
  <c r="BQ67" i="46"/>
  <c r="BU67" i="46"/>
  <c r="BM17" i="6"/>
  <c r="BY12" i="46"/>
  <c r="F62" i="21"/>
  <c r="C187" i="21"/>
  <c r="M259" i="21"/>
  <c r="S259" i="21"/>
  <c r="Q259" i="21"/>
  <c r="E259" i="21"/>
  <c r="I259" i="21"/>
  <c r="F196" i="21"/>
  <c r="F187" i="21"/>
  <c r="G196" i="21"/>
  <c r="D196" i="21"/>
  <c r="D187" i="21"/>
  <c r="E196" i="21"/>
  <c r="I143" i="21"/>
  <c r="L74" i="21"/>
  <c r="H72" i="21"/>
  <c r="I181" i="21"/>
  <c r="E93" i="21"/>
  <c r="E162" i="21" s="1"/>
  <c r="G74" i="21"/>
  <c r="C222" i="21"/>
  <c r="F77" i="21"/>
  <c r="G128" i="21" s="1"/>
  <c r="G201" i="21" s="1"/>
  <c r="G202" i="21" s="1"/>
  <c r="C86" i="21"/>
  <c r="D83" i="21"/>
  <c r="F79" i="21"/>
  <c r="I74" i="21"/>
  <c r="L222" i="21"/>
  <c r="H173" i="21"/>
  <c r="F274" i="21"/>
  <c r="F316" i="21" s="1"/>
  <c r="J141" i="21"/>
  <c r="H220" i="21"/>
  <c r="H251" i="21" s="1"/>
  <c r="K146" i="21"/>
  <c r="M311" i="21"/>
  <c r="M77" i="21"/>
  <c r="K100" i="21"/>
  <c r="O33" i="21"/>
  <c r="CG37" i="47"/>
  <c r="BA321" i="46"/>
  <c r="AW321" i="46"/>
  <c r="BE322" i="46"/>
  <c r="AV250" i="46"/>
  <c r="AM325" i="46"/>
  <c r="AO325" i="46" s="1"/>
  <c r="BA320" i="46"/>
  <c r="BK325" i="46"/>
  <c r="BL325" i="46" s="1"/>
  <c r="AU323" i="46"/>
  <c r="AW250" i="46"/>
  <c r="BQ320" i="46"/>
  <c r="M257" i="21"/>
  <c r="M315" i="21" s="1"/>
  <c r="G143" i="21"/>
  <c r="G145" i="21" s="1"/>
  <c r="G186" i="21" s="1"/>
  <c r="N93" i="21"/>
  <c r="N162" i="21" s="1"/>
  <c r="K143" i="21"/>
  <c r="L155" i="21"/>
  <c r="O148" i="21"/>
  <c r="O181" i="21" s="1"/>
  <c r="E233" i="21"/>
  <c r="G62" i="21"/>
  <c r="G225" i="21"/>
  <c r="C274" i="21"/>
  <c r="S314" i="21"/>
  <c r="J269" i="21"/>
  <c r="L220" i="21"/>
  <c r="L251" i="21" s="1"/>
  <c r="J220" i="21"/>
  <c r="J251" i="21" s="1"/>
  <c r="G276" i="21"/>
  <c r="F93" i="21"/>
  <c r="F162" i="21" s="1"/>
  <c r="K10" i="21"/>
  <c r="J76" i="21"/>
  <c r="J118" i="21" s="1"/>
  <c r="J10" i="21"/>
  <c r="J145" i="21" s="1"/>
  <c r="L233" i="21"/>
  <c r="H61" i="21"/>
  <c r="H320" i="21" s="1"/>
  <c r="H321" i="21" s="1"/>
  <c r="D74" i="21"/>
  <c r="H119" i="21"/>
  <c r="H250" i="21"/>
  <c r="L141" i="21"/>
  <c r="L10" i="21"/>
  <c r="L52" i="21"/>
  <c r="L127" i="21"/>
  <c r="L313" i="21" s="1"/>
  <c r="E83" i="21"/>
  <c r="C225" i="21"/>
  <c r="J53" i="21"/>
  <c r="K225" i="21"/>
  <c r="I61" i="21"/>
  <c r="H300" i="21"/>
  <c r="K311" i="21"/>
  <c r="L311" i="21"/>
  <c r="AC104" i="3"/>
  <c r="N118" i="8"/>
  <c r="T90" i="8"/>
  <c r="AJ90" i="8"/>
  <c r="P111" i="8"/>
  <c r="AD90" i="8"/>
  <c r="X90" i="8"/>
  <c r="X111" i="8"/>
  <c r="T46" i="8"/>
  <c r="J112" i="8"/>
  <c r="R112" i="8" s="1"/>
  <c r="AJ111" i="8"/>
  <c r="X46" i="8"/>
  <c r="AJ97" i="8"/>
  <c r="T102" i="8"/>
  <c r="N109" i="8"/>
  <c r="CH24" i="47"/>
  <c r="CH73" i="47" s="1"/>
  <c r="P17" i="21"/>
  <c r="BQ107" i="46"/>
  <c r="BU107" i="46"/>
  <c r="J26" i="49"/>
  <c r="CH17" i="47" s="1"/>
  <c r="BQ87" i="46"/>
  <c r="BU87" i="46"/>
  <c r="BQ78" i="46"/>
  <c r="BU78" i="46"/>
  <c r="BQ55" i="46"/>
  <c r="BU55" i="46"/>
  <c r="BQ45" i="46"/>
  <c r="BU45" i="46"/>
  <c r="BO322" i="46"/>
  <c r="BU322" i="46" s="1"/>
  <c r="BU229" i="46"/>
  <c r="AR341" i="46"/>
  <c r="AW341" i="46"/>
  <c r="BH339" i="46"/>
  <c r="BG344" i="46"/>
  <c r="AN325" i="46"/>
  <c r="AU279" i="46"/>
  <c r="AV279" i="46" s="1"/>
  <c r="AM339" i="46"/>
  <c r="BI321" i="46"/>
  <c r="BA322" i="46"/>
  <c r="BG341" i="46"/>
  <c r="BH341" i="46" s="1"/>
  <c r="BK340" i="46"/>
  <c r="BE320" i="46"/>
  <c r="AO320" i="46"/>
  <c r="AK325" i="46"/>
  <c r="BA47" i="47" a="1"/>
  <c r="BA47" i="47" s="1"/>
  <c r="BH319" i="46"/>
  <c r="BP320" i="46"/>
  <c r="AY324" i="46"/>
  <c r="AY342" i="46"/>
  <c r="BG342" i="46"/>
  <c r="BM342" i="46" s="1"/>
  <c r="AO324" i="46"/>
  <c r="AU342" i="46"/>
  <c r="AN320" i="46"/>
  <c r="BI322" i="46"/>
  <c r="AU324" i="46"/>
  <c r="AV324" i="46" s="1"/>
  <c r="AO319" i="46"/>
  <c r="AW320" i="46"/>
  <c r="AK321" i="46"/>
  <c r="AZ322" i="46"/>
  <c r="BO324" i="46"/>
  <c r="BU324" i="46" s="1"/>
  <c r="AY325" i="46"/>
  <c r="AZ325" i="46" s="1"/>
  <c r="AL47" i="47" a="1"/>
  <c r="AN47" i="47" s="1"/>
  <c r="AU339" i="46"/>
  <c r="AU345" i="46" s="1"/>
  <c r="AY323" i="46"/>
  <c r="AU325" i="46"/>
  <c r="AV325" i="46" s="1"/>
  <c r="AO321" i="46"/>
  <c r="BL320" i="46"/>
  <c r="BM322" i="46"/>
  <c r="BM250" i="46"/>
  <c r="BK20" i="47" a="1"/>
  <c r="BN20" i="47" s="1"/>
  <c r="BN49" i="47" s="1"/>
  <c r="BO76" i="46"/>
  <c r="BO332" i="46"/>
  <c r="AJ110" i="8"/>
  <c r="X110" i="8"/>
  <c r="J111" i="8"/>
  <c r="AH111" i="8" s="1"/>
  <c r="J103" i="8"/>
  <c r="R103" i="8" s="1"/>
  <c r="X97" i="8"/>
  <c r="T97" i="8"/>
  <c r="N97" i="8"/>
  <c r="J62" i="49"/>
  <c r="BQ331" i="46"/>
  <c r="BU331" i="46"/>
  <c r="BO262" i="46"/>
  <c r="BU228" i="46"/>
  <c r="J22" i="49"/>
  <c r="O311" i="21"/>
  <c r="AC55" i="48"/>
  <c r="BB18" i="48"/>
  <c r="BB30" i="48" s="1"/>
  <c r="BB31" i="48" s="1"/>
  <c r="Y44" i="48"/>
  <c r="AD60" i="48"/>
  <c r="AI44" i="48"/>
  <c r="AN44" i="48"/>
  <c r="AS60" i="48"/>
  <c r="AX60" i="48"/>
  <c r="BN47" i="48"/>
  <c r="BR45" i="48"/>
  <c r="W46" i="48"/>
  <c r="AB46" i="48"/>
  <c r="BD49" i="48"/>
  <c r="BI60" i="48"/>
  <c r="BN60" i="48"/>
  <c r="AY12" i="48"/>
  <c r="AY43" i="48" s="1"/>
  <c r="AY75" i="48" s="1"/>
  <c r="BD12" i="48"/>
  <c r="BD43" i="48" s="1"/>
  <c r="N32" i="8"/>
  <c r="P311" i="21"/>
  <c r="J11" i="8"/>
  <c r="R11" i="8" s="1"/>
  <c r="AJ11" i="8"/>
  <c r="N39" i="8"/>
  <c r="J46" i="8"/>
  <c r="R46" i="8" s="1"/>
  <c r="P25" i="8"/>
  <c r="N25" i="8"/>
  <c r="G13" i="4"/>
  <c r="L33" i="8"/>
  <c r="BS193" i="46"/>
  <c r="C26" i="32"/>
  <c r="C26" i="31"/>
  <c r="T11" i="8"/>
  <c r="N46" i="8"/>
  <c r="L31" i="8"/>
  <c r="L39" i="8"/>
  <c r="T52" i="8"/>
  <c r="T19" i="8"/>
  <c r="G47" i="9"/>
  <c r="U37" i="9"/>
  <c r="U47" i="9" s="1"/>
  <c r="Y35" i="9"/>
  <c r="Y37" i="9" s="1"/>
  <c r="Y47" i="9" s="1"/>
  <c r="AW64" i="11"/>
  <c r="AC42" i="10"/>
  <c r="AC45" i="10" s="1"/>
  <c r="AC46" i="10" s="1"/>
  <c r="B24" i="31" s="1"/>
  <c r="C35" i="31"/>
  <c r="C36" i="31" s="1"/>
  <c r="C35" i="32"/>
  <c r="C36" i="32" s="1"/>
  <c r="AC62" i="9"/>
  <c r="O37" i="9"/>
  <c r="O47" i="9" s="1"/>
  <c r="AC37" i="9"/>
  <c r="AC47" i="9" s="1"/>
  <c r="U25" i="6"/>
  <c r="AI42" i="9"/>
  <c r="I37" i="9"/>
  <c r="I47" i="9" s="1"/>
  <c r="Q37" i="9"/>
  <c r="Q47" i="9" s="1"/>
  <c r="X77" i="8"/>
  <c r="Z84" i="8" s="1"/>
  <c r="AG23" i="9"/>
  <c r="AG51" i="9" s="1"/>
  <c r="D35" i="32"/>
  <c r="D36" i="32" s="1"/>
  <c r="D35" i="31"/>
  <c r="D36" i="31" s="1"/>
  <c r="AW66" i="11"/>
  <c r="BB84" i="47"/>
  <c r="AO63" i="9"/>
  <c r="AQ63" i="9" s="1"/>
  <c r="AS63" i="9" s="1"/>
  <c r="AU63" i="9" s="1"/>
  <c r="AW63" i="9" s="1"/>
  <c r="BI82" i="47"/>
  <c r="AQ17" i="10"/>
  <c r="AQ28" i="10" s="1"/>
  <c r="BF84" i="47"/>
  <c r="N84" i="8"/>
  <c r="AE62" i="9"/>
  <c r="AY64" i="11"/>
  <c r="T19" i="6"/>
  <c r="T37" i="6" s="1"/>
  <c r="P31" i="6"/>
  <c r="U31" i="6" s="1"/>
  <c r="AX66" i="11"/>
  <c r="W47" i="9"/>
  <c r="P77" i="8"/>
  <c r="Y62" i="9"/>
  <c r="AX82" i="47"/>
  <c r="K47" i="9"/>
  <c r="J77" i="8"/>
  <c r="AH77" i="8" s="1"/>
  <c r="AC13" i="6"/>
  <c r="E37" i="9"/>
  <c r="AE29" i="7"/>
  <c r="AE35" i="7" s="1"/>
  <c r="E38" i="32" s="1"/>
  <c r="X37" i="6"/>
  <c r="P29" i="7"/>
  <c r="P47" i="7" s="1"/>
  <c r="P53" i="7" s="1"/>
  <c r="Y61" i="9"/>
  <c r="W62" i="9"/>
  <c r="Y60" i="9"/>
  <c r="Q13" i="6"/>
  <c r="T70" i="8"/>
  <c r="I25" i="6"/>
  <c r="Y25" i="6"/>
  <c r="J47" i="7"/>
  <c r="J53" i="7" s="1"/>
  <c r="R67" i="8"/>
  <c r="AB37" i="6"/>
  <c r="AF43" i="6" s="1"/>
  <c r="I31" i="6"/>
  <c r="D47" i="7"/>
  <c r="D53" i="7" s="1"/>
  <c r="L29" i="7"/>
  <c r="X70" i="8"/>
  <c r="Z77" i="8" s="1"/>
  <c r="H23" i="32"/>
  <c r="H47" i="7"/>
  <c r="H53" i="7" s="1"/>
  <c r="I13" i="6"/>
  <c r="D37" i="6"/>
  <c r="AJ63" i="8"/>
  <c r="AC60" i="9"/>
  <c r="AD63" i="8"/>
  <c r="Y31" i="6"/>
  <c r="AC61" i="9"/>
  <c r="P67" i="8"/>
  <c r="N29" i="7"/>
  <c r="N47" i="7" s="1"/>
  <c r="N53" i="7" s="1"/>
  <c r="AK48" i="10"/>
  <c r="F24" i="31"/>
  <c r="CG27" i="47"/>
  <c r="X54" i="8"/>
  <c r="AJ21" i="47"/>
  <c r="AW17" i="47"/>
  <c r="AI27" i="47"/>
  <c r="AJ13" i="47"/>
  <c r="AY11" i="47"/>
  <c r="AB38" i="47"/>
  <c r="AN18" i="47"/>
  <c r="AX27" i="47"/>
  <c r="AJ27" i="47"/>
  <c r="BD14" i="47"/>
  <c r="BG35" i="47"/>
  <c r="BG15" i="47"/>
  <c r="BC21" i="47"/>
  <c r="BB18" i="47"/>
  <c r="AL14" i="47"/>
  <c r="AW27" i="47"/>
  <c r="AV24" i="47"/>
  <c r="AO47" i="47"/>
  <c r="AG21" i="47"/>
  <c r="AG57" i="47" s="1"/>
  <c r="AB27" i="47"/>
  <c r="AY41" i="47"/>
  <c r="AY42" i="47" s="1"/>
  <c r="AY43" i="47" s="1"/>
  <c r="AV27" i="47"/>
  <c r="AM57" i="47"/>
  <c r="AI13" i="47"/>
  <c r="AN71" i="47" s="1"/>
  <c r="AO14" i="47"/>
  <c r="AT41" i="47"/>
  <c r="AT42" i="47" s="1"/>
  <c r="AT43" i="47" s="1"/>
  <c r="AQ35" i="47"/>
  <c r="AX11" i="47"/>
  <c r="AX24" i="47"/>
  <c r="BH15" i="47"/>
  <c r="AG35" i="47"/>
  <c r="BB21" i="47"/>
  <c r="AR35" i="47"/>
  <c r="BA14" i="47"/>
  <c r="CE71" i="47"/>
  <c r="BX71" i="47"/>
  <c r="AL107" i="47"/>
  <c r="AQ107" i="47"/>
  <c r="AV107" i="47"/>
  <c r="W12" i="47"/>
  <c r="W55" i="47" s="1"/>
  <c r="AM47" i="47"/>
  <c r="AX17" i="47"/>
  <c r="AO71" i="47"/>
  <c r="AX41" i="47"/>
  <c r="AX42" i="47" s="1"/>
  <c r="AX43" i="47" s="1"/>
  <c r="AG27" i="47"/>
  <c r="BH41" i="47"/>
  <c r="BH42" i="47" s="1"/>
  <c r="BH43" i="47" s="1"/>
  <c r="AQ41" i="47"/>
  <c r="AQ42" i="47" s="1"/>
  <c r="AQ43" i="47" s="1"/>
  <c r="AL18" i="47"/>
  <c r="AT35" i="47"/>
  <c r="BF15" i="47"/>
  <c r="BC14" i="47"/>
  <c r="BH35" i="47"/>
  <c r="BA18" i="47"/>
  <c r="CB12" i="47"/>
  <c r="CB55" i="47" s="1"/>
  <c r="AK65" i="47"/>
  <c r="AK74" i="47"/>
  <c r="BM24" i="47"/>
  <c r="BF41" i="47"/>
  <c r="BF42" i="47" s="1"/>
  <c r="BF43" i="47" s="1"/>
  <c r="AL10" i="47"/>
  <c r="AQ69" i="47" s="1"/>
  <c r="AV16" i="47"/>
  <c r="AO17" i="47"/>
  <c r="AW31" i="47"/>
  <c r="BZ12" i="47"/>
  <c r="BZ55" i="47" s="1"/>
  <c r="AN57" i="47"/>
  <c r="Z11" i="47"/>
  <c r="AT27" i="47"/>
  <c r="AX37" i="47"/>
  <c r="AR27" i="47"/>
  <c r="AV31" i="47"/>
  <c r="AS14" i="47"/>
  <c r="BF36" i="47"/>
  <c r="AE27" i="47"/>
  <c r="AO36" i="47"/>
  <c r="AY16" i="47"/>
  <c r="AY19" i="47" s="1"/>
  <c r="AX10" i="47"/>
  <c r="T3" i="55" s="1"/>
  <c r="AT14" i="47"/>
  <c r="AI11" i="47"/>
  <c r="AQ27" i="47"/>
  <c r="AC27" i="47"/>
  <c r="CA69" i="47"/>
  <c r="Z20" i="47"/>
  <c r="Z49" i="47" s="1"/>
  <c r="BI41" i="47"/>
  <c r="B26" i="39" s="1"/>
  <c r="X11" i="47"/>
  <c r="AD15" i="47"/>
  <c r="AB15" i="47"/>
  <c r="BG16" i="47"/>
  <c r="AG37" i="47"/>
  <c r="AL17" i="47"/>
  <c r="AY10" i="47"/>
  <c r="AY12" i="47" s="1"/>
  <c r="AY55" i="47" s="1"/>
  <c r="AC73" i="47"/>
  <c r="AV56" i="47"/>
  <c r="AV12" i="47"/>
  <c r="AV55" i="47" s="1"/>
  <c r="AF50" i="47"/>
  <c r="Z27" i="47"/>
  <c r="R16" i="53"/>
  <c r="AW16" i="47"/>
  <c r="AE15" i="47"/>
  <c r="AV69" i="47"/>
  <c r="BH16" i="47"/>
  <c r="AW37" i="47"/>
  <c r="AJ11" i="47"/>
  <c r="W35" i="47"/>
  <c r="AO10" i="47"/>
  <c r="AO57" i="47" s="1"/>
  <c r="BA73" i="47"/>
  <c r="AU50" i="47"/>
  <c r="AU64" i="47" s="1"/>
  <c r="AD49" i="47"/>
  <c r="AA65" i="47"/>
  <c r="AA50" i="47"/>
  <c r="AA64" i="47" s="1"/>
  <c r="AF74" i="47"/>
  <c r="AR107" i="47"/>
  <c r="AB24" i="47"/>
  <c r="W27" i="47"/>
  <c r="BG31" i="47"/>
  <c r="AE24" i="47"/>
  <c r="AE73" i="47" s="1"/>
  <c r="BH31" i="47"/>
  <c r="AO56" i="47"/>
  <c r="AJ18" i="47"/>
  <c r="AM19" i="47"/>
  <c r="AN36" i="47"/>
  <c r="AR38" i="47"/>
  <c r="AY14" i="47"/>
  <c r="AH11" i="47"/>
  <c r="AM12" i="47"/>
  <c r="AM55" i="47" s="1"/>
  <c r="AX71" i="47"/>
  <c r="W20" i="47"/>
  <c r="AY18" i="47"/>
  <c r="AX14" i="47"/>
  <c r="AW18" i="47"/>
  <c r="AW19" i="47" s="1"/>
  <c r="AD24" i="47"/>
  <c r="AI73" i="47" s="1"/>
  <c r="AX18" i="47"/>
  <c r="AY37" i="47"/>
  <c r="AN24" i="47"/>
  <c r="AN73" i="47" s="1"/>
  <c r="AL24" i="47"/>
  <c r="AS21" i="47"/>
  <c r="AS38" i="47"/>
  <c r="AJ24" i="47"/>
  <c r="AN16" i="47"/>
  <c r="CF73" i="47"/>
  <c r="BN36" i="47"/>
  <c r="BA15" i="47"/>
  <c r="AM36" i="47"/>
  <c r="CC58" i="47"/>
  <c r="BH24" i="47"/>
  <c r="AO31" i="47"/>
  <c r="BC24" i="47"/>
  <c r="BC73" i="47" s="1"/>
  <c r="AH18" i="47"/>
  <c r="X20" i="47"/>
  <c r="X49" i="47" s="1"/>
  <c r="AH10" i="47"/>
  <c r="AH58" i="47" s="1"/>
  <c r="Z18" i="47"/>
  <c r="BB15" i="47"/>
  <c r="BC15" i="47"/>
  <c r="Y35" i="47"/>
  <c r="CB69" i="47"/>
  <c r="X18" i="47"/>
  <c r="X35" i="47"/>
  <c r="BF24" i="47"/>
  <c r="BF73" i="47" s="1"/>
  <c r="AB20" i="47"/>
  <c r="BD24" i="47"/>
  <c r="C16" i="39" s="1"/>
  <c r="AM24" i="47"/>
  <c r="AQ21" i="47"/>
  <c r="AQ57" i="47" s="1"/>
  <c r="CB66" i="47"/>
  <c r="BY71" i="47"/>
  <c r="AN56" i="47"/>
  <c r="AM107" i="47"/>
  <c r="AW107" i="47"/>
  <c r="X27" i="47"/>
  <c r="BK36" i="47"/>
  <c r="AL47" i="47"/>
  <c r="AI18" i="47"/>
  <c r="AQ38" i="47"/>
  <c r="BI24" i="47"/>
  <c r="CC69" i="47"/>
  <c r="AM31" i="47"/>
  <c r="BB24" i="47"/>
  <c r="AH24" i="47"/>
  <c r="Y18" i="47"/>
  <c r="AG24" i="47"/>
  <c r="AG73" i="47" s="1"/>
  <c r="CC12" i="47"/>
  <c r="CC55" i="47" s="1"/>
  <c r="BP73" i="47"/>
  <c r="AF64" i="47"/>
  <c r="R6" i="55"/>
  <c r="BH13" i="47"/>
  <c r="BH71" i="47" s="1"/>
  <c r="O23" i="53" s="1"/>
  <c r="BF13" i="47"/>
  <c r="AU74" i="47"/>
  <c r="AP50" i="47"/>
  <c r="AP65" i="47"/>
  <c r="AE18" i="47"/>
  <c r="AC18" i="47"/>
  <c r="AB18" i="47"/>
  <c r="AB19" i="47" s="1"/>
  <c r="Z37" i="47"/>
  <c r="X37" i="47"/>
  <c r="BG17" i="47"/>
  <c r="BG19" i="47" s="1"/>
  <c r="BF17" i="47"/>
  <c r="BF19" i="47" s="1"/>
  <c r="BG13" i="47"/>
  <c r="BI13" i="47"/>
  <c r="B9" i="39" s="1"/>
  <c r="BF11" i="47"/>
  <c r="BG11" i="47"/>
  <c r="BG12" i="47" s="1"/>
  <c r="BG55" i="47" s="1"/>
  <c r="L18" i="53" s="1"/>
  <c r="BH11" i="47"/>
  <c r="BH10" i="47"/>
  <c r="AB3" i="55" s="1"/>
  <c r="BI10" i="47"/>
  <c r="B4" i="39" s="1"/>
  <c r="BF10" i="47"/>
  <c r="AP74" i="47"/>
  <c r="BI38" i="47"/>
  <c r="BH38" i="47"/>
  <c r="BG38" i="47"/>
  <c r="BF38" i="47"/>
  <c r="BA71" i="47"/>
  <c r="BH17" i="47"/>
  <c r="BH19" i="47" s="1"/>
  <c r="BA36" i="47"/>
  <c r="BC36" i="47"/>
  <c r="BD36" i="47"/>
  <c r="C23" i="39" s="1"/>
  <c r="BB36" i="47"/>
  <c r="AY21" i="47"/>
  <c r="AY57" i="47" s="1"/>
  <c r="AX21" i="47"/>
  <c r="AW21" i="47"/>
  <c r="AW57" i="47" s="1"/>
  <c r="AV21" i="47"/>
  <c r="AV57" i="47" s="1"/>
  <c r="BI21" i="47"/>
  <c r="B13" i="39" s="1"/>
  <c r="BG21" i="47"/>
  <c r="BG57" i="47" s="1"/>
  <c r="BF21" i="47"/>
  <c r="J3" i="55"/>
  <c r="N6" i="55" s="1"/>
  <c r="AL69" i="47"/>
  <c r="AL56" i="47"/>
  <c r="AR71" i="47"/>
  <c r="AW71" i="47"/>
  <c r="AS36" i="47"/>
  <c r="AQ36" i="47"/>
  <c r="AT36" i="47"/>
  <c r="AR36" i="47"/>
  <c r="CA71" i="47"/>
  <c r="CA56" i="47"/>
  <c r="AQ13" i="47"/>
  <c r="AT13" i="47"/>
  <c r="AY71" i="47" s="1"/>
  <c r="BD49" i="47"/>
  <c r="AL11" i="47"/>
  <c r="AL12" i="47" s="1"/>
  <c r="AL55" i="47" s="1"/>
  <c r="AO11" i="47"/>
  <c r="AO12" i="47" s="1"/>
  <c r="AO55" i="47" s="1"/>
  <c r="AN11" i="47"/>
  <c r="AN12" i="47" s="1"/>
  <c r="AN55" i="47" s="1"/>
  <c r="BB10" i="47"/>
  <c r="BD10" i="47"/>
  <c r="BC10" i="47"/>
  <c r="BA10" i="47"/>
  <c r="AD17" i="47"/>
  <c r="AE17" i="47"/>
  <c r="AE19" i="47" s="1"/>
  <c r="AX20" i="47"/>
  <c r="AX49" i="47" s="1"/>
  <c r="AV20" i="47"/>
  <c r="AW20" i="47"/>
  <c r="AY20" i="47"/>
  <c r="BC16" i="47"/>
  <c r="BD16" i="47"/>
  <c r="BA16" i="47"/>
  <c r="BA19" i="47" s="1"/>
  <c r="BB16" i="47"/>
  <c r="BA20" i="47"/>
  <c r="BA49" i="47" s="1"/>
  <c r="BC20" i="47"/>
  <c r="BB20" i="47"/>
  <c r="BB49" i="47" s="1"/>
  <c r="AT24" i="47"/>
  <c r="AY73" i="47" s="1"/>
  <c r="AR24" i="47"/>
  <c r="AR73" i="47" s="1"/>
  <c r="AS24" i="47"/>
  <c r="AS73" i="47" s="1"/>
  <c r="AQ24" i="47"/>
  <c r="AV73" i="47" s="1"/>
  <c r="AM27" i="47"/>
  <c r="AO27" i="47"/>
  <c r="AL27" i="47"/>
  <c r="AN27" i="47"/>
  <c r="AS31" i="47"/>
  <c r="AQ31" i="47"/>
  <c r="AT31" i="47"/>
  <c r="AR31" i="47"/>
  <c r="AW38" i="47"/>
  <c r="AV38" i="47"/>
  <c r="AX38" i="47"/>
  <c r="AY38" i="47"/>
  <c r="AC35" i="47"/>
  <c r="AE35" i="47"/>
  <c r="AD35" i="47"/>
  <c r="AB35" i="47"/>
  <c r="AM38" i="47"/>
  <c r="AL38" i="47"/>
  <c r="AN38" i="47"/>
  <c r="AO38" i="47"/>
  <c r="AM41" i="47"/>
  <c r="AM42" i="47" s="1"/>
  <c r="AM43" i="47" s="1"/>
  <c r="AL41" i="47"/>
  <c r="AL42" i="47" s="1"/>
  <c r="AL43" i="47" s="1"/>
  <c r="AO41" i="47"/>
  <c r="AO42" i="47" s="1"/>
  <c r="AO43" i="47" s="1"/>
  <c r="BN24" i="47"/>
  <c r="BS73" i="47" s="1"/>
  <c r="BL24" i="47"/>
  <c r="AD18" i="47"/>
  <c r="BH21" i="47"/>
  <c r="AW12" i="47"/>
  <c r="AW55" i="47" s="1"/>
  <c r="S3" i="55"/>
  <c r="AW56" i="47"/>
  <c r="W37" i="47"/>
  <c r="CE49" i="47"/>
  <c r="AG58" i="47"/>
  <c r="F3" i="55"/>
  <c r="Y37" i="47"/>
  <c r="BH20" i="47"/>
  <c r="BH49" i="47" s="1"/>
  <c r="BG20" i="47"/>
  <c r="BI20" i="47"/>
  <c r="B12" i="39" s="1"/>
  <c r="BF20" i="47"/>
  <c r="AM20" i="47"/>
  <c r="AM49" i="47" s="1"/>
  <c r="AN20" i="47"/>
  <c r="AL20" i="47"/>
  <c r="AO20" i="47"/>
  <c r="AR17" i="47"/>
  <c r="AQ17" i="47"/>
  <c r="AS17" i="47"/>
  <c r="AT17" i="47"/>
  <c r="AV36" i="47"/>
  <c r="AX36" i="47"/>
  <c r="AW36" i="47"/>
  <c r="BI17" i="47"/>
  <c r="BI19" i="47" s="1"/>
  <c r="B10" i="39" s="1"/>
  <c r="Y13" i="47"/>
  <c r="W13" i="47"/>
  <c r="W56" i="47" s="1"/>
  <c r="X13" i="47"/>
  <c r="AC71" i="47" s="1"/>
  <c r="Z13" i="47"/>
  <c r="AG14" i="47"/>
  <c r="AI14" i="47"/>
  <c r="AH14" i="47"/>
  <c r="AI37" i="47"/>
  <c r="AJ37" i="47"/>
  <c r="AI17" i="47"/>
  <c r="AH17" i="47"/>
  <c r="AQ16" i="47"/>
  <c r="AT16" i="47"/>
  <c r="AT19" i="47" s="1"/>
  <c r="Z10" i="47"/>
  <c r="Y10" i="47"/>
  <c r="X10" i="47"/>
  <c r="AD13" i="47"/>
  <c r="AI71" i="47" s="1"/>
  <c r="AE13" i="47"/>
  <c r="AJ71" i="47" s="1"/>
  <c r="AB13" i="47"/>
  <c r="AJ10" i="47"/>
  <c r="AJ56" i="47" s="1"/>
  <c r="AI10" i="47"/>
  <c r="BA11" i="47"/>
  <c r="BB11" i="47"/>
  <c r="BD11" i="47"/>
  <c r="C6" i="39" s="1"/>
  <c r="G6" i="39" s="1"/>
  <c r="AC20" i="47"/>
  <c r="AC49" i="47" s="1"/>
  <c r="AE20" i="47"/>
  <c r="AO16" i="47"/>
  <c r="AL16" i="47"/>
  <c r="AL19" i="47" s="1"/>
  <c r="AR11" i="47"/>
  <c r="AQ11" i="47"/>
  <c r="AQ12" i="47" s="1"/>
  <c r="AQ55" i="47" s="1"/>
  <c r="AV87" i="47" s="1"/>
  <c r="AO37" i="47"/>
  <c r="AL37" i="47"/>
  <c r="AM37" i="47"/>
  <c r="X58" i="47"/>
  <c r="AB49" i="47"/>
  <c r="BH36" i="47"/>
  <c r="BI36" i="47"/>
  <c r="B23" i="39" s="1"/>
  <c r="M3" i="55"/>
  <c r="AJ15" i="47"/>
  <c r="AH15" i="47"/>
  <c r="AQ15" i="47"/>
  <c r="AR15" i="47"/>
  <c r="AS15" i="47"/>
  <c r="BV71" i="47"/>
  <c r="BD17" i="47"/>
  <c r="BB17" i="47"/>
  <c r="BC17" i="47"/>
  <c r="AJ35" i="47"/>
  <c r="AI35" i="47"/>
  <c r="AX107" i="47"/>
  <c r="AE11" i="47"/>
  <c r="AC11" i="47"/>
  <c r="AD14" i="47"/>
  <c r="AC14" i="47"/>
  <c r="W24" i="47"/>
  <c r="AB73" i="47" s="1"/>
  <c r="Y24" i="47"/>
  <c r="AD73" i="47" s="1"/>
  <c r="BC27" i="47"/>
  <c r="BB27" i="47"/>
  <c r="BN35" i="47"/>
  <c r="BL35" i="47"/>
  <c r="CG73" i="47"/>
  <c r="AI12" i="47"/>
  <c r="AI55" i="47" s="1"/>
  <c r="Y49" i="47"/>
  <c r="AO15" i="47"/>
  <c r="AN15" i="47"/>
  <c r="AR10" i="47"/>
  <c r="AR56" i="47" s="1"/>
  <c r="AS10" i="47"/>
  <c r="AT10" i="47"/>
  <c r="AK50" i="47"/>
  <c r="BU83" i="47"/>
  <c r="CA83" i="47"/>
  <c r="AV19" i="47"/>
  <c r="CD12" i="47"/>
  <c r="CD55" i="47" s="1"/>
  <c r="D258" i="21"/>
  <c r="E258" i="21"/>
  <c r="L152" i="21"/>
  <c r="M63" i="21"/>
  <c r="S80" i="21"/>
  <c r="K127" i="21"/>
  <c r="K313" i="21" s="1"/>
  <c r="M78" i="21"/>
  <c r="J278" i="21"/>
  <c r="I148" i="21"/>
  <c r="N147" i="21"/>
  <c r="G86" i="21"/>
  <c r="F143" i="21"/>
  <c r="F145" i="21" s="1"/>
  <c r="F186" i="21" s="1"/>
  <c r="D281" i="21"/>
  <c r="D274" i="21"/>
  <c r="L230" i="21"/>
  <c r="G316" i="21"/>
  <c r="K257" i="21"/>
  <c r="K315" i="21" s="1"/>
  <c r="J83" i="21"/>
  <c r="I79" i="21"/>
  <c r="L224" i="21"/>
  <c r="L249" i="21" s="1"/>
  <c r="L299" i="21" s="1"/>
  <c r="J63" i="21"/>
  <c r="H52" i="21"/>
  <c r="I146" i="21"/>
  <c r="M155" i="21"/>
  <c r="F257" i="21"/>
  <c r="C288" i="21"/>
  <c r="D86" i="21"/>
  <c r="F230" i="21"/>
  <c r="J127" i="21"/>
  <c r="J312" i="21" s="1"/>
  <c r="E222" i="21"/>
  <c r="D77" i="21"/>
  <c r="T80" i="21"/>
  <c r="H141" i="21"/>
  <c r="H189" i="21" s="1"/>
  <c r="M86" i="21"/>
  <c r="N311" i="21"/>
  <c r="R75" i="8"/>
  <c r="AD75" i="8"/>
  <c r="N77" i="8"/>
  <c r="P74" i="8"/>
  <c r="J74" i="8"/>
  <c r="AH83" i="8"/>
  <c r="X61" i="8"/>
  <c r="Z68" i="8" s="1"/>
  <c r="AJ75" i="8"/>
  <c r="P76" i="8"/>
  <c r="J75" i="8"/>
  <c r="AH75" i="8" s="1"/>
  <c r="L23" i="8"/>
  <c r="X31" i="8"/>
  <c r="Z38" i="8" s="1"/>
  <c r="L51" i="8"/>
  <c r="T88" i="8"/>
  <c r="AJ33" i="8"/>
  <c r="P118" i="8"/>
  <c r="L116" i="8"/>
  <c r="AD70" i="8"/>
  <c r="AF77" i="8" s="1"/>
  <c r="P51" i="8"/>
  <c r="R70" i="8"/>
  <c r="L91" i="8"/>
  <c r="P81" i="8"/>
  <c r="P70" i="8"/>
  <c r="L103" i="8"/>
  <c r="L77" i="8"/>
  <c r="P75" i="8"/>
  <c r="T75" i="8"/>
  <c r="AJ62" i="8"/>
  <c r="AH84" i="8"/>
  <c r="AJ74" i="8"/>
  <c r="T62" i="8"/>
  <c r="AD74" i="8"/>
  <c r="L117" i="8"/>
  <c r="P38" i="8"/>
  <c r="AJ70" i="8"/>
  <c r="N70" i="8"/>
  <c r="Z67" i="8"/>
  <c r="R76" i="8"/>
  <c r="L16" i="8"/>
  <c r="L90" i="8"/>
  <c r="L38" i="8"/>
  <c r="AJ103" i="8"/>
  <c r="N53" i="8"/>
  <c r="T47" i="8"/>
  <c r="T103" i="8"/>
  <c r="P53" i="8"/>
  <c r="Z102" i="8"/>
  <c r="P103" i="8"/>
  <c r="J39" i="8"/>
  <c r="AH39" i="8" s="1"/>
  <c r="N110" i="8"/>
  <c r="J19" i="8"/>
  <c r="R19" i="8" s="1"/>
  <c r="AD91" i="8"/>
  <c r="AF91" i="8" s="1"/>
  <c r="P54" i="8"/>
  <c r="N104" i="8"/>
  <c r="T39" i="8"/>
  <c r="AJ39" i="8"/>
  <c r="J104" i="8"/>
  <c r="R104" i="8" s="1"/>
  <c r="AJ53" i="8"/>
  <c r="J54" i="8"/>
  <c r="R54" i="8" s="1"/>
  <c r="J24" i="8"/>
  <c r="R24" i="8" s="1"/>
  <c r="P24" i="8"/>
  <c r="N116" i="8"/>
  <c r="N23" i="8"/>
  <c r="P88" i="8"/>
  <c r="X88" i="8"/>
  <c r="Z95" i="8" s="1"/>
  <c r="J33" i="8"/>
  <c r="AH33" i="8" s="1"/>
  <c r="J37" i="8"/>
  <c r="R37" i="8" s="1"/>
  <c r="P37" i="8"/>
  <c r="P33" i="8"/>
  <c r="X33" i="8"/>
  <c r="T33" i="8"/>
  <c r="T18" i="8"/>
  <c r="T96" i="8"/>
  <c r="N96" i="8"/>
  <c r="AJ31" i="8"/>
  <c r="J97" i="8"/>
  <c r="R97" i="8" s="1"/>
  <c r="T116" i="8"/>
  <c r="J116" i="8"/>
  <c r="R116" i="8" s="1"/>
  <c r="J10" i="8"/>
  <c r="R10" i="8" s="1"/>
  <c r="J117" i="8"/>
  <c r="AH117" i="8" s="1"/>
  <c r="X116" i="8"/>
  <c r="T95" i="8"/>
  <c r="N17" i="8"/>
  <c r="P11" i="8"/>
  <c r="P96" i="8"/>
  <c r="AJ23" i="8"/>
  <c r="P32" i="8"/>
  <c r="T31" i="8"/>
  <c r="AJ24" i="8"/>
  <c r="J25" i="8"/>
  <c r="AH25" i="8" s="1"/>
  <c r="N31" i="8"/>
  <c r="P17" i="8"/>
  <c r="P97" i="8"/>
  <c r="AD96" i="8"/>
  <c r="N103" i="8"/>
  <c r="N95" i="8"/>
  <c r="C54" i="39" s="1"/>
  <c r="C56" i="39" s="1"/>
  <c r="AJ16" i="8"/>
  <c r="X109" i="8"/>
  <c r="Z109" i="8" s="1"/>
  <c r="P110" i="8"/>
  <c r="AJ45" i="8"/>
  <c r="J110" i="8"/>
  <c r="R110" i="8" s="1"/>
  <c r="AD88" i="8"/>
  <c r="P89" i="8"/>
  <c r="T89" i="8"/>
  <c r="J32" i="8"/>
  <c r="T109" i="8"/>
  <c r="X23" i="8"/>
  <c r="P31" i="8"/>
  <c r="J45" i="8"/>
  <c r="AH45" i="8" s="1"/>
  <c r="J16" i="8"/>
  <c r="AH16" i="8" s="1"/>
  <c r="N117" i="8"/>
  <c r="P46" i="8"/>
  <c r="AJ88" i="8"/>
  <c r="AJ10" i="8"/>
  <c r="T45" i="8"/>
  <c r="T10" i="8"/>
  <c r="J90" i="8"/>
  <c r="R90" i="8" s="1"/>
  <c r="J89" i="8"/>
  <c r="J88" i="8"/>
  <c r="AD89" i="8"/>
  <c r="AF89" i="8" s="1"/>
  <c r="N89" i="8"/>
  <c r="AJ89" i="8"/>
  <c r="X45" i="8"/>
  <c r="J118" i="8"/>
  <c r="J95" i="8"/>
  <c r="AH95" i="8" s="1"/>
  <c r="N16" i="8"/>
  <c r="AJ30" i="8"/>
  <c r="T38" i="8"/>
  <c r="P104" i="8"/>
  <c r="X104" i="8"/>
  <c r="Z104" i="8" s="1"/>
  <c r="AD95" i="8"/>
  <c r="AF82" i="8"/>
  <c r="P117" i="8"/>
  <c r="L37" i="6"/>
  <c r="H37" i="6"/>
  <c r="J31" i="8"/>
  <c r="AC19" i="6"/>
  <c r="J81" i="8"/>
  <c r="H26" i="8"/>
  <c r="P26" i="8" s="1"/>
  <c r="R69" i="8"/>
  <c r="AJ61" i="8"/>
  <c r="AJ104" i="8"/>
  <c r="J105" i="8"/>
  <c r="AH105" i="8" s="1"/>
  <c r="P82" i="8"/>
  <c r="AC31" i="6"/>
  <c r="M25" i="6"/>
  <c r="T25" i="8"/>
  <c r="H40" i="8"/>
  <c r="N40" i="8" s="1"/>
  <c r="P10" i="8"/>
  <c r="J18" i="8"/>
  <c r="R18" i="8" s="1"/>
  <c r="Z90" i="8"/>
  <c r="P19" i="8"/>
  <c r="J96" i="8"/>
  <c r="AJ95" i="8"/>
  <c r="N102" i="8"/>
  <c r="B54" i="39" s="1"/>
  <c r="B56" i="39" s="1"/>
  <c r="AJ9" i="8"/>
  <c r="X117" i="8"/>
  <c r="N37" i="8"/>
  <c r="T30" i="8"/>
  <c r="N52" i="8"/>
  <c r="AJ38" i="8"/>
  <c r="X91" i="8"/>
  <c r="Z91" i="8" s="1"/>
  <c r="X18" i="8"/>
  <c r="N88" i="8"/>
  <c r="M19" i="6"/>
  <c r="U13" i="6"/>
  <c r="P39" i="8"/>
  <c r="R77" i="8"/>
  <c r="J82" i="8"/>
  <c r="R82" i="8" s="1"/>
  <c r="T61" i="8"/>
  <c r="AD81" i="8"/>
  <c r="AC25" i="6"/>
  <c r="X81" i="8"/>
  <c r="X62" i="8"/>
  <c r="Z69" i="8" s="1"/>
  <c r="AJ18" i="8"/>
  <c r="P18" i="8"/>
  <c r="N98" i="8"/>
  <c r="D54" i="39" s="1"/>
  <c r="N45" i="8"/>
  <c r="N30" i="8"/>
  <c r="P16" i="8"/>
  <c r="J38" i="8"/>
  <c r="X52" i="8"/>
  <c r="P52" i="8"/>
  <c r="J52" i="8"/>
  <c r="J53" i="8"/>
  <c r="AH53" i="8" s="1"/>
  <c r="N38" i="8"/>
  <c r="N111" i="8"/>
  <c r="T12" i="8"/>
  <c r="J71" i="8"/>
  <c r="R71" i="8" s="1"/>
  <c r="AJ52" i="8"/>
  <c r="T81" i="8"/>
  <c r="N81" i="8"/>
  <c r="AF67" i="8"/>
  <c r="N18" i="8"/>
  <c r="X63" i="8"/>
  <c r="Z70" i="8" s="1"/>
  <c r="Q25" i="6"/>
  <c r="F29" i="7"/>
  <c r="F47" i="7" s="1"/>
  <c r="F53" i="7" s="1"/>
  <c r="AH47" i="8"/>
  <c r="R47" i="8"/>
  <c r="P91" i="8"/>
  <c r="J51" i="8"/>
  <c r="AH51" i="8" s="1"/>
  <c r="AJ12" i="8"/>
  <c r="G12" i="5"/>
  <c r="G32" i="5"/>
  <c r="G21" i="5"/>
  <c r="K78" i="10"/>
  <c r="BV10" i="47"/>
  <c r="BV12" i="47" s="1"/>
  <c r="BV55" i="47" s="1"/>
  <c r="Q149" i="21"/>
  <c r="AQ29" i="3"/>
  <c r="AQ22" i="3"/>
  <c r="P47" i="8"/>
  <c r="J91" i="8"/>
  <c r="R91" i="8" s="1"/>
  <c r="N54" i="8"/>
  <c r="P95" i="8"/>
  <c r="T53" i="8"/>
  <c r="O107" i="1"/>
  <c r="P12" i="8"/>
  <c r="O55" i="9"/>
  <c r="D6" i="21"/>
  <c r="BF10" i="11"/>
  <c r="E36" i="5"/>
  <c r="N91" i="8"/>
  <c r="AQ64" i="3"/>
  <c r="N19" i="8"/>
  <c r="J12" i="8"/>
  <c r="G15" i="5"/>
  <c r="G36" i="5"/>
  <c r="BU10" i="47"/>
  <c r="BU56" i="47" s="1"/>
  <c r="O15" i="46"/>
  <c r="AR57" i="3"/>
  <c r="G15" i="1"/>
  <c r="H27" i="5"/>
  <c r="AD12" i="8"/>
  <c r="X12" i="8"/>
  <c r="E30" i="49"/>
  <c r="CC19" i="47" s="1"/>
  <c r="P116" i="8"/>
  <c r="P112" i="8"/>
  <c r="O166" i="21"/>
  <c r="O97" i="21"/>
  <c r="I152" i="21"/>
  <c r="I83" i="21"/>
  <c r="I278" i="21"/>
  <c r="I63" i="21"/>
  <c r="I320" i="21" s="1"/>
  <c r="I321" i="21" s="1"/>
  <c r="CD16" i="47"/>
  <c r="K167" i="21"/>
  <c r="K98" i="21"/>
  <c r="K72" i="21"/>
  <c r="K52" i="21"/>
  <c r="K302" i="21" s="1"/>
  <c r="K220" i="21"/>
  <c r="K224" i="21" s="1"/>
  <c r="L59" i="21"/>
  <c r="K59" i="21"/>
  <c r="K263" i="21" s="1"/>
  <c r="K323" i="21" s="1"/>
  <c r="L33" i="21"/>
  <c r="L168" i="21" s="1"/>
  <c r="CD37" i="47"/>
  <c r="CF17" i="47"/>
  <c r="H27" i="49"/>
  <c r="I20" i="21"/>
  <c r="CA27" i="47"/>
  <c r="AI57" i="9"/>
  <c r="N11" i="21"/>
  <c r="H15" i="49"/>
  <c r="N34" i="21"/>
  <c r="CF38" i="47"/>
  <c r="B77" i="49"/>
  <c r="H46" i="21" s="1"/>
  <c r="BZ20" i="47"/>
  <c r="H13" i="21"/>
  <c r="C34" i="49"/>
  <c r="K194" i="21"/>
  <c r="L194" i="21"/>
  <c r="CC21" i="47"/>
  <c r="CC57" i="47" s="1"/>
  <c r="E38" i="49"/>
  <c r="K12" i="21"/>
  <c r="J276" i="21"/>
  <c r="J79" i="21"/>
  <c r="F23" i="49"/>
  <c r="CD15" i="47"/>
  <c r="CF16" i="47"/>
  <c r="H25" i="49"/>
  <c r="N152" i="21"/>
  <c r="N230" i="21"/>
  <c r="O63" i="21"/>
  <c r="H12" i="21"/>
  <c r="H147" i="21" s="1"/>
  <c r="B38" i="49"/>
  <c r="BZ21" i="47"/>
  <c r="BZ57" i="47" s="1"/>
  <c r="H8" i="21"/>
  <c r="B12" i="49"/>
  <c r="I169" i="21"/>
  <c r="L166" i="21"/>
  <c r="L97" i="21"/>
  <c r="J148" i="21"/>
  <c r="CA49" i="47"/>
  <c r="CA58" i="47"/>
  <c r="M99" i="21"/>
  <c r="M168" i="21"/>
  <c r="M31" i="21"/>
  <c r="CE35" i="47"/>
  <c r="C27" i="49"/>
  <c r="C35" i="49"/>
  <c r="C21" i="49"/>
  <c r="C17" i="49"/>
  <c r="C38" i="49"/>
  <c r="C12" i="49"/>
  <c r="I6" i="21"/>
  <c r="C23" i="49"/>
  <c r="C15" i="49"/>
  <c r="C44" i="49"/>
  <c r="O168" i="21"/>
  <c r="O99" i="21"/>
  <c r="D30" i="49"/>
  <c r="J14" i="21" s="1"/>
  <c r="H77" i="49"/>
  <c r="N46" i="21" s="1"/>
  <c r="H34" i="49"/>
  <c r="AI11" i="10"/>
  <c r="N13" i="21"/>
  <c r="CF20" i="47"/>
  <c r="R149" i="21"/>
  <c r="R80" i="21"/>
  <c r="N63" i="21"/>
  <c r="I34" i="49"/>
  <c r="E31" i="49"/>
  <c r="O11" i="21"/>
  <c r="I173" i="21"/>
  <c r="N278" i="21"/>
  <c r="L61" i="21"/>
  <c r="L77" i="21"/>
  <c r="L128" i="21" s="1"/>
  <c r="L225" i="21"/>
  <c r="L229" i="21" s="1"/>
  <c r="L146" i="21"/>
  <c r="M196" i="21" s="1"/>
  <c r="M61" i="21"/>
  <c r="I77" i="21"/>
  <c r="I225" i="21"/>
  <c r="I274" i="21"/>
  <c r="CE14" i="47"/>
  <c r="G21" i="49"/>
  <c r="AJ47" i="8"/>
  <c r="X47" i="8"/>
  <c r="D38" i="49"/>
  <c r="J12" i="21"/>
  <c r="CB21" i="47"/>
  <c r="CB57" i="47" s="1"/>
  <c r="CC31" i="47"/>
  <c r="CC41" i="47" s="1"/>
  <c r="CC42" i="47" s="1"/>
  <c r="CC43" i="47" s="1"/>
  <c r="K27" i="21"/>
  <c r="D58" i="49"/>
  <c r="B30" i="49"/>
  <c r="BZ19" i="47" s="1"/>
  <c r="L202" i="21"/>
  <c r="P102" i="8"/>
  <c r="P23" i="8"/>
  <c r="J23" i="8"/>
  <c r="P25" i="46"/>
  <c r="P87" i="46"/>
  <c r="E27" i="5"/>
  <c r="E21" i="5"/>
  <c r="L26" i="8"/>
  <c r="AQ43" i="3"/>
  <c r="S15" i="1"/>
  <c r="Q55" i="9"/>
  <c r="S15" i="46"/>
  <c r="T15" i="46" s="1"/>
  <c r="H36" i="5"/>
  <c r="I8" i="5"/>
  <c r="G15" i="46"/>
  <c r="D15" i="5"/>
  <c r="D21" i="5"/>
  <c r="D36" i="5"/>
  <c r="E12" i="5"/>
  <c r="J98" i="8"/>
  <c r="AJ19" i="8"/>
  <c r="D45" i="46"/>
  <c r="BU12" i="47"/>
  <c r="BU55" i="47" s="1"/>
  <c r="P65" i="46"/>
  <c r="P97" i="46"/>
  <c r="P55" i="46"/>
  <c r="AQ50" i="3"/>
  <c r="K55" i="9"/>
  <c r="E32" i="5"/>
  <c r="E44" i="4" s="1"/>
  <c r="E45" i="4" s="1"/>
  <c r="S127" i="46"/>
  <c r="BG10" i="11"/>
  <c r="BG14" i="11" s="1"/>
  <c r="E6" i="21"/>
  <c r="E52" i="21" s="1"/>
  <c r="I61" i="9"/>
  <c r="E9" i="5"/>
  <c r="C15" i="1"/>
  <c r="R15" i="3" s="1"/>
  <c r="S15" i="3" s="1"/>
  <c r="I78" i="10"/>
  <c r="AR22" i="3"/>
  <c r="P107" i="46"/>
  <c r="P137" i="46"/>
  <c r="P45" i="46"/>
  <c r="P127" i="46"/>
  <c r="H9" i="5"/>
  <c r="G127" i="46"/>
  <c r="H127" i="46" s="1"/>
  <c r="H21" i="5"/>
  <c r="Q78" i="10"/>
  <c r="I60" i="9"/>
  <c r="H12" i="5"/>
  <c r="D35" i="46"/>
  <c r="D32" i="5"/>
  <c r="D27" i="5"/>
  <c r="C21" i="5"/>
  <c r="C32" i="5"/>
  <c r="C15" i="5"/>
  <c r="G78" i="10"/>
  <c r="D9" i="5"/>
  <c r="C9" i="5"/>
  <c r="G55" i="9"/>
  <c r="C27" i="5"/>
  <c r="C36" i="5"/>
  <c r="BJ14" i="11"/>
  <c r="BJ42" i="11"/>
  <c r="C97" i="1"/>
  <c r="D97" i="1" s="1"/>
  <c r="F13" i="4"/>
  <c r="F8" i="5"/>
  <c r="J8" i="5"/>
  <c r="K9" i="5" s="1"/>
  <c r="K13" i="4"/>
  <c r="J13" i="4"/>
  <c r="B44" i="4"/>
  <c r="B38" i="5"/>
  <c r="AQ36" i="3"/>
  <c r="AR36" i="3"/>
  <c r="AR50" i="3"/>
  <c r="AQ57" i="3"/>
  <c r="D13" i="4"/>
  <c r="C13" i="4"/>
  <c r="K27" i="5"/>
  <c r="AE127" i="46"/>
  <c r="K24" i="5"/>
  <c r="AE45" i="1" s="1"/>
  <c r="AE15" i="1"/>
  <c r="K12" i="5"/>
  <c r="K21" i="5"/>
  <c r="K32" i="5"/>
  <c r="K15" i="5"/>
  <c r="AE15" i="46"/>
  <c r="K36" i="5"/>
  <c r="BY10" i="47"/>
  <c r="T15" i="1"/>
  <c r="H38" i="5"/>
  <c r="H33" i="5"/>
  <c r="H44" i="4"/>
  <c r="H45" i="4" s="1"/>
  <c r="P25" i="1"/>
  <c r="BP64" i="11"/>
  <c r="P107" i="1"/>
  <c r="L19" i="8"/>
  <c r="BD47" i="47"/>
  <c r="AN266" i="46"/>
  <c r="BQ259" i="46"/>
  <c r="BU259" i="46"/>
  <c r="AR268" i="46"/>
  <c r="BO260" i="46"/>
  <c r="BK38" i="47" a="1"/>
  <c r="AZ319" i="46"/>
  <c r="BE319" i="46"/>
  <c r="AM344" i="46"/>
  <c r="AN344" i="46" s="1"/>
  <c r="BF47" i="47" a="1"/>
  <c r="BI47" i="47" s="1"/>
  <c r="BQ250" i="46"/>
  <c r="BM319" i="46"/>
  <c r="BG325" i="46"/>
  <c r="BE250" i="46"/>
  <c r="AS250" i="46"/>
  <c r="AQ324" i="46"/>
  <c r="AN322" i="46"/>
  <c r="BQ258" i="46"/>
  <c r="BU258" i="46"/>
  <c r="BA319" i="46"/>
  <c r="BK341" i="46"/>
  <c r="AV340" i="46"/>
  <c r="BH340" i="46"/>
  <c r="BK339" i="46"/>
  <c r="BQ321" i="46"/>
  <c r="BM320" i="46"/>
  <c r="AR339" i="46"/>
  <c r="AM341" i="46"/>
  <c r="BG324" i="46"/>
  <c r="AW319" i="46"/>
  <c r="AS321" i="46"/>
  <c r="AN321" i="46"/>
  <c r="AQ325" i="46"/>
  <c r="AK319" i="46"/>
  <c r="J64" i="49"/>
  <c r="BO325" i="46"/>
  <c r="AQ47" i="47" a="1"/>
  <c r="BQ319" i="46"/>
  <c r="BA341" i="46"/>
  <c r="BL321" i="46"/>
  <c r="BK324" i="46"/>
  <c r="BL324" i="46" s="1"/>
  <c r="AB47" i="47" a="1"/>
  <c r="BH320" i="46"/>
  <c r="CK35" i="47"/>
  <c r="BQ232" i="46"/>
  <c r="BU232" i="46"/>
  <c r="BP324" i="46"/>
  <c r="BO323" i="46"/>
  <c r="BU230" i="46"/>
  <c r="J28" i="49"/>
  <c r="CH18" i="47" s="1"/>
  <c r="BM118" i="46"/>
  <c r="BH118" i="46"/>
  <c r="BI118" i="46"/>
  <c r="P98" i="8"/>
  <c r="R17" i="8"/>
  <c r="BH12" i="47"/>
  <c r="BH55" i="47" s="1"/>
  <c r="O18" i="53" s="1"/>
  <c r="BH57" i="47"/>
  <c r="BH56" i="47"/>
  <c r="O21" i="53" s="1"/>
  <c r="M175" i="21"/>
  <c r="M106" i="21"/>
  <c r="AM58" i="47"/>
  <c r="AO73" i="47"/>
  <c r="CB58" i="47"/>
  <c r="CB49" i="47"/>
  <c r="J99" i="21"/>
  <c r="J168" i="21"/>
  <c r="O146" i="21"/>
  <c r="O77" i="21"/>
  <c r="AI49" i="47"/>
  <c r="AI58" i="47"/>
  <c r="O155" i="21"/>
  <c r="O86" i="21"/>
  <c r="N99" i="21"/>
  <c r="N168" i="21"/>
  <c r="U135" i="46"/>
  <c r="Y135" i="46"/>
  <c r="T135" i="46"/>
  <c r="H99" i="21"/>
  <c r="H168" i="21"/>
  <c r="AJ116" i="8"/>
  <c r="O175" i="21"/>
  <c r="O106" i="21"/>
  <c r="K106" i="21"/>
  <c r="K175" i="21"/>
  <c r="L290" i="21"/>
  <c r="L240" i="21"/>
  <c r="L291" i="21" s="1"/>
  <c r="L93" i="21"/>
  <c r="L162" i="21" s="1"/>
  <c r="I168" i="21"/>
  <c r="I99" i="21"/>
  <c r="BN16" i="6"/>
  <c r="BN22" i="6" s="1"/>
  <c r="BN28" i="6" s="1"/>
  <c r="BN34" i="6" s="1"/>
  <c r="I7" i="62"/>
  <c r="I8" i="62" s="1"/>
  <c r="I11" i="62" s="1"/>
  <c r="I13" i="62" s="1"/>
  <c r="AK57" i="9"/>
  <c r="BJ17" i="6"/>
  <c r="BJ23" i="6" s="1"/>
  <c r="BJ29" i="6" s="1"/>
  <c r="BJ35" i="6" s="1"/>
  <c r="F7" i="62" a="1"/>
  <c r="Z58" i="47"/>
  <c r="AG12" i="47"/>
  <c r="AG55" i="47" s="1"/>
  <c r="AE66" i="9"/>
  <c r="U140" i="3"/>
  <c r="U142" i="3" s="1"/>
  <c r="B9" i="63"/>
  <c r="C9" i="63" s="1"/>
  <c r="H9" i="63" s="1"/>
  <c r="O27" i="21"/>
  <c r="K187" i="21"/>
  <c r="BF17" i="6"/>
  <c r="BF23" i="6" s="1"/>
  <c r="BF29" i="6" s="1"/>
  <c r="BF35" i="6" s="1"/>
  <c r="B7" i="62" a="1"/>
  <c r="X16" i="8"/>
  <c r="AD19" i="47"/>
  <c r="BJ16" i="6"/>
  <c r="BJ22" i="6" s="1"/>
  <c r="BJ28" i="6" s="1"/>
  <c r="BJ34" i="6" s="1"/>
  <c r="E7" i="62"/>
  <c r="E8" i="62" s="1"/>
  <c r="AL57" i="47"/>
  <c r="X17" i="8"/>
  <c r="X25" i="8"/>
  <c r="X37" i="8"/>
  <c r="X51" i="8"/>
  <c r="X96" i="8"/>
  <c r="Z96" i="8" s="1"/>
  <c r="Q32" i="21"/>
  <c r="Q98" i="21" s="1"/>
  <c r="BC45" i="11"/>
  <c r="BC43" i="11"/>
  <c r="BI87" i="1"/>
  <c r="BI13" i="1"/>
  <c r="BG25" i="1"/>
  <c r="BI55" i="1"/>
  <c r="BG17" i="1"/>
  <c r="BI85" i="1"/>
  <c r="BG27" i="1"/>
  <c r="BI27" i="1" s="1"/>
  <c r="BJ27" i="1" s="1"/>
  <c r="BI115" i="1"/>
  <c r="BG43" i="1"/>
  <c r="U40" i="3"/>
  <c r="W126" i="3"/>
  <c r="Q17" i="21"/>
  <c r="Q230" i="21" s="1"/>
  <c r="BI117" i="1"/>
  <c r="BG33" i="1"/>
  <c r="CD82" i="47"/>
  <c r="BI75" i="1"/>
  <c r="AF97" i="8"/>
  <c r="AF90" i="8"/>
  <c r="L8" i="4"/>
  <c r="L12" i="4" s="1"/>
  <c r="L25" i="4" s="1"/>
  <c r="C48" i="3"/>
  <c r="G48" i="3" s="1"/>
  <c r="U41" i="3"/>
  <c r="AP127" i="3"/>
  <c r="AR120" i="3"/>
  <c r="L92" i="8"/>
  <c r="AF74" i="8"/>
  <c r="AH102" i="8"/>
  <c r="P105" i="8"/>
  <c r="BI77" i="1"/>
  <c r="BC53" i="11"/>
  <c r="M127" i="3"/>
  <c r="P22" i="4"/>
  <c r="U101" i="3"/>
  <c r="AR113" i="3"/>
  <c r="AL91" i="3"/>
  <c r="M101" i="3"/>
  <c r="BP4" i="11"/>
  <c r="BR4" i="11" s="1"/>
  <c r="P12" i="4"/>
  <c r="P25" i="4" s="1"/>
  <c r="N8" i="4"/>
  <c r="P9" i="4" s="1"/>
  <c r="E94" i="3"/>
  <c r="G94" i="3" s="1"/>
  <c r="X19" i="8"/>
  <c r="X39" i="8"/>
  <c r="Z46" i="8" s="1"/>
  <c r="R102" i="8"/>
  <c r="J109" i="8"/>
  <c r="N105" i="8"/>
  <c r="S8" i="5"/>
  <c r="BI15" i="1"/>
  <c r="L70" i="8"/>
  <c r="AA101" i="3"/>
  <c r="AH122" i="3"/>
  <c r="BD55" i="11"/>
  <c r="W93" i="3"/>
  <c r="U87" i="3"/>
  <c r="C101" i="3"/>
  <c r="O92" i="3"/>
  <c r="U27" i="3"/>
  <c r="M56" i="3"/>
  <c r="N112" i="8"/>
  <c r="P109" i="8"/>
  <c r="BC44" i="11"/>
  <c r="C122" i="3"/>
  <c r="AA87" i="3"/>
  <c r="AC94" i="3" s="1"/>
  <c r="U120" i="3"/>
  <c r="W120" i="3" s="1"/>
  <c r="D78" i="8"/>
  <c r="AA76" i="3"/>
  <c r="Z81" i="11"/>
  <c r="C32" i="3"/>
  <c r="G32" i="3" s="1"/>
  <c r="M40" i="3"/>
  <c r="M35" i="3"/>
  <c r="U32" i="3"/>
  <c r="M60" i="3"/>
  <c r="Y28" i="3"/>
  <c r="K43" i="3"/>
  <c r="M42" i="3"/>
  <c r="U60" i="3"/>
  <c r="C21" i="3"/>
  <c r="G21" i="3" s="1"/>
  <c r="U35" i="3"/>
  <c r="U21" i="3"/>
  <c r="U46" i="3"/>
  <c r="O53" i="3"/>
  <c r="U48" i="3"/>
  <c r="M33" i="3"/>
  <c r="L69" i="8"/>
  <c r="O126" i="3"/>
  <c r="V118" i="8"/>
  <c r="X118" i="8" s="1"/>
  <c r="AJ98" i="3"/>
  <c r="U53" i="3"/>
  <c r="W60" i="3" s="1"/>
  <c r="L68" i="8"/>
  <c r="U94" i="3"/>
  <c r="W94" i="3" s="1"/>
  <c r="AJ100" i="3"/>
  <c r="S108" i="3"/>
  <c r="R8" i="4" s="1"/>
  <c r="X74" i="8"/>
  <c r="AQ56" i="3"/>
  <c r="L81" i="8"/>
  <c r="M84" i="3"/>
  <c r="O84" i="3" s="1"/>
  <c r="T311" i="21"/>
  <c r="M28" i="3"/>
  <c r="K64" i="3"/>
  <c r="L74" i="8"/>
  <c r="AH12" i="3"/>
  <c r="C19" i="3"/>
  <c r="G19" i="3" s="1"/>
  <c r="M11" i="4"/>
  <c r="N11" i="4"/>
  <c r="L82" i="8"/>
  <c r="L75" i="8"/>
  <c r="AP112" i="3"/>
  <c r="AR105" i="3"/>
  <c r="AH108" i="3"/>
  <c r="AJ105" i="3"/>
  <c r="M47" i="3"/>
  <c r="K50" i="3"/>
  <c r="M54" i="3"/>
  <c r="E108" i="3"/>
  <c r="C108" i="3"/>
  <c r="AF84" i="8"/>
  <c r="AH20" i="3"/>
  <c r="AH22" i="3" s="1"/>
  <c r="C20" i="3"/>
  <c r="G20" i="3" s="1"/>
  <c r="C27" i="3"/>
  <c r="G27" i="3" s="1"/>
  <c r="AH55" i="3"/>
  <c r="C55" i="3"/>
  <c r="G55" i="3" s="1"/>
  <c r="AF76" i="8"/>
  <c r="AF83" i="8"/>
  <c r="L67" i="8"/>
  <c r="C115" i="3"/>
  <c r="G115" i="3" s="1"/>
  <c r="M34" i="3"/>
  <c r="O34" i="3" s="1"/>
  <c r="C97" i="3"/>
  <c r="G97" i="3" s="1"/>
  <c r="O97" i="3" s="1"/>
  <c r="X32" i="8"/>
  <c r="R311" i="21"/>
  <c r="S311" i="21"/>
  <c r="U20" i="3"/>
  <c r="J48" i="3"/>
  <c r="K55" i="3"/>
  <c r="M62" i="3" s="1"/>
  <c r="M86" i="3"/>
  <c r="O86" i="3" s="1"/>
  <c r="AQ86" i="3"/>
  <c r="N90" i="8"/>
  <c r="W92" i="3"/>
  <c r="Q311" i="21"/>
  <c r="AH101" i="3"/>
  <c r="L76" i="8"/>
  <c r="X103" i="8"/>
  <c r="BI12" i="48"/>
  <c r="BI43" i="48" s="1"/>
  <c r="AQ45" i="48"/>
  <c r="X47" i="48"/>
  <c r="AG48" i="48"/>
  <c r="AV44" i="48"/>
  <c r="BN30" i="48"/>
  <c r="BA58" i="48"/>
  <c r="AM58" i="48"/>
  <c r="AC12" i="48"/>
  <c r="AC43" i="48" s="1"/>
  <c r="W48" i="48"/>
  <c r="AL48" i="48"/>
  <c r="AL49" i="48"/>
  <c r="BD50" i="48"/>
  <c r="BA51" i="48"/>
  <c r="BL44" i="48"/>
  <c r="BE54" i="48"/>
  <c r="AV12" i="48"/>
  <c r="AV43" i="48" s="1"/>
  <c r="BA12" i="48"/>
  <c r="BA43" i="48" s="1"/>
  <c r="BT47" i="48"/>
  <c r="AB61" i="48"/>
  <c r="AH58" i="48"/>
  <c r="BI54" i="48"/>
  <c r="BD48" i="48"/>
  <c r="AC45" i="48"/>
  <c r="AV26" i="48"/>
  <c r="AQ58" i="48"/>
  <c r="BT60" i="48"/>
  <c r="AV46" i="48"/>
  <c r="BI58" i="48"/>
  <c r="AY45" i="48"/>
  <c r="AX12" i="48"/>
  <c r="AX43" i="48" s="1"/>
  <c r="BC12" i="48"/>
  <c r="BC43" i="48" s="1"/>
  <c r="W47" i="48"/>
  <c r="AG47" i="48"/>
  <c r="AV47" i="48"/>
  <c r="BP45" i="48"/>
  <c r="Y46" i="48"/>
  <c r="AN46" i="48"/>
  <c r="AY95" i="48"/>
  <c r="W26" i="48"/>
  <c r="W50" i="48"/>
  <c r="W49" i="48"/>
  <c r="AB26" i="48"/>
  <c r="AB50" i="48"/>
  <c r="AB49" i="48"/>
  <c r="AG50" i="48"/>
  <c r="AG49" i="48"/>
  <c r="BI22" i="48"/>
  <c r="AX46" i="48"/>
  <c r="AV49" i="48"/>
  <c r="BP47" i="48"/>
  <c r="AX58" i="48"/>
  <c r="AG61" i="48"/>
  <c r="AE55" i="48"/>
  <c r="AN60" i="48"/>
  <c r="AN12" i="48"/>
  <c r="AN43" i="48" s="1"/>
  <c r="AX35" i="48"/>
  <c r="BJ53" i="48"/>
  <c r="AS12" i="48"/>
  <c r="AS43" i="48" s="1"/>
  <c r="AX75" i="48" s="1"/>
  <c r="BJ58" i="48"/>
  <c r="BG44" i="48"/>
  <c r="BG60" i="48"/>
  <c r="Z24" i="48"/>
  <c r="Z26" i="48" s="1"/>
  <c r="Z35" i="48" s="1"/>
  <c r="Z36" i="48" s="1"/>
  <c r="AJ24" i="48"/>
  <c r="AO24" i="48"/>
  <c r="AT24" i="48"/>
  <c r="BS71" i="48"/>
  <c r="AL61" i="48"/>
  <c r="BD35" i="48"/>
  <c r="BD55" i="48" s="1"/>
  <c r="BU43" i="48"/>
  <c r="BU58" i="48"/>
  <c r="BD61" i="48"/>
  <c r="BG54" i="48"/>
  <c r="BP4" i="48"/>
  <c r="BH58" i="48"/>
  <c r="AN55" i="48"/>
  <c r="BP60" i="48"/>
  <c r="BP44" i="48"/>
  <c r="AW18" i="48"/>
  <c r="AW30" i="48" s="1"/>
  <c r="AW31" i="48" s="1"/>
  <c r="AB47" i="48"/>
  <c r="BL12" i="48"/>
  <c r="BG71" i="48"/>
  <c r="BL71" i="48"/>
  <c r="BQ43" i="48"/>
  <c r="BC58" i="48"/>
  <c r="AQ61" i="48"/>
  <c r="AD50" i="48"/>
  <c r="BP71" i="48"/>
  <c r="BC47" i="48"/>
  <c r="AN58" i="48"/>
  <c r="AN48" i="48"/>
  <c r="Z46" i="48"/>
  <c r="AS45" i="48"/>
  <c r="BA47" i="48"/>
  <c r="BE22" i="48"/>
  <c r="BE24" i="48" s="1"/>
  <c r="BA18" i="48"/>
  <c r="BA30" i="48" s="1"/>
  <c r="BA31" i="48" s="1"/>
  <c r="C40" i="3"/>
  <c r="G40" i="3" s="1"/>
  <c r="C61" i="3"/>
  <c r="G61" i="3" s="1"/>
  <c r="C28" i="3"/>
  <c r="G28" i="3" s="1"/>
  <c r="C18" i="3"/>
  <c r="G18" i="3" s="1"/>
  <c r="U26" i="3"/>
  <c r="Z53" i="8"/>
  <c r="AH53" i="3"/>
  <c r="C39" i="3"/>
  <c r="G39" i="3" s="1"/>
  <c r="C25" i="3"/>
  <c r="G25" i="3" s="1"/>
  <c r="AQ79" i="3"/>
  <c r="C35" i="3"/>
  <c r="G35" i="3" s="1"/>
  <c r="O35" i="3" s="1"/>
  <c r="C60" i="3"/>
  <c r="G60" i="3" s="1"/>
  <c r="K36" i="3"/>
  <c r="M43" i="3" s="1"/>
  <c r="U28" i="3"/>
  <c r="AQ63" i="3"/>
  <c r="U62" i="3"/>
  <c r="U33" i="3"/>
  <c r="C33" i="3"/>
  <c r="G33" i="3" s="1"/>
  <c r="O33" i="3" s="1"/>
  <c r="U76" i="3"/>
  <c r="U80" i="3" s="1"/>
  <c r="W87" i="3" s="1"/>
  <c r="AH46" i="3"/>
  <c r="K80" i="3"/>
  <c r="M87" i="3" s="1"/>
  <c r="O87" i="3" s="1"/>
  <c r="M32" i="3"/>
  <c r="O32" i="3" s="1"/>
  <c r="C46" i="3"/>
  <c r="G46" i="3" s="1"/>
  <c r="W81" i="11"/>
  <c r="AR42" i="3"/>
  <c r="U19" i="3"/>
  <c r="M26" i="3"/>
  <c r="W27" i="3"/>
  <c r="M63" i="3"/>
  <c r="AH36" i="3"/>
  <c r="U54" i="3"/>
  <c r="AB61" i="8"/>
  <c r="AD61" i="8" s="1"/>
  <c r="AH25" i="3"/>
  <c r="C26" i="3"/>
  <c r="G26" i="3" s="1"/>
  <c r="AR56" i="3"/>
  <c r="M55" i="3"/>
  <c r="O55" i="3" s="1"/>
  <c r="C62" i="3"/>
  <c r="G62" i="3" s="1"/>
  <c r="AH62" i="3"/>
  <c r="W48" i="3"/>
  <c r="U25" i="3"/>
  <c r="M39" i="3"/>
  <c r="O39" i="3" s="1"/>
  <c r="M61" i="3"/>
  <c r="U39" i="3"/>
  <c r="C47" i="3"/>
  <c r="G47" i="3" s="1"/>
  <c r="U61" i="3"/>
  <c r="C41" i="3"/>
  <c r="G41" i="3" s="1"/>
  <c r="U47" i="3"/>
  <c r="W47" i="3" s="1"/>
  <c r="K29" i="3"/>
  <c r="O40" i="3"/>
  <c r="U34" i="3"/>
  <c r="AQ49" i="3"/>
  <c r="O48" i="3"/>
  <c r="M27" i="3"/>
  <c r="M46" i="3"/>
  <c r="O46" i="3" s="1"/>
  <c r="C54" i="3"/>
  <c r="G54" i="3" s="1"/>
  <c r="W99" i="47"/>
  <c r="Y21" i="3"/>
  <c r="M25" i="3"/>
  <c r="U18" i="3"/>
  <c r="K22" i="3"/>
  <c r="M41" i="3"/>
  <c r="X24" i="8"/>
  <c r="X30" i="8"/>
  <c r="AF69" i="8"/>
  <c r="Y99" i="47"/>
  <c r="Y81" i="11"/>
  <c r="L22" i="4"/>
  <c r="AJ49" i="48"/>
  <c r="AJ26" i="48"/>
  <c r="AJ27" i="48" s="1"/>
  <c r="AJ50" i="48"/>
  <c r="BC49" i="48"/>
  <c r="BC26" i="48"/>
  <c r="BC35" i="48" s="1"/>
  <c r="AM12" i="48"/>
  <c r="AM43" i="48" s="1"/>
  <c r="AR12" i="48"/>
  <c r="AR43" i="48" s="1"/>
  <c r="BJ12" i="48"/>
  <c r="BJ43" i="48" s="1"/>
  <c r="BO12" i="48"/>
  <c r="BO22" i="48" s="1"/>
  <c r="X44" i="48"/>
  <c r="AC44" i="48"/>
  <c r="AH44" i="48"/>
  <c r="AR60" i="48"/>
  <c r="AW44" i="48"/>
  <c r="AW76" i="48" s="1"/>
  <c r="BJ44" i="48"/>
  <c r="BO44" i="48"/>
  <c r="BS44" i="48"/>
  <c r="Z47" i="48"/>
  <c r="AO47" i="48"/>
  <c r="AX47" i="48"/>
  <c r="AV45" i="48"/>
  <c r="AD48" i="48"/>
  <c r="AM61" i="48"/>
  <c r="AM95" i="48"/>
  <c r="AD58" i="48"/>
  <c r="AI58" i="48"/>
  <c r="AD44" i="48"/>
  <c r="AI60" i="48"/>
  <c r="AS44" i="48"/>
  <c r="AX44" i="48"/>
  <c r="BD45" i="48"/>
  <c r="BO45" i="48"/>
  <c r="BS45" i="48"/>
  <c r="X46" i="48"/>
  <c r="AC46" i="48"/>
  <c r="AH46" i="48"/>
  <c r="AM46" i="48"/>
  <c r="BD46" i="48"/>
  <c r="BH22" i="48"/>
  <c r="BI61" i="48" s="1"/>
  <c r="BM46" i="48"/>
  <c r="AE50" i="48"/>
  <c r="AS33" i="48"/>
  <c r="AE58" i="48"/>
  <c r="BN58" i="48"/>
  <c r="BT45" i="48"/>
  <c r="AI46" i="48"/>
  <c r="AR46" i="48"/>
  <c r="BA46" i="48"/>
  <c r="AR24" i="48"/>
  <c r="AW24" i="48"/>
  <c r="AW49" i="48" s="1"/>
  <c r="BB24" i="48"/>
  <c r="BB50" i="48" s="1"/>
  <c r="AC50" i="48"/>
  <c r="BE44" i="48"/>
  <c r="BR22" i="48"/>
  <c r="BR31" i="48" s="1"/>
  <c r="BR33" i="48" s="1"/>
  <c r="Y47" i="48"/>
  <c r="AD47" i="48"/>
  <c r="AI47" i="48"/>
  <c r="AN47" i="48"/>
  <c r="AS47" i="48"/>
  <c r="BB47" i="48"/>
  <c r="AH48" i="48"/>
  <c r="AY48" i="48"/>
  <c r="BC48" i="48"/>
  <c r="AN24" i="48"/>
  <c r="AN49" i="48" s="1"/>
  <c r="AS24" i="48"/>
  <c r="AI50" i="48"/>
  <c r="BC50" i="48"/>
  <c r="AL95" i="48"/>
  <c r="AQ95" i="48"/>
  <c r="AV95" i="48"/>
  <c r="BQ71" i="48"/>
  <c r="AX27" i="48"/>
  <c r="AX51" i="48"/>
  <c r="AW26" i="48"/>
  <c r="BI24" i="48"/>
  <c r="BI48" i="48"/>
  <c r="AB35" i="48"/>
  <c r="AB36" i="48" s="1"/>
  <c r="AB27" i="48"/>
  <c r="BJ22" i="48"/>
  <c r="BO43" i="48"/>
  <c r="Y35" i="48"/>
  <c r="Y36" i="48" s="1"/>
  <c r="Y51" i="48"/>
  <c r="Y27" i="48"/>
  <c r="AI35" i="48"/>
  <c r="AI36" i="48" s="1"/>
  <c r="AI51" i="48"/>
  <c r="AI27" i="48"/>
  <c r="AW50" i="48"/>
  <c r="BB33" i="48"/>
  <c r="BB54" i="48" s="1"/>
  <c r="BB53" i="48"/>
  <c r="BQ48" i="48"/>
  <c r="BQ24" i="48"/>
  <c r="BQ50" i="48" s="1"/>
  <c r="BH48" i="48"/>
  <c r="AT26" i="48"/>
  <c r="AT49" i="48"/>
  <c r="AT50" i="48"/>
  <c r="AR49" i="48"/>
  <c r="AR26" i="48"/>
  <c r="AR50" i="48"/>
  <c r="BU48" i="48"/>
  <c r="BU24" i="48"/>
  <c r="AD35" i="48"/>
  <c r="AD36" i="48" s="1"/>
  <c r="AD51" i="48"/>
  <c r="AD27" i="48"/>
  <c r="AE51" i="48"/>
  <c r="AE35" i="48"/>
  <c r="AE36" i="48" s="1"/>
  <c r="AE27" i="48"/>
  <c r="BR48" i="48"/>
  <c r="BR24" i="48"/>
  <c r="BQ31" i="48"/>
  <c r="BU31" i="48"/>
  <c r="AC49" i="48"/>
  <c r="AC26" i="48"/>
  <c r="AQ26" i="48"/>
  <c r="AQ27" i="48" s="1"/>
  <c r="AQ50" i="48"/>
  <c r="AS26" i="48"/>
  <c r="AS51" i="48" s="1"/>
  <c r="AS49" i="48"/>
  <c r="AS50" i="48"/>
  <c r="AX49" i="48"/>
  <c r="BA45" i="48"/>
  <c r="AD46" i="48"/>
  <c r="AH61" i="48"/>
  <c r="AV61" i="48"/>
  <c r="BB44" i="48"/>
  <c r="BE53" i="48"/>
  <c r="BA49" i="48"/>
  <c r="AW45" i="48"/>
  <c r="AD61" i="48"/>
  <c r="AX48" i="48"/>
  <c r="BB46" i="48"/>
  <c r="AQ55" i="48"/>
  <c r="AY18" i="48"/>
  <c r="AY30" i="48" s="1"/>
  <c r="AY31" i="48" s="1"/>
  <c r="AY53" i="48" s="1"/>
  <c r="BR44" i="48"/>
  <c r="AT48" i="48"/>
  <c r="AY77" i="48" s="1"/>
  <c r="AT31" i="48"/>
  <c r="AT33" i="48" s="1"/>
  <c r="AL44" i="48"/>
  <c r="AQ31" i="48"/>
  <c r="AQ33" i="48" s="1"/>
  <c r="AH55" i="48"/>
  <c r="AD45" i="48"/>
  <c r="BN44" i="48"/>
  <c r="AE49" i="48"/>
  <c r="AH49" i="48"/>
  <c r="AV51" i="48"/>
  <c r="AE46" i="48"/>
  <c r="BO60" i="48"/>
  <c r="AV27" i="48"/>
  <c r="AG26" i="48"/>
  <c r="AM24" i="48"/>
  <c r="BT44" i="48"/>
  <c r="AY61" i="48"/>
  <c r="AY24" i="48"/>
  <c r="AQ48" i="48"/>
  <c r="AV77" i="48" s="1"/>
  <c r="BF60" i="48"/>
  <c r="AB44" i="48"/>
  <c r="AB48" i="48"/>
  <c r="BR47" i="48"/>
  <c r="AE44" i="48"/>
  <c r="AJ58" i="48"/>
  <c r="AE12" i="48"/>
  <c r="AE43" i="48" s="1"/>
  <c r="AS48" i="48"/>
  <c r="BC60" i="48"/>
  <c r="AI12" i="48"/>
  <c r="AI43" i="48" s="1"/>
  <c r="AM55" i="48"/>
  <c r="AI45" i="48"/>
  <c r="AC58" i="48"/>
  <c r="X12" i="48"/>
  <c r="X43" i="48" s="1"/>
  <c r="BF54" i="48"/>
  <c r="AL26" i="48"/>
  <c r="Z44" i="48"/>
  <c r="BM47" i="48"/>
  <c r="AX45" i="48"/>
  <c r="BS47" i="48"/>
  <c r="BN12" i="48"/>
  <c r="BN22" i="48" s="1"/>
  <c r="BN24" i="48" s="1"/>
  <c r="AV18" i="48"/>
  <c r="AV30" i="48" s="1"/>
  <c r="AV31" i="48" s="1"/>
  <c r="Z55" i="48"/>
  <c r="AR61" i="48"/>
  <c r="AC61" i="48"/>
  <c r="Z48" i="48"/>
  <c r="X48" i="48"/>
  <c r="BD32" i="48"/>
  <c r="AQ44" i="48"/>
  <c r="AV76" i="48" s="1"/>
  <c r="AL47" i="48"/>
  <c r="AH60" i="48"/>
  <c r="Y12" i="48"/>
  <c r="Y43" i="48" s="1"/>
  <c r="BL53" i="48"/>
  <c r="BL47" i="48"/>
  <c r="Z45" i="48"/>
  <c r="BG12" i="48"/>
  <c r="BI71" i="48"/>
  <c r="BN71" i="48"/>
  <c r="BR71" i="48"/>
  <c r="BB60" i="48"/>
  <c r="Y49" i="48"/>
  <c r="AQ47" i="48"/>
  <c r="BT22" i="48"/>
  <c r="BU61" i="48" s="1"/>
  <c r="AV75" i="48"/>
  <c r="AW46" i="48"/>
  <c r="BR4" i="48"/>
  <c r="BS4" i="48" s="1"/>
  <c r="AC48" i="48"/>
  <c r="AL58" i="48"/>
  <c r="AL50" i="48"/>
  <c r="AV58" i="48"/>
  <c r="BT46" i="48"/>
  <c r="AW48" i="48"/>
  <c r="AW77" i="48" s="1"/>
  <c r="BJ60" i="48"/>
  <c r="X45" i="48"/>
  <c r="BC61" i="48"/>
  <c r="AY76" i="48"/>
  <c r="AD12" i="48"/>
  <c r="AD43" i="48" s="1"/>
  <c r="AH45" i="48"/>
  <c r="BC45" i="48"/>
  <c r="BS12" i="48"/>
  <c r="BT58" i="48"/>
  <c r="AH12" i="48"/>
  <c r="AH43" i="48" s="1"/>
  <c r="AM47" i="48"/>
  <c r="BC46" i="48"/>
  <c r="BB48" i="48"/>
  <c r="AG58" i="48"/>
  <c r="AB55" i="48"/>
  <c r="BF58" i="48"/>
  <c r="BC4" i="48"/>
  <c r="AE48" i="48"/>
  <c r="AQ46" i="48"/>
  <c r="BC44" i="48"/>
  <c r="AR58" i="48"/>
  <c r="AD49" i="48"/>
  <c r="BM22" i="48"/>
  <c r="BR46" i="48"/>
  <c r="BQ47" i="48"/>
  <c r="BF12" i="48"/>
  <c r="BF43" i="48" s="1"/>
  <c r="BB4" i="48"/>
  <c r="AW58" i="48"/>
  <c r="AL12" i="48"/>
  <c r="AL43" i="48" s="1"/>
  <c r="AL46" i="48"/>
  <c r="BQ46" i="48"/>
  <c r="AS58" i="48"/>
  <c r="AW12" i="48"/>
  <c r="AW43" i="48" s="1"/>
  <c r="AW75" i="48" s="1"/>
  <c r="AL45" i="48"/>
  <c r="Y45" i="48"/>
  <c r="BP12" i="48"/>
  <c r="X24" i="48"/>
  <c r="BL269" i="46"/>
  <c r="BM269" i="46"/>
  <c r="BK279" i="46"/>
  <c r="BN284" i="46" s="1"/>
  <c r="CJ24" i="47"/>
  <c r="R17" i="21"/>
  <c r="M43" i="49"/>
  <c r="BO118" i="46"/>
  <c r="BO134" i="46"/>
  <c r="AH17" i="8"/>
  <c r="CI24" i="47"/>
  <c r="BO176" i="46"/>
  <c r="BO177" i="46" s="1"/>
  <c r="R97" i="21"/>
  <c r="BL209" i="46"/>
  <c r="AY33" i="48"/>
  <c r="BO300" i="46"/>
  <c r="BV300" i="46" s="1"/>
  <c r="Q97" i="21"/>
  <c r="AO266" i="46"/>
  <c r="BM209" i="46"/>
  <c r="BP221" i="46"/>
  <c r="BP231" i="46"/>
  <c r="BP261" i="46"/>
  <c r="BP241" i="46"/>
  <c r="BP314" i="46"/>
  <c r="AS339" i="46"/>
  <c r="AM345" i="46"/>
  <c r="AN339" i="46"/>
  <c r="AN340" i="46"/>
  <c r="AZ324" i="46"/>
  <c r="L167" i="21"/>
  <c r="AU206" i="46"/>
  <c r="AN299" i="46"/>
  <c r="AM139" i="46"/>
  <c r="AS133" i="46"/>
  <c r="BX31" i="46"/>
  <c r="AY184" i="1"/>
  <c r="BD184" i="1" s="1"/>
  <c r="AZ174" i="1"/>
  <c r="AU267" i="46"/>
  <c r="Y100" i="44"/>
  <c r="W57" i="44"/>
  <c r="W100" i="44"/>
  <c r="N35" i="30"/>
  <c r="M41" i="30"/>
  <c r="M43" i="30" s="1"/>
  <c r="AU158" i="46"/>
  <c r="AW153" i="46"/>
  <c r="AM305" i="46"/>
  <c r="AN143" i="46"/>
  <c r="F19" i="30"/>
  <c r="G14" i="30"/>
  <c r="G16" i="30" s="1"/>
  <c r="G19" i="30" s="1"/>
  <c r="I40" i="30"/>
  <c r="I41" i="30"/>
  <c r="I43" i="30" s="1"/>
  <c r="J35" i="30"/>
  <c r="J37" i="30" s="1"/>
  <c r="G29" i="30"/>
  <c r="BP49" i="11"/>
  <c r="BP38" i="11"/>
  <c r="BP32" i="11"/>
  <c r="BP33" i="11" s="1"/>
  <c r="S59" i="7"/>
  <c r="S53" i="7"/>
  <c r="AJ94" i="3"/>
  <c r="AS17" i="10"/>
  <c r="AS28" i="10" s="1"/>
  <c r="AU14" i="9"/>
  <c r="O120" i="3"/>
  <c r="BE48" i="48"/>
  <c r="BN61" i="48"/>
  <c r="M112" i="21"/>
  <c r="M181" i="21"/>
  <c r="P31" i="4"/>
  <c r="Q15" i="4"/>
  <c r="AO299" i="46"/>
  <c r="AN133" i="46"/>
  <c r="P20" i="4"/>
  <c r="CG36" i="47"/>
  <c r="O32" i="21"/>
  <c r="I8" i="31"/>
  <c r="N61" i="21"/>
  <c r="N320" i="21" s="1"/>
  <c r="AR38" i="11"/>
  <c r="AR22" i="11"/>
  <c r="AR46" i="11"/>
  <c r="BA98" i="1"/>
  <c r="N20" i="4"/>
  <c r="N22" i="4"/>
  <c r="BH269" i="46"/>
  <c r="BA108" i="1"/>
  <c r="H18" i="49"/>
  <c r="N31" i="4"/>
  <c r="BC305" i="46"/>
  <c r="BI301" i="46"/>
  <c r="AL98" i="3"/>
  <c r="AL105" i="3"/>
  <c r="AF68" i="8"/>
  <c r="AF75" i="8"/>
  <c r="B31" i="49"/>
  <c r="AH35" i="48"/>
  <c r="AH36" i="48" s="1"/>
  <c r="AH27" i="48"/>
  <c r="AH51" i="48"/>
  <c r="J29" i="30"/>
  <c r="K24" i="30"/>
  <c r="O112" i="3"/>
  <c r="O58" i="5"/>
  <c r="AV117" i="46"/>
  <c r="AQ206" i="46"/>
  <c r="AR153" i="46"/>
  <c r="D40" i="49"/>
  <c r="K155" i="21"/>
  <c r="K86" i="21"/>
  <c r="K233" i="21"/>
  <c r="AU164" i="46"/>
  <c r="G163" i="46"/>
  <c r="L163" i="46" s="1"/>
  <c r="BN63" i="11"/>
  <c r="BN82" i="11" s="1"/>
  <c r="BD301" i="46"/>
  <c r="BC341" i="46"/>
  <c r="CD56" i="47"/>
  <c r="CD71" i="47"/>
  <c r="AJ267" i="46"/>
  <c r="AK267" i="46"/>
  <c r="AI271" i="46"/>
  <c r="AI272" i="46"/>
  <c r="BB69" i="47"/>
  <c r="BG69" i="47"/>
  <c r="AE104" i="3"/>
  <c r="O104" i="3"/>
  <c r="O99" i="3"/>
  <c r="AE99" i="3"/>
  <c r="I166" i="21"/>
  <c r="I97" i="21"/>
  <c r="BD71" i="47"/>
  <c r="C39" i="39" s="1"/>
  <c r="I18" i="49"/>
  <c r="AQ28" i="9"/>
  <c r="AS28" i="9" s="1"/>
  <c r="AU28" i="9" s="1"/>
  <c r="AW28" i="9" s="1"/>
  <c r="AK17" i="7"/>
  <c r="O91" i="3"/>
  <c r="AE91" i="3"/>
  <c r="AE106" i="3"/>
  <c r="O106" i="3"/>
  <c r="CF13" i="47"/>
  <c r="G23" i="32"/>
  <c r="G23" i="31"/>
  <c r="B35" i="32"/>
  <c r="B35" i="31"/>
  <c r="BH342" i="46"/>
  <c r="BL323" i="46"/>
  <c r="I74" i="49"/>
  <c r="O15" i="21" s="1"/>
  <c r="AJ177" i="1"/>
  <c r="O100" i="3"/>
  <c r="L106" i="21"/>
  <c r="L175" i="21"/>
  <c r="O83" i="3"/>
  <c r="O93" i="3"/>
  <c r="I34" i="6"/>
  <c r="M314" i="21"/>
  <c r="AB173" i="1"/>
  <c r="AX69" i="11"/>
  <c r="AH15" i="3"/>
  <c r="L47" i="7"/>
  <c r="L53" i="7" s="1"/>
  <c r="BK137" i="46"/>
  <c r="O8" i="21"/>
  <c r="I37" i="49"/>
  <c r="BL55" i="46"/>
  <c r="BL250" i="46"/>
  <c r="BL76" i="46"/>
  <c r="BL333" i="46"/>
  <c r="BQ26" i="48"/>
  <c r="BD36" i="48"/>
  <c r="BD27" i="48"/>
  <c r="AS71" i="47"/>
  <c r="BU81" i="47"/>
  <c r="BU100" i="47" s="1"/>
  <c r="H15" i="4"/>
  <c r="AS35" i="48"/>
  <c r="AS36" i="48" s="1"/>
  <c r="AS27" i="48"/>
  <c r="BE43" i="48"/>
  <c r="AQ49" i="48"/>
  <c r="BF22" i="48"/>
  <c r="BI302" i="46"/>
  <c r="BH302" i="46"/>
  <c r="D127" i="46"/>
  <c r="D137" i="46"/>
  <c r="C117" i="46"/>
  <c r="I29" i="30"/>
  <c r="BG163" i="46"/>
  <c r="BG206" i="46"/>
  <c r="BD53" i="11"/>
  <c r="BD14" i="11"/>
  <c r="BD41" i="11" s="1"/>
  <c r="Z89" i="8"/>
  <c r="T111" i="8"/>
  <c r="T8" i="4"/>
  <c r="BL45" i="46"/>
  <c r="BQ49" i="48"/>
  <c r="AX56" i="47"/>
  <c r="Z82" i="8"/>
  <c r="AH82" i="8"/>
  <c r="D107" i="46"/>
  <c r="D87" i="46"/>
  <c r="D55" i="46"/>
  <c r="BH153" i="46"/>
  <c r="BH299" i="46"/>
  <c r="BD43" i="11"/>
  <c r="E24" i="32"/>
  <c r="E47" i="9"/>
  <c r="IN49" i="44"/>
  <c r="BL25" i="46"/>
  <c r="BM25" i="46" s="1"/>
  <c r="BL107" i="46"/>
  <c r="I8" i="49"/>
  <c r="BL15" i="46"/>
  <c r="AP119" i="3"/>
  <c r="AC97" i="3"/>
  <c r="AE97" i="3" s="1"/>
  <c r="AC90" i="3"/>
  <c r="AE90" i="3" s="1"/>
  <c r="G19" i="4"/>
  <c r="AB51" i="48"/>
  <c r="AR49" i="3"/>
  <c r="D97" i="46"/>
  <c r="D65" i="46"/>
  <c r="BD44" i="11"/>
  <c r="AW69" i="11"/>
  <c r="L19" i="30"/>
  <c r="O156" i="1"/>
  <c r="AC17" i="1"/>
  <c r="AJ27" i="1"/>
  <c r="AO27" i="1" s="1"/>
  <c r="AY168" i="1"/>
  <c r="BL40" i="6"/>
  <c r="G37" i="10"/>
  <c r="X35" i="6"/>
  <c r="Q28" i="6"/>
  <c r="D45" i="7"/>
  <c r="L45" i="7"/>
  <c r="L57" i="7" s="1"/>
  <c r="N46" i="7"/>
  <c r="N58" i="7" s="1"/>
  <c r="U52" i="7"/>
  <c r="W46" i="7"/>
  <c r="W52" i="7" s="1"/>
  <c r="Y53" i="7"/>
  <c r="HD47" i="44"/>
  <c r="HD49" i="44" s="1"/>
  <c r="HT47" i="44"/>
  <c r="HT49" i="44" s="1"/>
  <c r="IJ47" i="44"/>
  <c r="IJ49" i="44" s="1"/>
  <c r="R39" i="30"/>
  <c r="AC58" i="44"/>
  <c r="F50" i="44"/>
  <c r="V44" i="44"/>
  <c r="P43" i="44"/>
  <c r="BW58" i="44"/>
  <c r="K58" i="44"/>
  <c r="W45" i="44"/>
  <c r="W46" i="44" s="1"/>
  <c r="M44" i="44"/>
  <c r="G43" i="44"/>
  <c r="T42" i="44"/>
  <c r="AB58" i="44"/>
  <c r="BH58" i="44"/>
  <c r="V58" i="44"/>
  <c r="BB58" i="44"/>
  <c r="J312" i="44"/>
  <c r="L310" i="44"/>
  <c r="I313" i="44"/>
  <c r="W309" i="44"/>
  <c r="W47" i="44" s="1"/>
  <c r="L313" i="44"/>
  <c r="T309" i="44"/>
  <c r="W310" i="44"/>
  <c r="W48" i="44" s="1"/>
  <c r="N312" i="44"/>
  <c r="J314" i="44"/>
  <c r="M309" i="44"/>
  <c r="Q313" i="44"/>
  <c r="O313" i="44"/>
  <c r="O311" i="44"/>
  <c r="Q312" i="44"/>
  <c r="X312" i="44"/>
  <c r="X54" i="44" s="1"/>
  <c r="R313" i="44"/>
  <c r="AG58" i="44"/>
  <c r="L50" i="44"/>
  <c r="AB44" i="44"/>
  <c r="AB46" i="44" s="1"/>
  <c r="AB49" i="44" s="1"/>
  <c r="R43" i="44"/>
  <c r="BC58" i="44"/>
  <c r="W50" i="44"/>
  <c r="Q45" i="44"/>
  <c r="G44" i="44"/>
  <c r="O42" i="44"/>
  <c r="BU58" i="44"/>
  <c r="AH43" i="11"/>
  <c r="AB17" i="1"/>
  <c r="AH111" i="3"/>
  <c r="F51" i="7"/>
  <c r="S46" i="7"/>
  <c r="S58" i="7" s="1"/>
  <c r="Y46" i="7"/>
  <c r="Y58" i="7" s="1"/>
  <c r="N314" i="44"/>
  <c r="J310" i="44"/>
  <c r="M311" i="44"/>
  <c r="AB313" i="44"/>
  <c r="AB55" i="44" s="1"/>
  <c r="R314" i="44"/>
  <c r="Q309" i="44"/>
  <c r="J309" i="44"/>
  <c r="Z314" i="44"/>
  <c r="Z56" i="44" s="1"/>
  <c r="Z100" i="44" s="1"/>
  <c r="AB311" i="44"/>
  <c r="AB53" i="44" s="1"/>
  <c r="S311" i="44"/>
  <c r="U312" i="44"/>
  <c r="AA313" i="44"/>
  <c r="AA55" i="44" s="1"/>
  <c r="AA57" i="44" s="1"/>
  <c r="V313" i="44"/>
  <c r="X314" i="44"/>
  <c r="X56" i="44" s="1"/>
  <c r="Y58" i="44"/>
  <c r="H50" i="44"/>
  <c r="X44" i="44"/>
  <c r="X46" i="44" s="1"/>
  <c r="X49" i="44" s="1"/>
  <c r="J43" i="44"/>
  <c r="AU58" i="44"/>
  <c r="S50" i="44"/>
  <c r="M45" i="44"/>
  <c r="C44" i="44"/>
  <c r="K42" i="44"/>
  <c r="BQ221" i="46"/>
  <c r="BM34" i="6"/>
  <c r="AI33" i="7"/>
  <c r="BM93" i="46"/>
  <c r="BL35" i="6"/>
  <c r="AI45" i="7"/>
  <c r="AI51" i="7" s="1"/>
  <c r="W22" i="44"/>
  <c r="B102" i="44"/>
  <c r="W20" i="44"/>
  <c r="W25" i="44"/>
  <c r="I12" i="44"/>
  <c r="AA14" i="44"/>
  <c r="R14" i="44" s="1"/>
  <c r="AA15" i="44"/>
  <c r="R15" i="44" s="1"/>
  <c r="AD16" i="44"/>
  <c r="AD15" i="44"/>
  <c r="AA16" i="44"/>
  <c r="R16" i="44" s="1"/>
  <c r="AD14" i="44"/>
  <c r="W26" i="44"/>
  <c r="P57" i="1" l="1"/>
  <c r="E33" i="5"/>
  <c r="P117" i="1"/>
  <c r="P35" i="1"/>
  <c r="P77" i="1"/>
  <c r="O97" i="1"/>
  <c r="R36" i="3"/>
  <c r="S36" i="3" s="1"/>
  <c r="E38" i="5"/>
  <c r="E44" i="5" s="1"/>
  <c r="AH24" i="8"/>
  <c r="AN50" i="11"/>
  <c r="I128" i="1"/>
  <c r="D138" i="1"/>
  <c r="D128" i="1"/>
  <c r="N33" i="5"/>
  <c r="N38" i="5"/>
  <c r="AU126" i="1"/>
  <c r="AW96" i="1"/>
  <c r="AU106" i="1"/>
  <c r="AV96" i="1"/>
  <c r="AO19" i="11"/>
  <c r="AL97" i="3"/>
  <c r="AJ101" i="3"/>
  <c r="AL104" i="3"/>
  <c r="AJ119" i="46"/>
  <c r="AK119" i="46"/>
  <c r="AO119" i="46"/>
  <c r="AI302" i="46"/>
  <c r="AJ116" i="46"/>
  <c r="AI136" i="46"/>
  <c r="AK116" i="46"/>
  <c r="AJ146" i="46"/>
  <c r="W49" i="44"/>
  <c r="O150" i="21"/>
  <c r="O81" i="21"/>
  <c r="BP118" i="46"/>
  <c r="BQ118" i="46"/>
  <c r="AU343" i="46"/>
  <c r="AV343" i="46" s="1"/>
  <c r="AK105" i="1"/>
  <c r="AJ105" i="1"/>
  <c r="BN43" i="11"/>
  <c r="BO53" i="11"/>
  <c r="BN53" i="11"/>
  <c r="AW99" i="1"/>
  <c r="AV99" i="1"/>
  <c r="AS262" i="46"/>
  <c r="AR262" i="46"/>
  <c r="AW262" i="46"/>
  <c r="AC10" i="47"/>
  <c r="AB10" i="47"/>
  <c r="AB56" i="47" s="1"/>
  <c r="AE10" i="47"/>
  <c r="AD10" i="47"/>
  <c r="AI304" i="46"/>
  <c r="AK299" i="46"/>
  <c r="AI339" i="46"/>
  <c r="AJ299" i="46"/>
  <c r="BC304" i="46"/>
  <c r="BC340" i="46"/>
  <c r="BD340" i="46" s="1"/>
  <c r="BD300" i="46"/>
  <c r="BC303" i="46"/>
  <c r="AZ66" i="1"/>
  <c r="BA66" i="1"/>
  <c r="AY97" i="1"/>
  <c r="Q23" i="5"/>
  <c r="L139" i="1"/>
  <c r="L129" i="1"/>
  <c r="M129" i="1"/>
  <c r="BL36" i="47"/>
  <c r="BM36" i="47"/>
  <c r="BN44" i="11"/>
  <c r="I30" i="49"/>
  <c r="O14" i="21" s="1"/>
  <c r="AJ103" i="1"/>
  <c r="AK103" i="1"/>
  <c r="AI108" i="1"/>
  <c r="AI109" i="1"/>
  <c r="O145" i="1"/>
  <c r="P135" i="1"/>
  <c r="Q125" i="1"/>
  <c r="P125" i="1"/>
  <c r="H176" i="1"/>
  <c r="G186" i="1"/>
  <c r="H186" i="1" s="1"/>
  <c r="I176" i="1"/>
  <c r="Y50" i="7"/>
  <c r="BH333" i="46"/>
  <c r="BI333" i="46"/>
  <c r="BE231" i="46"/>
  <c r="BD231" i="46"/>
  <c r="BI231" i="46" s="1"/>
  <c r="AC118" i="46"/>
  <c r="Y118" i="46"/>
  <c r="X118" i="46"/>
  <c r="Y34" i="46"/>
  <c r="AC34" i="46"/>
  <c r="AQ259" i="46"/>
  <c r="AS229" i="46"/>
  <c r="AQ322" i="46"/>
  <c r="AQ230" i="46"/>
  <c r="AR229" i="46"/>
  <c r="AG36" i="47" a="1"/>
  <c r="AW229" i="46"/>
  <c r="L72" i="21"/>
  <c r="AC38" i="47"/>
  <c r="AE38" i="47"/>
  <c r="AD38" i="47"/>
  <c r="AE58" i="9"/>
  <c r="AE64" i="9" s="1"/>
  <c r="Q55" i="5"/>
  <c r="Q53" i="5"/>
  <c r="E62" i="9"/>
  <c r="E60" i="9"/>
  <c r="BL135" i="46"/>
  <c r="BK155" i="46"/>
  <c r="BM135" i="46"/>
  <c r="BL145" i="46"/>
  <c r="BD232" i="46"/>
  <c r="BI232" i="46" s="1"/>
  <c r="BE232" i="46"/>
  <c r="AE105" i="3"/>
  <c r="AV139" i="46"/>
  <c r="AN134" i="46"/>
  <c r="AM154" i="46"/>
  <c r="AN144" i="46"/>
  <c r="AC36" i="6"/>
  <c r="AB42" i="6"/>
  <c r="AF42" i="6"/>
  <c r="CC24" i="47"/>
  <c r="E44" i="49"/>
  <c r="K17" i="21"/>
  <c r="E8" i="32"/>
  <c r="D11" i="32"/>
  <c r="D14" i="32" s="1"/>
  <c r="D17" i="32" s="1"/>
  <c r="D29" i="32" s="1"/>
  <c r="AY55" i="11"/>
  <c r="AY42" i="11"/>
  <c r="AY70" i="11" s="1"/>
  <c r="AA109" i="1"/>
  <c r="AB104" i="1"/>
  <c r="AG104" i="1"/>
  <c r="AA108" i="1"/>
  <c r="AC104" i="1"/>
  <c r="AE143" i="1"/>
  <c r="AF133" i="1"/>
  <c r="AG123" i="1"/>
  <c r="AF123" i="1"/>
  <c r="AE128" i="1"/>
  <c r="AE129" i="1"/>
  <c r="M143" i="1"/>
  <c r="K149" i="1"/>
  <c r="L143" i="1"/>
  <c r="K148" i="1"/>
  <c r="K173" i="1"/>
  <c r="K153" i="1"/>
  <c r="AA125" i="1"/>
  <c r="AC95" i="1"/>
  <c r="AB95" i="1"/>
  <c r="AG95" i="1"/>
  <c r="AK136" i="1"/>
  <c r="Z24" i="11"/>
  <c r="H148" i="1"/>
  <c r="N226" i="21"/>
  <c r="N275" i="21"/>
  <c r="BR16" i="11"/>
  <c r="BA65" i="1"/>
  <c r="AY96" i="1"/>
  <c r="AZ65" i="1"/>
  <c r="G184" i="1"/>
  <c r="H174" i="1"/>
  <c r="G178" i="1"/>
  <c r="G179" i="1"/>
  <c r="I174" i="1"/>
  <c r="X109" i="1"/>
  <c r="Y109" i="1"/>
  <c r="AV138" i="1"/>
  <c r="AV128" i="1"/>
  <c r="AN144" i="1"/>
  <c r="AM174" i="1"/>
  <c r="AO144" i="1"/>
  <c r="AJ43" i="6"/>
  <c r="AK37" i="6"/>
  <c r="AJ266" i="46"/>
  <c r="AK266" i="46"/>
  <c r="AO96" i="46"/>
  <c r="AM116" i="46"/>
  <c r="AB21" i="47" a="1"/>
  <c r="AN96" i="46"/>
  <c r="J20" i="21"/>
  <c r="CB27" i="47"/>
  <c r="BG323" i="46"/>
  <c r="H63" i="49"/>
  <c r="BH230" i="46"/>
  <c r="BI230" i="46"/>
  <c r="AH13" i="47"/>
  <c r="AG13" i="47"/>
  <c r="BD145" i="46"/>
  <c r="BC155" i="46"/>
  <c r="BE135" i="46"/>
  <c r="BD135" i="46"/>
  <c r="AV149" i="46"/>
  <c r="AV119" i="46"/>
  <c r="AQ107" i="1"/>
  <c r="AQ127" i="1"/>
  <c r="AR97" i="1"/>
  <c r="AS97" i="1"/>
  <c r="E38" i="4"/>
  <c r="D38" i="4"/>
  <c r="BL299" i="46"/>
  <c r="BM299" i="46"/>
  <c r="BK304" i="46"/>
  <c r="BK305" i="46"/>
  <c r="BK303" i="46"/>
  <c r="AR132" i="3"/>
  <c r="E122" i="3"/>
  <c r="T40" i="4" s="1"/>
  <c r="S141" i="3"/>
  <c r="S142" i="3" s="1"/>
  <c r="BM230" i="46"/>
  <c r="AZ166" i="46"/>
  <c r="AM270" i="46"/>
  <c r="AN210" i="46"/>
  <c r="C4" i="62"/>
  <c r="C5" i="62" s="1"/>
  <c r="E4" i="62"/>
  <c r="E5" i="62" s="1"/>
  <c r="E11" i="62" s="1"/>
  <c r="E13" i="62" s="1"/>
  <c r="D4" i="62"/>
  <c r="D5" i="62" s="1"/>
  <c r="B4" i="62"/>
  <c r="B5" i="62" s="1"/>
  <c r="H10" i="49"/>
  <c r="N60" i="21"/>
  <c r="CF70" i="47"/>
  <c r="BR54" i="11"/>
  <c r="BC342" i="46"/>
  <c r="BD302" i="46"/>
  <c r="BE302" i="46"/>
  <c r="AI21" i="47"/>
  <c r="AH21" i="47"/>
  <c r="G27" i="49"/>
  <c r="AN93" i="1"/>
  <c r="AM103" i="1"/>
  <c r="AM123" i="1"/>
  <c r="AB19" i="11"/>
  <c r="AM98" i="1"/>
  <c r="AM99" i="1"/>
  <c r="AM126" i="1"/>
  <c r="AE19" i="11"/>
  <c r="AN96" i="1"/>
  <c r="BE26" i="46"/>
  <c r="R60" i="30"/>
  <c r="R58" i="30"/>
  <c r="S56" i="30" s="1"/>
  <c r="S58" i="30" s="1"/>
  <c r="AE68" i="10"/>
  <c r="AE71" i="10" s="1"/>
  <c r="AD46" i="11"/>
  <c r="AD22" i="11"/>
  <c r="AD38" i="11"/>
  <c r="BG305" i="46"/>
  <c r="BC139" i="46"/>
  <c r="BD139" i="46" s="1"/>
  <c r="BM19" i="11"/>
  <c r="AW97" i="1"/>
  <c r="F10" i="31"/>
  <c r="E11" i="31"/>
  <c r="E14" i="31" s="1"/>
  <c r="AG19" i="11"/>
  <c r="AR93" i="1"/>
  <c r="AS93" i="1"/>
  <c r="AQ123" i="1"/>
  <c r="AQ103" i="1"/>
  <c r="AQ98" i="1"/>
  <c r="AV304" i="46"/>
  <c r="H10" i="39"/>
  <c r="I10" i="39"/>
  <c r="AX19" i="47"/>
  <c r="AX23" i="47" s="1"/>
  <c r="L302" i="21"/>
  <c r="Y34" i="3"/>
  <c r="AB33" i="8"/>
  <c r="AD33" i="8" s="1"/>
  <c r="P79" i="1"/>
  <c r="Q79" i="1"/>
  <c r="AG105" i="1"/>
  <c r="AC105" i="1"/>
  <c r="AB105" i="1"/>
  <c r="K146" i="1"/>
  <c r="L136" i="1"/>
  <c r="L126" i="1"/>
  <c r="Q126" i="1"/>
  <c r="M126" i="1"/>
  <c r="BN41" i="11"/>
  <c r="D99" i="1"/>
  <c r="I99" i="1"/>
  <c r="BJ104" i="1"/>
  <c r="BI104" i="1"/>
  <c r="AC84" i="3"/>
  <c r="AE84" i="3" s="1"/>
  <c r="AJ77" i="3"/>
  <c r="AL84" i="3" s="1"/>
  <c r="AN98" i="46"/>
  <c r="AO98" i="46"/>
  <c r="BC137" i="46"/>
  <c r="BD117" i="46"/>
  <c r="BE117" i="46"/>
  <c r="P38" i="5"/>
  <c r="P33" i="5"/>
  <c r="L33" i="5"/>
  <c r="L38" i="5"/>
  <c r="AH68" i="8"/>
  <c r="R68" i="8"/>
  <c r="J63" i="49"/>
  <c r="BQ230" i="46"/>
  <c r="X135" i="46"/>
  <c r="AC135" i="46"/>
  <c r="W112" i="3"/>
  <c r="W105" i="3"/>
  <c r="BI340" i="46"/>
  <c r="AV79" i="1"/>
  <c r="AW79" i="1"/>
  <c r="I108" i="1"/>
  <c r="H108" i="1"/>
  <c r="AN97" i="1"/>
  <c r="AM107" i="1"/>
  <c r="AM127" i="1"/>
  <c r="AO97" i="1"/>
  <c r="BA79" i="1"/>
  <c r="BQ44" i="11"/>
  <c r="BQ14" i="11"/>
  <c r="BQ53" i="11"/>
  <c r="AJ99" i="46"/>
  <c r="AK99" i="46"/>
  <c r="K133" i="46"/>
  <c r="L119" i="46"/>
  <c r="M119" i="46"/>
  <c r="AR99" i="46"/>
  <c r="AS99" i="46"/>
  <c r="AO262" i="46"/>
  <c r="AN262" i="46"/>
  <c r="T99" i="1"/>
  <c r="BD119" i="46"/>
  <c r="I144" i="1"/>
  <c r="D144" i="1"/>
  <c r="C154" i="1"/>
  <c r="C174" i="1"/>
  <c r="BM117" i="46"/>
  <c r="BL117" i="46"/>
  <c r="AZ208" i="46"/>
  <c r="AY268" i="46"/>
  <c r="BM36" i="6"/>
  <c r="BL42" i="6"/>
  <c r="BH42" i="6"/>
  <c r="BI36" i="6"/>
  <c r="H42" i="6"/>
  <c r="I36" i="6"/>
  <c r="T144" i="46"/>
  <c r="S154" i="46"/>
  <c r="T114" i="46"/>
  <c r="U114" i="46"/>
  <c r="S119" i="46"/>
  <c r="BI62" i="1"/>
  <c r="BJ62" i="1"/>
  <c r="BG93" i="1"/>
  <c r="AC27" i="1"/>
  <c r="AG27" i="1"/>
  <c r="AZ64" i="1"/>
  <c r="AY95" i="1"/>
  <c r="BA64" i="1"/>
  <c r="BD88" i="1"/>
  <c r="BE88" i="1"/>
  <c r="BE35" i="1"/>
  <c r="BD35" i="1"/>
  <c r="R14" i="5"/>
  <c r="BC66" i="1"/>
  <c r="AJ55" i="11"/>
  <c r="AJ42" i="11"/>
  <c r="AO55" i="11"/>
  <c r="D79" i="1"/>
  <c r="I79" i="1"/>
  <c r="AG29" i="10"/>
  <c r="D22" i="31"/>
  <c r="D26" i="31" s="1"/>
  <c r="D22" i="32"/>
  <c r="D26" i="32" s="1"/>
  <c r="H149" i="1"/>
  <c r="AO136" i="1"/>
  <c r="AQ59" i="11"/>
  <c r="AQ50" i="11"/>
  <c r="AS35" i="6"/>
  <c r="AR41" i="6"/>
  <c r="L40" i="6"/>
  <c r="P40" i="6"/>
  <c r="Q34" i="6"/>
  <c r="M34" i="6"/>
  <c r="AW35" i="6"/>
  <c r="N20" i="21"/>
  <c r="CF27" i="47"/>
  <c r="C63" i="49"/>
  <c r="I32" i="21" s="1"/>
  <c r="AM323" i="46"/>
  <c r="AN230" i="46"/>
  <c r="AS335" i="46"/>
  <c r="AR335" i="46"/>
  <c r="AW335" i="46"/>
  <c r="AG17" i="47"/>
  <c r="AG19" i="47" s="1"/>
  <c r="AG23" i="47" s="1"/>
  <c r="AJ17" i="47"/>
  <c r="AB133" i="46"/>
  <c r="AC133" i="46"/>
  <c r="BE94" i="1"/>
  <c r="BC124" i="1"/>
  <c r="AW19" i="11"/>
  <c r="BD94" i="1"/>
  <c r="BC104" i="1"/>
  <c r="AU153" i="1"/>
  <c r="AZ153" i="1" s="1"/>
  <c r="AV143" i="1"/>
  <c r="AU173" i="1"/>
  <c r="AU148" i="1"/>
  <c r="M128" i="1"/>
  <c r="L128" i="1"/>
  <c r="L138" i="1"/>
  <c r="BM134" i="46"/>
  <c r="BL134" i="46"/>
  <c r="BL144" i="46"/>
  <c r="BK154" i="46"/>
  <c r="BZ84" i="47"/>
  <c r="BL66" i="11"/>
  <c r="BI88" i="1"/>
  <c r="BJ88" i="1"/>
  <c r="BK139" i="46"/>
  <c r="AJ153" i="46"/>
  <c r="AO153" i="46"/>
  <c r="AI206" i="46"/>
  <c r="AK153" i="46"/>
  <c r="X154" i="46"/>
  <c r="Y154" i="46"/>
  <c r="AJ44" i="11"/>
  <c r="AJ83" i="3"/>
  <c r="L278" i="21"/>
  <c r="L83" i="21"/>
  <c r="BD34" i="11"/>
  <c r="BD35" i="11" s="1"/>
  <c r="BD36" i="11" s="1"/>
  <c r="BG217" i="1"/>
  <c r="S58" i="5" s="1"/>
  <c r="BR34" i="11" s="1"/>
  <c r="BR35" i="11" s="1"/>
  <c r="BI216" i="1"/>
  <c r="BJ216" i="1" s="1"/>
  <c r="BJ217" i="1" s="1"/>
  <c r="AE174" i="1"/>
  <c r="AF144" i="1"/>
  <c r="BD149" i="46"/>
  <c r="AM145" i="1"/>
  <c r="AN135" i="1"/>
  <c r="AN125" i="1"/>
  <c r="AQ105" i="1"/>
  <c r="AR95" i="1"/>
  <c r="AQ125" i="1"/>
  <c r="AS95" i="1"/>
  <c r="AI19" i="11"/>
  <c r="BI300" i="46"/>
  <c r="BI119" i="46"/>
  <c r="BX24" i="46"/>
  <c r="F34" i="49"/>
  <c r="CD20" i="47"/>
  <c r="G34" i="49"/>
  <c r="L13" i="21"/>
  <c r="F77" i="49"/>
  <c r="L46" i="21" s="1"/>
  <c r="F35" i="49"/>
  <c r="AV137" i="1"/>
  <c r="AU147" i="1"/>
  <c r="AV127" i="1"/>
  <c r="AW127" i="1"/>
  <c r="AG34" i="1"/>
  <c r="AO53" i="11"/>
  <c r="G122" i="3"/>
  <c r="AR127" i="3"/>
  <c r="AP134" i="3"/>
  <c r="AR134" i="3" s="1"/>
  <c r="AC12" i="47"/>
  <c r="AC55" i="47" s="1"/>
  <c r="BD56" i="47"/>
  <c r="C4" i="39"/>
  <c r="B30" i="39"/>
  <c r="G4" i="39"/>
  <c r="I4" i="39"/>
  <c r="H4" i="39"/>
  <c r="H44" i="39" s="1"/>
  <c r="B8" i="39"/>
  <c r="B11" i="39"/>
  <c r="BI73" i="47"/>
  <c r="B16" i="39"/>
  <c r="G26" i="39"/>
  <c r="H26" i="39"/>
  <c r="AO339" i="46"/>
  <c r="AS24" i="1"/>
  <c r="AW24" i="1"/>
  <c r="AV105" i="1"/>
  <c r="AU109" i="1"/>
  <c r="T109" i="1"/>
  <c r="AR134" i="1"/>
  <c r="AS124" i="1"/>
  <c r="AW124" i="1"/>
  <c r="AQ144" i="1"/>
  <c r="AR124" i="1"/>
  <c r="T118" i="46"/>
  <c r="U118" i="46"/>
  <c r="BA77" i="46"/>
  <c r="BE77" i="46"/>
  <c r="AZ77" i="46"/>
  <c r="AS98" i="46"/>
  <c r="AR98" i="46"/>
  <c r="AQ136" i="46"/>
  <c r="AQ302" i="46"/>
  <c r="AS116" i="46"/>
  <c r="AR116" i="46"/>
  <c r="AW116" i="46"/>
  <c r="BI31" i="47"/>
  <c r="BF31" i="47"/>
  <c r="BP98" i="46"/>
  <c r="BQ98" i="46"/>
  <c r="BA76" i="1"/>
  <c r="AV76" i="1"/>
  <c r="AO17" i="11"/>
  <c r="AO44" i="11" s="1"/>
  <c r="AW76" i="1"/>
  <c r="AU107" i="1"/>
  <c r="AE42" i="11"/>
  <c r="AE55" i="11"/>
  <c r="BE87" i="1"/>
  <c r="R29" i="5"/>
  <c r="BD87" i="1"/>
  <c r="Y76" i="1"/>
  <c r="AC76" i="1"/>
  <c r="AM50" i="11"/>
  <c r="M8" i="4"/>
  <c r="N9" i="4" s="1"/>
  <c r="D71" i="8"/>
  <c r="L71" i="8" s="1"/>
  <c r="AI134" i="46"/>
  <c r="AO134" i="46" s="1"/>
  <c r="AJ114" i="46"/>
  <c r="AJ144" i="46"/>
  <c r="AK114" i="46"/>
  <c r="AI300" i="46"/>
  <c r="AI303" i="46" s="1"/>
  <c r="CF10" i="47"/>
  <c r="AI78" i="10"/>
  <c r="H44" i="49"/>
  <c r="H17" i="49"/>
  <c r="H9" i="49"/>
  <c r="AI55" i="9"/>
  <c r="H21" i="49"/>
  <c r="N6" i="21"/>
  <c r="H12" i="49"/>
  <c r="BD333" i="46"/>
  <c r="BE333" i="46"/>
  <c r="AZ99" i="46"/>
  <c r="BE99" i="46"/>
  <c r="BA99" i="46"/>
  <c r="AR16" i="47"/>
  <c r="AS16" i="47"/>
  <c r="AZ97" i="46"/>
  <c r="BA97" i="46"/>
  <c r="F37" i="49"/>
  <c r="BA114" i="46"/>
  <c r="AY300" i="46"/>
  <c r="AY134" i="46"/>
  <c r="AZ114" i="46"/>
  <c r="AQ300" i="46"/>
  <c r="AR114" i="46"/>
  <c r="AQ119" i="46"/>
  <c r="AW119" i="46" s="1"/>
  <c r="AS114" i="46"/>
  <c r="AQ118" i="46"/>
  <c r="AW114" i="46"/>
  <c r="AQ134" i="46"/>
  <c r="AO149" i="46"/>
  <c r="AJ149" i="46"/>
  <c r="AK149" i="46"/>
  <c r="AI118" i="46"/>
  <c r="AN135" i="46"/>
  <c r="AM155" i="46"/>
  <c r="AS135" i="46"/>
  <c r="AN145" i="46"/>
  <c r="AO135" i="46"/>
  <c r="AY117" i="46"/>
  <c r="M33" i="5"/>
  <c r="M38" i="5"/>
  <c r="I333" i="44"/>
  <c r="H334" i="44"/>
  <c r="H40" i="44"/>
  <c r="H335" i="44"/>
  <c r="H344" i="44"/>
  <c r="H38" i="44"/>
  <c r="H39" i="44" s="1"/>
  <c r="X138" i="1"/>
  <c r="X128" i="1"/>
  <c r="BF63" i="11"/>
  <c r="BF82" i="11" s="1"/>
  <c r="G34" i="4"/>
  <c r="AZ209" i="46"/>
  <c r="AY269" i="46"/>
  <c r="BA209" i="46"/>
  <c r="AU163" i="46"/>
  <c r="AV153" i="46"/>
  <c r="H66" i="30"/>
  <c r="H67" i="30"/>
  <c r="H16" i="30"/>
  <c r="Q36" i="6"/>
  <c r="P42" i="6"/>
  <c r="T42" i="6"/>
  <c r="AN41" i="6"/>
  <c r="AO35" i="6"/>
  <c r="AY119" i="46"/>
  <c r="BE119" i="46" s="1"/>
  <c r="AZ113" i="46"/>
  <c r="BA113" i="46"/>
  <c r="AY133" i="46"/>
  <c r="AY118" i="46"/>
  <c r="AY299" i="46"/>
  <c r="AR21" i="47"/>
  <c r="AR57" i="47" s="1"/>
  <c r="AT21" i="47"/>
  <c r="BE64" i="1"/>
  <c r="BD64" i="1"/>
  <c r="BC95" i="1"/>
  <c r="AJ62" i="1"/>
  <c r="AI93" i="1"/>
  <c r="AO93" i="1" s="1"/>
  <c r="AI65" i="1"/>
  <c r="AN44" i="11"/>
  <c r="W125" i="1"/>
  <c r="W99" i="1"/>
  <c r="Y95" i="1"/>
  <c r="X95" i="1"/>
  <c r="BD62" i="1"/>
  <c r="BC93" i="1"/>
  <c r="BE62" i="1"/>
  <c r="O98" i="1"/>
  <c r="O123" i="1"/>
  <c r="P93" i="1"/>
  <c r="U93" i="1"/>
  <c r="O99" i="1"/>
  <c r="Q93" i="1"/>
  <c r="BD89" i="1"/>
  <c r="BE89" i="1"/>
  <c r="X22" i="11"/>
  <c r="X38" i="11"/>
  <c r="AC56" i="11"/>
  <c r="X46" i="11"/>
  <c r="H109" i="1"/>
  <c r="I109" i="1"/>
  <c r="BL41" i="11"/>
  <c r="BL19" i="11"/>
  <c r="AJ14" i="11"/>
  <c r="AJ41" i="11" s="1"/>
  <c r="AA129" i="1"/>
  <c r="AB134" i="1"/>
  <c r="AA144" i="1"/>
  <c r="AG144" i="1" s="1"/>
  <c r="AB124" i="1"/>
  <c r="AC124" i="1"/>
  <c r="AA128" i="1"/>
  <c r="AF175" i="1"/>
  <c r="J11" i="21"/>
  <c r="D18" i="49"/>
  <c r="E18" i="49"/>
  <c r="D15" i="49"/>
  <c r="BA34" i="6"/>
  <c r="AV40" i="6"/>
  <c r="AW34" i="6"/>
  <c r="AZ40" i="6"/>
  <c r="AV41" i="6"/>
  <c r="AG155" i="46"/>
  <c r="AK155" i="46"/>
  <c r="AF155" i="46"/>
  <c r="BA135" i="46"/>
  <c r="AV145" i="46"/>
  <c r="AV135" i="46"/>
  <c r="AU155" i="46"/>
  <c r="AW135" i="46"/>
  <c r="O163" i="46"/>
  <c r="T163" i="46" s="1"/>
  <c r="Q153" i="46"/>
  <c r="P153" i="46"/>
  <c r="AK334" i="46"/>
  <c r="AO334" i="46"/>
  <c r="AJ334" i="46"/>
  <c r="I119" i="46"/>
  <c r="H119" i="46"/>
  <c r="G133" i="46"/>
  <c r="BE78" i="46"/>
  <c r="AZ78" i="46"/>
  <c r="BA78" i="46"/>
  <c r="AJ117" i="46"/>
  <c r="AJ147" i="46"/>
  <c r="AO117" i="46"/>
  <c r="AI137" i="46"/>
  <c r="AJ262" i="46"/>
  <c r="AK262" i="46"/>
  <c r="AZ333" i="46"/>
  <c r="BA333" i="46"/>
  <c r="BN45" i="11"/>
  <c r="I49" i="30"/>
  <c r="J47" i="30" s="1"/>
  <c r="J49" i="30" s="1"/>
  <c r="K47" i="30" s="1"/>
  <c r="K49" i="30" s="1"/>
  <c r="L47" i="30" s="1"/>
  <c r="L49" i="30" s="1"/>
  <c r="M47" i="30"/>
  <c r="M49" i="30" s="1"/>
  <c r="N47" i="30" s="1"/>
  <c r="N49" i="30" s="1"/>
  <c r="O47" i="30" s="1"/>
  <c r="O49" i="30" s="1"/>
  <c r="P47" i="30" s="1"/>
  <c r="P49" i="30" s="1"/>
  <c r="Q47" i="30" s="1"/>
  <c r="Q49" i="30" s="1"/>
  <c r="R47" i="30" s="1"/>
  <c r="R49" i="30" s="1"/>
  <c r="S47" i="30" s="1"/>
  <c r="S49" i="30" s="1"/>
  <c r="T47" i="30" s="1"/>
  <c r="T49" i="30" s="1"/>
  <c r="U47" i="30" s="1"/>
  <c r="U49" i="30" s="1"/>
  <c r="AU129" i="1"/>
  <c r="AV125" i="1"/>
  <c r="AU145" i="1"/>
  <c r="AV135" i="1"/>
  <c r="AW125" i="1"/>
  <c r="K276" i="21"/>
  <c r="K53" i="21"/>
  <c r="K79" i="21"/>
  <c r="K129" i="21" s="1"/>
  <c r="K195" i="21" s="1"/>
  <c r="K148" i="21"/>
  <c r="K188" i="21" s="1"/>
  <c r="BM333" i="46"/>
  <c r="CG38" i="47"/>
  <c r="O34" i="21"/>
  <c r="BU231" i="46"/>
  <c r="BQ231" i="46"/>
  <c r="BK138" i="46"/>
  <c r="H20" i="39"/>
  <c r="G20" i="39"/>
  <c r="I20" i="39"/>
  <c r="BH158" i="46"/>
  <c r="AR99" i="1"/>
  <c r="AS99" i="1"/>
  <c r="C80" i="3"/>
  <c r="G80" i="3" s="1"/>
  <c r="BD136" i="46"/>
  <c r="BC156" i="46"/>
  <c r="BE136" i="46"/>
  <c r="BI136" i="46"/>
  <c r="BD146" i="46"/>
  <c r="AS96" i="46"/>
  <c r="AN304" i="46"/>
  <c r="AO304" i="46"/>
  <c r="AI259" i="46"/>
  <c r="W36" i="47" a="1"/>
  <c r="AI269" i="46"/>
  <c r="AJ229" i="46"/>
  <c r="AO229" i="46" s="1"/>
  <c r="AK229" i="46"/>
  <c r="AI322" i="46"/>
  <c r="AI230" i="46"/>
  <c r="Z17" i="47"/>
  <c r="Z19" i="47" s="1"/>
  <c r="X17" i="47"/>
  <c r="X19" i="47" s="1"/>
  <c r="W17" i="47"/>
  <c r="W19" i="47" s="1"/>
  <c r="Y17" i="47"/>
  <c r="Y19" i="47" s="1"/>
  <c r="U125" i="1"/>
  <c r="C145" i="1"/>
  <c r="D125" i="1"/>
  <c r="D135" i="1"/>
  <c r="I125" i="1"/>
  <c r="U36" i="6"/>
  <c r="BJ89" i="1"/>
  <c r="M143" i="21"/>
  <c r="M74" i="21"/>
  <c r="M222" i="21"/>
  <c r="BO46" i="11"/>
  <c r="BO22" i="11"/>
  <c r="AO105" i="1"/>
  <c r="AN105" i="1"/>
  <c r="BG303" i="46"/>
  <c r="BO339" i="46"/>
  <c r="BP339" i="46" s="1"/>
  <c r="BP299" i="46"/>
  <c r="BQ299" i="46"/>
  <c r="AU210" i="46"/>
  <c r="AU167" i="46"/>
  <c r="AV157" i="46"/>
  <c r="AS65" i="1"/>
  <c r="AQ96" i="1"/>
  <c r="AR65" i="1"/>
  <c r="AY19" i="11"/>
  <c r="BC126" i="1"/>
  <c r="BC106" i="1"/>
  <c r="BD106" i="1" s="1"/>
  <c r="BD96" i="1"/>
  <c r="BE96" i="1"/>
  <c r="AJ45" i="11"/>
  <c r="AQ32" i="11"/>
  <c r="AQ33" i="11" s="1"/>
  <c r="AQ49" i="11"/>
  <c r="AQ28" i="11"/>
  <c r="AL49" i="11"/>
  <c r="AL32" i="11"/>
  <c r="AL33" i="11" s="1"/>
  <c r="AL28" i="11"/>
  <c r="N52" i="7"/>
  <c r="BQ134" i="46"/>
  <c r="BP134" i="46"/>
  <c r="L78" i="8"/>
  <c r="BQ339" i="46"/>
  <c r="N52" i="21"/>
  <c r="L126" i="21"/>
  <c r="L134" i="21" s="1"/>
  <c r="L322" i="21" s="1"/>
  <c r="AE12" i="47"/>
  <c r="AE55" i="47" s="1"/>
  <c r="AS19" i="47"/>
  <c r="AJ19" i="47"/>
  <c r="AJ23" i="47" s="1"/>
  <c r="D133" i="1"/>
  <c r="D123" i="1"/>
  <c r="C129" i="1"/>
  <c r="I123" i="1"/>
  <c r="C143" i="1"/>
  <c r="AO139" i="1"/>
  <c r="AK139" i="1"/>
  <c r="AZ89" i="1"/>
  <c r="BA89" i="1"/>
  <c r="N18" i="5"/>
  <c r="O18" i="5"/>
  <c r="CB13" i="47"/>
  <c r="BN15" i="11"/>
  <c r="BN19" i="11" s="1"/>
  <c r="N15" i="5"/>
  <c r="AH38" i="11"/>
  <c r="AH22" i="11"/>
  <c r="AH56" i="11"/>
  <c r="AH46" i="11"/>
  <c r="X42" i="6"/>
  <c r="Y36" i="6"/>
  <c r="M6" i="21"/>
  <c r="G29" i="49"/>
  <c r="G9" i="49"/>
  <c r="G35" i="49"/>
  <c r="G44" i="49"/>
  <c r="G15" i="49"/>
  <c r="CE10" i="47"/>
  <c r="G17" i="49"/>
  <c r="G12" i="49"/>
  <c r="AG55" i="9"/>
  <c r="BC323" i="46"/>
  <c r="BD230" i="46"/>
  <c r="G63" i="49"/>
  <c r="BE230" i="46"/>
  <c r="AR20" i="47"/>
  <c r="AR49" i="47" s="1"/>
  <c r="AS20" i="47"/>
  <c r="AS49" i="47" s="1"/>
  <c r="AT20" i="47"/>
  <c r="AT49" i="47" s="1"/>
  <c r="AQ20" i="47"/>
  <c r="P119" i="46"/>
  <c r="Q119" i="46"/>
  <c r="O133" i="46"/>
  <c r="P133" i="46" s="1"/>
  <c r="D116" i="46"/>
  <c r="E116" i="46"/>
  <c r="C156" i="46"/>
  <c r="D146" i="46"/>
  <c r="BG137" i="46"/>
  <c r="BH117" i="46"/>
  <c r="BI117" i="46"/>
  <c r="AJ86" i="3"/>
  <c r="AL100" i="3" s="1"/>
  <c r="AC86" i="3"/>
  <c r="AE86" i="3" s="1"/>
  <c r="AC93" i="3"/>
  <c r="AE93" i="3" s="1"/>
  <c r="AN118" i="46"/>
  <c r="S29" i="5"/>
  <c r="BR18" i="11" s="1"/>
  <c r="BJ87" i="1"/>
  <c r="AJ95" i="1"/>
  <c r="AK95" i="1"/>
  <c r="Y19" i="11"/>
  <c r="AI125" i="1"/>
  <c r="AS138" i="1"/>
  <c r="AW138" i="1"/>
  <c r="O108" i="1"/>
  <c r="O109" i="1"/>
  <c r="U109" i="1" s="1"/>
  <c r="P103" i="1"/>
  <c r="U103" i="1"/>
  <c r="Q103" i="1"/>
  <c r="AJ56" i="1"/>
  <c r="Z16" i="11"/>
  <c r="Z43" i="11" s="1"/>
  <c r="AJ43" i="11"/>
  <c r="AZ123" i="1"/>
  <c r="AY128" i="1"/>
  <c r="BA123" i="1"/>
  <c r="AZ133" i="1"/>
  <c r="AY143" i="1"/>
  <c r="U50" i="7"/>
  <c r="AD36" i="47"/>
  <c r="AE36" i="47"/>
  <c r="AB36" i="47"/>
  <c r="AC36" i="47"/>
  <c r="CF15" i="47"/>
  <c r="H23" i="49"/>
  <c r="AK75" i="46"/>
  <c r="AG75" i="46"/>
  <c r="G25" i="49"/>
  <c r="AK96" i="46"/>
  <c r="W21" i="47" a="1"/>
  <c r="AJ96" i="46"/>
  <c r="AG96" i="46"/>
  <c r="AE135" i="46"/>
  <c r="AO232" i="46"/>
  <c r="AN232" i="46"/>
  <c r="AS232" i="46" s="1"/>
  <c r="BE97" i="46"/>
  <c r="BI135" i="46"/>
  <c r="BG155" i="46"/>
  <c r="BH135" i="46"/>
  <c r="BH145" i="46"/>
  <c r="BG139" i="46"/>
  <c r="AW98" i="1"/>
  <c r="AV98" i="1"/>
  <c r="AJ85" i="3"/>
  <c r="AC85" i="3"/>
  <c r="AE85" i="3" s="1"/>
  <c r="T139" i="1"/>
  <c r="T129" i="1"/>
  <c r="AN48" i="11"/>
  <c r="AN26" i="11"/>
  <c r="AN47" i="11"/>
  <c r="AP101" i="3"/>
  <c r="AR100" i="3"/>
  <c r="AP107" i="3"/>
  <c r="AC100" i="3"/>
  <c r="AE100" i="3" s="1"/>
  <c r="AM138" i="46"/>
  <c r="F38" i="4"/>
  <c r="G38" i="4"/>
  <c r="BE67" i="11"/>
  <c r="BT85" i="47"/>
  <c r="H20" i="21"/>
  <c r="BZ27" i="47"/>
  <c r="AN332" i="46"/>
  <c r="AM333" i="46"/>
  <c r="AO332" i="46"/>
  <c r="BD57" i="1"/>
  <c r="R20" i="5"/>
  <c r="AS55" i="11"/>
  <c r="AX55" i="11"/>
  <c r="AS42" i="11"/>
  <c r="AX70" i="11" s="1"/>
  <c r="L98" i="1"/>
  <c r="M98" i="1"/>
  <c r="AW136" i="1"/>
  <c r="AJ24" i="11"/>
  <c r="AS136" i="1"/>
  <c r="L109" i="1"/>
  <c r="M109" i="1"/>
  <c r="O38" i="5"/>
  <c r="O33" i="5"/>
  <c r="T134" i="1"/>
  <c r="U124" i="1"/>
  <c r="T124" i="1"/>
  <c r="S144" i="1"/>
  <c r="S128" i="1"/>
  <c r="Y128" i="1" s="1"/>
  <c r="Y124" i="1"/>
  <c r="AN56" i="1"/>
  <c r="AE16" i="11"/>
  <c r="AE43" i="11" s="1"/>
  <c r="BG124" i="1"/>
  <c r="BB19" i="11"/>
  <c r="BI94" i="1"/>
  <c r="BJ94" i="1"/>
  <c r="AS104" i="1"/>
  <c r="AW104" i="1"/>
  <c r="AR104" i="1"/>
  <c r="E101" i="3"/>
  <c r="G101" i="3" s="1"/>
  <c r="O101" i="3" s="1"/>
  <c r="Q8" i="4"/>
  <c r="Q9" i="4" s="1"/>
  <c r="AO24" i="46"/>
  <c r="AS24" i="46"/>
  <c r="BI319" i="46"/>
  <c r="BC325" i="46"/>
  <c r="BD325" i="46" s="1"/>
  <c r="AV47" i="47" a="1"/>
  <c r="BC339" i="46"/>
  <c r="BC324" i="46"/>
  <c r="BD324" i="46" s="1"/>
  <c r="BD319" i="46"/>
  <c r="AK98" i="46"/>
  <c r="AJ98" i="46"/>
  <c r="AZ98" i="46"/>
  <c r="BA98" i="46"/>
  <c r="BE98" i="46"/>
  <c r="BA66" i="46"/>
  <c r="AZ66" i="46"/>
  <c r="BE66" i="46"/>
  <c r="Y119" i="46"/>
  <c r="X119" i="46"/>
  <c r="W133" i="46"/>
  <c r="AF133" i="46"/>
  <c r="AG133" i="46"/>
  <c r="BE114" i="46"/>
  <c r="AN106" i="1"/>
  <c r="AO106" i="1"/>
  <c r="AV108" i="1"/>
  <c r="W173" i="1"/>
  <c r="W148" i="1"/>
  <c r="X143" i="1"/>
  <c r="Y143" i="1"/>
  <c r="M337" i="44"/>
  <c r="CD69" i="47"/>
  <c r="BH335" i="46"/>
  <c r="BI335" i="46"/>
  <c r="BM335" i="46"/>
  <c r="BM301" i="46"/>
  <c r="BL301" i="46"/>
  <c r="BE66" i="11"/>
  <c r="BT84" i="47"/>
  <c r="AJ78" i="3"/>
  <c r="BD266" i="46"/>
  <c r="BC276" i="46"/>
  <c r="L42" i="6"/>
  <c r="H29" i="49"/>
  <c r="BS34" i="11"/>
  <c r="BS35" i="11" s="1"/>
  <c r="U58" i="5"/>
  <c r="T145" i="1"/>
  <c r="S175" i="1"/>
  <c r="U145" i="1"/>
  <c r="S155" i="1"/>
  <c r="AO62" i="1"/>
  <c r="AR137" i="46"/>
  <c r="AQ157" i="46"/>
  <c r="AR147" i="46"/>
  <c r="AS137" i="46"/>
  <c r="BA35" i="48"/>
  <c r="BA27" i="48"/>
  <c r="M108" i="1"/>
  <c r="AO95" i="1"/>
  <c r="P184" i="1"/>
  <c r="BH304" i="46"/>
  <c r="BI304" i="46"/>
  <c r="BD154" i="46"/>
  <c r="BC164" i="46"/>
  <c r="BI154" i="46"/>
  <c r="BC207" i="46"/>
  <c r="BC159" i="46"/>
  <c r="BD159" i="46" s="1"/>
  <c r="BC158" i="46"/>
  <c r="BD158" i="46" s="1"/>
  <c r="BD148" i="46"/>
  <c r="BD138" i="46"/>
  <c r="AQ57" i="10"/>
  <c r="AS57" i="10" s="1"/>
  <c r="AU57" i="10" s="1"/>
  <c r="AW57" i="10" s="1"/>
  <c r="M174" i="1"/>
  <c r="AA99" i="1"/>
  <c r="BP143" i="46"/>
  <c r="BQ133" i="46"/>
  <c r="BP133" i="46"/>
  <c r="BO153" i="46"/>
  <c r="E41" i="30"/>
  <c r="E43" i="30" s="1"/>
  <c r="E63" i="30" s="1"/>
  <c r="F35" i="30"/>
  <c r="F37" i="30" s="1"/>
  <c r="E40" i="30"/>
  <c r="M100" i="21"/>
  <c r="M169" i="21"/>
  <c r="G23" i="49"/>
  <c r="BE65" i="1"/>
  <c r="AI174" i="1"/>
  <c r="AJ174" i="1" s="1"/>
  <c r="AJ144" i="1"/>
  <c r="AV305" i="46"/>
  <c r="AV303" i="46"/>
  <c r="BM27" i="46"/>
  <c r="BK266" i="46"/>
  <c r="BL206" i="46"/>
  <c r="J186" i="21"/>
  <c r="F128" i="21"/>
  <c r="F201" i="21" s="1"/>
  <c r="F202" i="21" s="1"/>
  <c r="L99" i="21"/>
  <c r="J273" i="21"/>
  <c r="D316" i="21"/>
  <c r="E220" i="21"/>
  <c r="E251" i="21" s="1"/>
  <c r="L231" i="21"/>
  <c r="M320" i="21"/>
  <c r="K269" i="21"/>
  <c r="BG345" i="46"/>
  <c r="BH345" i="46" s="1"/>
  <c r="E74" i="49"/>
  <c r="K15" i="21" s="1"/>
  <c r="K81" i="21" s="1"/>
  <c r="AV323" i="46"/>
  <c r="K249" i="21"/>
  <c r="K299" i="21" s="1"/>
  <c r="K229" i="21"/>
  <c r="K252" i="21" s="1"/>
  <c r="E10" i="21"/>
  <c r="E16" i="21" s="1"/>
  <c r="J51" i="21"/>
  <c r="H187" i="21"/>
  <c r="L51" i="21"/>
  <c r="L145" i="21"/>
  <c r="L186" i="21" s="1"/>
  <c r="K51" i="21"/>
  <c r="K298" i="21" s="1"/>
  <c r="K145" i="21"/>
  <c r="K186" i="21" s="1"/>
  <c r="J224" i="21"/>
  <c r="E269" i="21"/>
  <c r="E59" i="21"/>
  <c r="E263" i="21" s="1"/>
  <c r="E264" i="21" s="1"/>
  <c r="E316" i="21"/>
  <c r="G258" i="21"/>
  <c r="H258" i="21"/>
  <c r="AH103" i="8"/>
  <c r="AK78" i="10"/>
  <c r="P278" i="21"/>
  <c r="P83" i="21"/>
  <c r="P152" i="21"/>
  <c r="R111" i="8"/>
  <c r="Z97" i="8"/>
  <c r="AH112" i="8"/>
  <c r="P230" i="21"/>
  <c r="AH97" i="8"/>
  <c r="AH104" i="8"/>
  <c r="R39" i="8"/>
  <c r="AH90" i="8"/>
  <c r="CI73" i="47"/>
  <c r="J13" i="8"/>
  <c r="R13" i="8" s="1"/>
  <c r="AF88" i="8"/>
  <c r="P63" i="21"/>
  <c r="BQ322" i="46"/>
  <c r="BK47" i="47" a="1"/>
  <c r="BL47" i="47" s="1"/>
  <c r="BQ76" i="46"/>
  <c r="BS79" i="46"/>
  <c r="BU76" i="46"/>
  <c r="BN47" i="47"/>
  <c r="AV345" i="46"/>
  <c r="BH344" i="46"/>
  <c r="AW339" i="46"/>
  <c r="BB47" i="47"/>
  <c r="F74" i="49"/>
  <c r="L15" i="21" s="1"/>
  <c r="BA323" i="46"/>
  <c r="AZ323" i="46"/>
  <c r="BL340" i="46"/>
  <c r="BM340" i="46"/>
  <c r="BA325" i="46"/>
  <c r="BC47" i="47"/>
  <c r="AU344" i="46"/>
  <c r="AV339" i="46"/>
  <c r="BA342" i="46"/>
  <c r="AZ342" i="46"/>
  <c r="BE342" i="46"/>
  <c r="BQ324" i="46"/>
  <c r="BG343" i="46"/>
  <c r="BH343" i="46" s="1"/>
  <c r="AV342" i="46"/>
  <c r="BA324" i="46"/>
  <c r="Y20" i="44"/>
  <c r="AF95" i="8"/>
  <c r="BK20" i="47"/>
  <c r="BK49" i="47" s="1"/>
  <c r="J33" i="49"/>
  <c r="C13" i="60" s="1"/>
  <c r="BM20" i="47"/>
  <c r="BM49" i="47" s="1"/>
  <c r="BL20" i="47"/>
  <c r="BL49" i="47" s="1"/>
  <c r="BQ332" i="46"/>
  <c r="BO333" i="46"/>
  <c r="BQ333" i="46" s="1"/>
  <c r="BU332" i="46"/>
  <c r="Z88" i="8"/>
  <c r="R117" i="8"/>
  <c r="BK41" i="47" a="1"/>
  <c r="BL41" i="47" s="1"/>
  <c r="BL42" i="47" s="1"/>
  <c r="BL43" i="47" s="1"/>
  <c r="AH18" i="8"/>
  <c r="CH35" i="47"/>
  <c r="P31" i="21"/>
  <c r="CH15" i="47"/>
  <c r="J30" i="49"/>
  <c r="P14" i="21" s="1"/>
  <c r="BU262" i="46"/>
  <c r="BQ262" i="46"/>
  <c r="Z32" i="8"/>
  <c r="AH46" i="8"/>
  <c r="AV35" i="48"/>
  <c r="AV36" i="48" s="1"/>
  <c r="AW63" i="48"/>
  <c r="AW53" i="48"/>
  <c r="BR61" i="48"/>
  <c r="AD64" i="48"/>
  <c r="BH24" i="48"/>
  <c r="BH26" i="48" s="1"/>
  <c r="AX76" i="48"/>
  <c r="AH11" i="8"/>
  <c r="D117" i="1"/>
  <c r="BV56" i="47"/>
  <c r="BV23" i="47"/>
  <c r="BV59" i="47" s="1"/>
  <c r="AH10" i="8"/>
  <c r="Y37" i="6"/>
  <c r="AI45" i="9"/>
  <c r="AK42" i="9"/>
  <c r="J78" i="8"/>
  <c r="R78" i="8" s="1"/>
  <c r="AY81" i="47" s="1"/>
  <c r="N33" i="8"/>
  <c r="B24" i="32"/>
  <c r="U19" i="6"/>
  <c r="AW14" i="9"/>
  <c r="AW17" i="10" s="1"/>
  <c r="AW28" i="10" s="1"/>
  <c r="Q31" i="6"/>
  <c r="AU17" i="10"/>
  <c r="AU28" i="10" s="1"/>
  <c r="AB43" i="6"/>
  <c r="AC37" i="6"/>
  <c r="P37" i="6"/>
  <c r="Q37" i="6" s="1"/>
  <c r="AC48" i="10"/>
  <c r="Z54" i="8"/>
  <c r="E38" i="31"/>
  <c r="AS63" i="11"/>
  <c r="AF70" i="8"/>
  <c r="X26" i="8"/>
  <c r="Z26" i="8" s="1"/>
  <c r="AD71" i="47"/>
  <c r="BG23" i="47"/>
  <c r="BG59" i="47" s="1"/>
  <c r="BM73" i="47"/>
  <c r="AM23" i="47"/>
  <c r="BV62" i="47"/>
  <c r="AX57" i="47"/>
  <c r="U3" i="55"/>
  <c r="AY56" i="47"/>
  <c r="AY23" i="47"/>
  <c r="AY59" i="47" s="1"/>
  <c r="AH12" i="47"/>
  <c r="AH55" i="47" s="1"/>
  <c r="BI42" i="47"/>
  <c r="BI43" i="47" s="1"/>
  <c r="AX12" i="47"/>
  <c r="AX55" i="47" s="1"/>
  <c r="BH58" i="47"/>
  <c r="AR19" i="47"/>
  <c r="BR73" i="47"/>
  <c r="BK73" i="47"/>
  <c r="AX58" i="47"/>
  <c r="BC69" i="47"/>
  <c r="AH69" i="47"/>
  <c r="AT73" i="47"/>
  <c r="AL23" i="47"/>
  <c r="AL59" i="47" s="1"/>
  <c r="AI19" i="47"/>
  <c r="AI23" i="47" s="1"/>
  <c r="AQ19" i="47"/>
  <c r="AQ23" i="47" s="1"/>
  <c r="AQ26" i="47" s="1"/>
  <c r="AM73" i="47"/>
  <c r="AH73" i="47"/>
  <c r="AL73" i="47"/>
  <c r="W58" i="47"/>
  <c r="W49" i="47"/>
  <c r="BH23" i="47"/>
  <c r="BH46" i="47" s="1"/>
  <c r="AN19" i="47"/>
  <c r="BF57" i="47"/>
  <c r="BF23" i="47"/>
  <c r="BF46" i="47" s="1"/>
  <c r="AF75" i="47"/>
  <c r="BB73" i="47"/>
  <c r="BG73" i="47"/>
  <c r="BD73" i="47"/>
  <c r="BH73" i="47"/>
  <c r="AJ73" i="47"/>
  <c r="AH19" i="47"/>
  <c r="AH23" i="47" s="1"/>
  <c r="AH59" i="47" s="1"/>
  <c r="AW73" i="47"/>
  <c r="BN73" i="47"/>
  <c r="BB58" i="47"/>
  <c r="BH69" i="47"/>
  <c r="AQ73" i="47"/>
  <c r="BC19" i="47"/>
  <c r="BC23" i="47" s="1"/>
  <c r="BD19" i="47"/>
  <c r="C10" i="39" s="1"/>
  <c r="C11" i="39" s="1"/>
  <c r="BF69" i="47"/>
  <c r="G3" i="55"/>
  <c r="K6" i="55" s="1"/>
  <c r="G6" i="55" s="1"/>
  <c r="AH57" i="47"/>
  <c r="AH56" i="47"/>
  <c r="AM69" i="47"/>
  <c r="AJ26" i="47"/>
  <c r="AJ59" i="47"/>
  <c r="AJ46" i="47"/>
  <c r="AB71" i="47"/>
  <c r="BG49" i="47"/>
  <c r="BG58" i="47"/>
  <c r="BA56" i="47"/>
  <c r="AC3" i="55"/>
  <c r="BI69" i="47"/>
  <c r="B37" i="39" s="1"/>
  <c r="BI12" i="47"/>
  <c r="BI55" i="47" s="1"/>
  <c r="R18" i="53" s="1"/>
  <c r="BI23" i="47"/>
  <c r="BI56" i="47"/>
  <c r="R21" i="53" s="1"/>
  <c r="BI71" i="47"/>
  <c r="B39" i="39" s="1"/>
  <c r="AS69" i="47"/>
  <c r="P3" i="55"/>
  <c r="AX69" i="47"/>
  <c r="AS58" i="47"/>
  <c r="AS23" i="47"/>
  <c r="AS57" i="47"/>
  <c r="AS56" i="47"/>
  <c r="AX88" i="47" s="1"/>
  <c r="AX73" i="47"/>
  <c r="AE58" i="47"/>
  <c r="AE49" i="47"/>
  <c r="AE56" i="47"/>
  <c r="AE71" i="47"/>
  <c r="AE69" i="47"/>
  <c r="Z12" i="47"/>
  <c r="Z55" i="47" s="1"/>
  <c r="BC56" i="47"/>
  <c r="BC57" i="47"/>
  <c r="X3" i="55"/>
  <c r="X6" i="55" s="1"/>
  <c r="BC12" i="47"/>
  <c r="BC55" i="47" s="1"/>
  <c r="N19" i="53" s="1"/>
  <c r="AT71" i="47"/>
  <c r="AT56" i="47"/>
  <c r="BG71" i="47"/>
  <c r="L23" i="53" s="1"/>
  <c r="BG56" i="47"/>
  <c r="L21" i="53" s="1"/>
  <c r="Q3" i="55"/>
  <c r="AY69" i="47"/>
  <c r="AT12" i="47"/>
  <c r="AT55" i="47" s="1"/>
  <c r="AY87" i="47" s="1"/>
  <c r="AT69" i="47"/>
  <c r="AT23" i="47"/>
  <c r="AT58" i="47"/>
  <c r="AO19" i="47"/>
  <c r="AO23" i="47" s="1"/>
  <c r="AO72" i="47" s="1"/>
  <c r="AD69" i="47"/>
  <c r="Y12" i="47"/>
  <c r="Y55" i="47" s="1"/>
  <c r="BC49" i="47"/>
  <c r="BC58" i="47"/>
  <c r="AV58" i="47"/>
  <c r="AV49" i="47"/>
  <c r="V3" i="55"/>
  <c r="BA69" i="47"/>
  <c r="BA57" i="47"/>
  <c r="BF71" i="47"/>
  <c r="I23" i="53" s="1"/>
  <c r="BF56" i="47"/>
  <c r="I21" i="53" s="1"/>
  <c r="BA12" i="47"/>
  <c r="BA55" i="47" s="1"/>
  <c r="H19" i="53" s="1"/>
  <c r="BA58" i="47"/>
  <c r="AV23" i="47"/>
  <c r="AR69" i="47"/>
  <c r="AR12" i="47"/>
  <c r="AR55" i="47" s="1"/>
  <c r="AW87" i="47" s="1"/>
  <c r="AW69" i="47"/>
  <c r="O3" i="55"/>
  <c r="AI57" i="47"/>
  <c r="AI56" i="47"/>
  <c r="AI69" i="47"/>
  <c r="H3" i="55"/>
  <c r="L6" i="55" s="1"/>
  <c r="H6" i="55" s="1"/>
  <c r="AN69" i="47"/>
  <c r="AS12" i="47"/>
  <c r="AS55" i="47" s="1"/>
  <c r="AX87" i="47" s="1"/>
  <c r="Z56" i="47"/>
  <c r="AO49" i="47"/>
  <c r="AO58" i="47"/>
  <c r="BF49" i="47"/>
  <c r="BF58" i="47"/>
  <c r="AT57" i="47"/>
  <c r="J6" i="55"/>
  <c r="F6" i="55" s="1"/>
  <c r="AW23" i="47"/>
  <c r="BL73" i="47"/>
  <c r="BQ73" i="47"/>
  <c r="BB19" i="47"/>
  <c r="BB23" i="47" s="1"/>
  <c r="AY49" i="47"/>
  <c r="AY58" i="47"/>
  <c r="BD69" i="47"/>
  <c r="C37" i="39" s="1"/>
  <c r="Y3" i="55"/>
  <c r="BD12" i="47"/>
  <c r="BD55" i="47" s="1"/>
  <c r="Q19" i="53" s="1"/>
  <c r="BD58" i="47"/>
  <c r="BD57" i="47"/>
  <c r="AQ56" i="47"/>
  <c r="AV88" i="47" s="1"/>
  <c r="AQ71" i="47"/>
  <c r="AV71" i="47"/>
  <c r="AP64" i="47"/>
  <c r="AU75" i="47"/>
  <c r="AP75" i="47"/>
  <c r="AN49" i="47"/>
  <c r="AN58" i="47"/>
  <c r="Y56" i="47"/>
  <c r="BA23" i="47"/>
  <c r="BF47" i="47"/>
  <c r="CC23" i="47"/>
  <c r="CC59" i="47" s="1"/>
  <c r="BV69" i="47"/>
  <c r="AK64" i="47"/>
  <c r="AK75" i="47"/>
  <c r="AN23" i="47"/>
  <c r="Y58" i="47"/>
  <c r="AL26" i="47"/>
  <c r="AJ12" i="47"/>
  <c r="AJ55" i="47" s="1"/>
  <c r="AJ58" i="47"/>
  <c r="I3" i="55"/>
  <c r="M6" i="55" s="1"/>
  <c r="I6" i="55" s="1"/>
  <c r="AJ57" i="47"/>
  <c r="AO69" i="47"/>
  <c r="X12" i="47"/>
  <c r="X55" i="47" s="1"/>
  <c r="X56" i="47"/>
  <c r="AL58" i="47"/>
  <c r="AL49" i="47"/>
  <c r="BI49" i="47"/>
  <c r="BI58" i="47"/>
  <c r="AW88" i="47"/>
  <c r="AW49" i="47"/>
  <c r="AW58" i="47"/>
  <c r="BB57" i="47"/>
  <c r="BB56" i="47"/>
  <c r="W3" i="55"/>
  <c r="BB12" i="47"/>
  <c r="BB55" i="47" s="1"/>
  <c r="BI57" i="47"/>
  <c r="Z3" i="55"/>
  <c r="BF12" i="47"/>
  <c r="BF55" i="47" s="1"/>
  <c r="I18" i="53" s="1"/>
  <c r="AC19" i="47"/>
  <c r="H78" i="21"/>
  <c r="E128" i="21"/>
  <c r="E201" i="21" s="1"/>
  <c r="E202" i="21" s="1"/>
  <c r="D128" i="21"/>
  <c r="D143" i="21"/>
  <c r="D145" i="21" s="1"/>
  <c r="D186" i="21" s="1"/>
  <c r="I196" i="21"/>
  <c r="Z118" i="8"/>
  <c r="Z117" i="8"/>
  <c r="Z116" i="8"/>
  <c r="R74" i="8"/>
  <c r="AH74" i="8"/>
  <c r="AH54" i="8"/>
  <c r="Z52" i="8"/>
  <c r="J30" i="8"/>
  <c r="AH30" i="8" s="1"/>
  <c r="N26" i="8"/>
  <c r="Z19" i="8"/>
  <c r="AJ26" i="8"/>
  <c r="AH19" i="8"/>
  <c r="N47" i="8"/>
  <c r="T26" i="8"/>
  <c r="R33" i="8"/>
  <c r="AF96" i="8"/>
  <c r="AH37" i="8"/>
  <c r="Z45" i="8"/>
  <c r="AH116" i="8"/>
  <c r="Z23" i="8"/>
  <c r="J40" i="8"/>
  <c r="AH40" i="8" s="1"/>
  <c r="X40" i="8"/>
  <c r="Z40" i="8" s="1"/>
  <c r="P40" i="8"/>
  <c r="R25" i="8"/>
  <c r="R105" i="8"/>
  <c r="J106" i="8"/>
  <c r="R106" i="8" s="1"/>
  <c r="Z111" i="8"/>
  <c r="Z25" i="8"/>
  <c r="R51" i="8"/>
  <c r="J20" i="8"/>
  <c r="R20" i="8" s="1"/>
  <c r="R16" i="8"/>
  <c r="J55" i="8"/>
  <c r="R55" i="8" s="1"/>
  <c r="R88" i="8"/>
  <c r="AH88" i="8"/>
  <c r="R32" i="8"/>
  <c r="AH32" i="8"/>
  <c r="J48" i="8"/>
  <c r="R48" i="8" s="1"/>
  <c r="R45" i="8"/>
  <c r="R89" i="8"/>
  <c r="AH89" i="8"/>
  <c r="R95" i="8"/>
  <c r="AH110" i="8"/>
  <c r="L43" i="6"/>
  <c r="M37" i="6"/>
  <c r="AF81" i="8"/>
  <c r="R52" i="8"/>
  <c r="AH52" i="8"/>
  <c r="AH38" i="8"/>
  <c r="R38" i="8"/>
  <c r="AJ40" i="8"/>
  <c r="T40" i="8"/>
  <c r="X43" i="6"/>
  <c r="R53" i="8"/>
  <c r="P30" i="8"/>
  <c r="J26" i="8"/>
  <c r="J27" i="8" s="1"/>
  <c r="R27" i="8" s="1"/>
  <c r="AH31" i="8"/>
  <c r="R31" i="8"/>
  <c r="AX81" i="47"/>
  <c r="AR63" i="11"/>
  <c r="R96" i="8"/>
  <c r="AH96" i="8"/>
  <c r="J99" i="8"/>
  <c r="R99" i="8" s="1"/>
  <c r="BF81" i="47" s="1"/>
  <c r="R81" i="8"/>
  <c r="J85" i="8"/>
  <c r="R85" i="8" s="1"/>
  <c r="AH81" i="8"/>
  <c r="I37" i="6"/>
  <c r="H43" i="6"/>
  <c r="AH91" i="8"/>
  <c r="J92" i="8"/>
  <c r="R92" i="8" s="1"/>
  <c r="BB81" i="47" s="1"/>
  <c r="BS173" i="46"/>
  <c r="BS194" i="46"/>
  <c r="BS286" i="46"/>
  <c r="H57" i="1"/>
  <c r="R22" i="3"/>
  <c r="S22" i="3" s="1"/>
  <c r="C22" i="3" s="1"/>
  <c r="G22" i="3" s="1"/>
  <c r="H35" i="1"/>
  <c r="BG42" i="11"/>
  <c r="D13" i="8"/>
  <c r="G97" i="1"/>
  <c r="H97" i="1" s="1"/>
  <c r="H25" i="1"/>
  <c r="BU23" i="47"/>
  <c r="BU59" i="47" s="1"/>
  <c r="BU64" i="47"/>
  <c r="BU62" i="47"/>
  <c r="BU60" i="47"/>
  <c r="R12" i="8"/>
  <c r="AH12" i="8"/>
  <c r="O61" i="9"/>
  <c r="O60" i="9"/>
  <c r="O62" i="9"/>
  <c r="G33" i="5"/>
  <c r="G38" i="5"/>
  <c r="G44" i="4"/>
  <c r="G45" i="4" s="1"/>
  <c r="BG53" i="11"/>
  <c r="C107" i="1"/>
  <c r="D107" i="1" s="1"/>
  <c r="D35" i="1"/>
  <c r="BF42" i="11"/>
  <c r="BF14" i="11"/>
  <c r="BV64" i="47"/>
  <c r="BV60" i="47"/>
  <c r="H77" i="1"/>
  <c r="G107" i="1"/>
  <c r="H107" i="1" s="1"/>
  <c r="H117" i="1"/>
  <c r="D20" i="8"/>
  <c r="O117" i="46"/>
  <c r="P35" i="46"/>
  <c r="P76" i="46"/>
  <c r="D220" i="21"/>
  <c r="D52" i="21"/>
  <c r="D269" i="21"/>
  <c r="D72" i="21"/>
  <c r="D10" i="21"/>
  <c r="D53" i="21"/>
  <c r="Q167" i="21"/>
  <c r="B40" i="49"/>
  <c r="B41" i="49" s="1"/>
  <c r="E40" i="49"/>
  <c r="E73" i="49" s="1"/>
  <c r="H14" i="21"/>
  <c r="H149" i="21" s="1"/>
  <c r="CF19" i="47"/>
  <c r="CF23" i="47" s="1"/>
  <c r="K14" i="21"/>
  <c r="K80" i="21" s="1"/>
  <c r="C30" i="49"/>
  <c r="CA19" i="47" s="1"/>
  <c r="CA23" i="47" s="1"/>
  <c r="L253" i="21"/>
  <c r="L308" i="21" s="1"/>
  <c r="L237" i="21"/>
  <c r="L239" i="21" s="1"/>
  <c r="H31" i="49"/>
  <c r="H40" i="49"/>
  <c r="H41" i="49" s="1"/>
  <c r="H181" i="21"/>
  <c r="H112" i="21"/>
  <c r="K264" i="21"/>
  <c r="K324" i="21" s="1"/>
  <c r="D31" i="49"/>
  <c r="BZ23" i="47"/>
  <c r="BZ46" i="47" s="1"/>
  <c r="I316" i="21"/>
  <c r="I128" i="21"/>
  <c r="M128" i="21"/>
  <c r="L119" i="21"/>
  <c r="K76" i="21"/>
  <c r="K118" i="21" s="1"/>
  <c r="K297" i="21" s="1"/>
  <c r="J120" i="21"/>
  <c r="J129" i="21"/>
  <c r="J195" i="21" s="1"/>
  <c r="H276" i="21"/>
  <c r="H79" i="21"/>
  <c r="H148" i="21"/>
  <c r="H53" i="21"/>
  <c r="N169" i="21"/>
  <c r="N100" i="21"/>
  <c r="K256" i="21"/>
  <c r="K250" i="21"/>
  <c r="K303" i="21" s="1"/>
  <c r="L256" i="21"/>
  <c r="K251" i="21"/>
  <c r="J78" i="21"/>
  <c r="J147" i="21"/>
  <c r="I220" i="21"/>
  <c r="I250" i="21" s="1"/>
  <c r="I59" i="21"/>
  <c r="I269" i="21"/>
  <c r="I141" i="21"/>
  <c r="J59" i="21"/>
  <c r="I53" i="21"/>
  <c r="I72" i="21"/>
  <c r="I119" i="21" s="1"/>
  <c r="I10" i="21"/>
  <c r="K133" i="21"/>
  <c r="K201" i="21" s="1"/>
  <c r="K119" i="21"/>
  <c r="K301" i="21" s="1"/>
  <c r="CB19" i="47"/>
  <c r="CB23" i="47" s="1"/>
  <c r="CB46" i="47" s="1"/>
  <c r="N77" i="21"/>
  <c r="O128" i="21" s="1"/>
  <c r="I258" i="21"/>
  <c r="CF49" i="47"/>
  <c r="CF58" i="47"/>
  <c r="H10" i="21"/>
  <c r="H74" i="21"/>
  <c r="H76" i="21" s="1"/>
  <c r="H118" i="21" s="1"/>
  <c r="H143" i="21"/>
  <c r="H271" i="21"/>
  <c r="H273" i="21" s="1"/>
  <c r="H222" i="21"/>
  <c r="H224" i="21" s="1"/>
  <c r="K78" i="21"/>
  <c r="K147" i="21"/>
  <c r="BZ49" i="47"/>
  <c r="BZ58" i="47"/>
  <c r="I155" i="21"/>
  <c r="I281" i="21"/>
  <c r="I233" i="21"/>
  <c r="I86" i="21"/>
  <c r="CB31" i="47"/>
  <c r="J27" i="21"/>
  <c r="C58" i="49"/>
  <c r="L196" i="21"/>
  <c r="L187" i="21"/>
  <c r="N148" i="21"/>
  <c r="N276" i="21"/>
  <c r="N53" i="21"/>
  <c r="N79" i="21"/>
  <c r="M97" i="21"/>
  <c r="M166" i="21"/>
  <c r="J197" i="21"/>
  <c r="J188" i="21"/>
  <c r="K197" i="21"/>
  <c r="L246" i="21"/>
  <c r="L252" i="21"/>
  <c r="N250" i="21"/>
  <c r="N303" i="21" s="1"/>
  <c r="N302" i="21"/>
  <c r="K120" i="21"/>
  <c r="K126" i="21"/>
  <c r="N146" i="21"/>
  <c r="O61" i="21"/>
  <c r="O320" i="21" s="1"/>
  <c r="K290" i="21"/>
  <c r="K93" i="21"/>
  <c r="K162" i="21" s="1"/>
  <c r="K240" i="21"/>
  <c r="K291" i="21" s="1"/>
  <c r="I52" i="21"/>
  <c r="M258" i="21"/>
  <c r="L258" i="21"/>
  <c r="L250" i="21"/>
  <c r="L303" i="21" s="1"/>
  <c r="E22" i="32"/>
  <c r="E22" i="31"/>
  <c r="F30" i="49"/>
  <c r="E46" i="49"/>
  <c r="L133" i="21"/>
  <c r="L201" i="21" s="1"/>
  <c r="L263" i="21"/>
  <c r="D25" i="1"/>
  <c r="D57" i="1"/>
  <c r="D77" i="1"/>
  <c r="H15" i="1"/>
  <c r="S126" i="46"/>
  <c r="T127" i="46"/>
  <c r="T25" i="46"/>
  <c r="U25" i="46" s="1"/>
  <c r="T97" i="46"/>
  <c r="T87" i="46"/>
  <c r="T65" i="46"/>
  <c r="S14" i="46"/>
  <c r="T137" i="46"/>
  <c r="T35" i="46"/>
  <c r="T55" i="46"/>
  <c r="T107" i="46"/>
  <c r="T76" i="46"/>
  <c r="D33" i="5"/>
  <c r="D38" i="5"/>
  <c r="D44" i="4"/>
  <c r="D45" i="4" s="1"/>
  <c r="H55" i="46"/>
  <c r="H25" i="46"/>
  <c r="I25" i="46" s="1"/>
  <c r="H97" i="46"/>
  <c r="H137" i="46"/>
  <c r="G117" i="46"/>
  <c r="H45" i="46"/>
  <c r="H35" i="46"/>
  <c r="H107" i="46"/>
  <c r="H76" i="46"/>
  <c r="H87" i="46"/>
  <c r="H15" i="46"/>
  <c r="H65" i="46"/>
  <c r="Q61" i="9"/>
  <c r="Q62" i="9"/>
  <c r="Q60" i="9"/>
  <c r="R23" i="8"/>
  <c r="AH23" i="8"/>
  <c r="E72" i="21"/>
  <c r="E53" i="21"/>
  <c r="K62" i="9"/>
  <c r="K61" i="9"/>
  <c r="K60" i="9"/>
  <c r="R98" i="8"/>
  <c r="AH98" i="8"/>
  <c r="BW10" i="47"/>
  <c r="I32" i="5"/>
  <c r="I12" i="5"/>
  <c r="W127" i="46"/>
  <c r="I21" i="5"/>
  <c r="I9" i="5"/>
  <c r="BH10" i="11"/>
  <c r="F6" i="21"/>
  <c r="S78" i="10"/>
  <c r="I27" i="5"/>
  <c r="I17" i="5"/>
  <c r="W15" i="1"/>
  <c r="W15" i="46"/>
  <c r="S55" i="9"/>
  <c r="I15" i="5"/>
  <c r="I36" i="5"/>
  <c r="S14" i="1"/>
  <c r="T57" i="1"/>
  <c r="T117" i="1"/>
  <c r="T25" i="1"/>
  <c r="S97" i="1"/>
  <c r="U97" i="1" s="1"/>
  <c r="T35" i="1"/>
  <c r="S107" i="1"/>
  <c r="R43" i="3"/>
  <c r="S43" i="3" s="1"/>
  <c r="T77" i="1"/>
  <c r="D41" i="8"/>
  <c r="L41" i="8" s="1"/>
  <c r="E300" i="21"/>
  <c r="E273" i="21"/>
  <c r="E311" i="21"/>
  <c r="G60" i="9"/>
  <c r="G62" i="9"/>
  <c r="G61" i="9"/>
  <c r="AF65" i="46"/>
  <c r="AE14" i="46"/>
  <c r="AF87" i="46"/>
  <c r="AF25" i="46"/>
  <c r="AF137" i="46"/>
  <c r="AF35" i="46"/>
  <c r="AF97" i="46"/>
  <c r="AF55" i="46"/>
  <c r="AF107" i="46"/>
  <c r="AF76" i="46"/>
  <c r="AE126" i="46"/>
  <c r="AF127" i="46"/>
  <c r="B39" i="5"/>
  <c r="B42" i="5"/>
  <c r="B44" i="5"/>
  <c r="X8" i="5"/>
  <c r="AL55" i="9" s="1"/>
  <c r="U78" i="10"/>
  <c r="BX10" i="47"/>
  <c r="BY69" i="47" s="1"/>
  <c r="J12" i="5"/>
  <c r="J17" i="5"/>
  <c r="J15" i="5"/>
  <c r="G6" i="21"/>
  <c r="J27" i="5"/>
  <c r="AA127" i="46"/>
  <c r="BI10" i="11"/>
  <c r="AA15" i="46"/>
  <c r="AF15" i="46" s="1"/>
  <c r="J24" i="5"/>
  <c r="AA45" i="1" s="1"/>
  <c r="J21" i="5"/>
  <c r="J36" i="5"/>
  <c r="AA15" i="1"/>
  <c r="AF15" i="1" s="1"/>
  <c r="U55" i="9"/>
  <c r="J32" i="5"/>
  <c r="J9" i="5"/>
  <c r="E250" i="21"/>
  <c r="C33" i="5"/>
  <c r="C44" i="4"/>
  <c r="C45" i="4" s="1"/>
  <c r="C38" i="5"/>
  <c r="M78" i="10"/>
  <c r="F27" i="5"/>
  <c r="BT10" i="47"/>
  <c r="K15" i="46"/>
  <c r="F21" i="5"/>
  <c r="M55" i="9"/>
  <c r="K127" i="46"/>
  <c r="F15" i="5"/>
  <c r="C6" i="21"/>
  <c r="F9" i="5"/>
  <c r="F12" i="5"/>
  <c r="BE10" i="11"/>
  <c r="F32" i="5"/>
  <c r="G9" i="5"/>
  <c r="F36" i="5"/>
  <c r="K15" i="1"/>
  <c r="AE44" i="1"/>
  <c r="AF44" i="1" s="1"/>
  <c r="AF45" i="1"/>
  <c r="C127" i="1"/>
  <c r="BY23" i="47"/>
  <c r="BY62" i="47"/>
  <c r="BY64" i="47"/>
  <c r="BY12" i="47"/>
  <c r="BY55" i="47" s="1"/>
  <c r="BY56" i="47"/>
  <c r="BY60" i="47"/>
  <c r="K33" i="5"/>
  <c r="K44" i="4"/>
  <c r="K45" i="4" s="1"/>
  <c r="K38" i="5"/>
  <c r="R64" i="3"/>
  <c r="S64" i="3" s="1"/>
  <c r="AE97" i="1"/>
  <c r="AF25" i="1"/>
  <c r="AF117" i="1"/>
  <c r="AF57" i="1"/>
  <c r="AE14" i="1"/>
  <c r="AF35" i="1"/>
  <c r="AE107" i="1"/>
  <c r="AF77" i="1"/>
  <c r="BG19" i="11"/>
  <c r="BG41" i="11"/>
  <c r="BJ19" i="11"/>
  <c r="BJ41" i="11"/>
  <c r="H39" i="5"/>
  <c r="H44" i="5"/>
  <c r="H42" i="5"/>
  <c r="S31" i="21"/>
  <c r="S97" i="21" s="1"/>
  <c r="O127" i="1"/>
  <c r="P97" i="1"/>
  <c r="U25" i="1"/>
  <c r="AQ47" i="47"/>
  <c r="AT47" i="47"/>
  <c r="AR47" i="47"/>
  <c r="AS47" i="47"/>
  <c r="BU325" i="46"/>
  <c r="BQ325" i="46"/>
  <c r="AN341" i="46"/>
  <c r="AO341" i="46"/>
  <c r="BK344" i="46"/>
  <c r="BL339" i="46"/>
  <c r="BK343" i="46"/>
  <c r="BK345" i="46"/>
  <c r="BM339" i="46"/>
  <c r="AR324" i="46"/>
  <c r="AW324" i="46"/>
  <c r="AS324" i="46"/>
  <c r="BH325" i="46"/>
  <c r="BM325" i="46"/>
  <c r="AC47" i="47"/>
  <c r="AE47" i="47"/>
  <c r="AD47" i="47"/>
  <c r="AB47" i="47"/>
  <c r="BM324" i="46"/>
  <c r="AS341" i="46"/>
  <c r="BM38" i="47"/>
  <c r="BN38" i="47"/>
  <c r="BK38" i="47"/>
  <c r="BL38" i="47"/>
  <c r="BM47" i="47"/>
  <c r="BK47" i="47"/>
  <c r="CH37" i="47"/>
  <c r="P33" i="21"/>
  <c r="AS325" i="46"/>
  <c r="AW325" i="46"/>
  <c r="AR325" i="46"/>
  <c r="BH324" i="46"/>
  <c r="BI324" i="46"/>
  <c r="BL341" i="46"/>
  <c r="BM341" i="46"/>
  <c r="BG47" i="47"/>
  <c r="BH47" i="47"/>
  <c r="BQ260" i="46"/>
  <c r="BU260" i="46"/>
  <c r="J65" i="49"/>
  <c r="Q83" i="21"/>
  <c r="Q278" i="21"/>
  <c r="BU323" i="46"/>
  <c r="J74" i="49"/>
  <c r="P15" i="21" s="1"/>
  <c r="BQ323" i="46"/>
  <c r="BC59" i="47"/>
  <c r="CI36" i="47"/>
  <c r="L63" i="49"/>
  <c r="R32" i="21" s="1"/>
  <c r="R98" i="21" s="1"/>
  <c r="AO59" i="47"/>
  <c r="AQ46" i="47"/>
  <c r="D7" i="62"/>
  <c r="D8" i="62" s="1"/>
  <c r="D11" i="62" s="1"/>
  <c r="D13" i="62" s="1"/>
  <c r="B7" i="62"/>
  <c r="B8" i="62" s="1"/>
  <c r="B11" i="62" s="1"/>
  <c r="B13" i="62" s="1"/>
  <c r="C7" i="62"/>
  <c r="C8" i="62" s="1"/>
  <c r="C11" i="62" s="1"/>
  <c r="C13" i="62" s="1"/>
  <c r="F7" i="62"/>
  <c r="F8" i="62" s="1"/>
  <c r="F11" i="62" s="1"/>
  <c r="F13" i="62" s="1"/>
  <c r="H7" i="62"/>
  <c r="H8" i="62" s="1"/>
  <c r="H11" i="62" s="1"/>
  <c r="H13" i="62" s="1"/>
  <c r="G7" i="62"/>
  <c r="G8" i="62" s="1"/>
  <c r="G11" i="62" s="1"/>
  <c r="G13" i="62" s="1"/>
  <c r="O290" i="21"/>
  <c r="O240" i="21"/>
  <c r="O291" i="21" s="1"/>
  <c r="O93" i="21"/>
  <c r="O162" i="21" s="1"/>
  <c r="BA59" i="47"/>
  <c r="BA26" i="47"/>
  <c r="BA46" i="47"/>
  <c r="BA48" i="47" s="1"/>
  <c r="Q63" i="21"/>
  <c r="Q152" i="21"/>
  <c r="BJ43" i="1"/>
  <c r="BG45" i="1"/>
  <c r="S11" i="5"/>
  <c r="BR12" i="11" s="1"/>
  <c r="BI25" i="1"/>
  <c r="BJ25" i="1" s="1"/>
  <c r="S166" i="21"/>
  <c r="BG37" i="1"/>
  <c r="BG64" i="1"/>
  <c r="BG35" i="1"/>
  <c r="BJ33" i="1"/>
  <c r="BC15" i="11"/>
  <c r="BI59" i="1"/>
  <c r="BI89" i="1"/>
  <c r="BI17" i="1"/>
  <c r="BI119" i="1"/>
  <c r="BI79" i="1"/>
  <c r="BJ17" i="1"/>
  <c r="O94" i="3"/>
  <c r="AE94" i="3"/>
  <c r="M50" i="3"/>
  <c r="AC101" i="3"/>
  <c r="AE101" i="3" s="1"/>
  <c r="S16" i="5"/>
  <c r="BR10" i="11"/>
  <c r="S36" i="5"/>
  <c r="S27" i="5"/>
  <c r="S12" i="5"/>
  <c r="S30" i="5"/>
  <c r="S9" i="5"/>
  <c r="S21" i="5"/>
  <c r="T21" i="5" s="1"/>
  <c r="U21" i="5" s="1"/>
  <c r="V21" i="5" s="1"/>
  <c r="W101" i="3"/>
  <c r="N12" i="4"/>
  <c r="P13" i="4" s="1"/>
  <c r="O27" i="3"/>
  <c r="R109" i="8"/>
  <c r="AH109" i="8"/>
  <c r="J113" i="8"/>
  <c r="R113" i="8" s="1"/>
  <c r="BH81" i="47" s="1"/>
  <c r="AB12" i="4"/>
  <c r="L85" i="8"/>
  <c r="W33" i="3"/>
  <c r="O54" i="3"/>
  <c r="O61" i="3"/>
  <c r="K57" i="3"/>
  <c r="Z39" i="8"/>
  <c r="AA80" i="3"/>
  <c r="AC87" i="3" s="1"/>
  <c r="AE87" i="3" s="1"/>
  <c r="AJ76" i="3"/>
  <c r="AC83" i="3"/>
  <c r="AE83" i="3" s="1"/>
  <c r="O47" i="3"/>
  <c r="O62" i="3"/>
  <c r="O60" i="3"/>
  <c r="W53" i="3"/>
  <c r="O28" i="3"/>
  <c r="Y27" i="3"/>
  <c r="AB26" i="8"/>
  <c r="AD26" i="8" s="1"/>
  <c r="O41" i="3"/>
  <c r="O25" i="3"/>
  <c r="U55" i="3"/>
  <c r="W26" i="3"/>
  <c r="Z81" i="8"/>
  <c r="Z74" i="8"/>
  <c r="Z103" i="8"/>
  <c r="Z110" i="8"/>
  <c r="AR112" i="3"/>
  <c r="S9" i="4"/>
  <c r="G108" i="3"/>
  <c r="BN43" i="48"/>
  <c r="BB63" i="48"/>
  <c r="AN50" i="48"/>
  <c r="AN26" i="48"/>
  <c r="AN51" i="48" s="1"/>
  <c r="Z51" i="48"/>
  <c r="BN48" i="48"/>
  <c r="AW33" i="48"/>
  <c r="AW54" i="48" s="1"/>
  <c r="AX18" i="48"/>
  <c r="AX30" i="48" s="1"/>
  <c r="AX31" i="48" s="1"/>
  <c r="BD18" i="48"/>
  <c r="BD30" i="48" s="1"/>
  <c r="BD31" i="48" s="1"/>
  <c r="BD63" i="48" s="1"/>
  <c r="Z27" i="48"/>
  <c r="BC18" i="48"/>
  <c r="BC30" i="48" s="1"/>
  <c r="BC31" i="48" s="1"/>
  <c r="BC33" i="48" s="1"/>
  <c r="BC54" i="48" s="1"/>
  <c r="Z49" i="48"/>
  <c r="AE64" i="48"/>
  <c r="BA33" i="48"/>
  <c r="BA54" i="48" s="1"/>
  <c r="BA53" i="48"/>
  <c r="BL43" i="48"/>
  <c r="BL22" i="48"/>
  <c r="BM61" i="48" s="1"/>
  <c r="AO26" i="48"/>
  <c r="AO49" i="48"/>
  <c r="AO50" i="48"/>
  <c r="Z50" i="48"/>
  <c r="W27" i="48"/>
  <c r="W51" i="48"/>
  <c r="W35" i="48"/>
  <c r="W36" i="48" s="1"/>
  <c r="AB64" i="48" s="1"/>
  <c r="W83" i="3"/>
  <c r="M29" i="3"/>
  <c r="W35" i="3"/>
  <c r="W28" i="3"/>
  <c r="W40" i="3"/>
  <c r="U29" i="3"/>
  <c r="W32" i="3"/>
  <c r="M36" i="3"/>
  <c r="O26" i="3"/>
  <c r="W54" i="3"/>
  <c r="W41" i="3"/>
  <c r="U36" i="3"/>
  <c r="W34" i="3"/>
  <c r="Y20" i="3"/>
  <c r="AB19" i="8"/>
  <c r="AD19" i="8" s="1"/>
  <c r="AH29" i="3"/>
  <c r="W46" i="3"/>
  <c r="W39" i="3"/>
  <c r="W61" i="3"/>
  <c r="Z24" i="8"/>
  <c r="Z31" i="8"/>
  <c r="Z30" i="8"/>
  <c r="Z37" i="8"/>
  <c r="W25" i="3"/>
  <c r="U22" i="3"/>
  <c r="BB26" i="48"/>
  <c r="BB27" i="48" s="1"/>
  <c r="AY63" i="48"/>
  <c r="BB49" i="48"/>
  <c r="AJ51" i="48"/>
  <c r="AJ35" i="48"/>
  <c r="AJ36" i="48" s="1"/>
  <c r="AJ64" i="48" s="1"/>
  <c r="BC51" i="48"/>
  <c r="BC27" i="48"/>
  <c r="AV33" i="48"/>
  <c r="AV65" i="48" s="1"/>
  <c r="AV53" i="48"/>
  <c r="BA63" i="48"/>
  <c r="AV63" i="48"/>
  <c r="AM26" i="48"/>
  <c r="AM49" i="48"/>
  <c r="BH50" i="48"/>
  <c r="BG22" i="48"/>
  <c r="BG43" i="48"/>
  <c r="AY26" i="48"/>
  <c r="AY49" i="48"/>
  <c r="AY50" i="48"/>
  <c r="AG27" i="48"/>
  <c r="AG51" i="48"/>
  <c r="AG35" i="48"/>
  <c r="AG36" i="48" s="1"/>
  <c r="AG64" i="48" s="1"/>
  <c r="AX77" i="48"/>
  <c r="AN35" i="48"/>
  <c r="AN36" i="48" s="1"/>
  <c r="AN64" i="48" s="1"/>
  <c r="AC35" i="48"/>
  <c r="AC36" i="48" s="1"/>
  <c r="AC27" i="48"/>
  <c r="AC51" i="48"/>
  <c r="BJ61" i="48"/>
  <c r="BJ48" i="48"/>
  <c r="BJ24" i="48"/>
  <c r="BI26" i="48"/>
  <c r="BI50" i="48"/>
  <c r="BI49" i="48"/>
  <c r="AX36" i="48"/>
  <c r="AX55" i="48"/>
  <c r="AX33" i="48"/>
  <c r="AX65" i="48" s="1"/>
  <c r="AQ51" i="48"/>
  <c r="BS22" i="48"/>
  <c r="BS43" i="48"/>
  <c r="BC55" i="48"/>
  <c r="BC36" i="48"/>
  <c r="BR49" i="48"/>
  <c r="BR50" i="48"/>
  <c r="BR26" i="48"/>
  <c r="AI64" i="48"/>
  <c r="BR53" i="48"/>
  <c r="BR63" i="48"/>
  <c r="X50" i="48"/>
  <c r="X49" i="48"/>
  <c r="X26" i="48"/>
  <c r="BQ53" i="48"/>
  <c r="BQ33" i="48"/>
  <c r="BR65" i="48" s="1"/>
  <c r="BD53" i="48"/>
  <c r="BO48" i="48"/>
  <c r="BO31" i="48"/>
  <c r="BO24" i="48"/>
  <c r="AQ35" i="48"/>
  <c r="AQ36" i="48" s="1"/>
  <c r="BO61" i="48"/>
  <c r="BP43" i="48"/>
  <c r="BP22" i="48"/>
  <c r="AM50" i="48"/>
  <c r="BD4" i="48"/>
  <c r="BO4" i="48" s="1"/>
  <c r="BM48" i="48"/>
  <c r="BM24" i="48"/>
  <c r="BT24" i="48"/>
  <c r="BT48" i="48"/>
  <c r="AL51" i="48"/>
  <c r="AL35" i="48"/>
  <c r="AL36" i="48" s="1"/>
  <c r="AL27" i="48"/>
  <c r="BU33" i="48"/>
  <c r="BU53" i="48"/>
  <c r="BU50" i="48"/>
  <c r="BU49" i="48"/>
  <c r="BU26" i="48"/>
  <c r="AR27" i="48"/>
  <c r="AR35" i="48"/>
  <c r="AR36" i="48" s="1"/>
  <c r="AR51" i="48"/>
  <c r="AT27" i="48"/>
  <c r="AT51" i="48"/>
  <c r="AT35" i="48"/>
  <c r="AT36" i="48" s="1"/>
  <c r="AW51" i="48"/>
  <c r="AW35" i="48"/>
  <c r="AW27" i="48"/>
  <c r="BT31" i="48"/>
  <c r="BU63" i="48" s="1"/>
  <c r="Y52" i="7"/>
  <c r="AP126" i="3"/>
  <c r="AP133" i="3" s="1"/>
  <c r="AR133" i="3" s="1"/>
  <c r="AR119" i="3"/>
  <c r="L51" i="7"/>
  <c r="BF48" i="48"/>
  <c r="BF61" i="48"/>
  <c r="BF24" i="48"/>
  <c r="AX64" i="48"/>
  <c r="BQ35" i="48"/>
  <c r="BQ55" i="48" s="1"/>
  <c r="BQ51" i="48"/>
  <c r="BQ27" i="48"/>
  <c r="BL137" i="46"/>
  <c r="BL147" i="46"/>
  <c r="BK157" i="46"/>
  <c r="BM137" i="46"/>
  <c r="S52" i="7"/>
  <c r="AY26" i="47"/>
  <c r="AJ272" i="46"/>
  <c r="AK272" i="46"/>
  <c r="CB99" i="47"/>
  <c r="N28" i="4"/>
  <c r="BN64" i="11"/>
  <c r="BN65" i="11" s="1"/>
  <c r="CB82" i="47"/>
  <c r="CB83" i="47" s="1"/>
  <c r="N32" i="4"/>
  <c r="BN81" i="11"/>
  <c r="N34" i="4"/>
  <c r="AR59" i="11"/>
  <c r="AR50" i="11"/>
  <c r="P34" i="4"/>
  <c r="P32" i="4"/>
  <c r="Q32" i="4"/>
  <c r="BO64" i="11"/>
  <c r="BO81" i="11"/>
  <c r="CC82" i="47"/>
  <c r="Q28" i="4"/>
  <c r="CC99" i="47"/>
  <c r="P28" i="4"/>
  <c r="P23" i="4"/>
  <c r="AV267" i="46"/>
  <c r="AU277" i="46"/>
  <c r="AV277" i="46" s="1"/>
  <c r="K246" i="21"/>
  <c r="BP144" i="46"/>
  <c r="BO154" i="46"/>
  <c r="BO138" i="46"/>
  <c r="AB100" i="44"/>
  <c r="AB57" i="44"/>
  <c r="D57" i="7"/>
  <c r="D51" i="7"/>
  <c r="H18" i="4"/>
  <c r="H19" i="4"/>
  <c r="O43" i="21"/>
  <c r="O109" i="21" s="1"/>
  <c r="O178" i="21" s="1"/>
  <c r="CG47" i="47"/>
  <c r="AK271" i="46"/>
  <c r="AJ271" i="46"/>
  <c r="D46" i="49"/>
  <c r="D41" i="49"/>
  <c r="N44" i="4"/>
  <c r="D73" i="49"/>
  <c r="N196" i="21"/>
  <c r="O196" i="21"/>
  <c r="J41" i="30"/>
  <c r="J43" i="30" s="1"/>
  <c r="J40" i="30"/>
  <c r="K35" i="30"/>
  <c r="AN305" i="46"/>
  <c r="N37" i="30"/>
  <c r="AN139" i="46"/>
  <c r="AU266" i="46"/>
  <c r="AU211" i="46"/>
  <c r="AW206" i="46"/>
  <c r="AV206" i="46"/>
  <c r="BK31" i="47" a="1"/>
  <c r="BO197" i="46"/>
  <c r="BJ279" i="46"/>
  <c r="BL279" i="46"/>
  <c r="AH115" i="3"/>
  <c r="X57" i="44"/>
  <c r="X100" i="44"/>
  <c r="G25" i="4"/>
  <c r="G20" i="4"/>
  <c r="G22" i="4"/>
  <c r="G23" i="4" s="1"/>
  <c r="I35" i="49"/>
  <c r="I44" i="49"/>
  <c r="I23" i="49"/>
  <c r="I12" i="49"/>
  <c r="O6" i="21"/>
  <c r="CG10" i="47"/>
  <c r="I9" i="49"/>
  <c r="I27" i="49"/>
  <c r="AK55" i="9"/>
  <c r="I15" i="49"/>
  <c r="I25" i="49"/>
  <c r="I17" i="49"/>
  <c r="J17" i="49" s="1"/>
  <c r="K17" i="49" s="1"/>
  <c r="L17" i="49" s="1"/>
  <c r="M17" i="49" s="1"/>
  <c r="N17" i="49" s="1"/>
  <c r="O17" i="49" s="1"/>
  <c r="I29" i="49"/>
  <c r="I21" i="49"/>
  <c r="BH206" i="46"/>
  <c r="BG266" i="46"/>
  <c r="BI206" i="46"/>
  <c r="BG211" i="46"/>
  <c r="BM206" i="46"/>
  <c r="E117" i="46"/>
  <c r="D147" i="46"/>
  <c r="C157" i="46"/>
  <c r="D117" i="46"/>
  <c r="BR54" i="48"/>
  <c r="O12" i="21"/>
  <c r="CG21" i="47"/>
  <c r="I38" i="49"/>
  <c r="BI341" i="46"/>
  <c r="BC343" i="46"/>
  <c r="BC345" i="46"/>
  <c r="BD341" i="46"/>
  <c r="BE341" i="46"/>
  <c r="J80" i="21"/>
  <c r="J149" i="21"/>
  <c r="J16" i="21"/>
  <c r="K26" i="30"/>
  <c r="K29" i="30" s="1"/>
  <c r="AR26" i="11"/>
  <c r="AR47" i="11"/>
  <c r="AR48" i="11"/>
  <c r="J8" i="31"/>
  <c r="AA100" i="44"/>
  <c r="BN49" i="48"/>
  <c r="BN50" i="48"/>
  <c r="BN26" i="48"/>
  <c r="AQ65" i="11"/>
  <c r="AW83" i="47"/>
  <c r="BP50" i="11"/>
  <c r="H19" i="30"/>
  <c r="AV158" i="46"/>
  <c r="Z57" i="44"/>
  <c r="N43" i="49"/>
  <c r="O43" i="49" s="1"/>
  <c r="CK24" i="47"/>
  <c r="CK73" i="47" s="1"/>
  <c r="S17" i="21"/>
  <c r="R63" i="21"/>
  <c r="R83" i="21"/>
  <c r="R230" i="21"/>
  <c r="R278" i="21"/>
  <c r="R152" i="21"/>
  <c r="BM35" i="6"/>
  <c r="BL41" i="6"/>
  <c r="AI57" i="7"/>
  <c r="S39" i="30"/>
  <c r="AV65" i="11"/>
  <c r="B15" i="31"/>
  <c r="B17" i="31" s="1"/>
  <c r="B29" i="31" s="1"/>
  <c r="B15" i="32"/>
  <c r="B17" i="32" s="1"/>
  <c r="B29" i="32" s="1"/>
  <c r="BA83" i="47"/>
  <c r="AB41" i="6"/>
  <c r="Y35" i="6"/>
  <c r="AC35" i="6"/>
  <c r="X41" i="6"/>
  <c r="K134" i="21"/>
  <c r="T8" i="5"/>
  <c r="T9" i="4"/>
  <c r="BH163" i="46"/>
  <c r="BG168" i="46"/>
  <c r="BL163" i="46"/>
  <c r="O74" i="21"/>
  <c r="O143" i="21"/>
  <c r="W58" i="7"/>
  <c r="CG71" i="47"/>
  <c r="I39" i="53" s="1"/>
  <c r="CF71" i="47"/>
  <c r="CF56" i="47"/>
  <c r="AU168" i="46"/>
  <c r="AR206" i="46"/>
  <c r="AQ266" i="46"/>
  <c r="AS206" i="46"/>
  <c r="BO34" i="11"/>
  <c r="N58" i="5"/>
  <c r="L44" i="4"/>
  <c r="L45" i="4" s="1"/>
  <c r="BD305" i="46"/>
  <c r="O167" i="21"/>
  <c r="O98" i="21"/>
  <c r="Q18" i="4"/>
  <c r="Q19" i="4" s="1"/>
  <c r="BE49" i="48"/>
  <c r="BE26" i="48"/>
  <c r="BE50" i="48"/>
  <c r="AN345" i="46"/>
  <c r="BP300" i="46"/>
  <c r="BO340" i="46"/>
  <c r="BQ300" i="46"/>
  <c r="BO304" i="46"/>
  <c r="AY54" i="48"/>
  <c r="AY65" i="48"/>
  <c r="BP321" i="46"/>
  <c r="BN12" i="6"/>
  <c r="BN18" i="6" s="1"/>
  <c r="BN24" i="6" s="1"/>
  <c r="BN30" i="6" s="1"/>
  <c r="BN36" i="6" s="1"/>
  <c r="BP248" i="46"/>
  <c r="BP238" i="46"/>
  <c r="BP258" i="46"/>
  <c r="BP228" i="46"/>
  <c r="BP331" i="46"/>
  <c r="BO17" i="46"/>
  <c r="BP218" i="46"/>
  <c r="BP311" i="46"/>
  <c r="D118" i="8"/>
  <c r="CJ73" i="47"/>
  <c r="W23" i="44"/>
  <c r="B106" i="44"/>
  <c r="D138" i="44"/>
  <c r="AV55" i="48" l="1"/>
  <c r="BC64" i="48"/>
  <c r="AB6" i="55"/>
  <c r="G30" i="49"/>
  <c r="E39" i="5"/>
  <c r="E42" i="5"/>
  <c r="C43" i="3"/>
  <c r="G43" i="3" s="1"/>
  <c r="O43" i="3" s="1"/>
  <c r="AF126" i="46"/>
  <c r="AG26" i="47"/>
  <c r="AG59" i="47"/>
  <c r="AG46" i="47"/>
  <c r="AL72" i="47"/>
  <c r="AK303" i="46"/>
  <c r="AJ303" i="46"/>
  <c r="BN56" i="11"/>
  <c r="BN46" i="11"/>
  <c r="BN22" i="11"/>
  <c r="BO56" i="11"/>
  <c r="CE19" i="47"/>
  <c r="CE23" i="47" s="1"/>
  <c r="M14" i="21"/>
  <c r="M149" i="21" s="1"/>
  <c r="G40" i="49"/>
  <c r="G31" i="49"/>
  <c r="AX26" i="47"/>
  <c r="AX59" i="47"/>
  <c r="AX46" i="47"/>
  <c r="BC72" i="47"/>
  <c r="BH164" i="46"/>
  <c r="BC168" i="46"/>
  <c r="AQ210" i="46"/>
  <c r="AR157" i="46"/>
  <c r="AS157" i="46"/>
  <c r="N337" i="44"/>
  <c r="BJ124" i="1"/>
  <c r="BI134" i="1"/>
  <c r="BI124" i="1"/>
  <c r="BG144" i="1"/>
  <c r="H281" i="21"/>
  <c r="H233" i="21"/>
  <c r="H86" i="21"/>
  <c r="H155" i="21"/>
  <c r="CE57" i="47"/>
  <c r="AI3" i="55"/>
  <c r="CE58" i="47"/>
  <c r="CE69" i="47"/>
  <c r="CE56" i="47"/>
  <c r="CE12" i="47"/>
  <c r="CE55" i="47" s="1"/>
  <c r="AH50" i="11"/>
  <c r="AH59" i="11"/>
  <c r="AW210" i="46"/>
  <c r="AV210" i="46"/>
  <c r="AU270" i="46"/>
  <c r="AV155" i="46"/>
  <c r="BA155" i="46"/>
  <c r="AU165" i="46"/>
  <c r="AU208" i="46"/>
  <c r="AW155" i="46"/>
  <c r="P98" i="1"/>
  <c r="Q98" i="1"/>
  <c r="U98" i="1"/>
  <c r="AJ118" i="46"/>
  <c r="AK118" i="46"/>
  <c r="AJ148" i="46"/>
  <c r="AZ144" i="46"/>
  <c r="BA134" i="46"/>
  <c r="AZ134" i="46"/>
  <c r="AY154" i="46"/>
  <c r="BE134" i="46"/>
  <c r="AU157" i="1"/>
  <c r="AW147" i="1"/>
  <c r="AV147" i="1"/>
  <c r="AU177" i="1"/>
  <c r="AS105" i="1"/>
  <c r="AR105" i="1"/>
  <c r="AN145" i="1"/>
  <c r="AM175" i="1"/>
  <c r="AS19" i="11"/>
  <c r="BA95" i="1"/>
  <c r="AZ95" i="1"/>
  <c r="AY125" i="1"/>
  <c r="AY99" i="1"/>
  <c r="AY105" i="1"/>
  <c r="Q133" i="46"/>
  <c r="M133" i="46"/>
  <c r="L133" i="46"/>
  <c r="AN137" i="1"/>
  <c r="AN127" i="1"/>
  <c r="AM147" i="1"/>
  <c r="AO127" i="1"/>
  <c r="BH305" i="46"/>
  <c r="BI305" i="46"/>
  <c r="AN136" i="1"/>
  <c r="AM146" i="1"/>
  <c r="AN126" i="1"/>
  <c r="BL304" i="46"/>
  <c r="BM304" i="46"/>
  <c r="AC109" i="1"/>
  <c r="AG109" i="1"/>
  <c r="AB109" i="1"/>
  <c r="E11" i="32"/>
  <c r="E14" i="32" s="1"/>
  <c r="F8" i="32"/>
  <c r="L243" i="21"/>
  <c r="L244" i="21" s="1"/>
  <c r="N45" i="4"/>
  <c r="L260" i="21"/>
  <c r="BB51" i="48"/>
  <c r="P150" i="21"/>
  <c r="P81" i="21"/>
  <c r="E133" i="21"/>
  <c r="E134" i="21" s="1"/>
  <c r="L301" i="21"/>
  <c r="AR58" i="47"/>
  <c r="BE325" i="46"/>
  <c r="L298" i="21"/>
  <c r="BL266" i="46"/>
  <c r="BK276" i="46"/>
  <c r="BJ276" i="46" s="1"/>
  <c r="BT34" i="11"/>
  <c r="BT35" i="11" s="1"/>
  <c r="V58" i="5"/>
  <c r="BU34" i="11" s="1"/>
  <c r="BU35" i="11" s="1"/>
  <c r="X148" i="1"/>
  <c r="AY47" i="47"/>
  <c r="AV47" i="47"/>
  <c r="AW47" i="47"/>
  <c r="AX47" i="47"/>
  <c r="BB46" i="11"/>
  <c r="BB38" i="11"/>
  <c r="BB56" i="11"/>
  <c r="BB22" i="11"/>
  <c r="AP114" i="3"/>
  <c r="AR107" i="3"/>
  <c r="AP108" i="3"/>
  <c r="AL99" i="3"/>
  <c r="AL92" i="3"/>
  <c r="AL85" i="3"/>
  <c r="Y46" i="11"/>
  <c r="Y38" i="11"/>
  <c r="Y50" i="11" s="1"/>
  <c r="Y22" i="11"/>
  <c r="AO118" i="46"/>
  <c r="C166" i="46"/>
  <c r="H166" i="46" s="1"/>
  <c r="D156" i="46"/>
  <c r="E156" i="46"/>
  <c r="AH26" i="11"/>
  <c r="AH48" i="11"/>
  <c r="AH47" i="11"/>
  <c r="CC71" i="47"/>
  <c r="CB71" i="47"/>
  <c r="CB56" i="47"/>
  <c r="D143" i="1"/>
  <c r="C149" i="1"/>
  <c r="I143" i="1"/>
  <c r="C148" i="1"/>
  <c r="C173" i="1"/>
  <c r="C153" i="1"/>
  <c r="AQ58" i="11"/>
  <c r="AQ126" i="1"/>
  <c r="AS96" i="1"/>
  <c r="AQ106" i="1"/>
  <c r="AJ19" i="11"/>
  <c r="AR96" i="1"/>
  <c r="AW157" i="46"/>
  <c r="C155" i="1"/>
  <c r="C175" i="1"/>
  <c r="I145" i="1"/>
  <c r="D145" i="1"/>
  <c r="X23" i="47"/>
  <c r="AJ259" i="46"/>
  <c r="W38" i="47" a="1"/>
  <c r="AI260" i="46"/>
  <c r="AK259" i="46"/>
  <c r="AO259" i="46"/>
  <c r="AV139" i="1"/>
  <c r="AV129" i="1"/>
  <c r="AO137" i="46"/>
  <c r="AK137" i="46"/>
  <c r="AI157" i="46"/>
  <c r="AJ137" i="46"/>
  <c r="J146" i="21"/>
  <c r="J77" i="21"/>
  <c r="J52" i="21"/>
  <c r="J274" i="21"/>
  <c r="J225" i="21"/>
  <c r="K61" i="21"/>
  <c r="J61" i="21"/>
  <c r="J320" i="21" s="1"/>
  <c r="J321" i="21" s="1"/>
  <c r="AB129" i="1"/>
  <c r="AB139" i="1"/>
  <c r="X50" i="11"/>
  <c r="AC59" i="11"/>
  <c r="U123" i="1"/>
  <c r="O143" i="1"/>
  <c r="P123" i="1"/>
  <c r="O129" i="1"/>
  <c r="Q123" i="1"/>
  <c r="P133" i="1"/>
  <c r="O128" i="1"/>
  <c r="W145" i="1"/>
  <c r="Y125" i="1"/>
  <c r="X135" i="1"/>
  <c r="X125" i="1"/>
  <c r="W129" i="1"/>
  <c r="AZ143" i="46"/>
  <c r="BE133" i="46"/>
  <c r="AY138" i="46"/>
  <c r="AY153" i="46"/>
  <c r="AY139" i="46"/>
  <c r="BA133" i="46"/>
  <c r="AZ133" i="46"/>
  <c r="AU159" i="46"/>
  <c r="BA269" i="46"/>
  <c r="AZ269" i="46"/>
  <c r="AY279" i="46"/>
  <c r="AZ279" i="46" s="1"/>
  <c r="I344" i="44"/>
  <c r="I38" i="44"/>
  <c r="I39" i="44" s="1"/>
  <c r="J333" i="44"/>
  <c r="I335" i="44"/>
  <c r="I40" i="44"/>
  <c r="I334" i="44"/>
  <c r="L12" i="21"/>
  <c r="CD21" i="47"/>
  <c r="CD57" i="47" s="1"/>
  <c r="F38" i="49"/>
  <c r="BQ18" i="11"/>
  <c r="BQ45" i="11" s="1"/>
  <c r="R30" i="5"/>
  <c r="AV107" i="1"/>
  <c r="AW107" i="1"/>
  <c r="AS144" i="1"/>
  <c r="AW144" i="1"/>
  <c r="AR144" i="1"/>
  <c r="AQ174" i="1"/>
  <c r="BE324" i="46"/>
  <c r="G16" i="39"/>
  <c r="H16" i="39"/>
  <c r="I16" i="39"/>
  <c r="C8" i="39"/>
  <c r="E37" i="39"/>
  <c r="C30" i="39"/>
  <c r="G30" i="39" s="1"/>
  <c r="CD49" i="47"/>
  <c r="CD58" i="47"/>
  <c r="AJ206" i="46"/>
  <c r="AO206" i="46" s="1"/>
  <c r="AK206" i="46"/>
  <c r="BL154" i="46"/>
  <c r="BK164" i="46"/>
  <c r="BM154" i="46"/>
  <c r="BK159" i="46"/>
  <c r="BK207" i="46"/>
  <c r="BK158" i="46"/>
  <c r="AU179" i="1"/>
  <c r="AU183" i="1"/>
  <c r="AV173" i="1"/>
  <c r="AU178" i="1"/>
  <c r="BD104" i="1"/>
  <c r="BE104" i="1"/>
  <c r="AG50" i="10"/>
  <c r="AG80" i="10" s="1"/>
  <c r="AG68" i="10"/>
  <c r="AG71" i="10" s="1"/>
  <c r="S133" i="46"/>
  <c r="T119" i="46"/>
  <c r="U119" i="46"/>
  <c r="P44" i="5"/>
  <c r="P42" i="5"/>
  <c r="P39" i="5"/>
  <c r="G10" i="39"/>
  <c r="AR133" i="1"/>
  <c r="AR123" i="1"/>
  <c r="AQ143" i="1"/>
  <c r="AQ129" i="1"/>
  <c r="AQ128" i="1"/>
  <c r="AS123" i="1"/>
  <c r="AW123" i="1"/>
  <c r="AD47" i="11"/>
  <c r="AD48" i="11"/>
  <c r="AD26" i="11"/>
  <c r="AE38" i="11"/>
  <c r="AE46" i="11"/>
  <c r="AE22" i="11"/>
  <c r="AN98" i="1"/>
  <c r="AN270" i="46"/>
  <c r="O60" i="21"/>
  <c r="BS54" i="11"/>
  <c r="I10" i="49"/>
  <c r="CG70" i="47"/>
  <c r="I32" i="53" s="1"/>
  <c r="BM305" i="46"/>
  <c r="BL305" i="46"/>
  <c r="AR127" i="1"/>
  <c r="AS127" i="1"/>
  <c r="AQ147" i="1"/>
  <c r="AR137" i="1"/>
  <c r="J281" i="21"/>
  <c r="J86" i="21"/>
  <c r="J155" i="21"/>
  <c r="J233" i="21"/>
  <c r="AG125" i="1"/>
  <c r="AB125" i="1"/>
  <c r="AC125" i="1"/>
  <c r="AA145" i="1"/>
  <c r="AB135" i="1"/>
  <c r="AF128" i="1"/>
  <c r="AF138" i="1"/>
  <c r="AG128" i="1"/>
  <c r="AF143" i="1"/>
  <c r="AE148" i="1"/>
  <c r="AE149" i="1"/>
  <c r="AG143" i="1"/>
  <c r="AE173" i="1"/>
  <c r="CC73" i="47"/>
  <c r="CD73" i="47"/>
  <c r="AN154" i="46"/>
  <c r="AM158" i="46"/>
  <c r="AN158" i="46" s="1"/>
  <c r="AM159" i="46"/>
  <c r="AN159" i="46" s="1"/>
  <c r="AM207" i="46"/>
  <c r="L76" i="21"/>
  <c r="L118" i="21" s="1"/>
  <c r="D63" i="49"/>
  <c r="J32" i="21" s="1"/>
  <c r="AS230" i="46"/>
  <c r="AW230" i="46"/>
  <c r="AR230" i="46"/>
  <c r="AQ323" i="46"/>
  <c r="P145" i="1"/>
  <c r="O155" i="1"/>
  <c r="T155" i="1" s="1"/>
  <c r="O175" i="1"/>
  <c r="Q145" i="1"/>
  <c r="X23" i="5"/>
  <c r="Q24" i="5"/>
  <c r="BD303" i="46"/>
  <c r="BD304" i="46"/>
  <c r="BE304" i="46"/>
  <c r="E3" i="55"/>
  <c r="AJ69" i="47"/>
  <c r="AV106" i="1"/>
  <c r="BQ138" i="46"/>
  <c r="BP138" i="46"/>
  <c r="F41" i="30"/>
  <c r="F43" i="30" s="1"/>
  <c r="G35" i="30"/>
  <c r="G37" i="30" s="1"/>
  <c r="F40" i="30"/>
  <c r="F65" i="30"/>
  <c r="G74" i="49"/>
  <c r="BD323" i="46"/>
  <c r="BC146" i="1"/>
  <c r="BE126" i="1"/>
  <c r="BD126" i="1"/>
  <c r="BD136" i="1"/>
  <c r="BI158" i="46"/>
  <c r="O100" i="21"/>
  <c r="O169" i="21"/>
  <c r="P99" i="1"/>
  <c r="Q99" i="1"/>
  <c r="AR149" i="46"/>
  <c r="AR119" i="46"/>
  <c r="AS119" i="46"/>
  <c r="AI61" i="9"/>
  <c r="AI60" i="9"/>
  <c r="AI62" i="9"/>
  <c r="M37" i="4"/>
  <c r="M22" i="4"/>
  <c r="M9" i="4"/>
  <c r="M12" i="4"/>
  <c r="N155" i="21"/>
  <c r="N86" i="21"/>
  <c r="BJ93" i="1"/>
  <c r="BA19" i="11"/>
  <c r="BI93" i="1"/>
  <c r="BG98" i="1"/>
  <c r="BG123" i="1"/>
  <c r="BG103" i="1"/>
  <c r="L44" i="5"/>
  <c r="L39" i="5"/>
  <c r="L42" i="5"/>
  <c r="AS107" i="1"/>
  <c r="AR107" i="1"/>
  <c r="CF36" i="47"/>
  <c r="N32" i="21"/>
  <c r="AK109" i="1"/>
  <c r="AJ109" i="1"/>
  <c r="BP17" i="46"/>
  <c r="BP129" i="46"/>
  <c r="BP47" i="46"/>
  <c r="BP109" i="46"/>
  <c r="BP78" i="46"/>
  <c r="BP89" i="46"/>
  <c r="BP57" i="46"/>
  <c r="BP67" i="46"/>
  <c r="AN27" i="48"/>
  <c r="AF33" i="8"/>
  <c r="BC46" i="47"/>
  <c r="BC48" i="47" s="1"/>
  <c r="BI325" i="46"/>
  <c r="I107" i="1"/>
  <c r="U37" i="6"/>
  <c r="BA36" i="48"/>
  <c r="BA55" i="48"/>
  <c r="T175" i="1"/>
  <c r="U175" i="1"/>
  <c r="S185" i="1"/>
  <c r="X173" i="1"/>
  <c r="W178" i="1"/>
  <c r="Y173" i="1"/>
  <c r="AC173" i="1"/>
  <c r="X133" i="46"/>
  <c r="S174" i="1"/>
  <c r="U144" i="1"/>
  <c r="Y144" i="1"/>
  <c r="S154" i="1"/>
  <c r="T154" i="1" s="1"/>
  <c r="S149" i="1"/>
  <c r="T144" i="1"/>
  <c r="S148" i="1"/>
  <c r="AO333" i="46"/>
  <c r="AN333" i="46"/>
  <c r="AS333" i="46"/>
  <c r="AO138" i="46"/>
  <c r="AN138" i="46"/>
  <c r="AN148" i="46"/>
  <c r="AR101" i="3"/>
  <c r="Q10" i="4" s="1"/>
  <c r="Q11" i="4" s="1"/>
  <c r="AQ101" i="3"/>
  <c r="AN49" i="11"/>
  <c r="AN32" i="11"/>
  <c r="AN33" i="11" s="1"/>
  <c r="AN28" i="11"/>
  <c r="BI155" i="46"/>
  <c r="BG165" i="46"/>
  <c r="BG208" i="46"/>
  <c r="BH155" i="46"/>
  <c r="BG159" i="46"/>
  <c r="Y21" i="47"/>
  <c r="Y57" i="47" s="1"/>
  <c r="X21" i="47"/>
  <c r="X57" i="47" s="1"/>
  <c r="Z21" i="47"/>
  <c r="Z57" i="47" s="1"/>
  <c r="W21" i="47"/>
  <c r="AZ138" i="1"/>
  <c r="AZ128" i="1"/>
  <c r="BA128" i="1"/>
  <c r="P109" i="1"/>
  <c r="Q109" i="1"/>
  <c r="BQ17" i="46"/>
  <c r="BH147" i="46"/>
  <c r="BH137" i="46"/>
  <c r="BI137" i="46"/>
  <c r="BG157" i="46"/>
  <c r="AQ49" i="47"/>
  <c r="AQ58" i="47"/>
  <c r="AG61" i="9"/>
  <c r="AG62" i="9"/>
  <c r="AG60" i="9"/>
  <c r="D129" i="1"/>
  <c r="I129" i="1"/>
  <c r="D139" i="1"/>
  <c r="AY46" i="11"/>
  <c r="AY22" i="11"/>
  <c r="AY38" i="11"/>
  <c r="AY56" i="11"/>
  <c r="BH303" i="46"/>
  <c r="BI303" i="46"/>
  <c r="AK230" i="46"/>
  <c r="B63" i="49"/>
  <c r="H32" i="21" s="1"/>
  <c r="AI270" i="46"/>
  <c r="AO270" i="46" s="1"/>
  <c r="AJ230" i="46"/>
  <c r="AO230" i="46" s="1"/>
  <c r="AI323" i="46"/>
  <c r="AK269" i="46"/>
  <c r="AJ269" i="46"/>
  <c r="BL138" i="46"/>
  <c r="BM138" i="46"/>
  <c r="BL148" i="46"/>
  <c r="AU149" i="1"/>
  <c r="AU155" i="1"/>
  <c r="AZ155" i="1" s="1"/>
  <c r="AU175" i="1"/>
  <c r="AV145" i="1"/>
  <c r="AA149" i="1"/>
  <c r="AA174" i="1"/>
  <c r="AB144" i="1"/>
  <c r="AC144" i="1"/>
  <c r="AA148" i="1"/>
  <c r="BL46" i="11"/>
  <c r="BL22" i="11"/>
  <c r="AI96" i="1"/>
  <c r="AJ65" i="1"/>
  <c r="AO65" i="1"/>
  <c r="AZ299" i="46"/>
  <c r="BE299" i="46"/>
  <c r="AY305" i="46"/>
  <c r="AY303" i="46"/>
  <c r="AY339" i="46"/>
  <c r="BE339" i="46" s="1"/>
  <c r="BA299" i="46"/>
  <c r="AY304" i="46"/>
  <c r="BF66" i="11"/>
  <c r="BU84" i="47"/>
  <c r="BA300" i="46"/>
  <c r="AZ300" i="46"/>
  <c r="AY340" i="46"/>
  <c r="AJ3" i="55"/>
  <c r="CF69" i="47"/>
  <c r="CF57" i="47"/>
  <c r="CF12" i="47"/>
  <c r="CF55" i="47" s="1"/>
  <c r="AM59" i="11"/>
  <c r="AR302" i="46"/>
  <c r="AW302" i="46"/>
  <c r="AV109" i="1"/>
  <c r="AW109" i="1"/>
  <c r="G11" i="39"/>
  <c r="L276" i="21"/>
  <c r="L79" i="21"/>
  <c r="L148" i="21"/>
  <c r="L53" i="21"/>
  <c r="AW46" i="11"/>
  <c r="AW71" i="11" s="1"/>
  <c r="AW38" i="11"/>
  <c r="AW22" i="11"/>
  <c r="AW56" i="11"/>
  <c r="C74" i="49"/>
  <c r="AN323" i="46"/>
  <c r="AO323" i="46"/>
  <c r="BE66" i="1"/>
  <c r="BD66" i="1"/>
  <c r="R23" i="5"/>
  <c r="R24" i="5" s="1"/>
  <c r="BC97" i="1"/>
  <c r="AO107" i="1"/>
  <c r="AN107" i="1"/>
  <c r="P32" i="21"/>
  <c r="CH36" i="47"/>
  <c r="AB32" i="8"/>
  <c r="AD32" i="8" s="1"/>
  <c r="AA35" i="3"/>
  <c r="AJ35" i="3" s="1"/>
  <c r="Y33" i="3"/>
  <c r="AS98" i="1"/>
  <c r="AR98" i="1"/>
  <c r="AD50" i="11"/>
  <c r="AD59" i="11"/>
  <c r="AN123" i="1"/>
  <c r="AM143" i="1"/>
  <c r="AN133" i="1"/>
  <c r="AM128" i="1"/>
  <c r="AM129" i="1"/>
  <c r="BD342" i="46"/>
  <c r="BI342" i="46"/>
  <c r="AM71" i="47"/>
  <c r="AH71" i="47"/>
  <c r="BI323" i="46"/>
  <c r="BH323" i="46"/>
  <c r="BM323" i="46"/>
  <c r="H74" i="49"/>
  <c r="AC21" i="47"/>
  <c r="AC57" i="47" s="1"/>
  <c r="AE21" i="47"/>
  <c r="AB21" i="47"/>
  <c r="AB57" i="47" s="1"/>
  <c r="AD21" i="47"/>
  <c r="AO174" i="1"/>
  <c r="AN174" i="1"/>
  <c r="H179" i="1"/>
  <c r="L173" i="1"/>
  <c r="K183" i="1"/>
  <c r="K179" i="1"/>
  <c r="M173" i="1"/>
  <c r="K178" i="1"/>
  <c r="AB108" i="1"/>
  <c r="AG108" i="1"/>
  <c r="AC108" i="1"/>
  <c r="K83" i="21"/>
  <c r="K278" i="21"/>
  <c r="K152" i="21"/>
  <c r="L63" i="21"/>
  <c r="L320" i="21" s="1"/>
  <c r="K230" i="21"/>
  <c r="K231" i="21" s="1"/>
  <c r="K63" i="21"/>
  <c r="K320" i="21" s="1"/>
  <c r="AJ36" i="47"/>
  <c r="AI36" i="47"/>
  <c r="AG36" i="47"/>
  <c r="AH36" i="47"/>
  <c r="AJ108" i="1"/>
  <c r="AK108" i="1"/>
  <c r="AK339" i="46"/>
  <c r="AJ339" i="46"/>
  <c r="C3" i="55"/>
  <c r="AC69" i="47"/>
  <c r="AC58" i="47"/>
  <c r="AC56" i="47"/>
  <c r="AO22" i="11"/>
  <c r="AO46" i="11"/>
  <c r="AO56" i="11"/>
  <c r="AO38" i="11"/>
  <c r="AW126" i="1"/>
  <c r="AU146" i="1"/>
  <c r="AV126" i="1"/>
  <c r="AV136" i="1"/>
  <c r="BS36" i="11"/>
  <c r="D58" i="44"/>
  <c r="T138" i="1"/>
  <c r="U128" i="1"/>
  <c r="T128" i="1"/>
  <c r="BO26" i="11"/>
  <c r="BO47" i="11"/>
  <c r="BO48" i="11"/>
  <c r="X48" i="11"/>
  <c r="X26" i="11"/>
  <c r="X47" i="11"/>
  <c r="BC105" i="1"/>
  <c r="BD95" i="1"/>
  <c r="BC125" i="1"/>
  <c r="BE95" i="1"/>
  <c r="AX19" i="11"/>
  <c r="M14" i="30"/>
  <c r="H65" i="30"/>
  <c r="H74" i="30" s="1"/>
  <c r="I14" i="30"/>
  <c r="I16" i="30" s="1"/>
  <c r="M39" i="5"/>
  <c r="M42" i="5"/>
  <c r="M44" i="5"/>
  <c r="AR144" i="46"/>
  <c r="AQ139" i="46"/>
  <c r="AR134" i="46"/>
  <c r="AQ154" i="46"/>
  <c r="AQ138" i="46"/>
  <c r="AW134" i="46"/>
  <c r="AS134" i="46"/>
  <c r="L181" i="21"/>
  <c r="L112" i="21"/>
  <c r="AI22" i="11"/>
  <c r="AI38" i="11"/>
  <c r="AI46" i="11"/>
  <c r="AI56" i="11"/>
  <c r="AN56" i="11"/>
  <c r="AG174" i="1"/>
  <c r="AF174" i="1"/>
  <c r="U99" i="1"/>
  <c r="BQ41" i="11"/>
  <c r="G10" i="31"/>
  <c r="F11" i="31"/>
  <c r="F14" i="31" s="1"/>
  <c r="F17" i="31" s="1"/>
  <c r="F29" i="31" s="1"/>
  <c r="AB38" i="11"/>
  <c r="AB46" i="11"/>
  <c r="AB22" i="11"/>
  <c r="N195" i="21"/>
  <c r="N257" i="21"/>
  <c r="N315" i="21" s="1"/>
  <c r="N127" i="21"/>
  <c r="N313" i="21" s="1"/>
  <c r="N314" i="21"/>
  <c r="AL71" i="47"/>
  <c r="AG56" i="47"/>
  <c r="G188" i="1"/>
  <c r="G189" i="1"/>
  <c r="L149" i="1"/>
  <c r="M149" i="1"/>
  <c r="BK165" i="46"/>
  <c r="BL165" i="46" s="1"/>
  <c r="BL155" i="46"/>
  <c r="BK208" i="46"/>
  <c r="BM155" i="46"/>
  <c r="AR322" i="46"/>
  <c r="AS322" i="46"/>
  <c r="AG47" i="47" a="1"/>
  <c r="AW322" i="46"/>
  <c r="AQ342" i="46"/>
  <c r="AY107" i="1"/>
  <c r="AY127" i="1"/>
  <c r="BA97" i="1"/>
  <c r="AZ97" i="1"/>
  <c r="AJ304" i="46"/>
  <c r="AK304" i="46"/>
  <c r="AB69" i="47"/>
  <c r="B3" i="55"/>
  <c r="AG69" i="47"/>
  <c r="AI156" i="46"/>
  <c r="AK136" i="46"/>
  <c r="AJ136" i="46"/>
  <c r="BZ59" i="47"/>
  <c r="Q12" i="4"/>
  <c r="Q13" i="4" s="1"/>
  <c r="R9" i="4"/>
  <c r="T43" i="6"/>
  <c r="P43" i="6"/>
  <c r="AB23" i="47"/>
  <c r="AR23" i="47"/>
  <c r="BE323" i="46"/>
  <c r="L150" i="21"/>
  <c r="L81" i="21"/>
  <c r="I31" i="49"/>
  <c r="BO206" i="46"/>
  <c r="BQ153" i="46"/>
  <c r="BO163" i="46"/>
  <c r="BP163" i="46" s="1"/>
  <c r="BP153" i="46"/>
  <c r="AC99" i="1"/>
  <c r="AB99" i="1"/>
  <c r="AG99" i="1"/>
  <c r="BI207" i="46"/>
  <c r="BC267" i="46"/>
  <c r="BD207" i="46"/>
  <c r="BC211" i="46"/>
  <c r="BD211" i="46" s="1"/>
  <c r="BD339" i="46"/>
  <c r="BC344" i="46"/>
  <c r="BI339" i="46"/>
  <c r="O39" i="5"/>
  <c r="O42" i="5"/>
  <c r="O44" i="5"/>
  <c r="M226" i="21"/>
  <c r="BQ16" i="11"/>
  <c r="BQ43" i="11" s="1"/>
  <c r="M275" i="21"/>
  <c r="R21" i="5"/>
  <c r="L184" i="1"/>
  <c r="BH149" i="46"/>
  <c r="BI139" i="46"/>
  <c r="BH139" i="46"/>
  <c r="AG135" i="46"/>
  <c r="AF135" i="46"/>
  <c r="AK135" i="46"/>
  <c r="AY153" i="1"/>
  <c r="BD153" i="1" s="1"/>
  <c r="AY148" i="1"/>
  <c r="AZ143" i="1"/>
  <c r="BA143" i="1"/>
  <c r="AY173" i="1"/>
  <c r="Q108" i="1"/>
  <c r="P108" i="1"/>
  <c r="U108" i="1"/>
  <c r="AJ135" i="1"/>
  <c r="AJ125" i="1"/>
  <c r="AI145" i="1"/>
  <c r="AO145" i="1" s="1"/>
  <c r="AL86" i="3"/>
  <c r="AL93" i="3"/>
  <c r="M32" i="21"/>
  <c r="CE36" i="47"/>
  <c r="M72" i="21"/>
  <c r="M59" i="21"/>
  <c r="M10" i="21"/>
  <c r="M53" i="21"/>
  <c r="M141" i="21"/>
  <c r="M220" i="21"/>
  <c r="M52" i="21"/>
  <c r="BN55" i="11"/>
  <c r="BO55" i="11"/>
  <c r="BN42" i="11"/>
  <c r="AJ322" i="46"/>
  <c r="AK322" i="46"/>
  <c r="W47" i="47" a="1"/>
  <c r="AI342" i="46"/>
  <c r="AO322" i="46"/>
  <c r="W36" i="47"/>
  <c r="Y36" i="47"/>
  <c r="Z36" i="47"/>
  <c r="X36" i="47"/>
  <c r="BE156" i="46"/>
  <c r="BC209" i="46"/>
  <c r="BD156" i="46"/>
  <c r="BC166" i="46"/>
  <c r="BI156" i="46"/>
  <c r="H133" i="46"/>
  <c r="I133" i="46"/>
  <c r="AB138" i="1"/>
  <c r="AC128" i="1"/>
  <c r="AB128" i="1"/>
  <c r="BC123" i="1"/>
  <c r="BC99" i="1"/>
  <c r="AV19" i="11"/>
  <c r="BC98" i="1"/>
  <c r="BC103" i="1"/>
  <c r="BD93" i="1"/>
  <c r="BE93" i="1"/>
  <c r="Y99" i="1"/>
  <c r="X99" i="1"/>
  <c r="AJ93" i="1"/>
  <c r="AK93" i="1"/>
  <c r="W19" i="11"/>
  <c r="AB56" i="11" s="1"/>
  <c r="AI98" i="1"/>
  <c r="AI99" i="1"/>
  <c r="AI123" i="1"/>
  <c r="AZ118" i="46"/>
  <c r="BA118" i="46"/>
  <c r="BE118" i="46"/>
  <c r="BA119" i="46"/>
  <c r="AZ119" i="46"/>
  <c r="AZ149" i="46"/>
  <c r="AZ117" i="46"/>
  <c r="AY137" i="46"/>
  <c r="BA117" i="46"/>
  <c r="AO155" i="46"/>
  <c r="AN155" i="46"/>
  <c r="AM208" i="46"/>
  <c r="AS155" i="46"/>
  <c r="AR118" i="46"/>
  <c r="AS118" i="46"/>
  <c r="AW118" i="46"/>
  <c r="AS300" i="46"/>
  <c r="AQ305" i="46"/>
  <c r="AQ303" i="46"/>
  <c r="AR300" i="46"/>
  <c r="AQ304" i="46"/>
  <c r="AW300" i="46"/>
  <c r="AQ340" i="46"/>
  <c r="N72" i="21"/>
  <c r="N141" i="21"/>
  <c r="N10" i="21"/>
  <c r="N59" i="21"/>
  <c r="AJ300" i="46"/>
  <c r="AK300" i="46"/>
  <c r="AO300" i="46"/>
  <c r="AI340" i="46"/>
  <c r="AI344" i="46" s="1"/>
  <c r="AJ134" i="46"/>
  <c r="AI138" i="46"/>
  <c r="AK134" i="46"/>
  <c r="AI154" i="46"/>
  <c r="AI139" i="46"/>
  <c r="AQ156" i="46"/>
  <c r="AR136" i="46"/>
  <c r="AW136" i="46"/>
  <c r="AR146" i="46"/>
  <c r="AW105" i="1"/>
  <c r="AB58" i="47"/>
  <c r="B14" i="39"/>
  <c r="B29" i="39"/>
  <c r="H8" i="39"/>
  <c r="G8" i="39"/>
  <c r="I8" i="39"/>
  <c r="H30" i="39"/>
  <c r="I30" i="39"/>
  <c r="AB12" i="47"/>
  <c r="AB55" i="47" s="1"/>
  <c r="AR135" i="1"/>
  <c r="AR125" i="1"/>
  <c r="AQ145" i="1"/>
  <c r="AS125" i="1"/>
  <c r="AO125" i="1"/>
  <c r="C58" i="44"/>
  <c r="W18" i="44" s="1"/>
  <c r="I15" i="44" s="1"/>
  <c r="BR36" i="11"/>
  <c r="AJ87" i="3"/>
  <c r="AL94" i="3" s="1"/>
  <c r="AL90" i="3"/>
  <c r="BM139" i="46"/>
  <c r="BL149" i="46"/>
  <c r="BL139" i="46"/>
  <c r="AV148" i="1"/>
  <c r="AU158" i="1"/>
  <c r="AZ158" i="1" s="1"/>
  <c r="BE124" i="1"/>
  <c r="BD124" i="1"/>
  <c r="BC144" i="1"/>
  <c r="BD134" i="1"/>
  <c r="I98" i="21"/>
  <c r="I167" i="21"/>
  <c r="R18" i="5"/>
  <c r="R32" i="5"/>
  <c r="BQ15" i="11"/>
  <c r="R15" i="5"/>
  <c r="T154" i="46"/>
  <c r="U154" i="46"/>
  <c r="S164" i="46"/>
  <c r="X164" i="46" s="1"/>
  <c r="AY278" i="46"/>
  <c r="AZ268" i="46"/>
  <c r="C184" i="1"/>
  <c r="H184" i="1" s="1"/>
  <c r="D174" i="1"/>
  <c r="BC157" i="46"/>
  <c r="BE137" i="46"/>
  <c r="BD147" i="46"/>
  <c r="BD137" i="46"/>
  <c r="M146" i="1"/>
  <c r="K156" i="1"/>
  <c r="L146" i="1"/>
  <c r="K176" i="1"/>
  <c r="Q146" i="1"/>
  <c r="AG71" i="47"/>
  <c r="AR103" i="1"/>
  <c r="AQ109" i="1"/>
  <c r="AS103" i="1"/>
  <c r="AQ108" i="1"/>
  <c r="AW103" i="1"/>
  <c r="AG38" i="11"/>
  <c r="AG22" i="11"/>
  <c r="AG56" i="11"/>
  <c r="AG46" i="11"/>
  <c r="AL56" i="11"/>
  <c r="BM46" i="11"/>
  <c r="BM56" i="11"/>
  <c r="BM22" i="11"/>
  <c r="AD56" i="11"/>
  <c r="S60" i="30"/>
  <c r="T56" i="30"/>
  <c r="T58" i="30" s="1"/>
  <c r="AN99" i="1"/>
  <c r="AO99" i="1"/>
  <c r="AN103" i="1"/>
  <c r="AO103" i="1"/>
  <c r="AM109" i="1"/>
  <c r="AM108" i="1"/>
  <c r="BM303" i="46"/>
  <c r="BL303" i="46"/>
  <c r="BC165" i="46"/>
  <c r="BD165" i="46" s="1"/>
  <c r="BE155" i="46"/>
  <c r="BC208" i="46"/>
  <c r="BD155" i="46"/>
  <c r="AN116" i="46"/>
  <c r="AO116" i="46"/>
  <c r="AM302" i="46"/>
  <c r="AM136" i="46"/>
  <c r="H178" i="1"/>
  <c r="AY126" i="1"/>
  <c r="AY106" i="1"/>
  <c r="BA96" i="1"/>
  <c r="AZ96" i="1"/>
  <c r="AT19" i="11"/>
  <c r="L148" i="1"/>
  <c r="M148" i="1"/>
  <c r="AF129" i="1"/>
  <c r="AG129" i="1"/>
  <c r="AF139" i="1"/>
  <c r="AR259" i="46"/>
  <c r="AG38" i="47" a="1"/>
  <c r="AW259" i="46"/>
  <c r="AS259" i="46"/>
  <c r="AQ260" i="46"/>
  <c r="BE300" i="46"/>
  <c r="AI305" i="46"/>
  <c r="D3" i="55"/>
  <c r="AD12" i="47"/>
  <c r="AD55" i="47" s="1"/>
  <c r="AD58" i="47"/>
  <c r="AD56" i="47"/>
  <c r="AJ302" i="46"/>
  <c r="AK302" i="46"/>
  <c r="N44" i="5"/>
  <c r="N39" i="5"/>
  <c r="N42" i="5"/>
  <c r="E51" i="21"/>
  <c r="E224" i="21"/>
  <c r="E249" i="21" s="1"/>
  <c r="J151" i="21"/>
  <c r="J189" i="21" s="1"/>
  <c r="E256" i="21"/>
  <c r="K274" i="21"/>
  <c r="K316" i="21" s="1"/>
  <c r="K273" i="21"/>
  <c r="L269" i="21"/>
  <c r="J296" i="21"/>
  <c r="J277" i="21"/>
  <c r="CC47" i="47"/>
  <c r="K43" i="21"/>
  <c r="K109" i="21" s="1"/>
  <c r="K178" i="21" s="1"/>
  <c r="J249" i="21"/>
  <c r="J229" i="21"/>
  <c r="P168" i="21"/>
  <c r="P99" i="21"/>
  <c r="P97" i="21"/>
  <c r="P166" i="21"/>
  <c r="B46" i="49"/>
  <c r="B73" i="49"/>
  <c r="H42" i="21" s="1"/>
  <c r="E41" i="49"/>
  <c r="P44" i="4"/>
  <c r="P45" i="4" s="1"/>
  <c r="C40" i="49"/>
  <c r="C41" i="49" s="1"/>
  <c r="AV344" i="46"/>
  <c r="L43" i="21"/>
  <c r="L109" i="21" s="1"/>
  <c r="L178" i="21" s="1"/>
  <c r="CD47" i="47"/>
  <c r="BF48" i="47"/>
  <c r="Y21" i="44"/>
  <c r="Y22" i="44" s="1"/>
  <c r="W15" i="44" s="1"/>
  <c r="R33" i="49"/>
  <c r="CH20" i="47"/>
  <c r="CH49" i="47" s="1"/>
  <c r="P13" i="21"/>
  <c r="J34" i="49"/>
  <c r="J77" i="49"/>
  <c r="P46" i="21" s="1"/>
  <c r="AM11" i="10"/>
  <c r="BM41" i="47"/>
  <c r="BM42" i="47" s="1"/>
  <c r="BM43" i="47" s="1"/>
  <c r="BK41" i="47"/>
  <c r="BK42" i="47" s="1"/>
  <c r="BK43" i="47" s="1"/>
  <c r="BN41" i="47"/>
  <c r="BN42" i="47" s="1"/>
  <c r="BN43" i="47" s="1"/>
  <c r="AV64" i="48"/>
  <c r="BA64" i="48"/>
  <c r="BB65" i="48"/>
  <c r="BH49" i="48"/>
  <c r="I14" i="21"/>
  <c r="I16" i="21" s="1"/>
  <c r="AX54" i="48"/>
  <c r="AS64" i="48"/>
  <c r="BD33" i="48"/>
  <c r="BD54" i="48" s="1"/>
  <c r="AW63" i="11"/>
  <c r="T43" i="49"/>
  <c r="CM24" i="47"/>
  <c r="U17" i="21"/>
  <c r="I97" i="1"/>
  <c r="G127" i="1"/>
  <c r="I25" i="1"/>
  <c r="BH26" i="47"/>
  <c r="BH29" i="47" s="1"/>
  <c r="AQ59" i="47"/>
  <c r="AY46" i="47"/>
  <c r="AQ72" i="47"/>
  <c r="AK45" i="9"/>
  <c r="AK47" i="9" s="1"/>
  <c r="AM42" i="9"/>
  <c r="AO42" i="9" s="1"/>
  <c r="AQ42" i="9" s="1"/>
  <c r="AS42" i="9" s="1"/>
  <c r="AU42" i="9" s="1"/>
  <c r="AW42" i="9" s="1"/>
  <c r="AE41" i="7"/>
  <c r="AE47" i="7" s="1"/>
  <c r="AI47" i="9"/>
  <c r="Z47" i="8"/>
  <c r="R30" i="8"/>
  <c r="J34" i="8"/>
  <c r="R34" i="8" s="1"/>
  <c r="J41" i="8"/>
  <c r="R41" i="8" s="1"/>
  <c r="Z33" i="8"/>
  <c r="S44" i="4"/>
  <c r="S45" i="4" s="1"/>
  <c r="H46" i="49"/>
  <c r="H47" i="49" s="1"/>
  <c r="K149" i="21"/>
  <c r="K151" i="21" s="1"/>
  <c r="K16" i="21"/>
  <c r="BG26" i="47"/>
  <c r="BG72" i="47"/>
  <c r="AM72" i="47"/>
  <c r="AG29" i="47"/>
  <c r="AG30" i="47" s="1"/>
  <c r="BG46" i="47"/>
  <c r="BG48" i="47" s="1"/>
  <c r="AR72" i="47"/>
  <c r="AO26" i="47"/>
  <c r="AO61" i="47" s="1"/>
  <c r="CC26" i="47"/>
  <c r="CC61" i="47" s="1"/>
  <c r="AL46" i="47"/>
  <c r="AL48" i="47" s="1"/>
  <c r="AL50" i="47" s="1"/>
  <c r="BC50" i="47"/>
  <c r="X4" i="55" s="1"/>
  <c r="AY88" i="47"/>
  <c r="BF26" i="47"/>
  <c r="BF61" i="47" s="1"/>
  <c r="AO46" i="47"/>
  <c r="AO48" i="47" s="1"/>
  <c r="AO50" i="47" s="1"/>
  <c r="BC26" i="47"/>
  <c r="BC29" i="47" s="1"/>
  <c r="BC62" i="47" s="1"/>
  <c r="BD23" i="47"/>
  <c r="BD72" i="47" s="1"/>
  <c r="C40" i="39" s="1"/>
  <c r="AI59" i="47"/>
  <c r="AI46" i="47"/>
  <c r="AI26" i="47"/>
  <c r="AI60" i="47" s="1"/>
  <c r="BF72" i="47"/>
  <c r="AM46" i="47"/>
  <c r="AM48" i="47" s="1"/>
  <c r="AM65" i="47" s="1"/>
  <c r="AM26" i="47"/>
  <c r="AM60" i="47" s="1"/>
  <c r="AN72" i="47"/>
  <c r="BH48" i="47"/>
  <c r="BH74" i="47" s="1"/>
  <c r="BF59" i="47"/>
  <c r="AM59" i="47"/>
  <c r="BA72" i="47"/>
  <c r="AT72" i="47"/>
  <c r="AH46" i="47"/>
  <c r="AH26" i="47"/>
  <c r="BH72" i="47"/>
  <c r="BH59" i="47"/>
  <c r="AA6" i="55"/>
  <c r="W6" i="55"/>
  <c r="AL61" i="47"/>
  <c r="AL60" i="47"/>
  <c r="AL29" i="47"/>
  <c r="AT46" i="47"/>
  <c r="AT48" i="47" s="1"/>
  <c r="AT59" i="47"/>
  <c r="AY89" i="47" s="1"/>
  <c r="AT26" i="47"/>
  <c r="AX72" i="47"/>
  <c r="AS26" i="47"/>
  <c r="AS59" i="47"/>
  <c r="AX89" i="47" s="1"/>
  <c r="AS72" i="47"/>
  <c r="AS46" i="47"/>
  <c r="AS48" i="47" s="1"/>
  <c r="R19" i="53"/>
  <c r="O19" i="53"/>
  <c r="BZ26" i="47"/>
  <c r="BZ61" i="47" s="1"/>
  <c r="AY72" i="47"/>
  <c r="I19" i="53"/>
  <c r="CC46" i="47"/>
  <c r="CC48" i="47" s="1"/>
  <c r="CC50" i="47" s="1"/>
  <c r="BB26" i="47"/>
  <c r="BB46" i="47"/>
  <c r="BB48" i="47" s="1"/>
  <c r="BB59" i="47"/>
  <c r="BB72" i="47"/>
  <c r="AB46" i="47"/>
  <c r="AB48" i="47" s="1"/>
  <c r="AB59" i="47"/>
  <c r="AG72" i="47"/>
  <c r="AB26" i="47"/>
  <c r="AC6" i="55"/>
  <c r="AN46" i="47"/>
  <c r="AN48" i="47" s="1"/>
  <c r="AN26" i="47"/>
  <c r="AN59" i="47"/>
  <c r="S6" i="55"/>
  <c r="O6" i="55"/>
  <c r="AX29" i="47"/>
  <c r="AX60" i="47"/>
  <c r="AX61" i="47"/>
  <c r="Q6" i="55"/>
  <c r="U6" i="55"/>
  <c r="AL65" i="47"/>
  <c r="Y6" i="55"/>
  <c r="AH11" i="55"/>
  <c r="AW59" i="47"/>
  <c r="AW26" i="47"/>
  <c r="AW46" i="47"/>
  <c r="AW48" i="47" s="1"/>
  <c r="AV26" i="47"/>
  <c r="AV46" i="47"/>
  <c r="AV48" i="47" s="1"/>
  <c r="BA74" i="47" s="1"/>
  <c r="AV59" i="47"/>
  <c r="AV89" i="47" s="1"/>
  <c r="R23" i="53"/>
  <c r="AJ60" i="47"/>
  <c r="AJ61" i="47"/>
  <c r="AJ29" i="47"/>
  <c r="AC11" i="55"/>
  <c r="AV72" i="47"/>
  <c r="BC65" i="47"/>
  <c r="Z6" i="55"/>
  <c r="AB25" i="55"/>
  <c r="AA11" i="55"/>
  <c r="K19" i="53"/>
  <c r="L19" i="53"/>
  <c r="BD26" i="47"/>
  <c r="W11" i="55"/>
  <c r="V6" i="55"/>
  <c r="AW72" i="47"/>
  <c r="T6" i="55"/>
  <c r="P6" i="55"/>
  <c r="BI26" i="47"/>
  <c r="BI46" i="47"/>
  <c r="BI48" i="47" s="1"/>
  <c r="BI59" i="47"/>
  <c r="N119" i="21"/>
  <c r="L118" i="8"/>
  <c r="R40" i="8"/>
  <c r="AY63" i="11"/>
  <c r="BG81" i="47"/>
  <c r="R26" i="8"/>
  <c r="AH26" i="8"/>
  <c r="AX63" i="11"/>
  <c r="AV63" i="11"/>
  <c r="BA81" i="47"/>
  <c r="BS287" i="46"/>
  <c r="BS195" i="46"/>
  <c r="BS174" i="46"/>
  <c r="BS178" i="46" s="1"/>
  <c r="BS198" i="46" s="1"/>
  <c r="BS291" i="46" s="1"/>
  <c r="T126" i="46"/>
  <c r="D300" i="21"/>
  <c r="D273" i="21"/>
  <c r="BF41" i="11"/>
  <c r="BF19" i="11"/>
  <c r="BG56" i="11" s="1"/>
  <c r="D16" i="21"/>
  <c r="E63" i="21" s="1"/>
  <c r="E320" i="21" s="1"/>
  <c r="E321" i="21" s="1"/>
  <c r="D51" i="21"/>
  <c r="D251" i="21"/>
  <c r="D250" i="21"/>
  <c r="D224" i="21"/>
  <c r="G42" i="5"/>
  <c r="G39" i="5"/>
  <c r="G44" i="5"/>
  <c r="O157" i="46"/>
  <c r="P147" i="46"/>
  <c r="P117" i="46"/>
  <c r="L127" i="46"/>
  <c r="D120" i="21"/>
  <c r="D121" i="21"/>
  <c r="D119" i="21"/>
  <c r="D76" i="21"/>
  <c r="D118" i="21" s="1"/>
  <c r="L20" i="8"/>
  <c r="C31" i="49"/>
  <c r="H80" i="21"/>
  <c r="CB26" i="47"/>
  <c r="CB29" i="47" s="1"/>
  <c r="H16" i="21"/>
  <c r="H82" i="21" s="1"/>
  <c r="H121" i="21" s="1"/>
  <c r="H73" i="49"/>
  <c r="N42" i="21" s="1"/>
  <c r="CB59" i="47"/>
  <c r="E50" i="49"/>
  <c r="E47" i="49"/>
  <c r="E52" i="49"/>
  <c r="CA59" i="47"/>
  <c r="CA46" i="47"/>
  <c r="CA26" i="47"/>
  <c r="N128" i="21"/>
  <c r="L323" i="21"/>
  <c r="L264" i="21"/>
  <c r="L324" i="21" s="1"/>
  <c r="K42" i="21"/>
  <c r="E75" i="49"/>
  <c r="N129" i="21"/>
  <c r="O129" i="21"/>
  <c r="N120" i="21"/>
  <c r="N112" i="21"/>
  <c r="CE59" i="47"/>
  <c r="CE46" i="47"/>
  <c r="CE26" i="47"/>
  <c r="H296" i="21"/>
  <c r="H277" i="21"/>
  <c r="I120" i="21"/>
  <c r="J126" i="21"/>
  <c r="I76" i="21"/>
  <c r="I118" i="21" s="1"/>
  <c r="I126" i="21"/>
  <c r="J311" i="21"/>
  <c r="I273" i="21"/>
  <c r="I311" i="21"/>
  <c r="I300" i="21"/>
  <c r="I263" i="21"/>
  <c r="I264" i="21" s="1"/>
  <c r="I133" i="21"/>
  <c r="CD19" i="47"/>
  <c r="CD23" i="47" s="1"/>
  <c r="F40" i="49"/>
  <c r="L14" i="21"/>
  <c r="F31" i="49"/>
  <c r="M80" i="21"/>
  <c r="CA31" i="47"/>
  <c r="B58" i="49"/>
  <c r="BZ31" i="47" s="1"/>
  <c r="I27" i="21"/>
  <c r="CC60" i="47"/>
  <c r="J133" i="21"/>
  <c r="J263" i="21"/>
  <c r="J264" i="21" s="1"/>
  <c r="J256" i="21"/>
  <c r="I251" i="21"/>
  <c r="I256" i="21"/>
  <c r="I224" i="21"/>
  <c r="I197" i="21"/>
  <c r="H188" i="21"/>
  <c r="N188" i="21"/>
  <c r="N197" i="21"/>
  <c r="O197" i="21"/>
  <c r="N181" i="21"/>
  <c r="R44" i="4"/>
  <c r="R45" i="4" s="1"/>
  <c r="G73" i="49"/>
  <c r="G46" i="49"/>
  <c r="G41" i="49"/>
  <c r="J93" i="21"/>
  <c r="J162" i="21" s="1"/>
  <c r="J288" i="21"/>
  <c r="J240" i="21"/>
  <c r="H249" i="21"/>
  <c r="H229" i="21"/>
  <c r="H51" i="21"/>
  <c r="H145" i="21"/>
  <c r="I145" i="21"/>
  <c r="I51" i="21"/>
  <c r="I194" i="21"/>
  <c r="I187" i="21"/>
  <c r="J194" i="21"/>
  <c r="I188" i="21"/>
  <c r="H120" i="21"/>
  <c r="I129" i="21"/>
  <c r="I195" i="21" s="1"/>
  <c r="N149" i="21"/>
  <c r="N80" i="21"/>
  <c r="X137" i="46"/>
  <c r="X87" i="46"/>
  <c r="X25" i="46"/>
  <c r="Y25" i="46" s="1"/>
  <c r="X55" i="46"/>
  <c r="X15" i="46"/>
  <c r="X35" i="46"/>
  <c r="X107" i="46"/>
  <c r="X97" i="46"/>
  <c r="X76" i="46"/>
  <c r="W14" i="46"/>
  <c r="X65" i="46"/>
  <c r="H117" i="46"/>
  <c r="G157" i="46"/>
  <c r="H147" i="46"/>
  <c r="I117" i="46"/>
  <c r="S62" i="9"/>
  <c r="S60" i="9"/>
  <c r="S61" i="9"/>
  <c r="I33" i="5"/>
  <c r="I44" i="4"/>
  <c r="I45" i="4" s="1"/>
  <c r="I38" i="5"/>
  <c r="T97" i="1"/>
  <c r="S127" i="1"/>
  <c r="U127" i="1" s="1"/>
  <c r="BW56" i="47"/>
  <c r="BW23" i="47"/>
  <c r="BW62" i="47"/>
  <c r="BW69" i="47"/>
  <c r="BW12" i="47"/>
  <c r="BW55" i="47" s="1"/>
  <c r="BW60" i="47"/>
  <c r="BW64" i="47"/>
  <c r="R50" i="3"/>
  <c r="S50" i="3" s="1"/>
  <c r="C50" i="3" s="1"/>
  <c r="G50" i="3" s="1"/>
  <c r="O50" i="3" s="1"/>
  <c r="X57" i="1"/>
  <c r="X15" i="1"/>
  <c r="W14" i="1"/>
  <c r="X35" i="1"/>
  <c r="W107" i="1"/>
  <c r="D48" i="8"/>
  <c r="L48" i="8" s="1"/>
  <c r="X77" i="1"/>
  <c r="X117" i="1"/>
  <c r="W97" i="1"/>
  <c r="X25" i="1"/>
  <c r="Y25" i="1" s="1"/>
  <c r="F10" i="21"/>
  <c r="F52" i="21"/>
  <c r="F220" i="21"/>
  <c r="F53" i="21"/>
  <c r="F72" i="21"/>
  <c r="F269" i="21"/>
  <c r="F59" i="21"/>
  <c r="X127" i="46"/>
  <c r="W126" i="46"/>
  <c r="X126" i="46" s="1"/>
  <c r="T75" i="46"/>
  <c r="T54" i="46"/>
  <c r="T64" i="46"/>
  <c r="S116" i="46"/>
  <c r="T96" i="46"/>
  <c r="T24" i="46"/>
  <c r="U24" i="46" s="1"/>
  <c r="T136" i="46"/>
  <c r="T34" i="46"/>
  <c r="T14" i="46"/>
  <c r="T44" i="46"/>
  <c r="S45" i="46" s="1"/>
  <c r="T106" i="46"/>
  <c r="T86" i="46"/>
  <c r="S96" i="1"/>
  <c r="D40" i="8"/>
  <c r="L40" i="8" s="1"/>
  <c r="R42" i="3"/>
  <c r="S42" i="3" s="1"/>
  <c r="S106" i="1"/>
  <c r="T34" i="1"/>
  <c r="T24" i="1"/>
  <c r="U24" i="1" s="1"/>
  <c r="T14" i="1"/>
  <c r="V13" i="6" s="1"/>
  <c r="V19" i="6" s="1"/>
  <c r="V25" i="6" s="1"/>
  <c r="V31" i="6" s="1"/>
  <c r="V37" i="6" s="1"/>
  <c r="T76" i="1"/>
  <c r="T56" i="1"/>
  <c r="T116" i="1"/>
  <c r="E120" i="21"/>
  <c r="E119" i="21"/>
  <c r="E126" i="21"/>
  <c r="E121" i="21"/>
  <c r="E76" i="21"/>
  <c r="E118" i="21" s="1"/>
  <c r="T107" i="1"/>
  <c r="U107" i="1"/>
  <c r="BH42" i="11"/>
  <c r="BH14" i="11"/>
  <c r="BH53" i="11"/>
  <c r="H137" i="1"/>
  <c r="H127" i="1"/>
  <c r="G147" i="1"/>
  <c r="D44" i="5"/>
  <c r="D39" i="5"/>
  <c r="D42" i="5"/>
  <c r="AK107" i="1"/>
  <c r="AF107" i="1"/>
  <c r="C52" i="21"/>
  <c r="C269" i="21"/>
  <c r="C72" i="21"/>
  <c r="C10" i="21"/>
  <c r="C53" i="21"/>
  <c r="C220" i="21"/>
  <c r="D59" i="21"/>
  <c r="AA44" i="1"/>
  <c r="AC45" i="1"/>
  <c r="AB45" i="1"/>
  <c r="AG45" i="1"/>
  <c r="K39" i="5"/>
  <c r="K44" i="5"/>
  <c r="L25" i="1"/>
  <c r="L57" i="1"/>
  <c r="D27" i="8"/>
  <c r="L15" i="1"/>
  <c r="L117" i="1"/>
  <c r="P15" i="1"/>
  <c r="K97" i="1"/>
  <c r="K107" i="1"/>
  <c r="L35" i="1"/>
  <c r="L77" i="1"/>
  <c r="R29" i="3"/>
  <c r="S29" i="3" s="1"/>
  <c r="BE42" i="11"/>
  <c r="BF53" i="11"/>
  <c r="BE14" i="11"/>
  <c r="L15" i="46"/>
  <c r="L87" i="46"/>
  <c r="L107" i="46"/>
  <c r="L65" i="46"/>
  <c r="K117" i="46"/>
  <c r="L76" i="46"/>
  <c r="P15" i="46"/>
  <c r="L97" i="46"/>
  <c r="L25" i="46"/>
  <c r="L45" i="46"/>
  <c r="L35" i="46"/>
  <c r="L137" i="46"/>
  <c r="L55" i="46"/>
  <c r="E45" i="5"/>
  <c r="G150" i="1"/>
  <c r="E52" i="5"/>
  <c r="E229" i="21"/>
  <c r="AA14" i="1"/>
  <c r="AF14" i="1" s="1"/>
  <c r="AB77" i="1"/>
  <c r="AA97" i="1"/>
  <c r="AG97" i="1" s="1"/>
  <c r="AB25" i="1"/>
  <c r="AC25" i="1" s="1"/>
  <c r="AB57" i="1"/>
  <c r="AB15" i="1"/>
  <c r="AB35" i="1"/>
  <c r="D55" i="8"/>
  <c r="L55" i="8" s="1"/>
  <c r="R57" i="3"/>
  <c r="S57" i="3" s="1"/>
  <c r="AB117" i="1"/>
  <c r="AA107" i="1"/>
  <c r="AG107" i="1" s="1"/>
  <c r="AB87" i="46"/>
  <c r="AB76" i="46"/>
  <c r="AB55" i="46"/>
  <c r="AB15" i="46"/>
  <c r="AB25" i="46"/>
  <c r="AB107" i="46"/>
  <c r="AB97" i="46"/>
  <c r="AB35" i="46"/>
  <c r="AA14" i="46"/>
  <c r="AB65" i="46"/>
  <c r="AB137" i="46"/>
  <c r="G220" i="21"/>
  <c r="G10" i="21"/>
  <c r="G52" i="21"/>
  <c r="G59" i="21"/>
  <c r="G269" i="21"/>
  <c r="G53" i="21"/>
  <c r="G72" i="21"/>
  <c r="H59" i="21"/>
  <c r="BX23" i="47"/>
  <c r="BX62" i="47"/>
  <c r="BX12" i="47"/>
  <c r="BX55" i="47" s="1"/>
  <c r="BX60" i="47"/>
  <c r="BX64" i="47"/>
  <c r="BX56" i="47"/>
  <c r="BX69" i="47"/>
  <c r="BG46" i="11"/>
  <c r="BG22" i="11"/>
  <c r="F38" i="5"/>
  <c r="F44" i="4"/>
  <c r="F45" i="4" s="1"/>
  <c r="F33" i="5"/>
  <c r="U62" i="9"/>
  <c r="U61" i="9"/>
  <c r="U60" i="9"/>
  <c r="B45" i="5"/>
  <c r="B52" i="5"/>
  <c r="BJ22" i="11"/>
  <c r="BJ46" i="11"/>
  <c r="E18" i="21"/>
  <c r="E82" i="21"/>
  <c r="E54" i="21"/>
  <c r="AE96" i="1"/>
  <c r="AF34" i="1"/>
  <c r="AF56" i="1"/>
  <c r="AF24" i="1"/>
  <c r="AF76" i="1"/>
  <c r="R63" i="3"/>
  <c r="S63" i="3" s="1"/>
  <c r="AF116" i="1"/>
  <c r="AE106" i="1"/>
  <c r="AF97" i="1"/>
  <c r="AE127" i="1"/>
  <c r="AK97" i="1"/>
  <c r="BY59" i="47"/>
  <c r="CC72" i="47"/>
  <c r="BT62" i="47"/>
  <c r="BT23" i="47"/>
  <c r="BT59" i="47" s="1"/>
  <c r="BT60" i="47"/>
  <c r="BT12" i="47"/>
  <c r="BT55" i="47" s="1"/>
  <c r="BT56" i="47"/>
  <c r="BU69" i="47"/>
  <c r="BT64" i="47"/>
  <c r="C42" i="5"/>
  <c r="C39" i="5"/>
  <c r="C44" i="5"/>
  <c r="BI42" i="11"/>
  <c r="BI14" i="11"/>
  <c r="BI53" i="11"/>
  <c r="BJ53" i="11"/>
  <c r="AF24" i="46"/>
  <c r="AF136" i="46"/>
  <c r="AF75" i="46"/>
  <c r="AF44" i="46"/>
  <c r="AE45" i="46" s="1"/>
  <c r="AF106" i="46"/>
  <c r="AE116" i="46"/>
  <c r="AF86" i="46"/>
  <c r="AF96" i="46"/>
  <c r="AF64" i="46"/>
  <c r="AF34" i="46"/>
  <c r="AF54" i="46"/>
  <c r="E296" i="21"/>
  <c r="E277" i="21"/>
  <c r="D127" i="1"/>
  <c r="C147" i="1"/>
  <c r="D137" i="1"/>
  <c r="I127" i="1"/>
  <c r="M60" i="9"/>
  <c r="M61" i="9"/>
  <c r="M62" i="9"/>
  <c r="X32" i="5"/>
  <c r="J38" i="5"/>
  <c r="J33" i="5"/>
  <c r="J44" i="4"/>
  <c r="J45" i="4" s="1"/>
  <c r="AA126" i="46"/>
  <c r="AB127" i="46"/>
  <c r="H52" i="5"/>
  <c r="S150" i="1"/>
  <c r="H45" i="5"/>
  <c r="Q9" i="10"/>
  <c r="Q29" i="10" s="1"/>
  <c r="P137" i="1"/>
  <c r="O147" i="1"/>
  <c r="P127" i="1"/>
  <c r="T31" i="21"/>
  <c r="CL35" i="47"/>
  <c r="BM343" i="46"/>
  <c r="BL343" i="46"/>
  <c r="AQ48" i="47"/>
  <c r="BM345" i="46"/>
  <c r="BL345" i="46"/>
  <c r="Q33" i="21"/>
  <c r="L64" i="49"/>
  <c r="CI37" i="47"/>
  <c r="CH38" i="47"/>
  <c r="P34" i="21"/>
  <c r="BL344" i="46"/>
  <c r="BM344" i="46"/>
  <c r="CH47" i="47"/>
  <c r="P43" i="21"/>
  <c r="P109" i="21" s="1"/>
  <c r="P178" i="21" s="1"/>
  <c r="M63" i="49"/>
  <c r="S32" i="21" s="1"/>
  <c r="BC61" i="47"/>
  <c r="BC60" i="47"/>
  <c r="R167" i="21"/>
  <c r="CJ36" i="47"/>
  <c r="BA60" i="47"/>
  <c r="BA61" i="47"/>
  <c r="BA29" i="47"/>
  <c r="BH61" i="47"/>
  <c r="AQ65" i="47"/>
  <c r="AH29" i="47"/>
  <c r="AH60" i="47"/>
  <c r="AH61" i="47"/>
  <c r="BA65" i="47"/>
  <c r="BA50" i="47"/>
  <c r="BC30" i="47"/>
  <c r="BC34" i="47"/>
  <c r="BC39" i="47" s="1"/>
  <c r="AQ29" i="47"/>
  <c r="AQ60" i="47"/>
  <c r="AQ61" i="47"/>
  <c r="AO29" i="47"/>
  <c r="BI35" i="1"/>
  <c r="BJ35" i="1"/>
  <c r="S14" i="5"/>
  <c r="BG66" i="1"/>
  <c r="BJ45" i="1"/>
  <c r="BI45" i="1"/>
  <c r="BJ64" i="1"/>
  <c r="BG95" i="1"/>
  <c r="BI64" i="1"/>
  <c r="BC55" i="11"/>
  <c r="BC42" i="11"/>
  <c r="BJ37" i="1"/>
  <c r="BI37" i="1"/>
  <c r="CG57" i="47"/>
  <c r="BR14" i="11"/>
  <c r="C42" i="44"/>
  <c r="BR43" i="11"/>
  <c r="BR45" i="11"/>
  <c r="BR53" i="11"/>
  <c r="BR44" i="11"/>
  <c r="W36" i="3"/>
  <c r="N25" i="4"/>
  <c r="N13" i="4"/>
  <c r="AJ80" i="3"/>
  <c r="AL87" i="3" s="1"/>
  <c r="AL83" i="3"/>
  <c r="AB25" i="8"/>
  <c r="AD25" i="8" s="1"/>
  <c r="AF32" i="8" s="1"/>
  <c r="Y26" i="3"/>
  <c r="AA28" i="3"/>
  <c r="M57" i="3"/>
  <c r="M64" i="3"/>
  <c r="W29" i="3"/>
  <c r="W55" i="3"/>
  <c r="W62" i="3"/>
  <c r="BB35" i="48"/>
  <c r="BB55" i="48" s="1"/>
  <c r="BC53" i="48"/>
  <c r="AX53" i="48"/>
  <c r="AX63" i="48"/>
  <c r="AW65" i="48"/>
  <c r="AL64" i="48"/>
  <c r="AQ64" i="48"/>
  <c r="BC63" i="48"/>
  <c r="BL48" i="48"/>
  <c r="BL24" i="48"/>
  <c r="AO35" i="48"/>
  <c r="AO36" i="48" s="1"/>
  <c r="AO64" i="48" s="1"/>
  <c r="AO51" i="48"/>
  <c r="AO27" i="48"/>
  <c r="AF19" i="8"/>
  <c r="AF26" i="8"/>
  <c r="AA21" i="3"/>
  <c r="AB18" i="8"/>
  <c r="AD18" i="8" s="1"/>
  <c r="Y19" i="3"/>
  <c r="BG24" i="48"/>
  <c r="BG48" i="48"/>
  <c r="BH61" i="48"/>
  <c r="BC65" i="48"/>
  <c r="BG61" i="48"/>
  <c r="AW36" i="48"/>
  <c r="AW64" i="48" s="1"/>
  <c r="AW55" i="48"/>
  <c r="BU51" i="48"/>
  <c r="BU27" i="48"/>
  <c r="BU35" i="48"/>
  <c r="BO33" i="48"/>
  <c r="BO54" i="48" s="1"/>
  <c r="BO53" i="48"/>
  <c r="BQ54" i="48"/>
  <c r="BB36" i="48"/>
  <c r="BS48" i="48"/>
  <c r="BS61" i="48"/>
  <c r="BS31" i="48"/>
  <c r="BS24" i="48"/>
  <c r="BI27" i="48"/>
  <c r="BI35" i="48"/>
  <c r="BI55" i="48" s="1"/>
  <c r="BI51" i="48"/>
  <c r="BM49" i="48"/>
  <c r="BM50" i="48"/>
  <c r="BM26" i="48"/>
  <c r="AM27" i="48"/>
  <c r="AM51" i="48"/>
  <c r="AM35" i="48"/>
  <c r="AM36" i="48" s="1"/>
  <c r="AM64" i="48" s="1"/>
  <c r="BU54" i="48"/>
  <c r="BT61" i="48"/>
  <c r="BJ26" i="48"/>
  <c r="BJ49" i="48"/>
  <c r="AY51" i="48"/>
  <c r="AY27" i="48"/>
  <c r="AY35" i="48"/>
  <c r="BH35" i="48"/>
  <c r="BH55" i="48" s="1"/>
  <c r="BH27" i="48"/>
  <c r="BH51" i="48"/>
  <c r="BO50" i="48"/>
  <c r="BO26" i="48"/>
  <c r="BO49" i="48"/>
  <c r="BR35" i="48"/>
  <c r="BR27" i="48"/>
  <c r="BR51" i="48"/>
  <c r="AV54" i="48"/>
  <c r="BA65" i="48"/>
  <c r="AH64" i="48"/>
  <c r="BT53" i="48"/>
  <c r="BT33" i="48"/>
  <c r="BT54" i="48" s="1"/>
  <c r="BT26" i="48"/>
  <c r="BT49" i="48"/>
  <c r="BT50" i="48"/>
  <c r="BP24" i="48"/>
  <c r="BP48" i="48"/>
  <c r="BP61" i="48"/>
  <c r="BQ61" i="48"/>
  <c r="BP31" i="48"/>
  <c r="X27" i="48"/>
  <c r="X51" i="48"/>
  <c r="X35" i="48"/>
  <c r="X36" i="48" s="1"/>
  <c r="AC64" i="48" s="1"/>
  <c r="BO37" i="46"/>
  <c r="AG34" i="11"/>
  <c r="N47" i="5"/>
  <c r="BN34" i="11"/>
  <c r="M58" i="5"/>
  <c r="K202" i="21"/>
  <c r="K322" i="21"/>
  <c r="BO115" i="46"/>
  <c r="BE27" i="48"/>
  <c r="BE51" i="48"/>
  <c r="BE35" i="48"/>
  <c r="BE55" i="48" s="1"/>
  <c r="CF59" i="47"/>
  <c r="CF46" i="47"/>
  <c r="CF72" i="47"/>
  <c r="CF26" i="47"/>
  <c r="T39" i="30"/>
  <c r="S63" i="21"/>
  <c r="S83" i="21"/>
  <c r="S278" i="21"/>
  <c r="S152" i="21"/>
  <c r="S230" i="21"/>
  <c r="BN27" i="48"/>
  <c r="BN51" i="48"/>
  <c r="BN35" i="48"/>
  <c r="AR49" i="11"/>
  <c r="AR32" i="11"/>
  <c r="AR33" i="11" s="1"/>
  <c r="AR28" i="11"/>
  <c r="J18" i="21"/>
  <c r="J54" i="21"/>
  <c r="J82" i="21"/>
  <c r="BI345" i="46"/>
  <c r="BD345" i="46"/>
  <c r="AK61" i="9"/>
  <c r="AK60" i="9"/>
  <c r="AK62" i="9"/>
  <c r="CG58" i="47"/>
  <c r="CG69" i="47"/>
  <c r="CG12" i="47"/>
  <c r="CG55" i="47" s="1"/>
  <c r="CG56" i="47"/>
  <c r="I37" i="53" s="1"/>
  <c r="AV266" i="46"/>
  <c r="AU271" i="46"/>
  <c r="AW266" i="46"/>
  <c r="AU276" i="46"/>
  <c r="N41" i="30"/>
  <c r="N43" i="30" s="1"/>
  <c r="O35" i="30"/>
  <c r="CD83" i="47"/>
  <c r="CC83" i="47"/>
  <c r="H50" i="49"/>
  <c r="BP304" i="46"/>
  <c r="BQ304" i="46"/>
  <c r="BP315" i="46"/>
  <c r="BP262" i="46"/>
  <c r="BP335" i="46"/>
  <c r="BP232" i="46"/>
  <c r="BP242" i="46"/>
  <c r="BP222" i="46"/>
  <c r="BP325" i="46"/>
  <c r="BO99" i="46"/>
  <c r="BO344" i="46"/>
  <c r="BQ340" i="46"/>
  <c r="BP340" i="46"/>
  <c r="Q20" i="4"/>
  <c r="Q22" i="4"/>
  <c r="Q23" i="4" s="1"/>
  <c r="BO35" i="11"/>
  <c r="B40" i="31"/>
  <c r="C40" i="31" s="1"/>
  <c r="D40" i="31" s="1"/>
  <c r="E40" i="31" s="1"/>
  <c r="F40" i="31" s="1"/>
  <c r="G40" i="31" s="1"/>
  <c r="H40" i="31" s="1"/>
  <c r="I40" i="31" s="1"/>
  <c r="J40" i="31" s="1"/>
  <c r="K40" i="31" s="1"/>
  <c r="L40" i="31" s="1"/>
  <c r="M40" i="31" s="1"/>
  <c r="N40" i="31" s="1"/>
  <c r="O40" i="31" s="1"/>
  <c r="B40" i="32"/>
  <c r="C40" i="32" s="1"/>
  <c r="D40" i="32" s="1"/>
  <c r="E40" i="32" s="1"/>
  <c r="F40" i="32" s="1"/>
  <c r="G40" i="32" s="1"/>
  <c r="H40" i="32" s="1"/>
  <c r="BO28" i="11"/>
  <c r="AR266" i="46"/>
  <c r="AS266" i="46"/>
  <c r="BD343" i="46"/>
  <c r="BI343" i="46"/>
  <c r="AI29" i="47"/>
  <c r="O78" i="21"/>
  <c r="O147" i="21"/>
  <c r="BH266" i="46"/>
  <c r="BI266" i="46"/>
  <c r="BG276" i="46"/>
  <c r="BG271" i="46"/>
  <c r="BM266" i="46"/>
  <c r="O52" i="21"/>
  <c r="O141" i="21"/>
  <c r="O10" i="21"/>
  <c r="O59" i="21"/>
  <c r="O53" i="21"/>
  <c r="O72" i="21"/>
  <c r="J58" i="49"/>
  <c r="D52" i="49"/>
  <c r="D50" i="49"/>
  <c r="D47" i="49"/>
  <c r="H25" i="4"/>
  <c r="H26" i="4" s="1"/>
  <c r="H20" i="4"/>
  <c r="H22" i="4"/>
  <c r="H23" i="4" s="1"/>
  <c r="L262" i="21"/>
  <c r="P37" i="4"/>
  <c r="P29" i="4"/>
  <c r="P42" i="4" s="1"/>
  <c r="CC84" i="47"/>
  <c r="BO66" i="11"/>
  <c r="BG29" i="47"/>
  <c r="BG61" i="47"/>
  <c r="BG60" i="47"/>
  <c r="BF49" i="48"/>
  <c r="BF26" i="48"/>
  <c r="BF50" i="48"/>
  <c r="F118" i="8"/>
  <c r="BO27" i="46"/>
  <c r="BP27" i="46" s="1"/>
  <c r="BQ27" i="46" s="1"/>
  <c r="BP63" i="11"/>
  <c r="BP82" i="11" s="1"/>
  <c r="CD81" i="47"/>
  <c r="CD100" i="47" s="1"/>
  <c r="Q34" i="4"/>
  <c r="R15" i="4"/>
  <c r="B52" i="49"/>
  <c r="B47" i="49"/>
  <c r="B50" i="49"/>
  <c r="BH168" i="46"/>
  <c r="T30" i="5"/>
  <c r="AE78" i="10"/>
  <c r="BS10" i="11"/>
  <c r="T11" i="5"/>
  <c r="BS12" i="11" s="1"/>
  <c r="T14" i="5"/>
  <c r="T26" i="5"/>
  <c r="BS17" i="11" s="1"/>
  <c r="T16" i="5"/>
  <c r="T9" i="5"/>
  <c r="T20" i="5"/>
  <c r="D157" i="46"/>
  <c r="E157" i="46"/>
  <c r="C167" i="46"/>
  <c r="H167" i="46" s="1"/>
  <c r="I157" i="46"/>
  <c r="BH211" i="46"/>
  <c r="BI211" i="46"/>
  <c r="BL31" i="47"/>
  <c r="BK31" i="47"/>
  <c r="BM31" i="47"/>
  <c r="BN31" i="47"/>
  <c r="Q25" i="4"/>
  <c r="Q26" i="4" s="1"/>
  <c r="J42" i="21"/>
  <c r="I15" i="4"/>
  <c r="BG63" i="11"/>
  <c r="BG82" i="11" s="1"/>
  <c r="BV81" i="47"/>
  <c r="BV100" i="47" s="1"/>
  <c r="H31" i="4"/>
  <c r="BO207" i="46"/>
  <c r="BO158" i="46"/>
  <c r="BQ154" i="46"/>
  <c r="BP154" i="46"/>
  <c r="BO164" i="46"/>
  <c r="BP65" i="11"/>
  <c r="BO65" i="11"/>
  <c r="CB84" i="47"/>
  <c r="BN66" i="11"/>
  <c r="BF74" i="47"/>
  <c r="BF65" i="47"/>
  <c r="BF50" i="47"/>
  <c r="AY61" i="47"/>
  <c r="AY60" i="47"/>
  <c r="AY29" i="47"/>
  <c r="CL24" i="47"/>
  <c r="T17" i="21"/>
  <c r="K8" i="31"/>
  <c r="L24" i="30"/>
  <c r="L26" i="30" s="1"/>
  <c r="AV211" i="46"/>
  <c r="N40" i="30"/>
  <c r="K37" i="30"/>
  <c r="K65" i="30" s="1"/>
  <c r="BP148" i="46"/>
  <c r="Q29" i="4"/>
  <c r="Q42" i="4" s="1"/>
  <c r="Q37" i="4"/>
  <c r="N29" i="4"/>
  <c r="N42" i="4" s="1"/>
  <c r="N37" i="4"/>
  <c r="BG50" i="47"/>
  <c r="BK210" i="46"/>
  <c r="BM157" i="46"/>
  <c r="BK167" i="46"/>
  <c r="BL157" i="46"/>
  <c r="AR126" i="3"/>
  <c r="L138" i="44"/>
  <c r="K138" i="44"/>
  <c r="AK3" i="55" l="1"/>
  <c r="H75" i="49"/>
  <c r="J153" i="21"/>
  <c r="J191" i="21" s="1"/>
  <c r="AO344" i="46"/>
  <c r="AK344" i="46"/>
  <c r="AJ344" i="46"/>
  <c r="K237" i="21"/>
  <c r="K253" i="21"/>
  <c r="K308" i="21" s="1"/>
  <c r="BE106" i="1"/>
  <c r="AZ106" i="1"/>
  <c r="BA106" i="1"/>
  <c r="U56" i="30"/>
  <c r="U58" i="30" s="1"/>
  <c r="U60" i="30" s="1"/>
  <c r="T60" i="30"/>
  <c r="AZ147" i="46"/>
  <c r="AY157" i="46"/>
  <c r="BE157" i="46" s="1"/>
  <c r="BA137" i="46"/>
  <c r="AZ137" i="46"/>
  <c r="AY158" i="1"/>
  <c r="BD158" i="1" s="1"/>
  <c r="BA148" i="1"/>
  <c r="AZ148" i="1"/>
  <c r="AJ156" i="46"/>
  <c r="AI209" i="46"/>
  <c r="AR139" i="46"/>
  <c r="AW139" i="46"/>
  <c r="AS139" i="46"/>
  <c r="L178" i="1"/>
  <c r="M178" i="1"/>
  <c r="AE57" i="47"/>
  <c r="AE23" i="47"/>
  <c r="BC127" i="1"/>
  <c r="BD97" i="1"/>
  <c r="BE97" i="1"/>
  <c r="BC107" i="1"/>
  <c r="BI123" i="1"/>
  <c r="BG128" i="1"/>
  <c r="BG143" i="1"/>
  <c r="BJ123" i="1"/>
  <c r="BI133" i="1"/>
  <c r="AS323" i="46"/>
  <c r="D74" i="49"/>
  <c r="AR323" i="46"/>
  <c r="AW323" i="46"/>
  <c r="AV179" i="1"/>
  <c r="AU189" i="1"/>
  <c r="AZ189" i="1" s="1"/>
  <c r="BM159" i="46"/>
  <c r="BL159" i="46"/>
  <c r="AV159" i="46"/>
  <c r="X145" i="1"/>
  <c r="Y145" i="1"/>
  <c r="W175" i="1"/>
  <c r="W149" i="1"/>
  <c r="J300" i="21"/>
  <c r="J316" i="21"/>
  <c r="X59" i="47"/>
  <c r="X26" i="47"/>
  <c r="X46" i="47"/>
  <c r="X48" i="47" s="1"/>
  <c r="AS46" i="11"/>
  <c r="AS38" i="11"/>
  <c r="AS22" i="11"/>
  <c r="AS56" i="11"/>
  <c r="AG34" i="47"/>
  <c r="BF29" i="47"/>
  <c r="BF62" i="47" s="1"/>
  <c r="BD59" i="47"/>
  <c r="AA9" i="10"/>
  <c r="N45" i="5"/>
  <c r="N52" i="5"/>
  <c r="AT38" i="11"/>
  <c r="AT46" i="11"/>
  <c r="AT22" i="11"/>
  <c r="AT56" i="11"/>
  <c r="AY146" i="1"/>
  <c r="AZ136" i="1"/>
  <c r="AZ126" i="1"/>
  <c r="BA126" i="1"/>
  <c r="AN302" i="46"/>
  <c r="AO302" i="46"/>
  <c r="AM303" i="46"/>
  <c r="AM342" i="46"/>
  <c r="BD208" i="46"/>
  <c r="BC268" i="46"/>
  <c r="BE208" i="46"/>
  <c r="AG47" i="11"/>
  <c r="AG26" i="11"/>
  <c r="AG48" i="11"/>
  <c r="BC210" i="46"/>
  <c r="BC167" i="46"/>
  <c r="BD157" i="46"/>
  <c r="BC154" i="1"/>
  <c r="BI154" i="1" s="1"/>
  <c r="BD144" i="1"/>
  <c r="BE144" i="1"/>
  <c r="BC174" i="1"/>
  <c r="N145" i="21"/>
  <c r="N186" i="21" s="1"/>
  <c r="N51" i="21"/>
  <c r="N16" i="21"/>
  <c r="AQ344" i="46"/>
  <c r="AS340" i="46"/>
  <c r="AQ343" i="46"/>
  <c r="AW340" i="46"/>
  <c r="AR340" i="46"/>
  <c r="AQ345" i="46"/>
  <c r="AR303" i="46"/>
  <c r="AW303" i="46"/>
  <c r="AK99" i="1"/>
  <c r="AJ99" i="1"/>
  <c r="BD99" i="1"/>
  <c r="BE99" i="1"/>
  <c r="BH166" i="46"/>
  <c r="BD166" i="46"/>
  <c r="M76" i="21"/>
  <c r="M118" i="21" s="1"/>
  <c r="M119" i="21"/>
  <c r="M120" i="21"/>
  <c r="M126" i="21"/>
  <c r="AZ173" i="1"/>
  <c r="AY178" i="1"/>
  <c r="AY183" i="1"/>
  <c r="BA173" i="1"/>
  <c r="O52" i="5"/>
  <c r="O45" i="5"/>
  <c r="O47" i="5"/>
  <c r="BC212" i="46"/>
  <c r="BD212" i="46" s="1"/>
  <c r="AZ107" i="1"/>
  <c r="BA107" i="1"/>
  <c r="AR342" i="46"/>
  <c r="AS342" i="46"/>
  <c r="AW342" i="46"/>
  <c r="AR148" i="46"/>
  <c r="AR138" i="46"/>
  <c r="AS138" i="46"/>
  <c r="AW138" i="46"/>
  <c r="J14" i="30"/>
  <c r="J16" i="30" s="1"/>
  <c r="I19" i="30"/>
  <c r="I63" i="30" s="1"/>
  <c r="I65" i="30"/>
  <c r="AA34" i="3"/>
  <c r="AJ34" i="3" s="1"/>
  <c r="Y32" i="3"/>
  <c r="AB31" i="8"/>
  <c r="AD31" i="8" s="1"/>
  <c r="P167" i="21"/>
  <c r="P98" i="21"/>
  <c r="AW50" i="11"/>
  <c r="AW59" i="11"/>
  <c r="M129" i="21"/>
  <c r="L120" i="21"/>
  <c r="L129" i="21"/>
  <c r="BA340" i="46"/>
  <c r="BE340" i="46"/>
  <c r="AZ340" i="46"/>
  <c r="BA303" i="46"/>
  <c r="AZ303" i="46"/>
  <c r="AB174" i="1"/>
  <c r="AC174" i="1"/>
  <c r="AA178" i="1"/>
  <c r="AU185" i="1"/>
  <c r="AZ185" i="1" s="1"/>
  <c r="AV175" i="1"/>
  <c r="B74" i="49"/>
  <c r="AJ323" i="46"/>
  <c r="AK323" i="46"/>
  <c r="AY50" i="11"/>
  <c r="AY59" i="11"/>
  <c r="BI98" i="1"/>
  <c r="BJ98" i="1"/>
  <c r="N23" i="4"/>
  <c r="M23" i="4"/>
  <c r="BD146" i="1"/>
  <c r="BE146" i="1"/>
  <c r="BC156" i="1"/>
  <c r="BC176" i="1"/>
  <c r="AL101" i="3"/>
  <c r="O185" i="1"/>
  <c r="P185" i="1" s="1"/>
  <c r="Q175" i="1"/>
  <c r="P175" i="1"/>
  <c r="L297" i="21"/>
  <c r="AE178" i="1"/>
  <c r="AE179" i="1"/>
  <c r="AF179" i="1" s="1"/>
  <c r="AG173" i="1"/>
  <c r="AF173" i="1"/>
  <c r="AE26" i="11"/>
  <c r="AE47" i="11"/>
  <c r="AE48" i="11"/>
  <c r="AR128" i="1"/>
  <c r="AS128" i="1"/>
  <c r="AW128" i="1"/>
  <c r="AR138" i="1"/>
  <c r="P52" i="5"/>
  <c r="AC9" i="10"/>
  <c r="P45" i="5"/>
  <c r="P47" i="5"/>
  <c r="Q48" i="5" s="1"/>
  <c r="AV178" i="1"/>
  <c r="AU188" i="1"/>
  <c r="AZ188" i="1" s="1"/>
  <c r="AZ148" i="46"/>
  <c r="BE138" i="46"/>
  <c r="BA138" i="46"/>
  <c r="AZ138" i="46"/>
  <c r="Q128" i="1"/>
  <c r="P138" i="1"/>
  <c r="P128" i="1"/>
  <c r="AJ157" i="46"/>
  <c r="AI210" i="46"/>
  <c r="AO157" i="46"/>
  <c r="AK260" i="46"/>
  <c r="AJ260" i="46"/>
  <c r="B65" i="49"/>
  <c r="H34" i="21" s="1"/>
  <c r="AO260" i="46"/>
  <c r="D173" i="1"/>
  <c r="I173" i="1"/>
  <c r="C179" i="1"/>
  <c r="C178" i="1"/>
  <c r="C183" i="1"/>
  <c r="BB48" i="11"/>
  <c r="BB26" i="11"/>
  <c r="BB47" i="11"/>
  <c r="AC23" i="47"/>
  <c r="AN147" i="1"/>
  <c r="AO147" i="1"/>
  <c r="AM177" i="1"/>
  <c r="AZ125" i="1"/>
  <c r="BA125" i="1"/>
  <c r="AY145" i="1"/>
  <c r="AZ135" i="1"/>
  <c r="AY129" i="1"/>
  <c r="AX48" i="47"/>
  <c r="BN47" i="11"/>
  <c r="BN48" i="11"/>
  <c r="BN26" i="11"/>
  <c r="N301" i="21"/>
  <c r="AJ305" i="46"/>
  <c r="AK305" i="46"/>
  <c r="AO305" i="46"/>
  <c r="AO136" i="46"/>
  <c r="AN136" i="46"/>
  <c r="AN146" i="46"/>
  <c r="AM156" i="46"/>
  <c r="AR108" i="1"/>
  <c r="AS108" i="1"/>
  <c r="AW108" i="1"/>
  <c r="AS145" i="1"/>
  <c r="AR145" i="1"/>
  <c r="AQ175" i="1"/>
  <c r="AK340" i="46"/>
  <c r="AJ340" i="46"/>
  <c r="AO340" i="46"/>
  <c r="AM268" i="46"/>
  <c r="AN208" i="46"/>
  <c r="AO208" i="46"/>
  <c r="AS208" i="46"/>
  <c r="AI143" i="1"/>
  <c r="AJ123" i="1"/>
  <c r="AI128" i="1"/>
  <c r="AI129" i="1"/>
  <c r="AJ133" i="1"/>
  <c r="AV38" i="11"/>
  <c r="AV46" i="11"/>
  <c r="AV71" i="11" s="1"/>
  <c r="AV22" i="11"/>
  <c r="AV56" i="11"/>
  <c r="M187" i="21"/>
  <c r="M188" i="21"/>
  <c r="M194" i="21"/>
  <c r="M202" i="21" s="1"/>
  <c r="BP206" i="46"/>
  <c r="BQ206" i="46"/>
  <c r="BO266" i="46"/>
  <c r="AX22" i="11"/>
  <c r="AX46" i="11"/>
  <c r="AX71" i="11" s="1"/>
  <c r="AX38" i="11"/>
  <c r="AX56" i="11"/>
  <c r="AO50" i="11"/>
  <c r="AW47" i="11"/>
  <c r="AW26" i="11"/>
  <c r="AW48" i="11"/>
  <c r="AZ339" i="46"/>
  <c r="AY345" i="46"/>
  <c r="AY344" i="46"/>
  <c r="BA339" i="46"/>
  <c r="AY343" i="46"/>
  <c r="BL47" i="11"/>
  <c r="BL26" i="11"/>
  <c r="BL48" i="11"/>
  <c r="H167" i="21"/>
  <c r="H98" i="21"/>
  <c r="W57" i="47"/>
  <c r="W23" i="47"/>
  <c r="U148" i="1"/>
  <c r="T148" i="1"/>
  <c r="N167" i="21"/>
  <c r="N98" i="21"/>
  <c r="AD49" i="11"/>
  <c r="AD32" i="11"/>
  <c r="AY159" i="46"/>
  <c r="AY206" i="46"/>
  <c r="BE153" i="46"/>
  <c r="AY163" i="46"/>
  <c r="AY158" i="46"/>
  <c r="AZ153" i="46"/>
  <c r="BA153" i="46"/>
  <c r="P139" i="1"/>
  <c r="P129" i="1"/>
  <c r="Q129" i="1"/>
  <c r="U129" i="1"/>
  <c r="AS106" i="1"/>
  <c r="AR106" i="1"/>
  <c r="D149" i="1"/>
  <c r="I149" i="1"/>
  <c r="AP121" i="3"/>
  <c r="AR114" i="3"/>
  <c r="AP115" i="3"/>
  <c r="AN146" i="1"/>
  <c r="AM176" i="1"/>
  <c r="BA99" i="1"/>
  <c r="AZ99" i="1"/>
  <c r="AG62" i="47"/>
  <c r="BQ99" i="46"/>
  <c r="BP99" i="46"/>
  <c r="BF60" i="47"/>
  <c r="BP37" i="46"/>
  <c r="BQ37" i="46"/>
  <c r="BH60" i="47"/>
  <c r="CE48" i="47"/>
  <c r="CE65" i="47" s="1"/>
  <c r="BI72" i="47"/>
  <c r="B40" i="39" s="1"/>
  <c r="BD46" i="47"/>
  <c r="BD48" i="47" s="1"/>
  <c r="BD74" i="47" s="1"/>
  <c r="AY48" i="47"/>
  <c r="AY50" i="47" s="1"/>
  <c r="AH38" i="47"/>
  <c r="AI38" i="47"/>
  <c r="AJ38" i="47"/>
  <c r="AG38" i="47"/>
  <c r="AO108" i="1"/>
  <c r="AN108" i="1"/>
  <c r="AG50" i="11"/>
  <c r="AG59" i="11"/>
  <c r="AL59" i="11"/>
  <c r="AR109" i="1"/>
  <c r="AS109" i="1"/>
  <c r="L176" i="1"/>
  <c r="K186" i="1"/>
  <c r="M176" i="1"/>
  <c r="Q176" i="1"/>
  <c r="I29" i="39"/>
  <c r="H29" i="39"/>
  <c r="AR156" i="46"/>
  <c r="AQ209" i="46"/>
  <c r="AW156" i="46"/>
  <c r="AJ138" i="46"/>
  <c r="AK138" i="46"/>
  <c r="N187" i="21"/>
  <c r="N194" i="21"/>
  <c r="N202" i="21" s="1"/>
  <c r="AR305" i="46"/>
  <c r="AS305" i="46"/>
  <c r="AW305" i="46"/>
  <c r="AK98" i="1"/>
  <c r="AJ98" i="1"/>
  <c r="BE103" i="1"/>
  <c r="BC109" i="1"/>
  <c r="BC108" i="1"/>
  <c r="BD103" i="1"/>
  <c r="BD123" i="1"/>
  <c r="BC128" i="1"/>
  <c r="BE123" i="1"/>
  <c r="BC143" i="1"/>
  <c r="BD133" i="1"/>
  <c r="BC129" i="1"/>
  <c r="AJ342" i="46"/>
  <c r="AK342" i="46"/>
  <c r="M302" i="21"/>
  <c r="M145" i="21"/>
  <c r="M186" i="21" s="1"/>
  <c r="M51" i="21"/>
  <c r="AI175" i="1"/>
  <c r="AJ145" i="1"/>
  <c r="BD344" i="46"/>
  <c r="BI344" i="46"/>
  <c r="AR26" i="47"/>
  <c r="AR46" i="47"/>
  <c r="AR48" i="47" s="1"/>
  <c r="AR59" i="47"/>
  <c r="AB26" i="11"/>
  <c r="AB47" i="11"/>
  <c r="AB48" i="11"/>
  <c r="H10" i="31"/>
  <c r="G11" i="31"/>
  <c r="G14" i="31" s="1"/>
  <c r="AQ207" i="46"/>
  <c r="AR154" i="46"/>
  <c r="AQ159" i="46"/>
  <c r="AS154" i="46"/>
  <c r="AW154" i="46"/>
  <c r="AQ158" i="46"/>
  <c r="M52" i="5"/>
  <c r="Y9" i="10"/>
  <c r="M45" i="5"/>
  <c r="BE125" i="1"/>
  <c r="BD125" i="1"/>
  <c r="BC145" i="1"/>
  <c r="BD135" i="1"/>
  <c r="X32" i="11"/>
  <c r="X49" i="11"/>
  <c r="BO38" i="11"/>
  <c r="BO49" i="11"/>
  <c r="BO32" i="11"/>
  <c r="BO33" i="11" s="1"/>
  <c r="BP58" i="11" s="1"/>
  <c r="BA146" i="1"/>
  <c r="AU176" i="1"/>
  <c r="AV146" i="1"/>
  <c r="AU156" i="1"/>
  <c r="AW146" i="1"/>
  <c r="AI343" i="46"/>
  <c r="M179" i="1"/>
  <c r="L179" i="1"/>
  <c r="AD57" i="47"/>
  <c r="AD23" i="47"/>
  <c r="N15" i="21"/>
  <c r="CF47" i="47"/>
  <c r="CF48" i="47" s="1"/>
  <c r="N43" i="21"/>
  <c r="N109" i="21" s="1"/>
  <c r="N178" i="21" s="1"/>
  <c r="AO123" i="1"/>
  <c r="I15" i="21"/>
  <c r="I81" i="21" s="1"/>
  <c r="I43" i="21"/>
  <c r="I109" i="21" s="1"/>
  <c r="I178" i="21" s="1"/>
  <c r="CA47" i="47"/>
  <c r="CA48" i="47" s="1"/>
  <c r="BA304" i="46"/>
  <c r="AZ304" i="46"/>
  <c r="AZ305" i="46"/>
  <c r="BA305" i="46"/>
  <c r="BE305" i="46"/>
  <c r="AB148" i="1"/>
  <c r="AC148" i="1"/>
  <c r="AC149" i="1"/>
  <c r="AB149" i="1"/>
  <c r="AY47" i="11"/>
  <c r="AY48" i="11"/>
  <c r="AY26" i="11"/>
  <c r="BG210" i="46"/>
  <c r="BH157" i="46"/>
  <c r="BG167" i="46"/>
  <c r="BH167" i="46" s="1"/>
  <c r="BI157" i="46"/>
  <c r="BG268" i="46"/>
  <c r="BI208" i="46"/>
  <c r="BH208" i="46"/>
  <c r="BG212" i="46"/>
  <c r="T149" i="1"/>
  <c r="S178" i="1"/>
  <c r="T174" i="1"/>
  <c r="U174" i="1"/>
  <c r="S184" i="1"/>
  <c r="Y174" i="1"/>
  <c r="S179" i="1"/>
  <c r="T185" i="1"/>
  <c r="L45" i="5"/>
  <c r="L52" i="5"/>
  <c r="W9" i="10"/>
  <c r="W29" i="10" s="1"/>
  <c r="BM67" i="11"/>
  <c r="CA85" i="47"/>
  <c r="G65" i="30"/>
  <c r="G40" i="30"/>
  <c r="H40" i="30" s="1"/>
  <c r="G41" i="30"/>
  <c r="G43" i="30" s="1"/>
  <c r="G63" i="30" s="1"/>
  <c r="AC145" i="1"/>
  <c r="AA175" i="1"/>
  <c r="AB145" i="1"/>
  <c r="AG145" i="1"/>
  <c r="AO98" i="1"/>
  <c r="AS129" i="1"/>
  <c r="AR129" i="1"/>
  <c r="AR139" i="1"/>
  <c r="BM158" i="46"/>
  <c r="BL158" i="46"/>
  <c r="BL164" i="46"/>
  <c r="BK169" i="46"/>
  <c r="BL169" i="46" s="1"/>
  <c r="BK168" i="46"/>
  <c r="BL168" i="46" s="1"/>
  <c r="C29" i="39"/>
  <c r="G29" i="39" s="1"/>
  <c r="C14" i="39"/>
  <c r="L78" i="21"/>
  <c r="L147" i="21"/>
  <c r="J344" i="44"/>
  <c r="J38" i="44"/>
  <c r="J39" i="44" s="1"/>
  <c r="J335" i="44"/>
  <c r="J334" i="44"/>
  <c r="J40" i="44"/>
  <c r="K333" i="44"/>
  <c r="P143" i="1"/>
  <c r="O173" i="1"/>
  <c r="O149" i="1"/>
  <c r="O148" i="1"/>
  <c r="O153" i="1"/>
  <c r="T153" i="1" s="1"/>
  <c r="Q143" i="1"/>
  <c r="U143" i="1"/>
  <c r="J119" i="21"/>
  <c r="K128" i="21"/>
  <c r="J128" i="21"/>
  <c r="AW129" i="1"/>
  <c r="Z38" i="47"/>
  <c r="W38" i="47"/>
  <c r="Y38" i="47"/>
  <c r="X38" i="47"/>
  <c r="AS126" i="1"/>
  <c r="AR126" i="1"/>
  <c r="AQ146" i="1"/>
  <c r="AR136" i="1"/>
  <c r="D148" i="1"/>
  <c r="I148" i="1"/>
  <c r="AR108" i="3"/>
  <c r="R10" i="4" s="1"/>
  <c r="AQ108" i="3"/>
  <c r="Y148" i="1"/>
  <c r="AN175" i="1"/>
  <c r="AO175" i="1"/>
  <c r="AU187" i="1"/>
  <c r="AV177" i="1"/>
  <c r="AW208" i="46"/>
  <c r="AU268" i="46"/>
  <c r="AV208" i="46"/>
  <c r="BA208" i="46"/>
  <c r="AU212" i="46"/>
  <c r="AU280" i="46"/>
  <c r="AV280" i="46" s="1"/>
  <c r="AV270" i="46"/>
  <c r="BJ144" i="1"/>
  <c r="BI144" i="1"/>
  <c r="BG174" i="1"/>
  <c r="BG154" i="1"/>
  <c r="O337" i="44"/>
  <c r="M16" i="21"/>
  <c r="Y23" i="47"/>
  <c r="AG61" i="47"/>
  <c r="AG60" i="47"/>
  <c r="M151" i="21"/>
  <c r="M153" i="21" s="1"/>
  <c r="M191" i="21" s="1"/>
  <c r="R33" i="5"/>
  <c r="R38" i="5"/>
  <c r="AJ154" i="46"/>
  <c r="AI159" i="46"/>
  <c r="AK154" i="46"/>
  <c r="AI207" i="46"/>
  <c r="AO154" i="46"/>
  <c r="AI158" i="46"/>
  <c r="N133" i="21"/>
  <c r="N201" i="21" s="1"/>
  <c r="N263" i="21"/>
  <c r="AZ127" i="1"/>
  <c r="AZ137" i="1"/>
  <c r="AY147" i="1"/>
  <c r="BA127" i="1"/>
  <c r="AB50" i="11"/>
  <c r="AI26" i="11"/>
  <c r="AI48" i="11"/>
  <c r="AI47" i="11"/>
  <c r="BE105" i="1"/>
  <c r="BD105" i="1"/>
  <c r="AI345" i="46"/>
  <c r="AO128" i="1"/>
  <c r="AN128" i="1"/>
  <c r="AN138" i="1"/>
  <c r="L188" i="21"/>
  <c r="M197" i="21"/>
  <c r="L197" i="21"/>
  <c r="BH159" i="46"/>
  <c r="BI159" i="46"/>
  <c r="J98" i="21"/>
  <c r="J167" i="21"/>
  <c r="AG148" i="1"/>
  <c r="AF148" i="1"/>
  <c r="U133" i="46"/>
  <c r="T133" i="46"/>
  <c r="AR174" i="1"/>
  <c r="AW174" i="1"/>
  <c r="AS174" i="1"/>
  <c r="Y129" i="1"/>
  <c r="X139" i="1"/>
  <c r="X129" i="1"/>
  <c r="Y47" i="11"/>
  <c r="Y26" i="11"/>
  <c r="Y48" i="11"/>
  <c r="BT36" i="11"/>
  <c r="E58" i="44"/>
  <c r="BS44" i="11"/>
  <c r="N151" i="21"/>
  <c r="N153" i="21" s="1"/>
  <c r="N191" i="21" s="1"/>
  <c r="AW89" i="47"/>
  <c r="D65" i="49"/>
  <c r="J34" i="21" s="1"/>
  <c r="AR260" i="46"/>
  <c r="AS260" i="46"/>
  <c r="AW260" i="46"/>
  <c r="AN109" i="1"/>
  <c r="AO109" i="1"/>
  <c r="BM26" i="11"/>
  <c r="BM47" i="11"/>
  <c r="BM48" i="11"/>
  <c r="BQ55" i="11"/>
  <c r="BQ42" i="11"/>
  <c r="B31" i="39"/>
  <c r="G14" i="39"/>
  <c r="I14" i="39"/>
  <c r="H14" i="39"/>
  <c r="B18" i="39"/>
  <c r="AS136" i="46"/>
  <c r="AK139" i="46"/>
  <c r="AJ139" i="46"/>
  <c r="AO139" i="46"/>
  <c r="N76" i="21"/>
  <c r="N118" i="21" s="1"/>
  <c r="N126" i="21"/>
  <c r="AR304" i="46"/>
  <c r="AS304" i="46"/>
  <c r="AW304" i="46"/>
  <c r="W46" i="11"/>
  <c r="W22" i="11"/>
  <c r="W38" i="11"/>
  <c r="W50" i="11" s="1"/>
  <c r="BD98" i="1"/>
  <c r="BE98" i="1"/>
  <c r="BI209" i="46"/>
  <c r="BD209" i="46"/>
  <c r="BC269" i="46"/>
  <c r="BE209" i="46"/>
  <c r="X47" i="47"/>
  <c r="Y47" i="47"/>
  <c r="Z47" i="47"/>
  <c r="W47" i="47"/>
  <c r="M250" i="21"/>
  <c r="M303" i="21" s="1"/>
  <c r="M251" i="21"/>
  <c r="M224" i="21"/>
  <c r="M256" i="21"/>
  <c r="M133" i="21"/>
  <c r="M201" i="21" s="1"/>
  <c r="M263" i="21"/>
  <c r="M98" i="21"/>
  <c r="M167" i="21"/>
  <c r="BI267" i="46"/>
  <c r="BD267" i="46"/>
  <c r="BC277" i="46"/>
  <c r="BC271" i="46"/>
  <c r="BD271" i="46" s="1"/>
  <c r="BC272" i="46"/>
  <c r="BD272" i="46" s="1"/>
  <c r="AI47" i="47"/>
  <c r="AI48" i="47" s="1"/>
  <c r="AH47" i="47"/>
  <c r="AH48" i="47" s="1"/>
  <c r="AH50" i="47" s="1"/>
  <c r="G4" i="55" s="1"/>
  <c r="AG47" i="47"/>
  <c r="AG48" i="47" s="1"/>
  <c r="AG50" i="47" s="1"/>
  <c r="AJ47" i="47"/>
  <c r="AJ48" i="47" s="1"/>
  <c r="BK268" i="46"/>
  <c r="BL208" i="46"/>
  <c r="BM208" i="46"/>
  <c r="BQ19" i="11"/>
  <c r="AI50" i="11"/>
  <c r="AI59" i="11"/>
  <c r="AN59" i="11"/>
  <c r="AO47" i="11"/>
  <c r="AO48" i="11"/>
  <c r="AO26" i="11"/>
  <c r="K189" i="1"/>
  <c r="L189" i="1" s="1"/>
  <c r="L183" i="1"/>
  <c r="K188" i="1"/>
  <c r="AN139" i="1"/>
  <c r="AO129" i="1"/>
  <c r="AN129" i="1"/>
  <c r="AM173" i="1"/>
  <c r="AM149" i="1"/>
  <c r="AN143" i="1"/>
  <c r="AM148" i="1"/>
  <c r="AS302" i="46"/>
  <c r="Z19" i="11"/>
  <c r="AI126" i="1"/>
  <c r="AJ96" i="1"/>
  <c r="AO96" i="1"/>
  <c r="AW145" i="1"/>
  <c r="AV149" i="1"/>
  <c r="AU159" i="1"/>
  <c r="AZ159" i="1" s="1"/>
  <c r="AJ270" i="46"/>
  <c r="AK270" i="46"/>
  <c r="AY71" i="11"/>
  <c r="BH165" i="46"/>
  <c r="BG169" i="46"/>
  <c r="Y133" i="46"/>
  <c r="X178" i="1"/>
  <c r="Y178" i="1"/>
  <c r="BJ103" i="1"/>
  <c r="BI103" i="1"/>
  <c r="BG108" i="1"/>
  <c r="BA22" i="11"/>
  <c r="BA56" i="11"/>
  <c r="BA38" i="11"/>
  <c r="BA46" i="11"/>
  <c r="M25" i="4"/>
  <c r="M26" i="4" s="1"/>
  <c r="M13" i="4"/>
  <c r="M15" i="21"/>
  <c r="CE47" i="47"/>
  <c r="M43" i="21"/>
  <c r="M109" i="21" s="1"/>
  <c r="M178" i="21" s="1"/>
  <c r="F63" i="30"/>
  <c r="H43" i="30"/>
  <c r="H63" i="30" s="1"/>
  <c r="H72" i="30" s="1"/>
  <c r="AW106" i="1"/>
  <c r="BE303" i="46"/>
  <c r="AM212" i="46"/>
  <c r="AN212" i="46" s="1"/>
  <c r="AN207" i="46"/>
  <c r="AM211" i="46"/>
  <c r="AN211" i="46" s="1"/>
  <c r="AM267" i="46"/>
  <c r="AF149" i="1"/>
  <c r="AG149" i="1"/>
  <c r="AR147" i="1"/>
  <c r="AQ177" i="1"/>
  <c r="AS147" i="1"/>
  <c r="O257" i="21"/>
  <c r="O315" i="21" s="1"/>
  <c r="O127" i="21"/>
  <c r="O313" i="21" s="1"/>
  <c r="O314" i="21"/>
  <c r="O195" i="21"/>
  <c r="AE50" i="11"/>
  <c r="AS143" i="1"/>
  <c r="AQ148" i="1"/>
  <c r="AR143" i="1"/>
  <c r="AQ173" i="1"/>
  <c r="AQ149" i="1"/>
  <c r="AW143" i="1"/>
  <c r="AZ183" i="1"/>
  <c r="BK212" i="46"/>
  <c r="BL212" i="46" s="1"/>
  <c r="BK211" i="46"/>
  <c r="BK267" i="46"/>
  <c r="BM207" i="46"/>
  <c r="BL207" i="46"/>
  <c r="AZ139" i="46"/>
  <c r="BE139" i="46"/>
  <c r="BA139" i="46"/>
  <c r="AC129" i="1"/>
  <c r="J258" i="21"/>
  <c r="K258" i="21"/>
  <c r="J250" i="21"/>
  <c r="K196" i="21"/>
  <c r="J187" i="21"/>
  <c r="J196" i="21"/>
  <c r="D175" i="1"/>
  <c r="I175" i="1"/>
  <c r="C185" i="1"/>
  <c r="H185" i="1" s="1"/>
  <c r="AJ22" i="11"/>
  <c r="AJ56" i="11"/>
  <c r="AJ46" i="11"/>
  <c r="AJ38" i="11"/>
  <c r="AH49" i="11"/>
  <c r="AH32" i="11"/>
  <c r="BB59" i="11"/>
  <c r="BB50" i="11"/>
  <c r="BU36" i="11"/>
  <c r="F58" i="44"/>
  <c r="W24" i="44" s="1"/>
  <c r="W21" i="44" s="1"/>
  <c r="G8" i="32"/>
  <c r="F11" i="32"/>
  <c r="F14" i="32" s="1"/>
  <c r="F17" i="32" s="1"/>
  <c r="F29" i="32" s="1"/>
  <c r="BA105" i="1"/>
  <c r="AZ105" i="1"/>
  <c r="AY109" i="1"/>
  <c r="AY207" i="46"/>
  <c r="BA154" i="46"/>
  <c r="AY164" i="46"/>
  <c r="BE154" i="46"/>
  <c r="AZ154" i="46"/>
  <c r="AU169" i="46"/>
  <c r="AZ165" i="46"/>
  <c r="AR210" i="46"/>
  <c r="AS210" i="46"/>
  <c r="AQ270" i="46"/>
  <c r="BC169" i="46"/>
  <c r="Z23" i="47"/>
  <c r="K82" i="21"/>
  <c r="K121" i="21" s="1"/>
  <c r="K55" i="21"/>
  <c r="K122" i="21" s="1"/>
  <c r="J62" i="21"/>
  <c r="I55" i="21"/>
  <c r="I122" i="21" s="1"/>
  <c r="H18" i="21"/>
  <c r="N189" i="21"/>
  <c r="L273" i="21"/>
  <c r="M269" i="21"/>
  <c r="L274" i="21"/>
  <c r="L316" i="21" s="1"/>
  <c r="K271" i="21"/>
  <c r="K277" i="21"/>
  <c r="J293" i="21"/>
  <c r="J304" i="21"/>
  <c r="J279" i="21"/>
  <c r="I80" i="21"/>
  <c r="BC64" i="47"/>
  <c r="AR74" i="47"/>
  <c r="P100" i="21"/>
  <c r="P169" i="21"/>
  <c r="J252" i="21"/>
  <c r="J246" i="21"/>
  <c r="K262" i="21" s="1"/>
  <c r="J231" i="21"/>
  <c r="K260" i="21"/>
  <c r="P79" i="21"/>
  <c r="P148" i="21"/>
  <c r="I149" i="21"/>
  <c r="I151" i="21" s="1"/>
  <c r="M44" i="4"/>
  <c r="M45" i="4" s="1"/>
  <c r="K153" i="21"/>
  <c r="K191" i="21" s="1"/>
  <c r="K198" i="21"/>
  <c r="K189" i="21"/>
  <c r="H54" i="21"/>
  <c r="BP115" i="46"/>
  <c r="BQ115" i="46"/>
  <c r="BZ29" i="47"/>
  <c r="BZ62" i="47" s="1"/>
  <c r="N177" i="21"/>
  <c r="N179" i="21" s="1"/>
  <c r="N182" i="21" s="1"/>
  <c r="H52" i="49"/>
  <c r="AI9" i="10" s="1"/>
  <c r="C46" i="49"/>
  <c r="C50" i="49" s="1"/>
  <c r="K54" i="21"/>
  <c r="C73" i="49"/>
  <c r="C75" i="49" s="1"/>
  <c r="AM50" i="47"/>
  <c r="AM75" i="47" s="1"/>
  <c r="BG74" i="47"/>
  <c r="P276" i="21"/>
  <c r="G22" i="32"/>
  <c r="G22" i="31"/>
  <c r="BD65" i="48"/>
  <c r="CK36" i="47"/>
  <c r="U63" i="21"/>
  <c r="C57" i="3"/>
  <c r="G57" i="3" s="1"/>
  <c r="U230" i="21"/>
  <c r="U83" i="21"/>
  <c r="U152" i="21"/>
  <c r="U278" i="21"/>
  <c r="AO60" i="47"/>
  <c r="AM29" i="47"/>
  <c r="AM34" i="47" s="1"/>
  <c r="AM39" i="47" s="1"/>
  <c r="E35" i="32"/>
  <c r="E35" i="31"/>
  <c r="AE53" i="7"/>
  <c r="AE59" i="7"/>
  <c r="F35" i="32"/>
  <c r="F35" i="31"/>
  <c r="K18" i="21"/>
  <c r="K24" i="21" s="1"/>
  <c r="CC29" i="47"/>
  <c r="CC30" i="47" s="1"/>
  <c r="K62" i="21"/>
  <c r="BH50" i="47"/>
  <c r="AB4" i="55" s="1"/>
  <c r="BG65" i="47"/>
  <c r="AO65" i="47"/>
  <c r="AH65" i="47"/>
  <c r="CL73" i="47"/>
  <c r="CM73" i="47"/>
  <c r="AO74" i="47"/>
  <c r="AI61" i="47"/>
  <c r="BH65" i="47"/>
  <c r="AM61" i="47"/>
  <c r="BZ60" i="47"/>
  <c r="AS74" i="47"/>
  <c r="AS65" i="47"/>
  <c r="AS50" i="47"/>
  <c r="AG74" i="47"/>
  <c r="AH64" i="47"/>
  <c r="AV74" i="47"/>
  <c r="AB65" i="47"/>
  <c r="AB50" i="47"/>
  <c r="B4" i="55" s="1"/>
  <c r="AT65" i="47"/>
  <c r="AT50" i="47"/>
  <c r="Q4" i="55" s="1"/>
  <c r="AT74" i="47"/>
  <c r="AY74" i="47"/>
  <c r="CC75" i="47"/>
  <c r="CC64" i="47"/>
  <c r="AB60" i="47"/>
  <c r="AB29" i="47"/>
  <c r="AB61" i="47"/>
  <c r="AS61" i="47"/>
  <c r="AS60" i="47"/>
  <c r="AS29" i="47"/>
  <c r="AL74" i="47"/>
  <c r="BI50" i="47"/>
  <c r="BI65" i="47"/>
  <c r="BD61" i="47"/>
  <c r="AY129" i="47" s="1"/>
  <c r="AY130" i="47" s="1"/>
  <c r="BD60" i="47"/>
  <c r="BD29" i="47"/>
  <c r="AV60" i="47"/>
  <c r="AV29" i="47"/>
  <c r="AV61" i="47"/>
  <c r="AX62" i="47"/>
  <c r="AX30" i="47"/>
  <c r="AX34" i="47"/>
  <c r="AX39" i="47" s="1"/>
  <c r="AN65" i="47"/>
  <c r="AN50" i="47"/>
  <c r="BB29" i="47"/>
  <c r="BB60" i="47"/>
  <c r="BB61" i="47"/>
  <c r="AG65" i="47"/>
  <c r="BD65" i="47"/>
  <c r="AJ34" i="47"/>
  <c r="AJ62" i="47"/>
  <c r="AJ30" i="47"/>
  <c r="AW61" i="47"/>
  <c r="AW29" i="47"/>
  <c r="AW60" i="47"/>
  <c r="AL62" i="47"/>
  <c r="AL30" i="47"/>
  <c r="AL34" i="47"/>
  <c r="AL39" i="47" s="1"/>
  <c r="BI60" i="47"/>
  <c r="BI29" i="47"/>
  <c r="BI61" i="47"/>
  <c r="AW50" i="47"/>
  <c r="AW65" i="47"/>
  <c r="CC65" i="47"/>
  <c r="CC74" i="47"/>
  <c r="AV50" i="47"/>
  <c r="BA75" i="47" s="1"/>
  <c r="AV65" i="47"/>
  <c r="J4" i="55"/>
  <c r="AL64" i="47"/>
  <c r="AN60" i="47"/>
  <c r="AN29" i="47"/>
  <c r="AN61" i="47"/>
  <c r="BB65" i="47"/>
  <c r="BB50" i="47"/>
  <c r="BB74" i="47"/>
  <c r="AT60" i="47"/>
  <c r="AT29" i="47"/>
  <c r="AT61" i="47"/>
  <c r="BS288" i="46"/>
  <c r="BS196" i="46"/>
  <c r="BS175" i="46"/>
  <c r="BS179" i="46" s="1"/>
  <c r="BS199" i="46" s="1"/>
  <c r="BS292" i="46" s="1"/>
  <c r="D296" i="21"/>
  <c r="D277" i="21"/>
  <c r="E317" i="21" s="1"/>
  <c r="I40" i="49"/>
  <c r="I41" i="49" s="1"/>
  <c r="CG19" i="47"/>
  <c r="CG23" i="47" s="1"/>
  <c r="CG26" i="47" s="1"/>
  <c r="O57" i="3"/>
  <c r="AC25" i="46"/>
  <c r="O167" i="46"/>
  <c r="T167" i="46" s="1"/>
  <c r="P157" i="46"/>
  <c r="D249" i="21"/>
  <c r="D229" i="21"/>
  <c r="E260" i="21" s="1"/>
  <c r="D54" i="21"/>
  <c r="D82" i="21"/>
  <c r="D18" i="21"/>
  <c r="O150" i="1"/>
  <c r="G45" i="5"/>
  <c r="G52" i="5"/>
  <c r="BF46" i="11"/>
  <c r="BF22" i="11"/>
  <c r="CB61" i="47"/>
  <c r="CB60" i="47"/>
  <c r="M189" i="21"/>
  <c r="E78" i="49"/>
  <c r="K44" i="21"/>
  <c r="K110" i="21" s="1"/>
  <c r="K179" i="21" s="1"/>
  <c r="E76" i="49"/>
  <c r="CA60" i="47"/>
  <c r="CA61" i="47"/>
  <c r="CA29" i="47"/>
  <c r="M42" i="21"/>
  <c r="G75" i="49"/>
  <c r="CE72" i="47"/>
  <c r="CD59" i="47"/>
  <c r="CD72" i="47"/>
  <c r="CD46" i="47"/>
  <c r="CD48" i="47" s="1"/>
  <c r="CD26" i="47"/>
  <c r="I134" i="21"/>
  <c r="I202" i="21" s="1"/>
  <c r="I201" i="21"/>
  <c r="E61" i="49"/>
  <c r="E55" i="49"/>
  <c r="E53" i="49"/>
  <c r="H246" i="21"/>
  <c r="H252" i="21"/>
  <c r="H231" i="21"/>
  <c r="H279" i="21"/>
  <c r="H304" i="21"/>
  <c r="H293" i="21"/>
  <c r="I186" i="21"/>
  <c r="J201" i="21"/>
  <c r="J134" i="21"/>
  <c r="J202" i="21" s="1"/>
  <c r="I240" i="21"/>
  <c r="I288" i="21"/>
  <c r="I93" i="21"/>
  <c r="I162" i="21" s="1"/>
  <c r="L149" i="21"/>
  <c r="L151" i="21" s="1"/>
  <c r="M198" i="21" s="1"/>
  <c r="L80" i="21"/>
  <c r="L16" i="21"/>
  <c r="L55" i="21" s="1"/>
  <c r="CE29" i="47"/>
  <c r="CE60" i="47"/>
  <c r="CE61" i="47"/>
  <c r="K108" i="21"/>
  <c r="K177" i="21"/>
  <c r="I54" i="21"/>
  <c r="I82" i="21"/>
  <c r="J130" i="21" s="1"/>
  <c r="I18" i="21"/>
  <c r="I62" i="21"/>
  <c r="I229" i="21"/>
  <c r="I249" i="21"/>
  <c r="H186" i="21"/>
  <c r="H151" i="21"/>
  <c r="H153" i="21" s="1"/>
  <c r="H191" i="21" s="1"/>
  <c r="G50" i="49"/>
  <c r="G52" i="49"/>
  <c r="G47" i="49"/>
  <c r="F73" i="49"/>
  <c r="F41" i="49"/>
  <c r="F46" i="49"/>
  <c r="Q44" i="4"/>
  <c r="Q45" i="4" s="1"/>
  <c r="C52" i="49"/>
  <c r="I296" i="21"/>
  <c r="I277" i="21"/>
  <c r="CE50" i="47"/>
  <c r="T106" i="1"/>
  <c r="U106" i="1"/>
  <c r="F126" i="21"/>
  <c r="F120" i="21"/>
  <c r="F121" i="21"/>
  <c r="F119" i="21"/>
  <c r="F76" i="21"/>
  <c r="F118" i="21" s="1"/>
  <c r="X14" i="1"/>
  <c r="Z13" i="6" s="1"/>
  <c r="Z19" i="6" s="1"/>
  <c r="X116" i="1"/>
  <c r="W106" i="1"/>
  <c r="X56" i="1"/>
  <c r="R49" i="3"/>
  <c r="S49" i="3" s="1"/>
  <c r="X76" i="1"/>
  <c r="X34" i="1"/>
  <c r="X24" i="1"/>
  <c r="Y24" i="1" s="1"/>
  <c r="D47" i="8"/>
  <c r="L47" i="8" s="1"/>
  <c r="W96" i="1"/>
  <c r="S126" i="1"/>
  <c r="U96" i="1"/>
  <c r="T96" i="1"/>
  <c r="F273" i="21"/>
  <c r="F300" i="21"/>
  <c r="F311" i="21"/>
  <c r="S147" i="1"/>
  <c r="U147" i="1" s="1"/>
  <c r="T137" i="1"/>
  <c r="T127" i="1"/>
  <c r="D45" i="5"/>
  <c r="D52" i="5"/>
  <c r="C150" i="1"/>
  <c r="F16" i="21"/>
  <c r="F51" i="21"/>
  <c r="H147" i="1"/>
  <c r="G177" i="1"/>
  <c r="G157" i="1"/>
  <c r="BH19" i="11"/>
  <c r="BH41" i="11"/>
  <c r="C42" i="3"/>
  <c r="G42" i="3" s="1"/>
  <c r="O42" i="3" s="1"/>
  <c r="U42" i="3"/>
  <c r="AH42" i="3"/>
  <c r="AH43" i="3" s="1"/>
  <c r="BW59" i="47"/>
  <c r="CA72" i="47"/>
  <c r="I44" i="5"/>
  <c r="I42" i="5"/>
  <c r="I39" i="5"/>
  <c r="G167" i="46"/>
  <c r="L167" i="46" s="1"/>
  <c r="H157" i="46"/>
  <c r="X24" i="46"/>
  <c r="Y24" i="46" s="1"/>
  <c r="X75" i="46"/>
  <c r="X106" i="46"/>
  <c r="X64" i="46"/>
  <c r="X54" i="46"/>
  <c r="X34" i="46"/>
  <c r="W116" i="46"/>
  <c r="X14" i="46"/>
  <c r="X86" i="46"/>
  <c r="X136" i="46"/>
  <c r="X96" i="46"/>
  <c r="X44" i="46"/>
  <c r="W45" i="46" s="1"/>
  <c r="T146" i="46"/>
  <c r="T116" i="46"/>
  <c r="U116" i="46"/>
  <c r="S156" i="46"/>
  <c r="C64" i="3"/>
  <c r="G64" i="3" s="1"/>
  <c r="O64" i="3" s="1"/>
  <c r="S117" i="46"/>
  <c r="T45" i="46"/>
  <c r="U45" i="46"/>
  <c r="F263" i="21"/>
  <c r="F264" i="21" s="1"/>
  <c r="F133" i="21"/>
  <c r="F134" i="21" s="1"/>
  <c r="F250" i="21"/>
  <c r="F251" i="21"/>
  <c r="F224" i="21"/>
  <c r="F256" i="21"/>
  <c r="X97" i="1"/>
  <c r="W127" i="1"/>
  <c r="Y97" i="1"/>
  <c r="X107" i="1"/>
  <c r="Y107" i="1"/>
  <c r="E293" i="21"/>
  <c r="E304" i="21"/>
  <c r="E279" i="21"/>
  <c r="BX59" i="47"/>
  <c r="CB72" i="47"/>
  <c r="G273" i="21"/>
  <c r="G311" i="21"/>
  <c r="G300" i="21"/>
  <c r="H311" i="21"/>
  <c r="G250" i="21"/>
  <c r="H256" i="21"/>
  <c r="G256" i="21"/>
  <c r="G224" i="21"/>
  <c r="G251" i="21"/>
  <c r="AB75" i="46"/>
  <c r="AB34" i="46"/>
  <c r="AB86" i="46"/>
  <c r="AB106" i="46"/>
  <c r="AA116" i="46"/>
  <c r="AB64" i="46"/>
  <c r="AB24" i="46"/>
  <c r="AG24" i="46" s="1"/>
  <c r="AB136" i="46"/>
  <c r="AB54" i="46"/>
  <c r="AB96" i="46"/>
  <c r="AB14" i="46"/>
  <c r="AB44" i="46"/>
  <c r="AA45" i="46" s="1"/>
  <c r="AG45" i="46" s="1"/>
  <c r="E246" i="21"/>
  <c r="E231" i="21"/>
  <c r="E252" i="21"/>
  <c r="K157" i="46"/>
  <c r="M117" i="46"/>
  <c r="L117" i="46"/>
  <c r="L147" i="46"/>
  <c r="Q117" i="46"/>
  <c r="C29" i="3"/>
  <c r="G29" i="3" s="1"/>
  <c r="O29" i="3" s="1"/>
  <c r="C36" i="3"/>
  <c r="G36" i="3" s="1"/>
  <c r="O36" i="3" s="1"/>
  <c r="L97" i="1"/>
  <c r="K127" i="1"/>
  <c r="M97" i="1"/>
  <c r="Q97" i="1"/>
  <c r="L27" i="8"/>
  <c r="L34" i="8"/>
  <c r="AB126" i="46"/>
  <c r="AH63" i="3"/>
  <c r="AH64" i="3" s="1"/>
  <c r="U63" i="3"/>
  <c r="BJ47" i="11"/>
  <c r="BJ26" i="11"/>
  <c r="BG48" i="11"/>
  <c r="BG26" i="11"/>
  <c r="BG47" i="11"/>
  <c r="H133" i="21"/>
  <c r="H134" i="21" s="1"/>
  <c r="H263" i="21"/>
  <c r="H264" i="21" s="1"/>
  <c r="G263" i="21"/>
  <c r="G264" i="21" s="1"/>
  <c r="G133" i="21"/>
  <c r="G134" i="21" s="1"/>
  <c r="AB107" i="1"/>
  <c r="AC107" i="1"/>
  <c r="AB97" i="1"/>
  <c r="AC97" i="1"/>
  <c r="AA127" i="1"/>
  <c r="E47" i="5"/>
  <c r="K9" i="10"/>
  <c r="K29" i="10" s="1"/>
  <c r="E55" i="5"/>
  <c r="K58" i="9"/>
  <c r="K64" i="9" s="1"/>
  <c r="E53" i="5"/>
  <c r="BE19" i="11"/>
  <c r="BE41" i="11"/>
  <c r="AG25" i="1"/>
  <c r="C16" i="21"/>
  <c r="C51" i="21"/>
  <c r="J42" i="5"/>
  <c r="J44" i="5"/>
  <c r="X38" i="5"/>
  <c r="J39" i="5"/>
  <c r="AF137" i="1"/>
  <c r="AG127" i="1"/>
  <c r="AF127" i="1"/>
  <c r="AE147" i="1"/>
  <c r="M25" i="46"/>
  <c r="Q25" i="46"/>
  <c r="AF14" i="46"/>
  <c r="AE117" i="46"/>
  <c r="AF45" i="46"/>
  <c r="AK45" i="46"/>
  <c r="C52" i="5"/>
  <c r="C45" i="5"/>
  <c r="AE126" i="1"/>
  <c r="AK96" i="1"/>
  <c r="AF96" i="1"/>
  <c r="G126" i="21"/>
  <c r="G119" i="21"/>
  <c r="G121" i="21"/>
  <c r="H126" i="21"/>
  <c r="G120" i="21"/>
  <c r="G76" i="21"/>
  <c r="G118" i="21" s="1"/>
  <c r="M25" i="1"/>
  <c r="Q25" i="1"/>
  <c r="AG44" i="1"/>
  <c r="AB44" i="1"/>
  <c r="AC44" i="1"/>
  <c r="C119" i="21"/>
  <c r="C121" i="21"/>
  <c r="C76" i="21"/>
  <c r="C118" i="21" s="1"/>
  <c r="C120" i="21"/>
  <c r="D126" i="21"/>
  <c r="AF116" i="46"/>
  <c r="AE156" i="46"/>
  <c r="AG116" i="46"/>
  <c r="AF146" i="46"/>
  <c r="BI41" i="11"/>
  <c r="BI19" i="11"/>
  <c r="B47" i="5"/>
  <c r="E58" i="9"/>
  <c r="E64" i="9" s="1"/>
  <c r="E9" i="10"/>
  <c r="E29" i="10" s="1"/>
  <c r="B53" i="5"/>
  <c r="B55" i="5"/>
  <c r="D147" i="1"/>
  <c r="I147" i="1"/>
  <c r="C157" i="1"/>
  <c r="C177" i="1"/>
  <c r="AK106" i="1"/>
  <c r="AF106" i="1"/>
  <c r="E56" i="21"/>
  <c r="E84" i="21"/>
  <c r="E24" i="21"/>
  <c r="AG25" i="46"/>
  <c r="F42" i="5"/>
  <c r="F39" i="5"/>
  <c r="BT31" i="47" s="1"/>
  <c r="F44" i="5"/>
  <c r="G51" i="21"/>
  <c r="G16" i="21"/>
  <c r="AA96" i="1"/>
  <c r="AG96" i="1" s="1"/>
  <c r="AB14" i="1"/>
  <c r="AD13" i="6" s="1"/>
  <c r="AD19" i="6" s="1"/>
  <c r="AB24" i="1"/>
  <c r="AB56" i="1"/>
  <c r="R56" i="3"/>
  <c r="S56" i="3" s="1"/>
  <c r="C63" i="3" s="1"/>
  <c r="G63" i="3" s="1"/>
  <c r="O63" i="3" s="1"/>
  <c r="AB116" i="1"/>
  <c r="D54" i="8"/>
  <c r="AB76" i="1"/>
  <c r="AB34" i="1"/>
  <c r="AA106" i="1"/>
  <c r="L107" i="1"/>
  <c r="M107" i="1"/>
  <c r="Q107" i="1"/>
  <c r="AE150" i="1"/>
  <c r="K52" i="5"/>
  <c r="K53" i="5" s="1"/>
  <c r="K45" i="5"/>
  <c r="C251" i="21"/>
  <c r="C224" i="21"/>
  <c r="C250" i="21"/>
  <c r="D256" i="21"/>
  <c r="C273" i="21"/>
  <c r="D311" i="21"/>
  <c r="C300" i="21"/>
  <c r="P147" i="1"/>
  <c r="O157" i="1"/>
  <c r="O177" i="1"/>
  <c r="T32" i="5"/>
  <c r="H53" i="5"/>
  <c r="Q58" i="9"/>
  <c r="Q64" i="9" s="1"/>
  <c r="Q68" i="10"/>
  <c r="Q71" i="10" s="1"/>
  <c r="Q50" i="10"/>
  <c r="Q80" i="10" s="1"/>
  <c r="N63" i="49"/>
  <c r="O63" i="49" s="1"/>
  <c r="T166" i="21"/>
  <c r="T97" i="21"/>
  <c r="AQ74" i="47"/>
  <c r="Q99" i="21"/>
  <c r="Q168" i="21"/>
  <c r="AQ50" i="47"/>
  <c r="AQ64" i="47" s="1"/>
  <c r="Q34" i="21"/>
  <c r="CI38" i="47"/>
  <c r="M64" i="49"/>
  <c r="CJ37" i="47"/>
  <c r="R33" i="21"/>
  <c r="CI47" i="47"/>
  <c r="L74" i="49"/>
  <c r="R15" i="21" s="1"/>
  <c r="Q43" i="21"/>
  <c r="Q109" i="21" s="1"/>
  <c r="Q178" i="21" s="1"/>
  <c r="F4" i="55"/>
  <c r="AG64" i="47"/>
  <c r="AL75" i="47"/>
  <c r="BA34" i="47"/>
  <c r="BA39" i="47" s="1"/>
  <c r="BA30" i="47"/>
  <c r="BA62" i="47"/>
  <c r="AM62" i="47"/>
  <c r="AM64" i="47"/>
  <c r="AQ30" i="47"/>
  <c r="AQ62" i="47"/>
  <c r="AQ34" i="47"/>
  <c r="AQ39" i="47" s="1"/>
  <c r="BA64" i="47"/>
  <c r="V4" i="55"/>
  <c r="AO62" i="47"/>
  <c r="AO34" i="47"/>
  <c r="AO39" i="47" s="1"/>
  <c r="AO30" i="47"/>
  <c r="AH62" i="47"/>
  <c r="AH34" i="47"/>
  <c r="AH30" i="47"/>
  <c r="BC40" i="47"/>
  <c r="BC66" i="47"/>
  <c r="M4" i="55"/>
  <c r="AO64" i="47"/>
  <c r="BH62" i="47"/>
  <c r="BH30" i="47"/>
  <c r="BH34" i="47"/>
  <c r="BH39" i="47" s="1"/>
  <c r="BG125" i="1"/>
  <c r="BG99" i="1"/>
  <c r="BI95" i="1"/>
  <c r="BJ95" i="1"/>
  <c r="BC19" i="11"/>
  <c r="BG105" i="1"/>
  <c r="S23" i="5"/>
  <c r="S24" i="5" s="1"/>
  <c r="BJ66" i="1"/>
  <c r="BI66" i="1"/>
  <c r="BG65" i="1"/>
  <c r="BG97" i="1"/>
  <c r="BR15" i="11"/>
  <c r="S32" i="5"/>
  <c r="S15" i="5"/>
  <c r="S18" i="5"/>
  <c r="AF25" i="8"/>
  <c r="N26" i="4"/>
  <c r="P26" i="4"/>
  <c r="S167" i="21"/>
  <c r="S98" i="21"/>
  <c r="BR19" i="11"/>
  <c r="BR41" i="11"/>
  <c r="AA27" i="3"/>
  <c r="AB24" i="8"/>
  <c r="AD24" i="8" s="1"/>
  <c r="Y25" i="3"/>
  <c r="AC35" i="3"/>
  <c r="AE35" i="3" s="1"/>
  <c r="AJ28" i="3"/>
  <c r="AL35" i="3" s="1"/>
  <c r="BB64" i="48"/>
  <c r="AT64" i="48"/>
  <c r="BL50" i="48"/>
  <c r="BL26" i="48"/>
  <c r="BL49" i="48"/>
  <c r="AJ21" i="3"/>
  <c r="AC28" i="3"/>
  <c r="AE28" i="3" s="1"/>
  <c r="AB17" i="8"/>
  <c r="AD17" i="8" s="1"/>
  <c r="Y18" i="3"/>
  <c r="AA20" i="3"/>
  <c r="BT27" i="48"/>
  <c r="BT51" i="48"/>
  <c r="BT35" i="48"/>
  <c r="BU65" i="48"/>
  <c r="BP63" i="48"/>
  <c r="BP53" i="48"/>
  <c r="BP33" i="48"/>
  <c r="BQ63" i="48"/>
  <c r="BP49" i="48"/>
  <c r="BP26" i="48"/>
  <c r="BP50" i="48"/>
  <c r="AR64" i="48"/>
  <c r="BR55" i="48"/>
  <c r="BR36" i="48"/>
  <c r="BR64" i="48" s="1"/>
  <c r="AY36" i="48"/>
  <c r="AY55" i="48"/>
  <c r="BJ27" i="48"/>
  <c r="BJ35" i="48"/>
  <c r="BJ55" i="48" s="1"/>
  <c r="BJ51" i="48"/>
  <c r="BU36" i="48"/>
  <c r="BU55" i="48"/>
  <c r="BM35" i="48"/>
  <c r="BM27" i="48"/>
  <c r="BM51" i="48"/>
  <c r="BS50" i="48"/>
  <c r="BS26" i="48"/>
  <c r="BS49" i="48"/>
  <c r="BG50" i="48"/>
  <c r="BG49" i="48"/>
  <c r="BG26" i="48"/>
  <c r="BO27" i="48"/>
  <c r="BO51" i="48"/>
  <c r="BO35" i="48"/>
  <c r="BS53" i="48"/>
  <c r="BT63" i="48"/>
  <c r="BS33" i="48"/>
  <c r="BS63" i="48"/>
  <c r="BN67" i="11"/>
  <c r="N38" i="4"/>
  <c r="CB85" i="47"/>
  <c r="K40" i="30"/>
  <c r="T230" i="21"/>
  <c r="T83" i="21"/>
  <c r="T278" i="21"/>
  <c r="T152" i="21"/>
  <c r="T63" i="21"/>
  <c r="AH118" i="8"/>
  <c r="R118" i="8"/>
  <c r="AJ117" i="8"/>
  <c r="T117" i="8"/>
  <c r="D53" i="49"/>
  <c r="D61" i="49"/>
  <c r="CH31" i="47"/>
  <c r="CH41" i="47" s="1"/>
  <c r="CH42" i="47" s="1"/>
  <c r="CH43" i="47" s="1"/>
  <c r="P27" i="21"/>
  <c r="P93" i="21" s="1"/>
  <c r="P162" i="21" s="1"/>
  <c r="J71" i="49"/>
  <c r="P40" i="21" s="1"/>
  <c r="O119" i="21"/>
  <c r="O120" i="21"/>
  <c r="O126" i="21"/>
  <c r="O76" i="21"/>
  <c r="O118" i="21" s="1"/>
  <c r="O188" i="21"/>
  <c r="O194" i="21"/>
  <c r="O202" i="21" s="1"/>
  <c r="O187" i="21"/>
  <c r="J24" i="21"/>
  <c r="J56" i="21"/>
  <c r="J84" i="21"/>
  <c r="J123" i="21" s="1"/>
  <c r="AB34" i="11"/>
  <c r="L58" i="5"/>
  <c r="BM34" i="11"/>
  <c r="M55" i="5"/>
  <c r="M47" i="5"/>
  <c r="L65" i="30"/>
  <c r="L29" i="30"/>
  <c r="L8" i="31"/>
  <c r="BF75" i="47"/>
  <c r="BF64" i="47"/>
  <c r="Z4" i="55"/>
  <c r="O275" i="21"/>
  <c r="BS16" i="11"/>
  <c r="BS43" i="11" s="1"/>
  <c r="O226" i="21"/>
  <c r="BS45" i="11"/>
  <c r="BS14" i="11"/>
  <c r="D42" i="44"/>
  <c r="BS53" i="11"/>
  <c r="B53" i="49"/>
  <c r="B61" i="49"/>
  <c r="BF27" i="48"/>
  <c r="BF51" i="48"/>
  <c r="BF35" i="48"/>
  <c r="BF55" i="48" s="1"/>
  <c r="BG30" i="47"/>
  <c r="BG62" i="47"/>
  <c r="BG34" i="47"/>
  <c r="BG39" i="47" s="1"/>
  <c r="O250" i="21"/>
  <c r="O303" i="21" s="1"/>
  <c r="O302" i="21"/>
  <c r="AI62" i="47"/>
  <c r="AI30" i="47"/>
  <c r="AI34" i="47"/>
  <c r="AI39" i="47" s="1"/>
  <c r="BP344" i="46"/>
  <c r="BQ344" i="46"/>
  <c r="CB30" i="47"/>
  <c r="CB62" i="47"/>
  <c r="O37" i="30"/>
  <c r="O40" i="30" s="1"/>
  <c r="AV271" i="46"/>
  <c r="J121" i="21"/>
  <c r="AR58" i="11"/>
  <c r="BO135" i="46"/>
  <c r="BO301" i="46"/>
  <c r="BO119" i="46"/>
  <c r="BX33" i="46"/>
  <c r="Q38" i="4"/>
  <c r="CD85" i="47"/>
  <c r="BP67" i="11"/>
  <c r="AY34" i="47"/>
  <c r="AY39" i="47" s="1"/>
  <c r="AY30" i="47"/>
  <c r="AY62" i="47"/>
  <c r="BP164" i="46"/>
  <c r="BO168" i="46"/>
  <c r="BP168" i="46" s="1"/>
  <c r="BP158" i="46"/>
  <c r="BQ158" i="46"/>
  <c r="I18" i="4"/>
  <c r="I19" i="4" s="1"/>
  <c r="J177" i="21"/>
  <c r="J108" i="21"/>
  <c r="O80" i="21"/>
  <c r="O149" i="21"/>
  <c r="T33" i="5"/>
  <c r="R18" i="4"/>
  <c r="R19" i="4"/>
  <c r="H76" i="49"/>
  <c r="N44" i="21"/>
  <c r="H78" i="49"/>
  <c r="O133" i="21"/>
  <c r="O201" i="21" s="1"/>
  <c r="O66" i="21"/>
  <c r="O263" i="21"/>
  <c r="O58" i="21"/>
  <c r="BH271" i="46"/>
  <c r="BI271" i="46"/>
  <c r="BO36" i="11"/>
  <c r="BN36" i="11" s="1"/>
  <c r="BM36" i="11" s="1"/>
  <c r="BL36" i="11" s="1"/>
  <c r="BN35" i="11"/>
  <c r="BM35" i="11" s="1"/>
  <c r="BL35" i="11" s="1"/>
  <c r="H53" i="49"/>
  <c r="H55" i="49"/>
  <c r="AI58" i="9"/>
  <c r="AI64" i="9" s="1"/>
  <c r="H61" i="49"/>
  <c r="BF30" i="47"/>
  <c r="BF34" i="47"/>
  <c r="BF39" i="47" s="1"/>
  <c r="U39" i="30"/>
  <c r="U40" i="30" s="1"/>
  <c r="H108" i="21"/>
  <c r="H177" i="21"/>
  <c r="BL210" i="46"/>
  <c r="BK270" i="46"/>
  <c r="BG64" i="47"/>
  <c r="BG75" i="47"/>
  <c r="AA4" i="55"/>
  <c r="K41" i="30"/>
  <c r="K43" i="30" s="1"/>
  <c r="L35" i="30"/>
  <c r="L37" i="30" s="1"/>
  <c r="BO211" i="46"/>
  <c r="BP207" i="46"/>
  <c r="BO267" i="46"/>
  <c r="BQ207" i="46"/>
  <c r="Y43" i="3"/>
  <c r="Y42" i="3" s="1"/>
  <c r="H28" i="4"/>
  <c r="H32" i="4"/>
  <c r="BV99" i="47"/>
  <c r="H34" i="4"/>
  <c r="BG64" i="11"/>
  <c r="BG65" i="11" s="1"/>
  <c r="BG81" i="11"/>
  <c r="BV82" i="47"/>
  <c r="BV83" i="47" s="1"/>
  <c r="T23" i="5"/>
  <c r="T24" i="5" s="1"/>
  <c r="BS15" i="11"/>
  <c r="T18" i="5"/>
  <c r="BP66" i="11"/>
  <c r="CD84" i="47"/>
  <c r="Q35" i="4"/>
  <c r="CC85" i="47"/>
  <c r="P38" i="4"/>
  <c r="BO67" i="11"/>
  <c r="O145" i="21"/>
  <c r="O16" i="21"/>
  <c r="O55" i="21" s="1"/>
  <c r="O51" i="21"/>
  <c r="BH276" i="46"/>
  <c r="BG281" i="46"/>
  <c r="BL276" i="46"/>
  <c r="AU281" i="46"/>
  <c r="AV281" i="46" s="1"/>
  <c r="AV276" i="46"/>
  <c r="K35" i="53"/>
  <c r="I34" i="53"/>
  <c r="I35" i="53" s="1"/>
  <c r="BN36" i="48"/>
  <c r="BN55" i="48"/>
  <c r="CF29" i="47"/>
  <c r="CF61" i="47"/>
  <c r="CF60" i="47"/>
  <c r="AH34" i="11"/>
  <c r="CF65" i="47" l="1"/>
  <c r="CF50" i="47"/>
  <c r="CF74" i="47"/>
  <c r="AI65" i="47"/>
  <c r="AI50" i="47"/>
  <c r="AN74" i="47"/>
  <c r="U4" i="55"/>
  <c r="AY75" i="47"/>
  <c r="AY64" i="47"/>
  <c r="CA50" i="47"/>
  <c r="CA64" i="47" s="1"/>
  <c r="CA65" i="47"/>
  <c r="O298" i="21"/>
  <c r="O134" i="21"/>
  <c r="O322" i="21" s="1"/>
  <c r="R81" i="21"/>
  <c r="R150" i="21"/>
  <c r="AZ164" i="46"/>
  <c r="BD164" i="46"/>
  <c r="M81" i="21"/>
  <c r="M150" i="21"/>
  <c r="BB5" i="11"/>
  <c r="BA50" i="11"/>
  <c r="BA59" i="11"/>
  <c r="AN149" i="1"/>
  <c r="AO28" i="11"/>
  <c r="AO32" i="11"/>
  <c r="AO33" i="11" s="1"/>
  <c r="AO49" i="11"/>
  <c r="J100" i="21"/>
  <c r="J169" i="21"/>
  <c r="AB59" i="11"/>
  <c r="AK158" i="46"/>
  <c r="AJ158" i="46"/>
  <c r="AO158" i="46"/>
  <c r="AJ159" i="46"/>
  <c r="AK159" i="46"/>
  <c r="M55" i="21"/>
  <c r="M82" i="21"/>
  <c r="M121" i="21" s="1"/>
  <c r="M18" i="21"/>
  <c r="M54" i="21"/>
  <c r="BG184" i="1"/>
  <c r="BI174" i="1"/>
  <c r="BJ174" i="1"/>
  <c r="AU278" i="46"/>
  <c r="AV268" i="46"/>
  <c r="AW268" i="46"/>
  <c r="AU272" i="46"/>
  <c r="BA268" i="46"/>
  <c r="P149" i="1"/>
  <c r="Q149" i="1"/>
  <c r="AC175" i="1"/>
  <c r="AB175" i="1"/>
  <c r="AG175" i="1"/>
  <c r="L53" i="5"/>
  <c r="W58" i="9"/>
  <c r="W64" i="9" s="1"/>
  <c r="T178" i="1"/>
  <c r="AD46" i="47"/>
  <c r="AD48" i="47" s="1"/>
  <c r="AD26" i="47"/>
  <c r="AD59" i="47"/>
  <c r="AD72" i="47"/>
  <c r="AI72" i="47"/>
  <c r="AS207" i="46"/>
  <c r="AW207" i="46"/>
  <c r="AR207" i="46"/>
  <c r="AQ267" i="46"/>
  <c r="AQ211" i="46"/>
  <c r="AQ212" i="46"/>
  <c r="AR65" i="47"/>
  <c r="AW74" i="47"/>
  <c r="AR50" i="47"/>
  <c r="AW75" i="47" s="1"/>
  <c r="BD139" i="1"/>
  <c r="BD129" i="1"/>
  <c r="BE129" i="1"/>
  <c r="BD128" i="1"/>
  <c r="BE128" i="1"/>
  <c r="BD138" i="1"/>
  <c r="BD109" i="1"/>
  <c r="BE109" i="1"/>
  <c r="AR209" i="46"/>
  <c r="AQ269" i="46"/>
  <c r="AW209" i="46"/>
  <c r="BL32" i="11"/>
  <c r="BL49" i="11"/>
  <c r="BL38" i="11"/>
  <c r="BL50" i="11" s="1"/>
  <c r="BE344" i="46"/>
  <c r="AZ344" i="46"/>
  <c r="BA344" i="46"/>
  <c r="AW49" i="11"/>
  <c r="AW32" i="11"/>
  <c r="AW33" i="11" s="1"/>
  <c r="AW58" i="11" s="1"/>
  <c r="AW28" i="11"/>
  <c r="BO276" i="46"/>
  <c r="BP276" i="46" s="1"/>
  <c r="BQ266" i="46"/>
  <c r="BP266" i="46"/>
  <c r="AJ128" i="1"/>
  <c r="AJ138" i="1"/>
  <c r="AO156" i="46"/>
  <c r="AM209" i="46"/>
  <c r="AN156" i="46"/>
  <c r="BC74" i="47"/>
  <c r="AX65" i="47"/>
  <c r="AX50" i="47"/>
  <c r="BA145" i="1"/>
  <c r="AY175" i="1"/>
  <c r="AY155" i="1"/>
  <c r="BD155" i="1" s="1"/>
  <c r="AZ145" i="1"/>
  <c r="AY149" i="1"/>
  <c r="BB28" i="11"/>
  <c r="BB49" i="11"/>
  <c r="BB32" i="11"/>
  <c r="BB33" i="11" s="1"/>
  <c r="BB58" i="11" s="1"/>
  <c r="D179" i="1"/>
  <c r="I179" i="1"/>
  <c r="H169" i="21"/>
  <c r="H100" i="21"/>
  <c r="AJ210" i="46"/>
  <c r="AO210" i="46" s="1"/>
  <c r="AK210" i="46"/>
  <c r="AC58" i="9"/>
  <c r="AC64" i="9" s="1"/>
  <c r="P53" i="5"/>
  <c r="AA58" i="9"/>
  <c r="AA64" i="9" s="1"/>
  <c r="P55" i="5"/>
  <c r="Q56" i="5" s="1"/>
  <c r="O53" i="5"/>
  <c r="O55" i="5"/>
  <c r="BA178" i="1"/>
  <c r="AY188" i="1"/>
  <c r="BD188" i="1" s="1"/>
  <c r="AZ178" i="1"/>
  <c r="M301" i="21"/>
  <c r="AR345" i="46"/>
  <c r="AS345" i="46"/>
  <c r="AW345" i="46"/>
  <c r="BD210" i="46"/>
  <c r="BC270" i="46"/>
  <c r="AN303" i="46"/>
  <c r="AO303" i="46"/>
  <c r="AT47" i="11"/>
  <c r="AT48" i="11"/>
  <c r="AT26" i="11"/>
  <c r="AS59" i="11"/>
  <c r="AS50" i="11"/>
  <c r="X175" i="1"/>
  <c r="Y175" i="1"/>
  <c r="W179" i="1"/>
  <c r="J15" i="21"/>
  <c r="J43" i="21"/>
  <c r="J109" i="21" s="1"/>
  <c r="J178" i="21" s="1"/>
  <c r="CB47" i="47"/>
  <c r="CB48" i="47" s="1"/>
  <c r="D75" i="49"/>
  <c r="BI143" i="1"/>
  <c r="BG148" i="1"/>
  <c r="BJ143" i="1"/>
  <c r="BG173" i="1"/>
  <c r="BG153" i="1"/>
  <c r="K239" i="21"/>
  <c r="K243" i="21"/>
  <c r="K244" i="21" s="1"/>
  <c r="L261" i="21" s="1"/>
  <c r="AH39" i="47"/>
  <c r="AH66" i="47" s="1"/>
  <c r="C47" i="49"/>
  <c r="I42" i="21"/>
  <c r="AJ39" i="47"/>
  <c r="AJ66" i="47" s="1"/>
  <c r="AH74" i="47"/>
  <c r="AM74" i="47"/>
  <c r="AY65" i="47"/>
  <c r="AW270" i="46"/>
  <c r="AR270" i="46"/>
  <c r="AS270" i="46"/>
  <c r="AJ48" i="11"/>
  <c r="AJ47" i="11"/>
  <c r="AJ26" i="11"/>
  <c r="BK277" i="46"/>
  <c r="BM267" i="46"/>
  <c r="BK272" i="46"/>
  <c r="BL267" i="46"/>
  <c r="BK271" i="46"/>
  <c r="AR148" i="1"/>
  <c r="AS148" i="1"/>
  <c r="AW148" i="1"/>
  <c r="AN148" i="1"/>
  <c r="AN173" i="1"/>
  <c r="AM179" i="1"/>
  <c r="AM178" i="1"/>
  <c r="L188" i="1"/>
  <c r="BL268" i="46"/>
  <c r="BK278" i="46"/>
  <c r="BM268" i="46"/>
  <c r="W26" i="11"/>
  <c r="W47" i="11"/>
  <c r="W48" i="11"/>
  <c r="H18" i="39"/>
  <c r="B32" i="39"/>
  <c r="B22" i="39"/>
  <c r="I18" i="39"/>
  <c r="B33" i="39"/>
  <c r="I31" i="39"/>
  <c r="H31" i="39"/>
  <c r="AK345" i="46"/>
  <c r="AJ345" i="46"/>
  <c r="AO345" i="46"/>
  <c r="N264" i="21"/>
  <c r="N323" i="21"/>
  <c r="P337" i="44"/>
  <c r="AV212" i="46"/>
  <c r="S10" i="4"/>
  <c r="R12" i="4"/>
  <c r="R13" i="4" s="1"/>
  <c r="R11" i="4"/>
  <c r="AS146" i="1"/>
  <c r="AR146" i="1"/>
  <c r="AQ176" i="1"/>
  <c r="O178" i="1"/>
  <c r="U178" i="1" s="1"/>
  <c r="O183" i="1"/>
  <c r="Q173" i="1"/>
  <c r="O179" i="1"/>
  <c r="P173" i="1"/>
  <c r="U173" i="1"/>
  <c r="T184" i="1"/>
  <c r="S188" i="1"/>
  <c r="S189" i="1"/>
  <c r="U149" i="1"/>
  <c r="AJ343" i="46"/>
  <c r="AK343" i="46"/>
  <c r="AW176" i="1"/>
  <c r="AV176" i="1"/>
  <c r="AU186" i="1"/>
  <c r="BO50" i="11"/>
  <c r="BP59" i="11"/>
  <c r="BC155" i="1"/>
  <c r="BI155" i="1" s="1"/>
  <c r="BC175" i="1"/>
  <c r="BD145" i="1"/>
  <c r="BE145" i="1"/>
  <c r="AX84" i="47"/>
  <c r="Y29" i="10"/>
  <c r="AR66" i="11"/>
  <c r="AB32" i="11"/>
  <c r="AB49" i="11"/>
  <c r="AR29" i="47"/>
  <c r="AR60" i="47"/>
  <c r="AR61" i="47"/>
  <c r="AI179" i="1"/>
  <c r="AJ179" i="1" s="1"/>
  <c r="AJ175" i="1"/>
  <c r="AS156" i="46"/>
  <c r="AR115" i="3"/>
  <c r="AQ115" i="3"/>
  <c r="AY266" i="46"/>
  <c r="AY211" i="46"/>
  <c r="BE206" i="46"/>
  <c r="AY212" i="46"/>
  <c r="BA206" i="46"/>
  <c r="AZ206" i="46"/>
  <c r="W26" i="47"/>
  <c r="W59" i="47"/>
  <c r="AB72" i="47"/>
  <c r="W46" i="47"/>
  <c r="W48" i="47" s="1"/>
  <c r="AZ345" i="46"/>
  <c r="BA345" i="46"/>
  <c r="BE345" i="46"/>
  <c r="BQ5" i="11"/>
  <c r="AX50" i="11"/>
  <c r="AX59" i="11"/>
  <c r="AV50" i="11"/>
  <c r="AV59" i="11"/>
  <c r="BC5" i="11"/>
  <c r="BN49" i="11"/>
  <c r="BN38" i="11"/>
  <c r="BN32" i="11"/>
  <c r="BN33" i="11" s="1"/>
  <c r="M297" i="21"/>
  <c r="AR344" i="46"/>
  <c r="AS344" i="46"/>
  <c r="AW344" i="46"/>
  <c r="BC184" i="1"/>
  <c r="BI184" i="1" s="1"/>
  <c r="BD174" i="1"/>
  <c r="BE174" i="1"/>
  <c r="BD268" i="46"/>
  <c r="BC278" i="46"/>
  <c r="BD278" i="46" s="1"/>
  <c r="BE268" i="46"/>
  <c r="AA29" i="10"/>
  <c r="AY84" i="47"/>
  <c r="AS66" i="11"/>
  <c r="AG39" i="47"/>
  <c r="BI128" i="1"/>
  <c r="BI138" i="1"/>
  <c r="BJ128" i="1"/>
  <c r="BH281" i="46"/>
  <c r="O301" i="21"/>
  <c r="AY267" i="46"/>
  <c r="AZ207" i="46"/>
  <c r="BA207" i="46"/>
  <c r="BE207" i="46"/>
  <c r="AJ59" i="11"/>
  <c r="AJ50" i="11"/>
  <c r="BM211" i="46"/>
  <c r="BL211" i="46"/>
  <c r="BQ211" i="46" s="1"/>
  <c r="AR149" i="1"/>
  <c r="AS149" i="1"/>
  <c r="AR177" i="1"/>
  <c r="AS177" i="1"/>
  <c r="AO267" i="46"/>
  <c r="AN267" i="46"/>
  <c r="AM271" i="46"/>
  <c r="AM272" i="46"/>
  <c r="BA26" i="11"/>
  <c r="BA48" i="11"/>
  <c r="BA47" i="11"/>
  <c r="AW149" i="1"/>
  <c r="AJ126" i="1"/>
  <c r="AI146" i="1"/>
  <c r="AJ136" i="1"/>
  <c r="AO126" i="1"/>
  <c r="BQ56" i="11"/>
  <c r="BQ22" i="11"/>
  <c r="BQ46" i="11"/>
  <c r="AJ65" i="47"/>
  <c r="AJ50" i="47"/>
  <c r="BC281" i="46"/>
  <c r="BH277" i="46"/>
  <c r="BC282" i="46"/>
  <c r="N134" i="21"/>
  <c r="N322" i="21" s="1"/>
  <c r="BM38" i="11"/>
  <c r="BM49" i="11"/>
  <c r="BM32" i="11"/>
  <c r="AI49" i="11"/>
  <c r="AI32" i="11"/>
  <c r="AY177" i="1"/>
  <c r="AZ147" i="1"/>
  <c r="AY157" i="1"/>
  <c r="BA147" i="1"/>
  <c r="AI212" i="46"/>
  <c r="AJ207" i="46"/>
  <c r="AO207" i="46" s="1"/>
  <c r="AI211" i="46"/>
  <c r="AK207" i="46"/>
  <c r="R39" i="5"/>
  <c r="R44" i="5"/>
  <c r="R42" i="5"/>
  <c r="AW177" i="1"/>
  <c r="BG278" i="46"/>
  <c r="BI268" i="46"/>
  <c r="BH268" i="46"/>
  <c r="BG272" i="46"/>
  <c r="BG270" i="46"/>
  <c r="BH210" i="46"/>
  <c r="BI210" i="46"/>
  <c r="M53" i="5"/>
  <c r="Y58" i="9"/>
  <c r="Y64" i="9" s="1"/>
  <c r="AR159" i="46"/>
  <c r="AS159" i="46"/>
  <c r="I10" i="31"/>
  <c r="H11" i="31"/>
  <c r="H14" i="31" s="1"/>
  <c r="M298" i="21"/>
  <c r="BC153" i="1"/>
  <c r="BI153" i="1" s="1"/>
  <c r="BD143" i="1"/>
  <c r="BE143" i="1"/>
  <c r="BC149" i="1"/>
  <c r="BC173" i="1"/>
  <c r="BC148" i="1"/>
  <c r="P186" i="1"/>
  <c r="L186" i="1"/>
  <c r="AO159" i="46"/>
  <c r="BE158" i="46"/>
  <c r="BA158" i="46"/>
  <c r="AZ158" i="46"/>
  <c r="AZ159" i="46"/>
  <c r="BA159" i="46"/>
  <c r="BE159" i="46"/>
  <c r="BA343" i="46"/>
  <c r="AZ343" i="46"/>
  <c r="BE343" i="46"/>
  <c r="AI173" i="1"/>
  <c r="AO173" i="1" s="1"/>
  <c r="AI148" i="1"/>
  <c r="AJ148" i="1" s="1"/>
  <c r="AI149" i="1"/>
  <c r="AJ149" i="1" s="1"/>
  <c r="AJ143" i="1"/>
  <c r="AN268" i="46"/>
  <c r="AO268" i="46"/>
  <c r="AS268" i="46"/>
  <c r="AS175" i="1"/>
  <c r="AR175" i="1"/>
  <c r="BA129" i="1"/>
  <c r="AZ129" i="1"/>
  <c r="AZ139" i="1"/>
  <c r="AC72" i="47"/>
  <c r="AC46" i="47"/>
  <c r="AC48" i="47" s="1"/>
  <c r="AH72" i="47"/>
  <c r="AC59" i="47"/>
  <c r="AC26" i="47"/>
  <c r="H183" i="1"/>
  <c r="C189" i="1"/>
  <c r="H189" i="1" s="1"/>
  <c r="C188" i="1"/>
  <c r="H188" i="1" s="1"/>
  <c r="BC186" i="1"/>
  <c r="BD176" i="1"/>
  <c r="BZ47" i="47"/>
  <c r="BZ48" i="47" s="1"/>
  <c r="H43" i="21"/>
  <c r="B75" i="49"/>
  <c r="AA179" i="1"/>
  <c r="M134" i="21"/>
  <c r="M322" i="21" s="1"/>
  <c r="AS303" i="46"/>
  <c r="N55" i="21"/>
  <c r="N82" i="21"/>
  <c r="N62" i="21"/>
  <c r="N18" i="21"/>
  <c r="N54" i="21"/>
  <c r="AG32" i="11"/>
  <c r="AG33" i="11" s="1"/>
  <c r="AL58" i="11" s="1"/>
  <c r="AG49" i="11"/>
  <c r="AY156" i="1"/>
  <c r="BD156" i="1" s="1"/>
  <c r="AZ146" i="1"/>
  <c r="AY176" i="1"/>
  <c r="AT50" i="11"/>
  <c r="AT59" i="11"/>
  <c r="X50" i="47"/>
  <c r="X64" i="47" s="1"/>
  <c r="X65" i="47"/>
  <c r="BD137" i="1"/>
  <c r="BE127" i="1"/>
  <c r="BD127" i="1"/>
  <c r="BC147" i="1"/>
  <c r="AZ157" i="46"/>
  <c r="AY167" i="46"/>
  <c r="AZ167" i="46" s="1"/>
  <c r="BA157" i="46"/>
  <c r="AY210" i="46"/>
  <c r="AG28" i="11"/>
  <c r="BM210" i="46"/>
  <c r="K130" i="21"/>
  <c r="O297" i="21"/>
  <c r="AF31" i="8"/>
  <c r="K4" i="55"/>
  <c r="K7" i="55" s="1"/>
  <c r="G7" i="55" s="1"/>
  <c r="N198" i="21"/>
  <c r="BD50" i="47"/>
  <c r="BI74" i="47"/>
  <c r="AX74" i="47"/>
  <c r="AJ74" i="47"/>
  <c r="Z59" i="47"/>
  <c r="Z46" i="47"/>
  <c r="Z48" i="47" s="1"/>
  <c r="Z26" i="47"/>
  <c r="AZ109" i="1"/>
  <c r="BA109" i="1"/>
  <c r="G11" i="32"/>
  <c r="G14" i="32" s="1"/>
  <c r="H8" i="32"/>
  <c r="H11" i="32" s="1"/>
  <c r="H14" i="32" s="1"/>
  <c r="AR173" i="1"/>
  <c r="AS173" i="1"/>
  <c r="AQ178" i="1"/>
  <c r="AQ179" i="1"/>
  <c r="AW173" i="1"/>
  <c r="BJ108" i="1"/>
  <c r="BI108" i="1"/>
  <c r="BH169" i="46"/>
  <c r="Z38" i="11"/>
  <c r="Z46" i="11"/>
  <c r="Z22" i="11"/>
  <c r="AE56" i="11"/>
  <c r="AO143" i="1"/>
  <c r="M264" i="21"/>
  <c r="M324" i="21" s="1"/>
  <c r="M323" i="21"/>
  <c r="M249" i="21"/>
  <c r="M299" i="21" s="1"/>
  <c r="M229" i="21"/>
  <c r="BI269" i="46"/>
  <c r="BE269" i="46"/>
  <c r="BC279" i="46"/>
  <c r="BD269" i="46"/>
  <c r="N297" i="21"/>
  <c r="Y32" i="11"/>
  <c r="Y49" i="11"/>
  <c r="Y46" i="47"/>
  <c r="Y48" i="47" s="1"/>
  <c r="Y26" i="47"/>
  <c r="Y59" i="47"/>
  <c r="P148" i="1"/>
  <c r="Q148" i="1"/>
  <c r="K344" i="44"/>
  <c r="K335" i="44"/>
  <c r="L333" i="44"/>
  <c r="K38" i="44"/>
  <c r="K39" i="44" s="1"/>
  <c r="K40" i="44"/>
  <c r="K334" i="44"/>
  <c r="E40" i="39"/>
  <c r="C31" i="39"/>
  <c r="G31" i="39" s="1"/>
  <c r="C18" i="39"/>
  <c r="G18" i="39" s="1"/>
  <c r="W50" i="10"/>
  <c r="W68" i="10"/>
  <c r="T179" i="1"/>
  <c r="U179" i="1"/>
  <c r="BI212" i="46"/>
  <c r="BH212" i="46"/>
  <c r="BM212" i="46" s="1"/>
  <c r="AY32" i="11"/>
  <c r="AY33" i="11" s="1"/>
  <c r="AY49" i="11"/>
  <c r="AY28" i="11"/>
  <c r="N81" i="21"/>
  <c r="N150" i="21"/>
  <c r="AZ156" i="1"/>
  <c r="AR158" i="46"/>
  <c r="AW158" i="46"/>
  <c r="AS158" i="46"/>
  <c r="BE108" i="1"/>
  <c r="BD108" i="1"/>
  <c r="BL167" i="46"/>
  <c r="AN176" i="1"/>
  <c r="AR121" i="3"/>
  <c r="AP128" i="3"/>
  <c r="AP122" i="3"/>
  <c r="AY168" i="46"/>
  <c r="AZ163" i="46"/>
  <c r="BD163" i="46"/>
  <c r="AY169" i="46"/>
  <c r="AZ169" i="46" s="1"/>
  <c r="AO59" i="11"/>
  <c r="AX26" i="11"/>
  <c r="AX48" i="11"/>
  <c r="AX47" i="11"/>
  <c r="AV48" i="11"/>
  <c r="AV47" i="11"/>
  <c r="AV26" i="11"/>
  <c r="AJ129" i="1"/>
  <c r="AJ139" i="1"/>
  <c r="AN177" i="1"/>
  <c r="AO177" i="1"/>
  <c r="D178" i="1"/>
  <c r="I178" i="1"/>
  <c r="AC29" i="10"/>
  <c r="B21" i="32"/>
  <c r="AV66" i="11"/>
  <c r="BA84" i="47"/>
  <c r="B21" i="31"/>
  <c r="AE49" i="11"/>
  <c r="AE32" i="11"/>
  <c r="AF178" i="1"/>
  <c r="AG178" i="1"/>
  <c r="AW175" i="1"/>
  <c r="AB178" i="1"/>
  <c r="AC178" i="1"/>
  <c r="AA33" i="3"/>
  <c r="AJ33" i="3" s="1"/>
  <c r="AB30" i="8"/>
  <c r="AD30" i="8" s="1"/>
  <c r="AA32" i="3"/>
  <c r="J19" i="30"/>
  <c r="J63" i="30" s="1"/>
  <c r="K14" i="30"/>
  <c r="J65" i="30"/>
  <c r="AR343" i="46"/>
  <c r="AW343" i="46"/>
  <c r="AS343" i="46"/>
  <c r="N249" i="21"/>
  <c r="N299" i="21" s="1"/>
  <c r="N298" i="21"/>
  <c r="BD167" i="46"/>
  <c r="AN342" i="46"/>
  <c r="AM343" i="46"/>
  <c r="AO342" i="46"/>
  <c r="N53" i="5"/>
  <c r="N55" i="5"/>
  <c r="BN28" i="11"/>
  <c r="AS48" i="11"/>
  <c r="AS26" i="11"/>
  <c r="AS47" i="11"/>
  <c r="X29" i="47"/>
  <c r="X61" i="47"/>
  <c r="X60" i="47"/>
  <c r="Y149" i="1"/>
  <c r="X149" i="1"/>
  <c r="AW159" i="46"/>
  <c r="BE107" i="1"/>
  <c r="BD107" i="1"/>
  <c r="AJ72" i="47"/>
  <c r="AE26" i="47"/>
  <c r="AE46" i="47"/>
  <c r="AE48" i="47" s="1"/>
  <c r="AE59" i="47"/>
  <c r="AE72" i="47"/>
  <c r="AJ209" i="46"/>
  <c r="AK209" i="46"/>
  <c r="L122" i="21"/>
  <c r="L190" i="21"/>
  <c r="O122" i="21"/>
  <c r="O190" i="21"/>
  <c r="H84" i="21"/>
  <c r="H123" i="21" s="1"/>
  <c r="H24" i="21"/>
  <c r="H56" i="21"/>
  <c r="K84" i="21"/>
  <c r="K123" i="21" s="1"/>
  <c r="K306" i="21" s="1"/>
  <c r="J305" i="21"/>
  <c r="J285" i="21"/>
  <c r="M274" i="21"/>
  <c r="M316" i="21" s="1"/>
  <c r="M273" i="21"/>
  <c r="N269" i="21"/>
  <c r="K317" i="21"/>
  <c r="K293" i="21"/>
  <c r="K319" i="21" s="1"/>
  <c r="K304" i="21"/>
  <c r="K279" i="21"/>
  <c r="K281" i="21" s="1"/>
  <c r="K285" i="21" s="1"/>
  <c r="L271" i="21"/>
  <c r="L277" i="21"/>
  <c r="BZ30" i="47"/>
  <c r="J253" i="21"/>
  <c r="J237" i="21"/>
  <c r="P106" i="21"/>
  <c r="P175" i="21"/>
  <c r="P181" i="21"/>
  <c r="P129" i="21"/>
  <c r="P112" i="21"/>
  <c r="BQ135" i="46"/>
  <c r="BP135" i="46"/>
  <c r="BP145" i="46"/>
  <c r="BP119" i="46"/>
  <c r="BQ119" i="46"/>
  <c r="K56" i="21"/>
  <c r="K307" i="21" s="1"/>
  <c r="AI64" i="47"/>
  <c r="H4" i="55"/>
  <c r="AN75" i="47"/>
  <c r="AS64" i="47"/>
  <c r="CL36" i="47"/>
  <c r="I46" i="49"/>
  <c r="I52" i="49" s="1"/>
  <c r="BH64" i="47"/>
  <c r="AM30" i="47"/>
  <c r="AV75" i="47"/>
  <c r="BH75" i="47"/>
  <c r="L54" i="8"/>
  <c r="E15" i="31"/>
  <c r="E17" i="31" s="1"/>
  <c r="E29" i="31" s="1"/>
  <c r="E15" i="32"/>
  <c r="E17" i="32" s="1"/>
  <c r="E29" i="32" s="1"/>
  <c r="AY65" i="11"/>
  <c r="BG83" i="47"/>
  <c r="CC62" i="47"/>
  <c r="CC34" i="47"/>
  <c r="CC39" i="47" s="1"/>
  <c r="CC40" i="47" s="1"/>
  <c r="CC76" i="47" s="1"/>
  <c r="U32" i="21"/>
  <c r="CM36" i="47"/>
  <c r="AQ75" i="47"/>
  <c r="CG59" i="47"/>
  <c r="AT64" i="47"/>
  <c r="AT75" i="47"/>
  <c r="CG72" i="47"/>
  <c r="AG75" i="47"/>
  <c r="P4" i="55"/>
  <c r="CG46" i="47"/>
  <c r="CG48" i="47" s="1"/>
  <c r="CG74" i="47" s="1"/>
  <c r="AB64" i="47"/>
  <c r="AS75" i="47"/>
  <c r="BI30" i="47"/>
  <c r="BI34" i="47"/>
  <c r="BI39" i="47" s="1"/>
  <c r="BI62" i="47"/>
  <c r="Y4" i="55"/>
  <c r="AH12" i="55" s="1"/>
  <c r="AH13" i="55" s="1"/>
  <c r="BD64" i="47"/>
  <c r="AX40" i="47"/>
  <c r="AX66" i="47"/>
  <c r="AV34" i="47"/>
  <c r="AV39" i="47" s="1"/>
  <c r="AV30" i="47"/>
  <c r="AV62" i="47"/>
  <c r="J7" i="55"/>
  <c r="F7" i="55" s="1"/>
  <c r="AN62" i="47"/>
  <c r="AN30" i="47"/>
  <c r="AN34" i="47"/>
  <c r="AN39" i="47" s="1"/>
  <c r="BI75" i="47"/>
  <c r="BI64" i="47"/>
  <c r="AC4" i="55"/>
  <c r="AC12" i="55" s="1"/>
  <c r="AC14" i="55" s="1"/>
  <c r="W4" i="55"/>
  <c r="AA7" i="55" s="1"/>
  <c r="AA9" i="55" s="1"/>
  <c r="BB64" i="47"/>
  <c r="BB75" i="47"/>
  <c r="R4" i="55"/>
  <c r="V18" i="55" s="1"/>
  <c r="AV64" i="47"/>
  <c r="AL40" i="47"/>
  <c r="AL66" i="47"/>
  <c r="AW34" i="47"/>
  <c r="AW39" i="47" s="1"/>
  <c r="AW30" i="47"/>
  <c r="AW62" i="47"/>
  <c r="AJ40" i="47"/>
  <c r="BB34" i="47"/>
  <c r="BB39" i="47" s="1"/>
  <c r="BB30" i="47"/>
  <c r="BB62" i="47"/>
  <c r="AW64" i="47"/>
  <c r="S4" i="55"/>
  <c r="BD62" i="47"/>
  <c r="BD34" i="47"/>
  <c r="BD39" i="47" s="1"/>
  <c r="BD30" i="47"/>
  <c r="BD75" i="47"/>
  <c r="AT62" i="47"/>
  <c r="AT30" i="47"/>
  <c r="AT34" i="47"/>
  <c r="AT39" i="47" s="1"/>
  <c r="AN64" i="47"/>
  <c r="L4" i="55"/>
  <c r="AS62" i="47"/>
  <c r="AS30" i="47"/>
  <c r="AS34" i="47"/>
  <c r="AS39" i="47" s="1"/>
  <c r="AB30" i="47"/>
  <c r="AB34" i="47"/>
  <c r="AB39" i="47" s="1"/>
  <c r="AB62" i="47"/>
  <c r="BS289" i="46"/>
  <c r="BP41" i="47" s="1" a="1"/>
  <c r="BS176" i="46"/>
  <c r="I73" i="49"/>
  <c r="I75" i="49" s="1"/>
  <c r="O58" i="9"/>
  <c r="O64" i="9" s="1"/>
  <c r="G53" i="5"/>
  <c r="O9" i="10"/>
  <c r="O29" i="10" s="1"/>
  <c r="T44" i="4"/>
  <c r="T45" i="4" s="1"/>
  <c r="BF47" i="11"/>
  <c r="BF26" i="11"/>
  <c r="BF48" i="11"/>
  <c r="D231" i="21"/>
  <c r="D252" i="21"/>
  <c r="D246" i="21"/>
  <c r="D279" i="21"/>
  <c r="D293" i="21"/>
  <c r="E319" i="21" s="1"/>
  <c r="D304" i="21"/>
  <c r="E262" i="21"/>
  <c r="D56" i="21"/>
  <c r="D24" i="21"/>
  <c r="D84" i="21"/>
  <c r="I260" i="21"/>
  <c r="I252" i="21"/>
  <c r="J260" i="21"/>
  <c r="I246" i="21"/>
  <c r="I231" i="21"/>
  <c r="M108" i="21"/>
  <c r="M177" i="21"/>
  <c r="K90" i="21"/>
  <c r="K26" i="21"/>
  <c r="K92" i="21" s="1"/>
  <c r="K161" i="21" s="1"/>
  <c r="K159" i="21"/>
  <c r="C78" i="49"/>
  <c r="I44" i="21"/>
  <c r="I110" i="21" s="1"/>
  <c r="I179" i="21" s="1"/>
  <c r="C76" i="49"/>
  <c r="I317" i="21"/>
  <c r="J317" i="21"/>
  <c r="I279" i="21"/>
  <c r="I293" i="21"/>
  <c r="I304" i="21"/>
  <c r="L42" i="21"/>
  <c r="F75" i="49"/>
  <c r="L198" i="21"/>
  <c r="L189" i="21"/>
  <c r="L153" i="21"/>
  <c r="L191" i="21" s="1"/>
  <c r="T32" i="21"/>
  <c r="T167" i="21" s="1"/>
  <c r="G55" i="49"/>
  <c r="H56" i="49" s="1"/>
  <c r="AG58" i="9"/>
  <c r="AG64" i="9" s="1"/>
  <c r="G61" i="49"/>
  <c r="G53" i="49"/>
  <c r="I84" i="21"/>
  <c r="I123" i="21" s="1"/>
  <c r="I24" i="21"/>
  <c r="I56" i="21"/>
  <c r="H237" i="21"/>
  <c r="H243" i="21" s="1"/>
  <c r="H253" i="21"/>
  <c r="CD60" i="47"/>
  <c r="CD61" i="47"/>
  <c r="CD29" i="47"/>
  <c r="CA30" i="47"/>
  <c r="CA62" i="47"/>
  <c r="H285" i="21"/>
  <c r="H305" i="21"/>
  <c r="CE64" i="47"/>
  <c r="AI4" i="55"/>
  <c r="C61" i="49"/>
  <c r="C53" i="49"/>
  <c r="F52" i="49"/>
  <c r="F47" i="49"/>
  <c r="F50" i="49"/>
  <c r="I121" i="21"/>
  <c r="I130" i="21"/>
  <c r="CE34" i="47"/>
  <c r="CE39" i="47" s="1"/>
  <c r="CE30" i="47"/>
  <c r="CE62" i="47"/>
  <c r="L82" i="21"/>
  <c r="M62" i="21"/>
  <c r="L62" i="21"/>
  <c r="L18" i="21"/>
  <c r="L54" i="21"/>
  <c r="I153" i="21"/>
  <c r="I191" i="21" s="1"/>
  <c r="I189" i="21"/>
  <c r="I198" i="21"/>
  <c r="J198" i="21"/>
  <c r="K30" i="21"/>
  <c r="E66" i="49"/>
  <c r="CE74" i="47"/>
  <c r="CD50" i="47"/>
  <c r="CD74" i="47"/>
  <c r="CD65" i="47"/>
  <c r="G78" i="49"/>
  <c r="G76" i="49"/>
  <c r="M44" i="21"/>
  <c r="M110" i="21" s="1"/>
  <c r="M179" i="21" s="1"/>
  <c r="K47" i="21"/>
  <c r="K113" i="21" s="1"/>
  <c r="K182" i="21" s="1"/>
  <c r="E79" i="49"/>
  <c r="I108" i="21"/>
  <c r="I177" i="21"/>
  <c r="S157" i="46"/>
  <c r="T147" i="46"/>
  <c r="U117" i="46"/>
  <c r="T117" i="46"/>
  <c r="D55" i="5"/>
  <c r="E56" i="5" s="1"/>
  <c r="D47" i="5"/>
  <c r="D53" i="5"/>
  <c r="I9" i="10"/>
  <c r="I29" i="10" s="1"/>
  <c r="I58" i="9"/>
  <c r="I64" i="9" s="1"/>
  <c r="T147" i="1"/>
  <c r="S177" i="1"/>
  <c r="T177" i="1" s="1"/>
  <c r="AH49" i="3"/>
  <c r="AH50" i="3" s="1"/>
  <c r="C49" i="3"/>
  <c r="G49" i="3" s="1"/>
  <c r="O49" i="3" s="1"/>
  <c r="U49" i="3"/>
  <c r="BH46" i="11"/>
  <c r="BH22" i="11"/>
  <c r="BH56" i="11"/>
  <c r="AC24" i="46"/>
  <c r="X137" i="1"/>
  <c r="Y127" i="1"/>
  <c r="W147" i="1"/>
  <c r="X127" i="1"/>
  <c r="S166" i="46"/>
  <c r="X166" i="46" s="1"/>
  <c r="T156" i="46"/>
  <c r="U156" i="46"/>
  <c r="X45" i="46"/>
  <c r="Y45" i="46"/>
  <c r="W117" i="46"/>
  <c r="I52" i="5"/>
  <c r="W150" i="1"/>
  <c r="I45" i="5"/>
  <c r="U43" i="3"/>
  <c r="W43" i="3" s="1"/>
  <c r="W42" i="3"/>
  <c r="F54" i="21"/>
  <c r="F18" i="21"/>
  <c r="F82" i="21"/>
  <c r="F63" i="21"/>
  <c r="F320" i="21" s="1"/>
  <c r="F321" i="21" s="1"/>
  <c r="T126" i="1"/>
  <c r="T136" i="1"/>
  <c r="U126" i="1"/>
  <c r="S146" i="1"/>
  <c r="Y106" i="1"/>
  <c r="X106" i="1"/>
  <c r="F249" i="21"/>
  <c r="F229" i="21"/>
  <c r="E48" i="5"/>
  <c r="Y116" i="46"/>
  <c r="X116" i="46"/>
  <c r="W156" i="46"/>
  <c r="X146" i="46"/>
  <c r="H177" i="1"/>
  <c r="G187" i="1"/>
  <c r="F296" i="21"/>
  <c r="F277" i="21"/>
  <c r="Y96" i="1"/>
  <c r="W126" i="1"/>
  <c r="X96" i="1"/>
  <c r="E26" i="21"/>
  <c r="E92" i="21" s="1"/>
  <c r="E161" i="21" s="1"/>
  <c r="E90" i="21"/>
  <c r="E159" i="21" s="1"/>
  <c r="G277" i="21"/>
  <c r="G296" i="21"/>
  <c r="C277" i="21"/>
  <c r="C296" i="21"/>
  <c r="AG24" i="1"/>
  <c r="AC24" i="1"/>
  <c r="BI46" i="11"/>
  <c r="BI22" i="11"/>
  <c r="BI56" i="11"/>
  <c r="BJ56" i="11"/>
  <c r="AF156" i="46"/>
  <c r="AG156" i="46"/>
  <c r="AK156" i="46"/>
  <c r="AK117" i="46"/>
  <c r="AF117" i="46"/>
  <c r="AF147" i="46"/>
  <c r="AE157" i="46"/>
  <c r="L127" i="1"/>
  <c r="K147" i="1"/>
  <c r="M127" i="1"/>
  <c r="L137" i="1"/>
  <c r="Q127" i="1"/>
  <c r="K167" i="46"/>
  <c r="P167" i="46" s="1"/>
  <c r="L157" i="46"/>
  <c r="M157" i="46"/>
  <c r="Q157" i="46"/>
  <c r="AC116" i="46"/>
  <c r="AB146" i="46"/>
  <c r="AB116" i="46"/>
  <c r="AA156" i="46"/>
  <c r="E50" i="10"/>
  <c r="E68" i="10"/>
  <c r="AE177" i="1"/>
  <c r="AF147" i="1"/>
  <c r="BE22" i="11"/>
  <c r="BE46" i="11"/>
  <c r="BF56" i="11"/>
  <c r="BG38" i="11"/>
  <c r="BG49" i="11"/>
  <c r="BG32" i="11"/>
  <c r="BG28" i="11"/>
  <c r="AB45" i="46"/>
  <c r="AC45" i="46"/>
  <c r="AA117" i="46"/>
  <c r="U56" i="3"/>
  <c r="W63" i="3" s="1"/>
  <c r="C56" i="3"/>
  <c r="G56" i="3" s="1"/>
  <c r="O56" i="3" s="1"/>
  <c r="AH56" i="3"/>
  <c r="AH57" i="3" s="1"/>
  <c r="AC96" i="1"/>
  <c r="AB96" i="1"/>
  <c r="AA126" i="1"/>
  <c r="AG126" i="1" s="1"/>
  <c r="C82" i="21"/>
  <c r="C54" i="21"/>
  <c r="C18" i="21"/>
  <c r="D63" i="21"/>
  <c r="D320" i="21" s="1"/>
  <c r="D321" i="21" s="1"/>
  <c r="U64" i="3"/>
  <c r="E253" i="21"/>
  <c r="E237" i="21"/>
  <c r="G229" i="21"/>
  <c r="G249" i="21"/>
  <c r="AB106" i="1"/>
  <c r="AC106" i="1"/>
  <c r="F52" i="5"/>
  <c r="F45" i="5"/>
  <c r="K150" i="1"/>
  <c r="AF126" i="1"/>
  <c r="AE146" i="1"/>
  <c r="AF136" i="1"/>
  <c r="K68" i="10"/>
  <c r="K71" i="10" s="1"/>
  <c r="K50" i="10"/>
  <c r="E305" i="21"/>
  <c r="E285" i="21"/>
  <c r="C249" i="21"/>
  <c r="C229" i="21"/>
  <c r="G82" i="21"/>
  <c r="G63" i="21"/>
  <c r="G320" i="21" s="1"/>
  <c r="G321" i="21" s="1"/>
  <c r="G18" i="21"/>
  <c r="G54" i="21"/>
  <c r="H62" i="21"/>
  <c r="C187" i="1"/>
  <c r="D177" i="1"/>
  <c r="I177" i="1"/>
  <c r="G58" i="9"/>
  <c r="G64" i="9" s="1"/>
  <c r="C53" i="5"/>
  <c r="C47" i="5"/>
  <c r="G9" i="10"/>
  <c r="G29" i="10" s="1"/>
  <c r="C55" i="5"/>
  <c r="J45" i="5"/>
  <c r="AA150" i="1"/>
  <c r="J52" i="5"/>
  <c r="X44" i="5"/>
  <c r="AA147" i="1"/>
  <c r="AG147" i="1" s="1"/>
  <c r="AB137" i="1"/>
  <c r="AC127" i="1"/>
  <c r="AB127" i="1"/>
  <c r="BJ49" i="11"/>
  <c r="BJ32" i="11"/>
  <c r="BJ28" i="11"/>
  <c r="BJ38" i="11"/>
  <c r="AG106" i="1"/>
  <c r="P177" i="1"/>
  <c r="O187" i="1"/>
  <c r="N4" i="55"/>
  <c r="N7" i="55" s="1"/>
  <c r="N9" i="55" s="1"/>
  <c r="J9" i="55" s="1"/>
  <c r="F9" i="55" s="1"/>
  <c r="Q169" i="21"/>
  <c r="Q100" i="21"/>
  <c r="N64" i="49"/>
  <c r="O64" i="49" s="1"/>
  <c r="S33" i="21"/>
  <c r="CK37" i="47"/>
  <c r="R168" i="21"/>
  <c r="R99" i="21"/>
  <c r="CJ47" i="47"/>
  <c r="R43" i="21"/>
  <c r="R109" i="21" s="1"/>
  <c r="R178" i="21" s="1"/>
  <c r="M74" i="49"/>
  <c r="S15" i="21" s="1"/>
  <c r="BH40" i="47"/>
  <c r="BH66" i="47"/>
  <c r="AF24" i="8"/>
  <c r="AH40" i="47"/>
  <c r="AQ40" i="47"/>
  <c r="AQ66" i="47"/>
  <c r="AB16" i="55"/>
  <c r="AB7" i="55"/>
  <c r="AB9" i="55" s="1"/>
  <c r="AM40" i="47"/>
  <c r="AM66" i="47"/>
  <c r="Q7" i="55"/>
  <c r="Q9" i="55" s="1"/>
  <c r="M9" i="55" s="1"/>
  <c r="I9" i="55" s="1"/>
  <c r="AO40" i="47"/>
  <c r="AO66" i="47"/>
  <c r="BA40" i="47"/>
  <c r="BA66" i="47"/>
  <c r="BR55" i="11"/>
  <c r="BR42" i="11"/>
  <c r="BG127" i="1"/>
  <c r="BJ97" i="1"/>
  <c r="BI97" i="1"/>
  <c r="BG107" i="1"/>
  <c r="BI65" i="1"/>
  <c r="BG96" i="1"/>
  <c r="BJ65" i="1"/>
  <c r="BI105" i="1"/>
  <c r="BJ105" i="1"/>
  <c r="BG109" i="1"/>
  <c r="BI99" i="1"/>
  <c r="BJ99" i="1"/>
  <c r="S38" i="5"/>
  <c r="S39" i="5" s="1"/>
  <c r="S33" i="5"/>
  <c r="BC38" i="11"/>
  <c r="BC46" i="11"/>
  <c r="BC22" i="11"/>
  <c r="BC56" i="11"/>
  <c r="BI125" i="1"/>
  <c r="BJ125" i="1"/>
  <c r="BG135" i="1"/>
  <c r="BG129" i="1"/>
  <c r="BR46" i="11"/>
  <c r="BR56" i="11"/>
  <c r="BR22" i="11"/>
  <c r="BR47" i="11" s="1"/>
  <c r="AL28" i="3"/>
  <c r="AA25" i="3"/>
  <c r="AB23" i="8"/>
  <c r="AD23" i="8" s="1"/>
  <c r="AF30" i="8" s="1"/>
  <c r="AA26" i="3"/>
  <c r="AC34" i="3"/>
  <c r="AE34" i="3" s="1"/>
  <c r="AJ27" i="3"/>
  <c r="AL34" i="3" s="1"/>
  <c r="BL27" i="48"/>
  <c r="BL51" i="48"/>
  <c r="BL35" i="48"/>
  <c r="AJ20" i="3"/>
  <c r="AC27" i="3"/>
  <c r="AE27" i="3" s="1"/>
  <c r="AB16" i="8"/>
  <c r="AD16" i="8" s="1"/>
  <c r="AA18" i="3"/>
  <c r="AA19" i="3"/>
  <c r="BG27" i="48"/>
  <c r="BG35" i="48"/>
  <c r="BG55" i="48" s="1"/>
  <c r="BG51" i="48"/>
  <c r="BS27" i="48"/>
  <c r="BS51" i="48"/>
  <c r="BS35" i="48"/>
  <c r="BM36" i="48"/>
  <c r="BM55" i="48"/>
  <c r="BU64" i="48"/>
  <c r="AY64" i="48"/>
  <c r="BD64" i="48"/>
  <c r="BP54" i="48"/>
  <c r="BP65" i="48"/>
  <c r="BQ65" i="48"/>
  <c r="BO36" i="48"/>
  <c r="BO55" i="48"/>
  <c r="BP35" i="48"/>
  <c r="BP51" i="48"/>
  <c r="BP27" i="48"/>
  <c r="BS65" i="48"/>
  <c r="BS54" i="48"/>
  <c r="BT65" i="48"/>
  <c r="BT36" i="48"/>
  <c r="BT55" i="48"/>
  <c r="BS42" i="11"/>
  <c r="BS55" i="11"/>
  <c r="H37" i="4"/>
  <c r="H29" i="4"/>
  <c r="H42" i="4" s="1"/>
  <c r="O323" i="21"/>
  <c r="O264" i="21"/>
  <c r="I25" i="4"/>
  <c r="I26" i="4" s="1"/>
  <c r="I22" i="4"/>
  <c r="I23" i="4" s="1"/>
  <c r="I20" i="4"/>
  <c r="AI40" i="47"/>
  <c r="AI66" i="47"/>
  <c r="H27" i="21"/>
  <c r="BL34" i="11"/>
  <c r="W34" i="11"/>
  <c r="L55" i="5"/>
  <c r="L47" i="5"/>
  <c r="W80" i="10"/>
  <c r="BO277" i="46"/>
  <c r="BO271" i="46"/>
  <c r="BQ267" i="46"/>
  <c r="BP267" i="46"/>
  <c r="N47" i="21"/>
  <c r="H79" i="49"/>
  <c r="CE81" i="47"/>
  <c r="CE100" i="47" s="1"/>
  <c r="I107" i="3"/>
  <c r="S15" i="4"/>
  <c r="BQ63" i="11"/>
  <c r="BQ82" i="11" s="1"/>
  <c r="P35" i="30"/>
  <c r="O41" i="30"/>
  <c r="O43" i="30" s="1"/>
  <c r="B66" i="49"/>
  <c r="H30" i="21"/>
  <c r="BS41" i="11"/>
  <c r="BS19" i="11"/>
  <c r="M8" i="31"/>
  <c r="BM33" i="11"/>
  <c r="BM28" i="11"/>
  <c r="AJ4" i="55"/>
  <c r="CF64" i="47"/>
  <c r="CF75" i="47"/>
  <c r="AI34" i="11"/>
  <c r="AH28" i="11"/>
  <c r="AH33" i="11"/>
  <c r="O62" i="21"/>
  <c r="O18" i="21"/>
  <c r="O54" i="21"/>
  <c r="O82" i="21"/>
  <c r="BV84" i="47"/>
  <c r="BG66" i="11"/>
  <c r="AB40" i="8"/>
  <c r="AD40" i="8" s="1"/>
  <c r="AF40" i="8" s="1"/>
  <c r="Y41" i="3"/>
  <c r="BK280" i="46"/>
  <c r="BM270" i="46"/>
  <c r="BL270" i="46"/>
  <c r="N30" i="21"/>
  <c r="H66" i="49"/>
  <c r="BW81" i="47"/>
  <c r="BW100" i="47" s="1"/>
  <c r="BH63" i="11"/>
  <c r="BH82" i="11" s="1"/>
  <c r="I31" i="4"/>
  <c r="J15" i="4"/>
  <c r="AY40" i="47"/>
  <c r="AY66" i="47"/>
  <c r="BO155" i="46"/>
  <c r="BO139" i="46"/>
  <c r="U7" i="55"/>
  <c r="U9" i="55" s="1"/>
  <c r="BG40" i="47"/>
  <c r="BG66" i="47"/>
  <c r="AC34" i="11"/>
  <c r="AB28" i="11"/>
  <c r="AB33" i="11"/>
  <c r="J26" i="21"/>
  <c r="J90" i="21"/>
  <c r="J159" i="21"/>
  <c r="CF62" i="47"/>
  <c r="CF30" i="47"/>
  <c r="CF34" i="47"/>
  <c r="CF39" i="47" s="1"/>
  <c r="BQ301" i="46"/>
  <c r="BP301" i="46"/>
  <c r="BO341" i="46"/>
  <c r="BO305" i="46"/>
  <c r="Z7" i="55"/>
  <c r="Z9" i="55" s="1"/>
  <c r="Z18" i="55"/>
  <c r="Z16" i="55"/>
  <c r="D66" i="49"/>
  <c r="J30" i="21"/>
  <c r="O186" i="21"/>
  <c r="O151" i="21"/>
  <c r="BP211" i="46"/>
  <c r="L40" i="30"/>
  <c r="M40" i="30" s="1"/>
  <c r="L41" i="30"/>
  <c r="L43" i="30" s="1"/>
  <c r="L63" i="30" s="1"/>
  <c r="BF66" i="47"/>
  <c r="BF40" i="47"/>
  <c r="AY66" i="11"/>
  <c r="E21" i="32"/>
  <c r="E21" i="31"/>
  <c r="BG84" i="47"/>
  <c r="AI29" i="10"/>
  <c r="R22" i="4"/>
  <c r="R23" i="4" s="1"/>
  <c r="R20" i="4"/>
  <c r="R25" i="4"/>
  <c r="R26" i="4" s="1"/>
  <c r="P290" i="21"/>
  <c r="P240" i="21"/>
  <c r="P291" i="21" s="1"/>
  <c r="CG29" i="47"/>
  <c r="CG61" i="47"/>
  <c r="CG60" i="47"/>
  <c r="S81" i="21" l="1"/>
  <c r="S150" i="21"/>
  <c r="Y29" i="47"/>
  <c r="Y60" i="47"/>
  <c r="Y61" i="47"/>
  <c r="BZ65" i="47"/>
  <c r="BZ50" i="47"/>
  <c r="BZ64" i="47" s="1"/>
  <c r="BD148" i="1"/>
  <c r="BE148" i="1"/>
  <c r="BC158" i="1"/>
  <c r="BI270" i="46"/>
  <c r="BG280" i="46"/>
  <c r="BH270" i="46"/>
  <c r="AK212" i="46"/>
  <c r="AJ212" i="46"/>
  <c r="AO212" i="46" s="1"/>
  <c r="AJ64" i="47"/>
  <c r="I4" i="55"/>
  <c r="M7" i="55" s="1"/>
  <c r="I7" i="55" s="1"/>
  <c r="AO75" i="47"/>
  <c r="W50" i="47"/>
  <c r="W65" i="47"/>
  <c r="AB74" i="47"/>
  <c r="O189" i="1"/>
  <c r="P189" i="1" s="1"/>
  <c r="O188" i="1"/>
  <c r="P188" i="1" s="1"/>
  <c r="P183" i="1"/>
  <c r="T183" i="1"/>
  <c r="H33" i="39"/>
  <c r="I33" i="39"/>
  <c r="H46" i="39"/>
  <c r="H45" i="39"/>
  <c r="H47" i="39" s="1"/>
  <c r="H48" i="39"/>
  <c r="H32" i="39"/>
  <c r="I32" i="39"/>
  <c r="W32" i="11"/>
  <c r="W49" i="11"/>
  <c r="AN179" i="1"/>
  <c r="AO179" i="1"/>
  <c r="AJ49" i="11"/>
  <c r="AJ32" i="11"/>
  <c r="AT49" i="11"/>
  <c r="AT28" i="11"/>
  <c r="AT32" i="11"/>
  <c r="AT33" i="11" s="1"/>
  <c r="AY58" i="11" s="1"/>
  <c r="AO209" i="46"/>
  <c r="AM269" i="46"/>
  <c r="AN209" i="46"/>
  <c r="AR269" i="46"/>
  <c r="AS269" i="46"/>
  <c r="AW269" i="46"/>
  <c r="AG58" i="11"/>
  <c r="AR122" i="3"/>
  <c r="AQ122" i="3"/>
  <c r="AR179" i="1"/>
  <c r="AS179" i="1"/>
  <c r="AW179" i="1"/>
  <c r="BE173" i="1"/>
  <c r="BC179" i="1"/>
  <c r="BC183" i="1"/>
  <c r="BC178" i="1"/>
  <c r="BD173" i="1"/>
  <c r="J10" i="31"/>
  <c r="I11" i="31"/>
  <c r="I14" i="31" s="1"/>
  <c r="BM50" i="11"/>
  <c r="BM59" i="11"/>
  <c r="AG40" i="47"/>
  <c r="AL76" i="47" s="1"/>
  <c r="AG66" i="47"/>
  <c r="BO59" i="11"/>
  <c r="BN50" i="11"/>
  <c r="BN59" i="11"/>
  <c r="AY272" i="46"/>
  <c r="AY271" i="46"/>
  <c r="BA266" i="46"/>
  <c r="AZ266" i="46"/>
  <c r="BE266" i="46"/>
  <c r="AY276" i="46"/>
  <c r="BG158" i="1"/>
  <c r="BI148" i="1"/>
  <c r="BJ148" i="1"/>
  <c r="AD65" i="47"/>
  <c r="AD50" i="47"/>
  <c r="AD74" i="47"/>
  <c r="AV272" i="46"/>
  <c r="M24" i="21"/>
  <c r="M56" i="21"/>
  <c r="M307" i="21" s="1"/>
  <c r="M84" i="21"/>
  <c r="M123" i="21" s="1"/>
  <c r="M306" i="21" s="1"/>
  <c r="AI74" i="47"/>
  <c r="H187" i="1"/>
  <c r="CA75" i="47"/>
  <c r="AE29" i="47"/>
  <c r="AE61" i="47"/>
  <c r="AE60" i="47"/>
  <c r="K15" i="30"/>
  <c r="M15" i="30" s="1"/>
  <c r="K19" i="30"/>
  <c r="B26" i="31"/>
  <c r="B36" i="31"/>
  <c r="AC50" i="10"/>
  <c r="AC80" i="10" s="1"/>
  <c r="AC68" i="10"/>
  <c r="AC71" i="10" s="1"/>
  <c r="AV49" i="11"/>
  <c r="AV32" i="11"/>
  <c r="AV33" i="11" s="1"/>
  <c r="AV58" i="11" s="1"/>
  <c r="AV28" i="11"/>
  <c r="AR128" i="3"/>
  <c r="AP135" i="3"/>
  <c r="AP129" i="3"/>
  <c r="W69" i="10"/>
  <c r="W71" i="10"/>
  <c r="L344" i="44"/>
  <c r="L38" i="44"/>
  <c r="L39" i="44" s="1"/>
  <c r="M333" i="44"/>
  <c r="L335" i="44"/>
  <c r="L40" i="44"/>
  <c r="L334" i="44"/>
  <c r="M260" i="21"/>
  <c r="M246" i="21"/>
  <c r="M262" i="21" s="1"/>
  <c r="M231" i="21"/>
  <c r="M252" i="21"/>
  <c r="Z50" i="11"/>
  <c r="AE59" i="11"/>
  <c r="AR178" i="1"/>
  <c r="AS178" i="1"/>
  <c r="AW178" i="1"/>
  <c r="Z65" i="47"/>
  <c r="Z50" i="47"/>
  <c r="Z64" i="47" s="1"/>
  <c r="N84" i="21"/>
  <c r="N123" i="21" s="1"/>
  <c r="N306" i="21" s="1"/>
  <c r="N24" i="21"/>
  <c r="N56" i="21"/>
  <c r="B76" i="49"/>
  <c r="B78" i="49"/>
  <c r="H44" i="21"/>
  <c r="H110" i="21" s="1"/>
  <c r="H179" i="21" s="1"/>
  <c r="AC74" i="47"/>
  <c r="AC65" i="47"/>
  <c r="AC50" i="47"/>
  <c r="BE149" i="1"/>
  <c r="BD149" i="1"/>
  <c r="BC159" i="1"/>
  <c r="BI159" i="1" s="1"/>
  <c r="AJ211" i="46"/>
  <c r="AO211" i="46" s="1"/>
  <c r="AK211" i="46"/>
  <c r="BD157" i="1"/>
  <c r="AZ157" i="1"/>
  <c r="AN271" i="46"/>
  <c r="AO271" i="46"/>
  <c r="BA212" i="46"/>
  <c r="AZ212" i="46"/>
  <c r="BE212" i="46" s="1"/>
  <c r="T188" i="1"/>
  <c r="P179" i="1"/>
  <c r="Q179" i="1"/>
  <c r="AR176" i="1"/>
  <c r="AS176" i="1"/>
  <c r="Q337" i="44"/>
  <c r="BL278" i="46"/>
  <c r="BJ278" i="46"/>
  <c r="AO148" i="1"/>
  <c r="J81" i="21"/>
  <c r="J55" i="21"/>
  <c r="J122" i="21" s="1"/>
  <c r="AZ175" i="1"/>
  <c r="BA175" i="1"/>
  <c r="AY185" i="1"/>
  <c r="BD185" i="1" s="1"/>
  <c r="AY179" i="1"/>
  <c r="AJ32" i="3"/>
  <c r="AJ36" i="3" s="1"/>
  <c r="AA36" i="3"/>
  <c r="AZ168" i="46"/>
  <c r="BD168" i="46"/>
  <c r="C22" i="39"/>
  <c r="C32" i="39"/>
  <c r="G32" i="39" s="1"/>
  <c r="C33" i="39"/>
  <c r="G33" i="39" s="1"/>
  <c r="Z47" i="11"/>
  <c r="Z26" i="11"/>
  <c r="Z48" i="11"/>
  <c r="AZ210" i="46"/>
  <c r="BA210" i="46"/>
  <c r="AY270" i="46"/>
  <c r="BC177" i="1"/>
  <c r="BE147" i="1"/>
  <c r="BD147" i="1"/>
  <c r="BC157" i="1"/>
  <c r="AY186" i="1"/>
  <c r="BD186" i="1" s="1"/>
  <c r="AZ176" i="1"/>
  <c r="BA176" i="1"/>
  <c r="N108" i="21"/>
  <c r="N110" i="21" s="1"/>
  <c r="N113" i="21" s="1"/>
  <c r="N130" i="21"/>
  <c r="N121" i="21"/>
  <c r="BH278" i="46"/>
  <c r="BG282" i="46"/>
  <c r="BH282" i="46" s="1"/>
  <c r="AZ177" i="1"/>
  <c r="AY187" i="1"/>
  <c r="BA177" i="1"/>
  <c r="BA28" i="11"/>
  <c r="BA49" i="11"/>
  <c r="BA32" i="11"/>
  <c r="BA33" i="11" s="1"/>
  <c r="BE267" i="46"/>
  <c r="AY277" i="46"/>
  <c r="AZ267" i="46"/>
  <c r="BA267" i="46"/>
  <c r="AA50" i="10"/>
  <c r="AA80" i="10" s="1"/>
  <c r="AA68" i="10"/>
  <c r="AA71" i="10" s="1"/>
  <c r="AZ211" i="46"/>
  <c r="BE211" i="46" s="1"/>
  <c r="BA211" i="46"/>
  <c r="CB50" i="47"/>
  <c r="CB65" i="47"/>
  <c r="T4" i="55"/>
  <c r="BC75" i="47"/>
  <c r="AX64" i="47"/>
  <c r="AR64" i="47"/>
  <c r="AR75" i="47"/>
  <c r="O4" i="55"/>
  <c r="O7" i="55" s="1"/>
  <c r="O9" i="55" s="1"/>
  <c r="K9" i="55" s="1"/>
  <c r="G9" i="55" s="1"/>
  <c r="AR211" i="46"/>
  <c r="AW211" i="46" s="1"/>
  <c r="AS211" i="46"/>
  <c r="AD61" i="47"/>
  <c r="AD60" i="47"/>
  <c r="AD29" i="47"/>
  <c r="AV278" i="46"/>
  <c r="AZ278" i="46"/>
  <c r="AU282" i="46"/>
  <c r="AV282" i="46" s="1"/>
  <c r="AX75" i="47"/>
  <c r="AE74" i="47"/>
  <c r="AE65" i="47"/>
  <c r="AE50" i="47"/>
  <c r="AS49" i="11"/>
  <c r="AS28" i="11"/>
  <c r="AS32" i="11"/>
  <c r="AS33" i="11" s="1"/>
  <c r="AS58" i="11" s="1"/>
  <c r="B36" i="32"/>
  <c r="B26" i="32"/>
  <c r="Y65" i="47"/>
  <c r="Y50" i="47"/>
  <c r="Y64" i="47" s="1"/>
  <c r="Z60" i="47"/>
  <c r="Z29" i="47"/>
  <c r="Z61" i="47"/>
  <c r="N122" i="21"/>
  <c r="N190" i="21"/>
  <c r="AB179" i="1"/>
  <c r="AC179" i="1"/>
  <c r="BH272" i="46"/>
  <c r="BI272" i="46"/>
  <c r="AN272" i="46"/>
  <c r="AO272" i="46"/>
  <c r="T189" i="1"/>
  <c r="Q178" i="1"/>
  <c r="P178" i="1"/>
  <c r="N256" i="21"/>
  <c r="N220" i="21" s="1"/>
  <c r="N324" i="21"/>
  <c r="BL272" i="46"/>
  <c r="BM272" i="46"/>
  <c r="BC280" i="46"/>
  <c r="BD270" i="46"/>
  <c r="BE270" i="46"/>
  <c r="AW267" i="46"/>
  <c r="AR267" i="46"/>
  <c r="AS267" i="46"/>
  <c r="AQ272" i="46"/>
  <c r="AQ271" i="46"/>
  <c r="AT58" i="11"/>
  <c r="BD169" i="46"/>
  <c r="AJ75" i="47"/>
  <c r="X34" i="47"/>
  <c r="X39" i="47" s="1"/>
  <c r="X30" i="47"/>
  <c r="X62" i="47"/>
  <c r="AO343" i="46"/>
  <c r="AN343" i="46"/>
  <c r="AX32" i="11"/>
  <c r="AX33" i="11" s="1"/>
  <c r="AX58" i="11" s="1"/>
  <c r="AX49" i="11"/>
  <c r="AX28" i="11"/>
  <c r="BH279" i="46"/>
  <c r="BD279" i="46"/>
  <c r="H109" i="21"/>
  <c r="H178" i="21"/>
  <c r="BE176" i="1"/>
  <c r="AC61" i="47"/>
  <c r="AC60" i="47"/>
  <c r="AC29" i="47"/>
  <c r="AJ173" i="1"/>
  <c r="AI178" i="1"/>
  <c r="AJ178" i="1" s="1"/>
  <c r="R52" i="5"/>
  <c r="R47" i="5"/>
  <c r="R48" i="5" s="1"/>
  <c r="R45" i="5"/>
  <c r="BQ26" i="11"/>
  <c r="BQ47" i="11"/>
  <c r="BQ48" i="11"/>
  <c r="AJ146" i="1"/>
  <c r="AI176" i="1"/>
  <c r="AO146" i="1"/>
  <c r="W29" i="47"/>
  <c r="W60" i="47"/>
  <c r="W61" i="47"/>
  <c r="AR34" i="47"/>
  <c r="AR39" i="47" s="1"/>
  <c r="AR62" i="47"/>
  <c r="AR30" i="47"/>
  <c r="Y68" i="10"/>
  <c r="Y71" i="10" s="1"/>
  <c r="Y50" i="10"/>
  <c r="Y80" i="10" s="1"/>
  <c r="BC185" i="1"/>
  <c r="BD175" i="1"/>
  <c r="BE175" i="1"/>
  <c r="AZ186" i="1"/>
  <c r="T10" i="4"/>
  <c r="S12" i="4"/>
  <c r="S13" i="4" s="1"/>
  <c r="G22" i="39"/>
  <c r="I22" i="39"/>
  <c r="B34" i="39"/>
  <c r="H22" i="39"/>
  <c r="B25" i="39"/>
  <c r="AN178" i="1"/>
  <c r="AO178" i="1"/>
  <c r="BM271" i="46"/>
  <c r="BL271" i="46"/>
  <c r="BK282" i="46"/>
  <c r="BL282" i="46" s="1"/>
  <c r="BK281" i="46"/>
  <c r="BL281" i="46" s="1"/>
  <c r="BL277" i="46"/>
  <c r="BJ277" i="46"/>
  <c r="BG183" i="1"/>
  <c r="BI173" i="1"/>
  <c r="BJ173" i="1"/>
  <c r="BG178" i="1"/>
  <c r="D78" i="49"/>
  <c r="J44" i="21"/>
  <c r="J110" i="21" s="1"/>
  <c r="J179" i="21" s="1"/>
  <c r="D76" i="49"/>
  <c r="Y179" i="1"/>
  <c r="X179" i="1"/>
  <c r="BE210" i="46"/>
  <c r="AY159" i="1"/>
  <c r="BD159" i="1" s="1"/>
  <c r="AZ149" i="1"/>
  <c r="BA149" i="1"/>
  <c r="AS209" i="46"/>
  <c r="AR212" i="46"/>
  <c r="AW212" i="46" s="1"/>
  <c r="AS212" i="46"/>
  <c r="M190" i="21"/>
  <c r="M122" i="21"/>
  <c r="AO149" i="1"/>
  <c r="BD5" i="11"/>
  <c r="BO4" i="11" s="1"/>
  <c r="AI75" i="47"/>
  <c r="H90" i="21"/>
  <c r="H159" i="21"/>
  <c r="M277" i="21"/>
  <c r="M271" i="21"/>
  <c r="L293" i="21"/>
  <c r="L319" i="21" s="1"/>
  <c r="L317" i="21"/>
  <c r="L279" i="21"/>
  <c r="L281" i="21" s="1"/>
  <c r="L285" i="21" s="1"/>
  <c r="L304" i="21"/>
  <c r="O269" i="21"/>
  <c r="N273" i="21"/>
  <c r="N274" i="21"/>
  <c r="N316" i="21" s="1"/>
  <c r="CC66" i="47"/>
  <c r="J243" i="21"/>
  <c r="J244" i="21" s="1"/>
  <c r="K261" i="21" s="1"/>
  <c r="J239" i="21"/>
  <c r="BP139" i="46"/>
  <c r="BQ139" i="46"/>
  <c r="L7" i="55"/>
  <c r="H7" i="55" s="1"/>
  <c r="U33" i="21"/>
  <c r="CM37" i="47"/>
  <c r="I50" i="49"/>
  <c r="I47" i="49"/>
  <c r="BR41" i="47"/>
  <c r="BQ41" i="47"/>
  <c r="BS41" i="47"/>
  <c r="BP41" i="47"/>
  <c r="BS177" i="46"/>
  <c r="BS197" i="46" s="1"/>
  <c r="L58" i="49" s="1"/>
  <c r="M58" i="49" s="1"/>
  <c r="N58" i="49" s="1"/>
  <c r="O58" i="49" s="1"/>
  <c r="BP31" i="47" a="1"/>
  <c r="O42" i="21"/>
  <c r="CG50" i="47"/>
  <c r="CG75" i="47" s="1"/>
  <c r="CG65" i="47"/>
  <c r="T98" i="21"/>
  <c r="U167" i="21"/>
  <c r="U98" i="21"/>
  <c r="P7" i="55"/>
  <c r="P9" i="55" s="1"/>
  <c r="L9" i="55" s="1"/>
  <c r="H9" i="55" s="1"/>
  <c r="Y18" i="55"/>
  <c r="V7" i="55"/>
  <c r="V9" i="55" s="1"/>
  <c r="Y7" i="55"/>
  <c r="Y9" i="55" s="1"/>
  <c r="AA18" i="55"/>
  <c r="AQ76" i="47"/>
  <c r="AS40" i="47"/>
  <c r="AX76" i="47" s="1"/>
  <c r="AS66" i="47"/>
  <c r="AT66" i="47"/>
  <c r="AT40" i="47"/>
  <c r="AV40" i="47"/>
  <c r="AV76" i="47" s="1"/>
  <c r="AV66" i="47"/>
  <c r="W7" i="55"/>
  <c r="W9" i="55" s="1"/>
  <c r="W18" i="55"/>
  <c r="AN66" i="47"/>
  <c r="AN40" i="47"/>
  <c r="AA16" i="55"/>
  <c r="W12" i="55"/>
  <c r="W14" i="55" s="1"/>
  <c r="AB40" i="47"/>
  <c r="AB66" i="47"/>
  <c r="BD66" i="47"/>
  <c r="BD40" i="47"/>
  <c r="BD76" i="47" s="1"/>
  <c r="C41" i="39" s="1"/>
  <c r="BG129" i="47"/>
  <c r="BG130" i="47" s="1"/>
  <c r="BG131" i="47" s="1"/>
  <c r="BI40" i="47"/>
  <c r="BI66" i="47"/>
  <c r="AA12" i="55"/>
  <c r="AA14" i="55" s="1"/>
  <c r="AB26" i="55"/>
  <c r="AB27" i="55" s="1"/>
  <c r="BC76" i="47"/>
  <c r="BB66" i="47"/>
  <c r="BB40" i="47"/>
  <c r="BG76" i="47" s="1"/>
  <c r="AW66" i="47"/>
  <c r="AW40" i="47"/>
  <c r="AC7" i="55"/>
  <c r="AC9" i="55" s="1"/>
  <c r="AC16" i="55"/>
  <c r="BF28" i="11"/>
  <c r="BF32" i="11"/>
  <c r="BF38" i="11"/>
  <c r="BF50" i="11" s="1"/>
  <c r="BF49" i="11"/>
  <c r="U177" i="1"/>
  <c r="D285" i="21"/>
  <c r="D305" i="21"/>
  <c r="O50" i="10"/>
  <c r="O80" i="10" s="1"/>
  <c r="O68" i="10"/>
  <c r="O71" i="10" s="1"/>
  <c r="D26" i="21"/>
  <c r="D92" i="21" s="1"/>
  <c r="D161" i="21" s="1"/>
  <c r="D90" i="21"/>
  <c r="D159" i="21" s="1"/>
  <c r="D237" i="21"/>
  <c r="D253" i="21"/>
  <c r="CE66" i="47"/>
  <c r="CE40" i="47"/>
  <c r="I90" i="21"/>
  <c r="I26" i="21"/>
  <c r="I159" i="21"/>
  <c r="E67" i="49"/>
  <c r="K36" i="21" s="1"/>
  <c r="K35" i="21"/>
  <c r="K101" i="21" s="1"/>
  <c r="E69" i="49"/>
  <c r="K38" i="21" s="1"/>
  <c r="C66" i="49"/>
  <c r="I30" i="21"/>
  <c r="G66" i="49"/>
  <c r="M30" i="21"/>
  <c r="L44" i="21"/>
  <c r="L110" i="21" s="1"/>
  <c r="L179" i="21" s="1"/>
  <c r="F76" i="49"/>
  <c r="F78" i="49"/>
  <c r="I285" i="21"/>
  <c r="I305" i="21"/>
  <c r="CE75" i="47"/>
  <c r="CD64" i="47"/>
  <c r="CD75" i="47"/>
  <c r="M130" i="21"/>
  <c r="L121" i="21"/>
  <c r="L130" i="21"/>
  <c r="F61" i="49"/>
  <c r="F53" i="49"/>
  <c r="F55" i="49"/>
  <c r="F56" i="49" s="1"/>
  <c r="CD62" i="47"/>
  <c r="CD34" i="47"/>
  <c r="CD39" i="47" s="1"/>
  <c r="CD30" i="47"/>
  <c r="G56" i="49"/>
  <c r="I253" i="21"/>
  <c r="I237" i="21"/>
  <c r="K165" i="21"/>
  <c r="K96" i="21"/>
  <c r="L108" i="21"/>
  <c r="L177" i="21"/>
  <c r="C79" i="49"/>
  <c r="I47" i="21"/>
  <c r="I113" i="21" s="1"/>
  <c r="I182" i="21" s="1"/>
  <c r="M47" i="21"/>
  <c r="G79" i="49"/>
  <c r="L56" i="21"/>
  <c r="L307" i="21" s="1"/>
  <c r="L24" i="21"/>
  <c r="L84" i="21"/>
  <c r="L123" i="21" s="1"/>
  <c r="L306" i="21" s="1"/>
  <c r="I319" i="21"/>
  <c r="J319" i="21"/>
  <c r="J262" i="21"/>
  <c r="I262" i="21"/>
  <c r="U50" i="3"/>
  <c r="W50" i="3" s="1"/>
  <c r="W49" i="3"/>
  <c r="F84" i="21"/>
  <c r="F24" i="21"/>
  <c r="F56" i="21"/>
  <c r="F279" i="21"/>
  <c r="F293" i="21"/>
  <c r="F319" i="21" s="1"/>
  <c r="F304" i="21"/>
  <c r="F317" i="21"/>
  <c r="X156" i="46"/>
  <c r="Y156" i="46"/>
  <c r="F231" i="21"/>
  <c r="F260" i="21"/>
  <c r="F252" i="21"/>
  <c r="F246" i="21"/>
  <c r="F262" i="21" s="1"/>
  <c r="T146" i="1"/>
  <c r="S176" i="1"/>
  <c r="U146" i="1"/>
  <c r="I53" i="5"/>
  <c r="S9" i="10"/>
  <c r="S29" i="10" s="1"/>
  <c r="S58" i="9"/>
  <c r="S64" i="9" s="1"/>
  <c r="W177" i="1"/>
  <c r="Y147" i="1"/>
  <c r="X147" i="1"/>
  <c r="T157" i="46"/>
  <c r="U157" i="46"/>
  <c r="Y126" i="1"/>
  <c r="X136" i="1"/>
  <c r="W146" i="1"/>
  <c r="X126" i="1"/>
  <c r="X117" i="46"/>
  <c r="X147" i="46"/>
  <c r="W157" i="46"/>
  <c r="Y117" i="46"/>
  <c r="BH48" i="11"/>
  <c r="BH47" i="11"/>
  <c r="BH26" i="11"/>
  <c r="I50" i="10"/>
  <c r="I68" i="10"/>
  <c r="I71" i="10" s="1"/>
  <c r="BJ50" i="11"/>
  <c r="C56" i="5"/>
  <c r="D56" i="5"/>
  <c r="AB136" i="1"/>
  <c r="AC126" i="1"/>
  <c r="AA146" i="1"/>
  <c r="AB126" i="1"/>
  <c r="BG50" i="11"/>
  <c r="K177" i="1"/>
  <c r="K157" i="1"/>
  <c r="L147" i="1"/>
  <c r="M147" i="1"/>
  <c r="Q147" i="1"/>
  <c r="BI26" i="11"/>
  <c r="BI48" i="11"/>
  <c r="BI47" i="11"/>
  <c r="U58" i="9"/>
  <c r="U64" i="9" s="1"/>
  <c r="U9" i="10"/>
  <c r="U29" i="10" s="1"/>
  <c r="J53" i="5"/>
  <c r="X52" i="5"/>
  <c r="G50" i="10"/>
  <c r="G68" i="10"/>
  <c r="G71" i="10" s="1"/>
  <c r="D260" i="21"/>
  <c r="C246" i="21"/>
  <c r="D262" i="21" s="1"/>
  <c r="C252" i="21"/>
  <c r="C231" i="21"/>
  <c r="AE176" i="1"/>
  <c r="AF146" i="1"/>
  <c r="M58" i="9"/>
  <c r="M64" i="9" s="1"/>
  <c r="M9" i="10"/>
  <c r="M29" i="10" s="1"/>
  <c r="F55" i="5"/>
  <c r="F56" i="5" s="1"/>
  <c r="F53" i="5"/>
  <c r="F47" i="5"/>
  <c r="F48" i="5" s="1"/>
  <c r="G231" i="21"/>
  <c r="H260" i="21"/>
  <c r="G252" i="21"/>
  <c r="G260" i="21"/>
  <c r="G246" i="21"/>
  <c r="C24" i="21"/>
  <c r="C84" i="21"/>
  <c r="C56" i="21"/>
  <c r="U57" i="3"/>
  <c r="W56" i="3"/>
  <c r="E71" i="10"/>
  <c r="E69" i="10"/>
  <c r="AB156" i="46"/>
  <c r="AC156" i="46"/>
  <c r="G279" i="21"/>
  <c r="H317" i="21"/>
  <c r="G293" i="21"/>
  <c r="G304" i="21"/>
  <c r="G317" i="21"/>
  <c r="C48" i="5"/>
  <c r="D48" i="5"/>
  <c r="G84" i="21"/>
  <c r="G56" i="21"/>
  <c r="G24" i="21"/>
  <c r="E239" i="21"/>
  <c r="E243" i="21"/>
  <c r="E244" i="21" s="1"/>
  <c r="AC117" i="46"/>
  <c r="AB117" i="46"/>
  <c r="AA157" i="46"/>
  <c r="AG157" i="46" s="1"/>
  <c r="AB147" i="46"/>
  <c r="AF177" i="1"/>
  <c r="AG117" i="46"/>
  <c r="AB147" i="1"/>
  <c r="AA177" i="1"/>
  <c r="AG177" i="1" s="1"/>
  <c r="AC147" i="1"/>
  <c r="BE26" i="11"/>
  <c r="BE47" i="11"/>
  <c r="BE48" i="11"/>
  <c r="AF157" i="46"/>
  <c r="AK157" i="46"/>
  <c r="C304" i="21"/>
  <c r="C293" i="21"/>
  <c r="D319" i="21" s="1"/>
  <c r="D317" i="21"/>
  <c r="C279" i="21"/>
  <c r="S168" i="21"/>
  <c r="S99" i="21"/>
  <c r="CL37" i="47"/>
  <c r="T33" i="21"/>
  <c r="R7" i="55"/>
  <c r="R9" i="55" s="1"/>
  <c r="CK47" i="47"/>
  <c r="N74" i="49"/>
  <c r="S43" i="21"/>
  <c r="S109" i="21" s="1"/>
  <c r="S178" i="21" s="1"/>
  <c r="AT76" i="47"/>
  <c r="AO76" i="47"/>
  <c r="AM76" i="47"/>
  <c r="O25" i="53"/>
  <c r="BH76" i="47"/>
  <c r="BJ129" i="1"/>
  <c r="BI129" i="1"/>
  <c r="BJ109" i="1"/>
  <c r="BI109" i="1"/>
  <c r="BJ96" i="1"/>
  <c r="BG106" i="1"/>
  <c r="BG126" i="1"/>
  <c r="BI96" i="1"/>
  <c r="BD19" i="11"/>
  <c r="BG145" i="1"/>
  <c r="BG139" i="1"/>
  <c r="BC24" i="11"/>
  <c r="BC48" i="11" s="1"/>
  <c r="BJ135" i="1"/>
  <c r="BC47" i="11"/>
  <c r="BJ127" i="1"/>
  <c r="BI127" i="1"/>
  <c r="BI107" i="1"/>
  <c r="BJ107" i="1"/>
  <c r="BC50" i="11"/>
  <c r="BC59" i="11"/>
  <c r="AL27" i="3"/>
  <c r="AC33" i="3"/>
  <c r="AE33" i="3" s="1"/>
  <c r="AJ26" i="3"/>
  <c r="AL33" i="3" s="1"/>
  <c r="AA29" i="3"/>
  <c r="AC36" i="3" s="1"/>
  <c r="AE36" i="3" s="1"/>
  <c r="AC32" i="3"/>
  <c r="AE32" i="3" s="1"/>
  <c r="AJ25" i="3"/>
  <c r="AF23" i="8"/>
  <c r="BL55" i="48"/>
  <c r="BL36" i="48"/>
  <c r="AJ19" i="3"/>
  <c r="AC26" i="3"/>
  <c r="AE26" i="3" s="1"/>
  <c r="AJ18" i="3"/>
  <c r="AA22" i="3"/>
  <c r="AC25" i="3"/>
  <c r="AE25" i="3" s="1"/>
  <c r="BP55" i="48"/>
  <c r="BP36" i="48"/>
  <c r="BS55" i="48"/>
  <c r="BS36" i="48"/>
  <c r="CG62" i="47"/>
  <c r="CG30" i="47"/>
  <c r="CG34" i="47"/>
  <c r="CG39" i="47" s="1"/>
  <c r="AI68" i="10"/>
  <c r="AI50" i="10"/>
  <c r="AI80" i="10" s="1"/>
  <c r="D67" i="49"/>
  <c r="J36" i="21" s="1"/>
  <c r="J35" i="21"/>
  <c r="J101" i="21" s="1"/>
  <c r="BQ305" i="46"/>
  <c r="BP305" i="46"/>
  <c r="CF40" i="47"/>
  <c r="CF76" i="47" s="1"/>
  <c r="CF66" i="47"/>
  <c r="J18" i="4"/>
  <c r="J19" i="4"/>
  <c r="N35" i="21"/>
  <c r="N101" i="21" s="1"/>
  <c r="H67" i="49"/>
  <c r="N36" i="21" s="1"/>
  <c r="H69" i="49"/>
  <c r="Y40" i="3"/>
  <c r="AA42" i="3"/>
  <c r="AB39" i="8"/>
  <c r="AD39" i="8" s="1"/>
  <c r="AF39" i="8" s="1"/>
  <c r="AJ5" i="55"/>
  <c r="AK4" i="55"/>
  <c r="I78" i="49"/>
  <c r="O44" i="21"/>
  <c r="I76" i="49"/>
  <c r="H35" i="21"/>
  <c r="H101" i="21" s="1"/>
  <c r="B67" i="49"/>
  <c r="H36" i="21" s="1"/>
  <c r="K107" i="3"/>
  <c r="AY82" i="11"/>
  <c r="V98" i="8"/>
  <c r="X98" i="8" s="1"/>
  <c r="Z98" i="8" s="1"/>
  <c r="BD82" i="11"/>
  <c r="BI100" i="47"/>
  <c r="AY100" i="47"/>
  <c r="J107" i="3"/>
  <c r="BD100" i="47"/>
  <c r="J111" i="3"/>
  <c r="K111" i="3"/>
  <c r="H240" i="21"/>
  <c r="H93" i="21"/>
  <c r="H162" i="21" s="1"/>
  <c r="H288" i="21"/>
  <c r="H26" i="21"/>
  <c r="BF76" i="47"/>
  <c r="I25" i="53"/>
  <c r="AD34" i="11"/>
  <c r="AC28" i="11"/>
  <c r="AC33" i="11"/>
  <c r="BO149" i="46"/>
  <c r="BQ145" i="46"/>
  <c r="I28" i="4"/>
  <c r="I32" i="4"/>
  <c r="Y50" i="3"/>
  <c r="Y49" i="3" s="1"/>
  <c r="BW82" i="47"/>
  <c r="BW83" i="47" s="1"/>
  <c r="BH64" i="11"/>
  <c r="BH65" i="11" s="1"/>
  <c r="BW99" i="47"/>
  <c r="BH81" i="11"/>
  <c r="I34" i="4"/>
  <c r="N96" i="21"/>
  <c r="N165" i="21"/>
  <c r="O108" i="21"/>
  <c r="O110" i="21" s="1"/>
  <c r="O113" i="21" s="1"/>
  <c r="O132" i="21" s="1"/>
  <c r="O121" i="21"/>
  <c r="O130" i="21"/>
  <c r="AM58" i="11"/>
  <c r="AH58" i="11"/>
  <c r="BS56" i="11"/>
  <c r="BS46" i="11"/>
  <c r="BP271" i="46"/>
  <c r="BQ271" i="46"/>
  <c r="E26" i="31"/>
  <c r="E36" i="31"/>
  <c r="BP341" i="46"/>
  <c r="BQ341" i="46"/>
  <c r="BO345" i="46"/>
  <c r="N8" i="31"/>
  <c r="P37" i="30"/>
  <c r="P40" i="30" s="1"/>
  <c r="W28" i="11"/>
  <c r="W33" i="11"/>
  <c r="AB58" i="11" s="1"/>
  <c r="X34" i="11"/>
  <c r="AN76" i="47"/>
  <c r="O324" i="21"/>
  <c r="O256" i="21"/>
  <c r="O220" i="21" s="1"/>
  <c r="H38" i="4"/>
  <c r="BV85" i="47"/>
  <c r="BG67" i="11"/>
  <c r="E26" i="32"/>
  <c r="E36" i="32"/>
  <c r="O189" i="21"/>
  <c r="O198" i="21"/>
  <c r="O153" i="21"/>
  <c r="O191" i="21" s="1"/>
  <c r="O177" i="21"/>
  <c r="O179" i="21" s="1"/>
  <c r="O182" i="21" s="1"/>
  <c r="O200" i="21" s="1"/>
  <c r="J165" i="21"/>
  <c r="J96" i="21"/>
  <c r="I55" i="49"/>
  <c r="I56" i="49" s="1"/>
  <c r="I53" i="49"/>
  <c r="AK58" i="9"/>
  <c r="AK64" i="9" s="1"/>
  <c r="AK9" i="10"/>
  <c r="I61" i="49"/>
  <c r="L25" i="53"/>
  <c r="BO165" i="46"/>
  <c r="BP155" i="46"/>
  <c r="BQ155" i="46"/>
  <c r="BO208" i="46"/>
  <c r="BO159" i="46"/>
  <c r="AY76" i="47"/>
  <c r="O84" i="21"/>
  <c r="O24" i="21"/>
  <c r="O56" i="21"/>
  <c r="AJ34" i="11"/>
  <c r="AI28" i="11"/>
  <c r="AI33" i="11"/>
  <c r="H96" i="21"/>
  <c r="H165" i="21"/>
  <c r="S18" i="4"/>
  <c r="BP277" i="46"/>
  <c r="BO281" i="46"/>
  <c r="BP281" i="46" s="1"/>
  <c r="BL28" i="11"/>
  <c r="BL33" i="11"/>
  <c r="S7" i="55" l="1"/>
  <c r="S9" i="55" s="1"/>
  <c r="AA22" i="55" s="1"/>
  <c r="AR40" i="47"/>
  <c r="AR76" i="47" s="1"/>
  <c r="AR66" i="47"/>
  <c r="CB64" i="47"/>
  <c r="CB75" i="47"/>
  <c r="BH280" i="46"/>
  <c r="AG76" i="47"/>
  <c r="AS272" i="46"/>
  <c r="AR272" i="46"/>
  <c r="X7" i="55"/>
  <c r="X9" i="55" s="1"/>
  <c r="X18" i="55"/>
  <c r="BD177" i="1"/>
  <c r="BC191" i="1"/>
  <c r="BE177" i="1"/>
  <c r="AY189" i="1"/>
  <c r="BD189" i="1" s="1"/>
  <c r="AZ179" i="1"/>
  <c r="BA179" i="1"/>
  <c r="AH75" i="47"/>
  <c r="AC64" i="47"/>
  <c r="C4" i="55"/>
  <c r="AC75" i="47"/>
  <c r="H47" i="21"/>
  <c r="H113" i="21" s="1"/>
  <c r="H182" i="21" s="1"/>
  <c r="I200" i="21" s="1"/>
  <c r="B79" i="49"/>
  <c r="M19" i="30"/>
  <c r="M63" i="30" s="1"/>
  <c r="M72" i="30" s="1"/>
  <c r="K63" i="30"/>
  <c r="AE30" i="47"/>
  <c r="AE34" i="47"/>
  <c r="AE39" i="47" s="1"/>
  <c r="AE62" i="47"/>
  <c r="AY281" i="46"/>
  <c r="AZ276" i="46"/>
  <c r="BD276" i="46"/>
  <c r="AY282" i="46"/>
  <c r="BA271" i="46"/>
  <c r="AZ271" i="46"/>
  <c r="BE271" i="46"/>
  <c r="BC188" i="1"/>
  <c r="BD178" i="1"/>
  <c r="BE178" i="1"/>
  <c r="BI158" i="1"/>
  <c r="AW76" i="47"/>
  <c r="R55" i="5"/>
  <c r="R56" i="5" s="1"/>
  <c r="R53" i="5"/>
  <c r="N307" i="21"/>
  <c r="N253" i="21"/>
  <c r="N308" i="21" s="1"/>
  <c r="K10" i="31"/>
  <c r="J11" i="31"/>
  <c r="J14" i="31" s="1"/>
  <c r="O74" i="49"/>
  <c r="U15" i="21" s="1"/>
  <c r="T15" i="21"/>
  <c r="J47" i="21"/>
  <c r="J113" i="21" s="1"/>
  <c r="D79" i="49"/>
  <c r="H34" i="39"/>
  <c r="I34" i="39"/>
  <c r="U10" i="4"/>
  <c r="T12" i="4"/>
  <c r="T13" i="4" s="1"/>
  <c r="W34" i="47"/>
  <c r="W39" i="47" s="1"/>
  <c r="W30" i="47"/>
  <c r="W62" i="47"/>
  <c r="AC62" i="47"/>
  <c r="AC34" i="47"/>
  <c r="AC39" i="47" s="1"/>
  <c r="AC30" i="47"/>
  <c r="X66" i="47"/>
  <c r="X40" i="47"/>
  <c r="Z30" i="47"/>
  <c r="Z62" i="47"/>
  <c r="Z34" i="47"/>
  <c r="Z39" i="47" s="1"/>
  <c r="BL280" i="46"/>
  <c r="AZ277" i="46"/>
  <c r="BD277" i="46"/>
  <c r="BA270" i="46"/>
  <c r="AZ270" i="46"/>
  <c r="AY280" i="46"/>
  <c r="AZ280" i="46" s="1"/>
  <c r="Z32" i="11"/>
  <c r="Z49" i="11"/>
  <c r="C34" i="39"/>
  <c r="G34" i="39" s="1"/>
  <c r="C25" i="39"/>
  <c r="E41" i="39" s="1"/>
  <c r="M253" i="21"/>
  <c r="M308" i="21" s="1"/>
  <c r="M237" i="21"/>
  <c r="M16" i="30"/>
  <c r="M66" i="30"/>
  <c r="M67" i="30"/>
  <c r="M26" i="21"/>
  <c r="M92" i="21" s="1"/>
  <c r="M161" i="21" s="1"/>
  <c r="M159" i="21"/>
  <c r="M90" i="21"/>
  <c r="AD64" i="47"/>
  <c r="D4" i="55"/>
  <c r="AD75" i="47"/>
  <c r="BA272" i="46"/>
  <c r="AZ272" i="46"/>
  <c r="BE272" i="46"/>
  <c r="BI183" i="1"/>
  <c r="BC187" i="1"/>
  <c r="BQ33" i="11" s="1"/>
  <c r="BQ58" i="11" s="1"/>
  <c r="BD183" i="1"/>
  <c r="AN269" i="46"/>
  <c r="AO269" i="46"/>
  <c r="BG188" i="1"/>
  <c r="BJ178" i="1"/>
  <c r="BI178" i="1"/>
  <c r="N224" i="21"/>
  <c r="N251" i="21"/>
  <c r="N225" i="21"/>
  <c r="N258" i="21" s="1"/>
  <c r="N222" i="21"/>
  <c r="E4" i="55"/>
  <c r="AE75" i="47"/>
  <c r="AE64" i="47"/>
  <c r="AD30" i="47"/>
  <c r="AD34" i="47"/>
  <c r="AD39" i="47" s="1"/>
  <c r="AD62" i="47"/>
  <c r="AR129" i="3"/>
  <c r="AQ129" i="3"/>
  <c r="BD179" i="1"/>
  <c r="BC189" i="1"/>
  <c r="BE179" i="1"/>
  <c r="S19" i="4"/>
  <c r="S21" i="4"/>
  <c r="BC26" i="11"/>
  <c r="BC49" i="11" s="1"/>
  <c r="H50" i="39"/>
  <c r="H25" i="39"/>
  <c r="I25" i="39"/>
  <c r="AJ176" i="1"/>
  <c r="AO176" i="1"/>
  <c r="BQ38" i="11"/>
  <c r="BQ28" i="11"/>
  <c r="BQ49" i="11"/>
  <c r="BQ32" i="11"/>
  <c r="AS271" i="46"/>
  <c r="AW271" i="46"/>
  <c r="AR271" i="46"/>
  <c r="BA58" i="11"/>
  <c r="BD187" i="1"/>
  <c r="AZ187" i="1"/>
  <c r="R337" i="44"/>
  <c r="N26" i="21"/>
  <c r="N92" i="21" s="1"/>
  <c r="N161" i="21" s="1"/>
  <c r="N159" i="21"/>
  <c r="N90" i="21"/>
  <c r="N333" i="44"/>
  <c r="M335" i="44"/>
  <c r="M40" i="44"/>
  <c r="M344" i="44"/>
  <c r="M38" i="44"/>
  <c r="M39" i="44" s="1"/>
  <c r="M334" i="44"/>
  <c r="Y66" i="10"/>
  <c r="Y69" i="10" s="1"/>
  <c r="W9" i="9"/>
  <c r="AR135" i="3"/>
  <c r="AP136" i="3"/>
  <c r="T7" i="55"/>
  <c r="T9" i="55" s="1"/>
  <c r="AW272" i="46"/>
  <c r="W64" i="47"/>
  <c r="AB75" i="47"/>
  <c r="Y34" i="47"/>
  <c r="Y39" i="47" s="1"/>
  <c r="Y30" i="47"/>
  <c r="Y62" i="47"/>
  <c r="O123" i="21"/>
  <c r="N271" i="21"/>
  <c r="N277" i="21"/>
  <c r="O273" i="21"/>
  <c r="O274" i="21"/>
  <c r="O316" i="21" s="1"/>
  <c r="P269" i="21"/>
  <c r="M279" i="21"/>
  <c r="M281" i="21" s="1"/>
  <c r="M285" i="21" s="1"/>
  <c r="M293" i="21"/>
  <c r="M319" i="21" s="1"/>
  <c r="M304" i="21"/>
  <c r="M317" i="21"/>
  <c r="U99" i="21"/>
  <c r="U168" i="21"/>
  <c r="BS290" i="46"/>
  <c r="CG64" i="47"/>
  <c r="K58" i="49"/>
  <c r="U43" i="21"/>
  <c r="U109" i="21" s="1"/>
  <c r="U178" i="21" s="1"/>
  <c r="CM47" i="47"/>
  <c r="S27" i="21"/>
  <c r="CJ31" i="47"/>
  <c r="CJ41" i="47" s="1"/>
  <c r="CJ42" i="47" s="1"/>
  <c r="CJ43" i="47" s="1"/>
  <c r="R27" i="21"/>
  <c r="R93" i="21" s="1"/>
  <c r="R162" i="21" s="1"/>
  <c r="L71" i="49"/>
  <c r="R40" i="21" s="1"/>
  <c r="R175" i="21" s="1"/>
  <c r="BP42" i="47"/>
  <c r="BP43" i="47" s="1"/>
  <c r="BS42" i="47"/>
  <c r="BS43" i="47" s="1"/>
  <c r="BQ31" i="47"/>
  <c r="BS31" i="47"/>
  <c r="BP31" i="47"/>
  <c r="BR31" i="47"/>
  <c r="BQ42" i="47"/>
  <c r="BQ43" i="47" s="1"/>
  <c r="BR42" i="47"/>
  <c r="BR43" i="47" s="1"/>
  <c r="BB76" i="47"/>
  <c r="BA76" i="47"/>
  <c r="AS76" i="47"/>
  <c r="BI76" i="47"/>
  <c r="B41" i="39" s="1"/>
  <c r="R25" i="53"/>
  <c r="W57" i="3"/>
  <c r="D239" i="21"/>
  <c r="D243" i="21"/>
  <c r="D244" i="21" s="1"/>
  <c r="E261" i="21" s="1"/>
  <c r="BG59" i="11"/>
  <c r="J132" i="21"/>
  <c r="M165" i="21"/>
  <c r="M96" i="21"/>
  <c r="K173" i="21"/>
  <c r="K104" i="21"/>
  <c r="K170" i="21" s="1"/>
  <c r="F79" i="49"/>
  <c r="L47" i="21"/>
  <c r="M65" i="21" s="1"/>
  <c r="M35" i="21"/>
  <c r="M101" i="21" s="1"/>
  <c r="G67" i="49"/>
  <c r="M36" i="21" s="1"/>
  <c r="G69" i="49"/>
  <c r="H70" i="49" s="1"/>
  <c r="M113" i="21"/>
  <c r="N65" i="21"/>
  <c r="I96" i="21"/>
  <c r="I165" i="21"/>
  <c r="L159" i="21"/>
  <c r="L90" i="21"/>
  <c r="L26" i="21"/>
  <c r="L92" i="21" s="1"/>
  <c r="L161" i="21" s="1"/>
  <c r="I243" i="21"/>
  <c r="I244" i="21" s="1"/>
  <c r="J261" i="21" s="1"/>
  <c r="I239" i="21"/>
  <c r="CD40" i="47"/>
  <c r="CD66" i="47"/>
  <c r="F66" i="49"/>
  <c r="L30" i="21"/>
  <c r="I35" i="21"/>
  <c r="I101" i="21" s="1"/>
  <c r="C67" i="49"/>
  <c r="I36" i="21" s="1"/>
  <c r="S50" i="10"/>
  <c r="S80" i="10" s="1"/>
  <c r="S68" i="10"/>
  <c r="S71" i="10" s="1"/>
  <c r="F237" i="21"/>
  <c r="F253" i="21"/>
  <c r="F90" i="21"/>
  <c r="F159" i="21" s="1"/>
  <c r="F26" i="21"/>
  <c r="F92" i="21" s="1"/>
  <c r="F161" i="21" s="1"/>
  <c r="Y177" i="1"/>
  <c r="X177" i="1"/>
  <c r="F285" i="21"/>
  <c r="F305" i="21"/>
  <c r="BH32" i="11"/>
  <c r="BH38" i="11"/>
  <c r="BH49" i="11"/>
  <c r="BH28" i="11"/>
  <c r="X157" i="46"/>
  <c r="Y157" i="46"/>
  <c r="W176" i="1"/>
  <c r="Y146" i="1"/>
  <c r="X146" i="1"/>
  <c r="T176" i="1"/>
  <c r="U176" i="1"/>
  <c r="G319" i="21"/>
  <c r="H319" i="21"/>
  <c r="AF176" i="1"/>
  <c r="AG146" i="1"/>
  <c r="AA176" i="1"/>
  <c r="AG176" i="1" s="1"/>
  <c r="AC146" i="1"/>
  <c r="AB146" i="1"/>
  <c r="C26" i="21"/>
  <c r="C92" i="21" s="1"/>
  <c r="C161" i="21" s="1"/>
  <c r="C90" i="21"/>
  <c r="C159" i="21" s="1"/>
  <c r="K187" i="1"/>
  <c r="L177" i="1"/>
  <c r="M177" i="1"/>
  <c r="Q177" i="1"/>
  <c r="G26" i="21"/>
  <c r="G92" i="21" s="1"/>
  <c r="G161" i="21" s="1"/>
  <c r="G90" i="21"/>
  <c r="G159" i="21" s="1"/>
  <c r="G66" i="10"/>
  <c r="G69" i="10" s="1"/>
  <c r="E9" i="9"/>
  <c r="E16" i="9" s="1"/>
  <c r="E23" i="9" s="1"/>
  <c r="E51" i="9" s="1"/>
  <c r="G262" i="21"/>
  <c r="H262" i="21"/>
  <c r="G237" i="21"/>
  <c r="G253" i="21"/>
  <c r="M50" i="10"/>
  <c r="M68" i="10"/>
  <c r="M71" i="10" s="1"/>
  <c r="C237" i="21"/>
  <c r="C253" i="21"/>
  <c r="U50" i="10"/>
  <c r="U80" i="10" s="1"/>
  <c r="U68" i="10"/>
  <c r="U71" i="10" s="1"/>
  <c r="BE28" i="11"/>
  <c r="BE32" i="11"/>
  <c r="BE38" i="11"/>
  <c r="BE49" i="11"/>
  <c r="AB157" i="46"/>
  <c r="AC157" i="46"/>
  <c r="W64" i="3"/>
  <c r="C305" i="21"/>
  <c r="C285" i="21"/>
  <c r="C287" i="21" s="1"/>
  <c r="AC177" i="1"/>
  <c r="AB177" i="1"/>
  <c r="G305" i="21"/>
  <c r="G285" i="21"/>
  <c r="BI38" i="11"/>
  <c r="BI28" i="11"/>
  <c r="BI32" i="11"/>
  <c r="BI49" i="11"/>
  <c r="T99" i="21"/>
  <c r="T168" i="21"/>
  <c r="CL47" i="47"/>
  <c r="T43" i="21"/>
  <c r="T109" i="21" s="1"/>
  <c r="T178" i="21" s="1"/>
  <c r="BC28" i="11"/>
  <c r="BJ139" i="1"/>
  <c r="BI139" i="1"/>
  <c r="BJ126" i="1"/>
  <c r="BG136" i="1"/>
  <c r="BI126" i="1"/>
  <c r="BJ145" i="1"/>
  <c r="BG155" i="1"/>
  <c r="BG175" i="1"/>
  <c r="BI145" i="1"/>
  <c r="BG149" i="1"/>
  <c r="BI106" i="1"/>
  <c r="BJ106" i="1"/>
  <c r="BD22" i="11"/>
  <c r="BD47" i="11" s="1"/>
  <c r="BD46" i="11"/>
  <c r="BD56" i="11"/>
  <c r="BD38" i="11"/>
  <c r="AC29" i="3"/>
  <c r="AE29" i="3" s="1"/>
  <c r="AL26" i="3"/>
  <c r="AL32" i="3"/>
  <c r="AJ29" i="3"/>
  <c r="AL36" i="3" s="1"/>
  <c r="AJ22" i="3"/>
  <c r="AL29" i="3" s="1"/>
  <c r="AL25" i="3"/>
  <c r="BT64" i="48"/>
  <c r="BS64" i="48"/>
  <c r="BP64" i="48"/>
  <c r="BQ64" i="48"/>
  <c r="S20" i="4"/>
  <c r="S22" i="4"/>
  <c r="S23" i="4" s="1"/>
  <c r="S25" i="4"/>
  <c r="S26" i="4" s="1"/>
  <c r="O307" i="21"/>
  <c r="O253" i="21"/>
  <c r="O308" i="21" s="1"/>
  <c r="AN58" i="11"/>
  <c r="O26" i="21"/>
  <c r="O92" i="21" s="1"/>
  <c r="O161" i="21" s="1"/>
  <c r="O159" i="21"/>
  <c r="O90" i="21"/>
  <c r="Y34" i="11"/>
  <c r="X28" i="11"/>
  <c r="X33" i="11"/>
  <c r="BW84" i="47"/>
  <c r="BH66" i="11"/>
  <c r="AC58" i="11"/>
  <c r="H239" i="21"/>
  <c r="H244" i="21"/>
  <c r="I79" i="49"/>
  <c r="O47" i="21"/>
  <c r="O65" i="21" s="1"/>
  <c r="AB38" i="8"/>
  <c r="AD38" i="8" s="1"/>
  <c r="AF38" i="8" s="1"/>
  <c r="Y39" i="3"/>
  <c r="AA41" i="3"/>
  <c r="AJ28" i="11"/>
  <c r="AJ33" i="11"/>
  <c r="BP159" i="46"/>
  <c r="BQ159" i="46"/>
  <c r="BP165" i="46"/>
  <c r="BO169" i="46"/>
  <c r="BP169" i="46" s="1"/>
  <c r="I66" i="49"/>
  <c r="O30" i="21"/>
  <c r="O8" i="31"/>
  <c r="AD28" i="11"/>
  <c r="AD33" i="11"/>
  <c r="AE34" i="11"/>
  <c r="U107" i="3"/>
  <c r="M107" i="3"/>
  <c r="O107" i="3" s="1"/>
  <c r="K108" i="3"/>
  <c r="M108" i="3" s="1"/>
  <c r="O108" i="3" s="1"/>
  <c r="N38" i="21"/>
  <c r="J31" i="4"/>
  <c r="BX81" i="47"/>
  <c r="BX100" i="47" s="1"/>
  <c r="BI63" i="11"/>
  <c r="BI82" i="11" s="1"/>
  <c r="K15" i="4"/>
  <c r="CG66" i="47"/>
  <c r="CG40" i="47"/>
  <c r="BP345" i="46"/>
  <c r="BQ345" i="46"/>
  <c r="AB47" i="8"/>
  <c r="AD47" i="8" s="1"/>
  <c r="AF47" i="8" s="1"/>
  <c r="Y48" i="3"/>
  <c r="M111" i="3"/>
  <c r="O111" i="3" s="1"/>
  <c r="U111" i="3"/>
  <c r="M118" i="3"/>
  <c r="O118" i="3" s="1"/>
  <c r="J22" i="4"/>
  <c r="J20" i="4"/>
  <c r="J25" i="4"/>
  <c r="AI71" i="10"/>
  <c r="AI69" i="10"/>
  <c r="T15" i="4"/>
  <c r="BR63" i="11"/>
  <c r="BR82" i="11" s="1"/>
  <c r="I114" i="3"/>
  <c r="CF81" i="47"/>
  <c r="CF100" i="47" s="1"/>
  <c r="BQ208" i="46"/>
  <c r="BP208" i="46"/>
  <c r="BO268" i="46"/>
  <c r="BO212" i="46"/>
  <c r="F21" i="31"/>
  <c r="BH84" i="47"/>
  <c r="AK29" i="10"/>
  <c r="BF37" i="10" s="1"/>
  <c r="F21" i="32"/>
  <c r="O225" i="21"/>
  <c r="O251" i="21"/>
  <c r="O224" i="21"/>
  <c r="Q35" i="30"/>
  <c r="P41" i="30"/>
  <c r="P43" i="30" s="1"/>
  <c r="I29" i="4"/>
  <c r="I42" i="4" s="1"/>
  <c r="I37" i="4"/>
  <c r="BQ149" i="46"/>
  <c r="BP149" i="46"/>
  <c r="Y111" i="3"/>
  <c r="BI99" i="47"/>
  <c r="R31" i="4"/>
  <c r="AA107" i="3"/>
  <c r="BD81" i="11"/>
  <c r="AY99" i="47"/>
  <c r="AB98" i="8"/>
  <c r="AD98" i="8" s="1"/>
  <c r="AF98" i="8" s="1"/>
  <c r="BD99" i="47"/>
  <c r="AY81" i="11"/>
  <c r="AC42" i="3"/>
  <c r="AE42" i="3" s="1"/>
  <c r="AJ42" i="3"/>
  <c r="AL42" i="3" s="1"/>
  <c r="AQ136" i="3" l="1"/>
  <c r="AR136" i="3"/>
  <c r="BC32" i="11"/>
  <c r="BC33" i="11" s="1"/>
  <c r="BC58" i="11" s="1"/>
  <c r="AA66" i="10"/>
  <c r="AA69" i="10" s="1"/>
  <c r="Y9" i="9"/>
  <c r="U81" i="21"/>
  <c r="U150" i="21"/>
  <c r="I132" i="21"/>
  <c r="Y66" i="47"/>
  <c r="Y40" i="47"/>
  <c r="O333" i="44"/>
  <c r="N40" i="44"/>
  <c r="N344" i="44"/>
  <c r="N38" i="44"/>
  <c r="N39" i="44" s="1"/>
  <c r="N335" i="44"/>
  <c r="N334" i="44"/>
  <c r="S337" i="44"/>
  <c r="BQ50" i="11"/>
  <c r="BQ59" i="11"/>
  <c r="G25" i="39"/>
  <c r="N14" i="30"/>
  <c r="N16" i="30" s="1"/>
  <c r="M65" i="30"/>
  <c r="M74" i="30" s="1"/>
  <c r="J182" i="21"/>
  <c r="K132" i="21"/>
  <c r="L10" i="31"/>
  <c r="K11" i="31"/>
  <c r="K14" i="31" s="1"/>
  <c r="AZ281" i="46"/>
  <c r="BD281" i="46"/>
  <c r="AE40" i="47"/>
  <c r="AE66" i="47"/>
  <c r="W10" i="4"/>
  <c r="V10" i="4"/>
  <c r="X10" i="4" s="1"/>
  <c r="Y10" i="4" s="1"/>
  <c r="Z10" i="4" s="1"/>
  <c r="BD280" i="46"/>
  <c r="O258" i="21"/>
  <c r="W66" i="9"/>
  <c r="W16" i="9"/>
  <c r="W23" i="9" s="1"/>
  <c r="W51" i="9" s="1"/>
  <c r="H49" i="39"/>
  <c r="H51" i="39" s="1"/>
  <c r="AD40" i="47"/>
  <c r="AI76" i="47" s="1"/>
  <c r="AD66" i="47"/>
  <c r="N229" i="21"/>
  <c r="M243" i="21"/>
  <c r="M244" i="21" s="1"/>
  <c r="M261" i="21" s="1"/>
  <c r="M239" i="21"/>
  <c r="Z66" i="47"/>
  <c r="Z40" i="47"/>
  <c r="AC40" i="47"/>
  <c r="AC66" i="47"/>
  <c r="W66" i="47"/>
  <c r="W40" i="47"/>
  <c r="AB76" i="47" s="1"/>
  <c r="T81" i="21"/>
  <c r="T150" i="21"/>
  <c r="BI188" i="1"/>
  <c r="BD282" i="46"/>
  <c r="AZ282" i="46"/>
  <c r="O306" i="21"/>
  <c r="O271" i="21"/>
  <c r="O277" i="21"/>
  <c r="N279" i="21"/>
  <c r="N281" i="21" s="1"/>
  <c r="N285" i="21" s="1"/>
  <c r="N293" i="21"/>
  <c r="N319" i="21" s="1"/>
  <c r="N304" i="21"/>
  <c r="N317" i="21"/>
  <c r="P273" i="21"/>
  <c r="P271" i="21" s="1"/>
  <c r="P274" i="21"/>
  <c r="P316" i="21" s="1"/>
  <c r="Q269" i="21"/>
  <c r="K71" i="49"/>
  <c r="Q40" i="21" s="1"/>
  <c r="Q175" i="21" s="1"/>
  <c r="C36" i="60"/>
  <c r="C38" i="60" s="1"/>
  <c r="CM31" i="47"/>
  <c r="CM41" i="47" s="1"/>
  <c r="CM42" i="47" s="1"/>
  <c r="CM43" i="47" s="1"/>
  <c r="M71" i="49"/>
  <c r="S40" i="21" s="1"/>
  <c r="S106" i="21" s="1"/>
  <c r="CK31" i="47"/>
  <c r="CK41" i="47" s="1"/>
  <c r="CK42" i="47" s="1"/>
  <c r="CK43" i="47" s="1"/>
  <c r="Q27" i="21"/>
  <c r="Q240" i="21" s="1"/>
  <c r="Q291" i="21" s="1"/>
  <c r="CI31" i="47"/>
  <c r="CI41" i="47" s="1"/>
  <c r="CI42" i="47" s="1"/>
  <c r="CI43" i="47" s="1"/>
  <c r="R106" i="21"/>
  <c r="R290" i="21"/>
  <c r="O71" i="49"/>
  <c r="U40" i="21" s="1"/>
  <c r="R240" i="21"/>
  <c r="R291" i="21" s="1"/>
  <c r="F67" i="49"/>
  <c r="L36" i="21" s="1"/>
  <c r="L35" i="21"/>
  <c r="L101" i="21" s="1"/>
  <c r="F69" i="49"/>
  <c r="M182" i="21"/>
  <c r="N132" i="21"/>
  <c r="L113" i="21"/>
  <c r="M132" i="21" s="1"/>
  <c r="L65" i="21"/>
  <c r="M38" i="21"/>
  <c r="CD76" i="47"/>
  <c r="CE76" i="47"/>
  <c r="L96" i="21"/>
  <c r="L165" i="21"/>
  <c r="BH50" i="11"/>
  <c r="BH59" i="11"/>
  <c r="F239" i="21"/>
  <c r="F243" i="21"/>
  <c r="F244" i="21" s="1"/>
  <c r="F261" i="21" s="1"/>
  <c r="X176" i="1"/>
  <c r="Y176" i="1"/>
  <c r="BE50" i="11"/>
  <c r="BF59" i="11"/>
  <c r="L187" i="1"/>
  <c r="P187" i="1"/>
  <c r="C239" i="21"/>
  <c r="C243" i="21"/>
  <c r="C244" i="21" s="1"/>
  <c r="D261" i="21" s="1"/>
  <c r="G243" i="21"/>
  <c r="G244" i="21" s="1"/>
  <c r="G239" i="21"/>
  <c r="G9" i="9"/>
  <c r="G16" i="9" s="1"/>
  <c r="G23" i="9" s="1"/>
  <c r="G51" i="9" s="1"/>
  <c r="I66" i="10"/>
  <c r="I69" i="10" s="1"/>
  <c r="AC176" i="1"/>
  <c r="AB176" i="1"/>
  <c r="BI59" i="11"/>
  <c r="BI50" i="11"/>
  <c r="BJ59" i="11"/>
  <c r="BD50" i="11"/>
  <c r="BD59" i="11"/>
  <c r="BP5" i="11"/>
  <c r="BR5" i="11" s="1"/>
  <c r="BS4" i="11" s="1"/>
  <c r="BG179" i="1"/>
  <c r="BJ175" i="1"/>
  <c r="BG185" i="1"/>
  <c r="BI185" i="1" s="1"/>
  <c r="BI175" i="1"/>
  <c r="BG146" i="1"/>
  <c r="BJ136" i="1"/>
  <c r="BD24" i="11"/>
  <c r="BG137" i="1"/>
  <c r="BG159" i="1"/>
  <c r="BI149" i="1"/>
  <c r="BJ149" i="1"/>
  <c r="O229" i="21"/>
  <c r="O231" i="21" s="1"/>
  <c r="F36" i="32"/>
  <c r="F26" i="32"/>
  <c r="BP212" i="46"/>
  <c r="BQ212" i="46"/>
  <c r="J26" i="4"/>
  <c r="L26" i="4"/>
  <c r="R34" i="4"/>
  <c r="CE99" i="47"/>
  <c r="R32" i="4"/>
  <c r="BQ81" i="11"/>
  <c r="CE82" i="47"/>
  <c r="CE83" i="47" s="1"/>
  <c r="BQ64" i="11"/>
  <c r="BQ65" i="11" s="1"/>
  <c r="R28" i="4"/>
  <c r="BW85" i="47"/>
  <c r="BH67" i="11"/>
  <c r="I38" i="4"/>
  <c r="O222" i="21"/>
  <c r="AK68" i="10"/>
  <c r="AK71" i="10" s="1"/>
  <c r="AK50" i="10"/>
  <c r="AK80" i="10" s="1"/>
  <c r="BO278" i="46"/>
  <c r="BP268" i="46"/>
  <c r="BQ268" i="46"/>
  <c r="BO272" i="46"/>
  <c r="S93" i="21"/>
  <c r="S162" i="21" s="1"/>
  <c r="S240" i="21"/>
  <c r="S291" i="21" s="1"/>
  <c r="S290" i="21"/>
  <c r="N173" i="21"/>
  <c r="N104" i="21"/>
  <c r="W107" i="3"/>
  <c r="U108" i="3"/>
  <c r="W108" i="3" s="1"/>
  <c r="AE28" i="11"/>
  <c r="AE33" i="11"/>
  <c r="AJ58" i="11" s="1"/>
  <c r="AO58" i="11"/>
  <c r="I261" i="21"/>
  <c r="Q37" i="30"/>
  <c r="J118" i="3"/>
  <c r="J114" i="3"/>
  <c r="K114" i="3"/>
  <c r="V105" i="8"/>
  <c r="X105" i="8" s="1"/>
  <c r="Z105" i="8" s="1"/>
  <c r="J23" i="4"/>
  <c r="L23" i="4"/>
  <c r="W111" i="3"/>
  <c r="W118" i="3"/>
  <c r="Y47" i="3"/>
  <c r="AB46" i="8"/>
  <c r="AD46" i="8" s="1"/>
  <c r="AF46" i="8" s="1"/>
  <c r="AA49" i="3"/>
  <c r="O96" i="21"/>
  <c r="O165" i="21"/>
  <c r="AI58" i="11"/>
  <c r="Y112" i="3"/>
  <c r="AA112" i="3" s="1"/>
  <c r="AB102" i="8"/>
  <c r="AD102" i="8" s="1"/>
  <c r="AF102" i="8" s="1"/>
  <c r="AA111" i="3"/>
  <c r="F26" i="31"/>
  <c r="F36" i="31"/>
  <c r="AK66" i="10"/>
  <c r="AI9" i="9"/>
  <c r="I41" i="53"/>
  <c r="CG76" i="47"/>
  <c r="J32" i="4"/>
  <c r="BI64" i="11"/>
  <c r="BX82" i="47"/>
  <c r="J28" i="4"/>
  <c r="L32" i="4"/>
  <c r="Y57" i="3"/>
  <c r="Y56" i="3" s="1"/>
  <c r="BX99" i="47"/>
  <c r="J34" i="4"/>
  <c r="BI81" i="11"/>
  <c r="I69" i="49"/>
  <c r="O35" i="21"/>
  <c r="O101" i="21" s="1"/>
  <c r="I67" i="49"/>
  <c r="O36" i="21" s="1"/>
  <c r="AJ41" i="3"/>
  <c r="AL41" i="3" s="1"/>
  <c r="AC41" i="3"/>
  <c r="AE41" i="3" s="1"/>
  <c r="Z34" i="11"/>
  <c r="Y28" i="11"/>
  <c r="Y33" i="11"/>
  <c r="AD58" i="11" s="1"/>
  <c r="AJ107" i="3"/>
  <c r="AC107" i="3"/>
  <c r="AE107" i="3" s="1"/>
  <c r="AA108" i="3"/>
  <c r="AC108" i="3" s="1"/>
  <c r="AE108" i="3" s="1"/>
  <c r="T18" i="4"/>
  <c r="K18" i="4"/>
  <c r="AA40" i="3"/>
  <c r="AA39" i="3"/>
  <c r="AB37" i="8"/>
  <c r="AD37" i="8" s="1"/>
  <c r="AF37" i="8" s="1"/>
  <c r="AJ76" i="47" l="1"/>
  <c r="AE76" i="47"/>
  <c r="O14" i="30"/>
  <c r="O16" i="30" s="1"/>
  <c r="N65" i="30"/>
  <c r="N19" i="30"/>
  <c r="N63" i="30" s="1"/>
  <c r="T21" i="4"/>
  <c r="U15" i="4"/>
  <c r="N260" i="21"/>
  <c r="N231" i="21"/>
  <c r="N233" i="21" s="1"/>
  <c r="N237" i="21" s="1"/>
  <c r="N252" i="21"/>
  <c r="N246" i="21"/>
  <c r="N262" i="21" s="1"/>
  <c r="J200" i="21"/>
  <c r="K200" i="21"/>
  <c r="T337" i="44"/>
  <c r="T19" i="4"/>
  <c r="N64" i="21"/>
  <c r="AD76" i="47"/>
  <c r="Y66" i="9"/>
  <c r="Y16" i="9"/>
  <c r="Y23" i="9" s="1"/>
  <c r="Y51" i="9" s="1"/>
  <c r="AC76" i="47"/>
  <c r="AH76" i="47"/>
  <c r="M10" i="31"/>
  <c r="L11" i="31"/>
  <c r="L14" i="31" s="1"/>
  <c r="O335" i="44"/>
  <c r="O344" i="44"/>
  <c r="O40" i="44"/>
  <c r="P333" i="44"/>
  <c r="O38" i="44"/>
  <c r="O39" i="44" s="1"/>
  <c r="O334" i="44"/>
  <c r="AC66" i="10"/>
  <c r="AC69" i="10" s="1"/>
  <c r="AA9" i="9"/>
  <c r="Q106" i="21"/>
  <c r="O317" i="21"/>
  <c r="O293" i="21"/>
  <c r="O319" i="21" s="1"/>
  <c r="O279" i="21"/>
  <c r="O281" i="21" s="1"/>
  <c r="O285" i="21" s="1"/>
  <c r="O304" i="21"/>
  <c r="Q274" i="21"/>
  <c r="Q316" i="21" s="1"/>
  <c r="Q273" i="21"/>
  <c r="Q271" i="21" s="1"/>
  <c r="R269" i="21"/>
  <c r="S175" i="21"/>
  <c r="Q290" i="21"/>
  <c r="Q93" i="21"/>
  <c r="Q162" i="21" s="1"/>
  <c r="CL31" i="47"/>
  <c r="CL41" i="47" s="1"/>
  <c r="CL42" i="47" s="1"/>
  <c r="CL43" i="47" s="1"/>
  <c r="N71" i="49"/>
  <c r="T40" i="21" s="1"/>
  <c r="T175" i="21" s="1"/>
  <c r="T27" i="21"/>
  <c r="T290" i="21" s="1"/>
  <c r="U27" i="21"/>
  <c r="U240" i="21" s="1"/>
  <c r="U291" i="21" s="1"/>
  <c r="U175" i="21"/>
  <c r="U106" i="21"/>
  <c r="G261" i="21"/>
  <c r="L38" i="21"/>
  <c r="F70" i="49"/>
  <c r="L182" i="21"/>
  <c r="L200" i="21" s="1"/>
  <c r="L132" i="21"/>
  <c r="M173" i="21"/>
  <c r="N199" i="21" s="1"/>
  <c r="M104" i="21"/>
  <c r="G70" i="49"/>
  <c r="N200" i="21"/>
  <c r="O246" i="21"/>
  <c r="O262" i="21" s="1"/>
  <c r="H261" i="21"/>
  <c r="O260" i="21"/>
  <c r="K66" i="10"/>
  <c r="K69" i="10" s="1"/>
  <c r="I9" i="9"/>
  <c r="AK69" i="10"/>
  <c r="AK9" i="9" s="1"/>
  <c r="O252" i="21"/>
  <c r="BG156" i="1"/>
  <c r="BI156" i="1" s="1"/>
  <c r="BI146" i="1"/>
  <c r="BG176" i="1"/>
  <c r="BJ146" i="1"/>
  <c r="BG189" i="1"/>
  <c r="BI189" i="1" s="1"/>
  <c r="BJ179" i="1"/>
  <c r="BI179" i="1"/>
  <c r="BI137" i="1"/>
  <c r="BJ137" i="1"/>
  <c r="S41" i="5"/>
  <c r="BG147" i="1"/>
  <c r="BD48" i="11"/>
  <c r="BD26" i="11"/>
  <c r="AC112" i="3"/>
  <c r="AE112" i="3" s="1"/>
  <c r="AJ112" i="3"/>
  <c r="AL112" i="3" s="1"/>
  <c r="Y55" i="3"/>
  <c r="AB54" i="8"/>
  <c r="AD54" i="8" s="1"/>
  <c r="AF54" i="8" s="1"/>
  <c r="Z28" i="11"/>
  <c r="Z33" i="11"/>
  <c r="AA48" i="3"/>
  <c r="AB45" i="8"/>
  <c r="AD45" i="8" s="1"/>
  <c r="AF45" i="8" s="1"/>
  <c r="Y46" i="3"/>
  <c r="U114" i="3"/>
  <c r="M114" i="3"/>
  <c r="O114" i="3" s="1"/>
  <c r="K115" i="3"/>
  <c r="M115" i="3" s="1"/>
  <c r="O115" i="3" s="1"/>
  <c r="Q40" i="30"/>
  <c r="BY81" i="47"/>
  <c r="BY100" i="47" s="1"/>
  <c r="K31" i="4"/>
  <c r="BJ63" i="11"/>
  <c r="BJ82" i="11" s="1"/>
  <c r="BL65" i="11"/>
  <c r="BI65" i="11"/>
  <c r="BS63" i="11"/>
  <c r="BS82" i="11" s="1"/>
  <c r="I121" i="3"/>
  <c r="CG81" i="47"/>
  <c r="CG100" i="47" s="1"/>
  <c r="AL107" i="3"/>
  <c r="AJ108" i="3"/>
  <c r="AL108" i="3" s="1"/>
  <c r="BI66" i="11"/>
  <c r="BX84" i="47"/>
  <c r="J29" i="4"/>
  <c r="J42" i="4" s="1"/>
  <c r="J37" i="4"/>
  <c r="O233" i="21"/>
  <c r="O237" i="21" s="1"/>
  <c r="BP278" i="46"/>
  <c r="BO282" i="46"/>
  <c r="BP282" i="46" s="1"/>
  <c r="R29" i="4"/>
  <c r="R42" i="4" s="1"/>
  <c r="R37" i="4"/>
  <c r="AJ40" i="3"/>
  <c r="AL40" i="3" s="1"/>
  <c r="AC40" i="3"/>
  <c r="AE40" i="3" s="1"/>
  <c r="O38" i="21"/>
  <c r="I70" i="49"/>
  <c r="AA43" i="3"/>
  <c r="AC43" i="3" s="1"/>
  <c r="AE43" i="3" s="1"/>
  <c r="AJ39" i="3"/>
  <c r="AC39" i="3"/>
  <c r="AE39" i="3" s="1"/>
  <c r="K19" i="4"/>
  <c r="T20" i="4"/>
  <c r="T22" i="4"/>
  <c r="T23" i="4" s="1"/>
  <c r="T25" i="4"/>
  <c r="T26" i="4" s="1"/>
  <c r="BZ83" i="47"/>
  <c r="BX83" i="47"/>
  <c r="AI66" i="9"/>
  <c r="AI16" i="9"/>
  <c r="AI23" i="9" s="1"/>
  <c r="AI51" i="9" s="1"/>
  <c r="Y113" i="3"/>
  <c r="AA113" i="3" s="1"/>
  <c r="AB103" i="8"/>
  <c r="AD103" i="8" s="1"/>
  <c r="AF103" i="8" s="1"/>
  <c r="AC49" i="3"/>
  <c r="AE49" i="3" s="1"/>
  <c r="AJ49" i="3"/>
  <c r="AL49" i="3" s="1"/>
  <c r="AE58" i="11"/>
  <c r="BP272" i="46"/>
  <c r="BQ272" i="46"/>
  <c r="AC111" i="3"/>
  <c r="AE111" i="3" s="1"/>
  <c r="AJ111" i="3"/>
  <c r="R35" i="30"/>
  <c r="Q41" i="30"/>
  <c r="Q43" i="30" s="1"/>
  <c r="N170" i="21"/>
  <c r="R35" i="4"/>
  <c r="BQ66" i="11"/>
  <c r="CE84" i="47"/>
  <c r="AA66" i="9" l="1"/>
  <c r="AA16" i="9"/>
  <c r="AA23" i="9" s="1"/>
  <c r="AA51" i="9" s="1"/>
  <c r="U337" i="44"/>
  <c r="K125" i="3"/>
  <c r="AC9" i="9"/>
  <c r="AE66" i="10"/>
  <c r="AE69" i="10" s="1"/>
  <c r="AG66" i="10" s="1"/>
  <c r="N10" i="31"/>
  <c r="M11" i="31"/>
  <c r="M14" i="31" s="1"/>
  <c r="N239" i="21"/>
  <c r="N243" i="21"/>
  <c r="N244" i="21" s="1"/>
  <c r="N261" i="21" s="1"/>
  <c r="M64" i="21"/>
  <c r="P38" i="44"/>
  <c r="P39" i="44" s="1"/>
  <c r="P344" i="44"/>
  <c r="P40" i="44"/>
  <c r="P335" i="44"/>
  <c r="Q333" i="44"/>
  <c r="P334" i="44"/>
  <c r="P14" i="30"/>
  <c r="P16" i="30" s="1"/>
  <c r="O65" i="30"/>
  <c r="O19" i="30"/>
  <c r="O63" i="30" s="1"/>
  <c r="R274" i="21"/>
  <c r="R316" i="21" s="1"/>
  <c r="S269" i="21"/>
  <c r="R273" i="21"/>
  <c r="R271" i="21" s="1"/>
  <c r="T106" i="21"/>
  <c r="U290" i="21"/>
  <c r="T93" i="21"/>
  <c r="T162" i="21" s="1"/>
  <c r="U93" i="21"/>
  <c r="U162" i="21" s="1"/>
  <c r="T240" i="21"/>
  <c r="T291" i="21" s="1"/>
  <c r="AM66" i="10"/>
  <c r="M200" i="21"/>
  <c r="M170" i="21"/>
  <c r="N131" i="21"/>
  <c r="L104" i="21"/>
  <c r="L173" i="21"/>
  <c r="L199" i="21" s="1"/>
  <c r="L64" i="21"/>
  <c r="I16" i="9"/>
  <c r="I23" i="9" s="1"/>
  <c r="I51" i="9" s="1"/>
  <c r="D11" i="7"/>
  <c r="D35" i="7" s="1"/>
  <c r="D59" i="7" s="1"/>
  <c r="M66" i="10"/>
  <c r="M69" i="10" s="1"/>
  <c r="K9" i="9"/>
  <c r="BG177" i="1"/>
  <c r="BJ147" i="1"/>
  <c r="BI147" i="1"/>
  <c r="BG157" i="1"/>
  <c r="BI157" i="1" s="1"/>
  <c r="BJ176" i="1"/>
  <c r="BI176" i="1"/>
  <c r="BG186" i="1"/>
  <c r="S44" i="5"/>
  <c r="S42" i="5"/>
  <c r="T42" i="5" s="1"/>
  <c r="T50" i="5" s="1"/>
  <c r="BS30" i="11" s="1"/>
  <c r="BR24" i="11"/>
  <c r="BD32" i="11"/>
  <c r="BD33" i="11" s="1"/>
  <c r="BD58" i="11" s="1"/>
  <c r="BD49" i="11"/>
  <c r="BD28" i="11"/>
  <c r="M125" i="3"/>
  <c r="O125" i="3" s="1"/>
  <c r="U125" i="3"/>
  <c r="W125" i="3" s="1"/>
  <c r="AC113" i="3"/>
  <c r="AE113" i="3" s="1"/>
  <c r="AJ113" i="3"/>
  <c r="AL113" i="3" s="1"/>
  <c r="L20" i="4"/>
  <c r="K20" i="4"/>
  <c r="K22" i="4"/>
  <c r="K23" i="4" s="1"/>
  <c r="K25" i="4"/>
  <c r="K26" i="4" s="1"/>
  <c r="BQ67" i="11"/>
  <c r="R38" i="4"/>
  <c r="CE85" i="47"/>
  <c r="AJ48" i="3"/>
  <c r="AL48" i="3" s="1"/>
  <c r="AC48" i="3"/>
  <c r="AE48" i="3" s="1"/>
  <c r="R37" i="30"/>
  <c r="R40" i="30" s="1"/>
  <c r="W114" i="3"/>
  <c r="U115" i="3"/>
  <c r="W115" i="3" s="1"/>
  <c r="AA56" i="3"/>
  <c r="AB53" i="8"/>
  <c r="AD53" i="8" s="1"/>
  <c r="AF53" i="8" s="1"/>
  <c r="Y54" i="3"/>
  <c r="AL111" i="3"/>
  <c r="AK66" i="9"/>
  <c r="AK16" i="9"/>
  <c r="AK23" i="9" s="1"/>
  <c r="AK51" i="9" s="1"/>
  <c r="AJ43" i="3"/>
  <c r="AL43" i="3" s="1"/>
  <c r="AL39" i="3"/>
  <c r="O239" i="21"/>
  <c r="O243" i="21"/>
  <c r="O244" i="21" s="1"/>
  <c r="J125" i="3"/>
  <c r="J121" i="3"/>
  <c r="K121" i="3"/>
  <c r="V112" i="8"/>
  <c r="X112" i="8" s="1"/>
  <c r="Z112" i="8" s="1"/>
  <c r="Y64" i="3"/>
  <c r="Y63" i="3" s="1"/>
  <c r="Y62" i="3" s="1"/>
  <c r="K28" i="4"/>
  <c r="BJ64" i="11"/>
  <c r="BJ65" i="11" s="1"/>
  <c r="K32" i="4"/>
  <c r="BY82" i="47"/>
  <c r="BY83" i="47" s="1"/>
  <c r="BJ81" i="11"/>
  <c r="K34" i="4"/>
  <c r="BY99" i="47"/>
  <c r="AA46" i="3"/>
  <c r="AA47" i="3"/>
  <c r="AB44" i="8"/>
  <c r="AA114" i="3"/>
  <c r="AB104" i="8"/>
  <c r="AD104" i="8" s="1"/>
  <c r="AF104" i="8" s="1"/>
  <c r="O64" i="21"/>
  <c r="O104" i="21"/>
  <c r="O173" i="21"/>
  <c r="O199" i="21" s="1"/>
  <c r="BI67" i="11"/>
  <c r="BX85" i="47"/>
  <c r="J38" i="4"/>
  <c r="U18" i="4"/>
  <c r="U21" i="4" s="1"/>
  <c r="O261" i="21" l="1"/>
  <c r="V337" i="44"/>
  <c r="Q14" i="30"/>
  <c r="Q16" i="30" s="1"/>
  <c r="P19" i="30"/>
  <c r="P63" i="30" s="1"/>
  <c r="P65" i="30"/>
  <c r="Q344" i="44"/>
  <c r="Q38" i="44"/>
  <c r="Q39" i="44" s="1"/>
  <c r="Q40" i="44"/>
  <c r="Q335" i="44"/>
  <c r="R333" i="44"/>
  <c r="Q334" i="44"/>
  <c r="AC16" i="9"/>
  <c r="AC23" i="9" s="1"/>
  <c r="AC51" i="9" s="1"/>
  <c r="AC66" i="9"/>
  <c r="O10" i="31"/>
  <c r="O11" i="31" s="1"/>
  <c r="O14" i="31" s="1"/>
  <c r="N11" i="31"/>
  <c r="N14" i="31" s="1"/>
  <c r="S274" i="21"/>
  <c r="S316" i="21" s="1"/>
  <c r="S273" i="21"/>
  <c r="S271" i="21" s="1"/>
  <c r="T269" i="21"/>
  <c r="U19" i="4"/>
  <c r="U20" i="4" s="1"/>
  <c r="AB18" i="4"/>
  <c r="M199" i="21"/>
  <c r="L170" i="21"/>
  <c r="L131" i="21"/>
  <c r="M131" i="21"/>
  <c r="K16" i="9"/>
  <c r="K23" i="9" s="1"/>
  <c r="K51" i="9" s="1"/>
  <c r="F11" i="7"/>
  <c r="F35" i="7" s="1"/>
  <c r="F59" i="7" s="1"/>
  <c r="M9" i="9"/>
  <c r="O66" i="10"/>
  <c r="O69" i="10" s="1"/>
  <c r="S45" i="5"/>
  <c r="S52" i="5"/>
  <c r="S47" i="5"/>
  <c r="S48" i="5" s="1"/>
  <c r="BI186" i="1"/>
  <c r="BJ187" i="1"/>
  <c r="BR26" i="11"/>
  <c r="BR48" i="11"/>
  <c r="BJ177" i="1"/>
  <c r="BI177" i="1"/>
  <c r="BG187" i="1"/>
  <c r="BI187" i="1" s="1"/>
  <c r="AJ114" i="3"/>
  <c r="AC114" i="3"/>
  <c r="AE114" i="3" s="1"/>
  <c r="AA115" i="3"/>
  <c r="AC115" i="3" s="1"/>
  <c r="AE115" i="3" s="1"/>
  <c r="Y53" i="3"/>
  <c r="AB52" i="8"/>
  <c r="AD52" i="8" s="1"/>
  <c r="AF52" i="8" s="1"/>
  <c r="AA55" i="3"/>
  <c r="O131" i="21"/>
  <c r="O170" i="21"/>
  <c r="AJ46" i="3"/>
  <c r="AC46" i="3"/>
  <c r="AE46" i="3" s="1"/>
  <c r="AA50" i="3"/>
  <c r="AC50" i="3" s="1"/>
  <c r="AE50" i="3" s="1"/>
  <c r="AA63" i="3"/>
  <c r="Y61" i="3"/>
  <c r="AC47" i="3"/>
  <c r="AE47" i="3" s="1"/>
  <c r="AJ47" i="3"/>
  <c r="AL47" i="3" s="1"/>
  <c r="K29" i="4"/>
  <c r="K42" i="4" s="1"/>
  <c r="K37" i="4"/>
  <c r="AC56" i="3"/>
  <c r="AE56" i="3" s="1"/>
  <c r="AJ56" i="3"/>
  <c r="AL56" i="3" s="1"/>
  <c r="R41" i="30"/>
  <c r="R43" i="30" s="1"/>
  <c r="S35" i="30"/>
  <c r="BT63" i="11"/>
  <c r="BT82" i="11" s="1"/>
  <c r="CH81" i="47"/>
  <c r="CH100" i="47" s="1"/>
  <c r="V15" i="4"/>
  <c r="S31" i="4"/>
  <c r="AB105" i="8"/>
  <c r="AD105" i="8" s="1"/>
  <c r="AF105" i="8" s="1"/>
  <c r="Y118" i="3"/>
  <c r="BJ66" i="11"/>
  <c r="BY84" i="47"/>
  <c r="M121" i="3"/>
  <c r="O121" i="3" s="1"/>
  <c r="U121" i="3"/>
  <c r="K122" i="3"/>
  <c r="M122" i="3" s="1"/>
  <c r="O122" i="3" s="1"/>
  <c r="R344" i="44" l="1"/>
  <c r="R335" i="44"/>
  <c r="R40" i="44"/>
  <c r="R38" i="44"/>
  <c r="R39" i="44" s="1"/>
  <c r="S333" i="44"/>
  <c r="R334" i="44"/>
  <c r="W337" i="44"/>
  <c r="Q19" i="30"/>
  <c r="R14" i="30"/>
  <c r="R16" i="30" s="1"/>
  <c r="Q65" i="30"/>
  <c r="U269" i="21"/>
  <c r="T273" i="21"/>
  <c r="T271" i="21" s="1"/>
  <c r="T274" i="21"/>
  <c r="T316" i="21" s="1"/>
  <c r="I132" i="3"/>
  <c r="V123" i="8" s="1"/>
  <c r="BS100" i="47"/>
  <c r="O9" i="9"/>
  <c r="Q66" i="10"/>
  <c r="Q69" i="10" s="1"/>
  <c r="H11" i="7"/>
  <c r="H35" i="7" s="1"/>
  <c r="H59" i="7" s="1"/>
  <c r="M16" i="9"/>
  <c r="M23" i="9" s="1"/>
  <c r="M51" i="9" s="1"/>
  <c r="BR49" i="11"/>
  <c r="BR32" i="11"/>
  <c r="BR33" i="11" s="1"/>
  <c r="BR58" i="11" s="1"/>
  <c r="BR28" i="11"/>
  <c r="BR38" i="11"/>
  <c r="S55" i="5"/>
  <c r="S53" i="5"/>
  <c r="BY85" i="47"/>
  <c r="BJ67" i="11"/>
  <c r="K38" i="4"/>
  <c r="AC63" i="3"/>
  <c r="AE63" i="3" s="1"/>
  <c r="AJ63" i="3"/>
  <c r="AL63" i="3" s="1"/>
  <c r="AJ55" i="3"/>
  <c r="AL55" i="3" s="1"/>
  <c r="AC55" i="3"/>
  <c r="AE55" i="3" s="1"/>
  <c r="V18" i="4"/>
  <c r="I135" i="3" s="1"/>
  <c r="V126" i="8" s="1"/>
  <c r="W121" i="3"/>
  <c r="U122" i="3"/>
  <c r="W122" i="3" s="1"/>
  <c r="BR81" i="11"/>
  <c r="S32" i="4"/>
  <c r="S34" i="4"/>
  <c r="CF82" i="47"/>
  <c r="CF83" i="47" s="1"/>
  <c r="S28" i="4"/>
  <c r="CF99" i="47"/>
  <c r="BR64" i="11"/>
  <c r="BR65" i="11" s="1"/>
  <c r="AB109" i="8"/>
  <c r="AD109" i="8" s="1"/>
  <c r="AF109" i="8" s="1"/>
  <c r="Y119" i="3"/>
  <c r="AA119" i="3" s="1"/>
  <c r="AA118" i="3"/>
  <c r="BN100" i="47"/>
  <c r="J128" i="3"/>
  <c r="V119" i="8"/>
  <c r="K128" i="3"/>
  <c r="AA53" i="3"/>
  <c r="AA54" i="3"/>
  <c r="AB51" i="8"/>
  <c r="AD51" i="8" s="1"/>
  <c r="S37" i="30"/>
  <c r="S40" i="30" s="1"/>
  <c r="AA62" i="3"/>
  <c r="Y60" i="3"/>
  <c r="AL46" i="3"/>
  <c r="AJ50" i="3"/>
  <c r="AL50" i="3" s="1"/>
  <c r="AL114" i="3"/>
  <c r="AJ115" i="3"/>
  <c r="AL115" i="3" s="1"/>
  <c r="R19" i="30" l="1"/>
  <c r="R63" i="30" s="1"/>
  <c r="R72" i="30" s="1"/>
  <c r="Q63" i="30"/>
  <c r="S14" i="30"/>
  <c r="S16" i="30" s="1"/>
  <c r="R65" i="30"/>
  <c r="R74" i="30" s="1"/>
  <c r="X337" i="44"/>
  <c r="S344" i="44"/>
  <c r="S40" i="44"/>
  <c r="T333" i="44"/>
  <c r="S38" i="44"/>
  <c r="S39" i="44" s="1"/>
  <c r="S335" i="44"/>
  <c r="S334" i="44"/>
  <c r="U274" i="21"/>
  <c r="U316" i="21" s="1"/>
  <c r="U273" i="21"/>
  <c r="U271" i="21" s="1"/>
  <c r="I133" i="3"/>
  <c r="V124" i="8" s="1"/>
  <c r="V19" i="4"/>
  <c r="V20" i="4" s="1"/>
  <c r="K132" i="3"/>
  <c r="M132" i="3" s="1"/>
  <c r="J11" i="7"/>
  <c r="J35" i="7" s="1"/>
  <c r="J59" i="7" s="1"/>
  <c r="O16" i="9"/>
  <c r="O23" i="9" s="1"/>
  <c r="O51" i="9" s="1"/>
  <c r="S66" i="10"/>
  <c r="S69" i="10" s="1"/>
  <c r="Q9" i="9"/>
  <c r="BR59" i="11"/>
  <c r="BR50" i="11"/>
  <c r="C135" i="3"/>
  <c r="AG39" i="5"/>
  <c r="S56" i="5"/>
  <c r="AC119" i="3"/>
  <c r="AE119" i="3" s="1"/>
  <c r="AJ119" i="3"/>
  <c r="AL119" i="3" s="1"/>
  <c r="AC54" i="3"/>
  <c r="AE54" i="3" s="1"/>
  <c r="AJ54" i="3"/>
  <c r="AL54" i="3" s="1"/>
  <c r="S35" i="4"/>
  <c r="BR66" i="11"/>
  <c r="CF84" i="47"/>
  <c r="S41" i="30"/>
  <c r="S43" i="30" s="1"/>
  <c r="T35" i="30"/>
  <c r="S65" i="30"/>
  <c r="S74" i="30" s="1"/>
  <c r="AJ53" i="3"/>
  <c r="AA57" i="3"/>
  <c r="AC57" i="3" s="1"/>
  <c r="AE57" i="3" s="1"/>
  <c r="AC53" i="3"/>
  <c r="AE53" i="3" s="1"/>
  <c r="M128" i="3"/>
  <c r="K129" i="3"/>
  <c r="M129" i="3" s="1"/>
  <c r="AA61" i="3"/>
  <c r="AA60" i="3"/>
  <c r="AJ118" i="3"/>
  <c r="AC118" i="3"/>
  <c r="AE118" i="3" s="1"/>
  <c r="S37" i="4"/>
  <c r="S29" i="4"/>
  <c r="S42" i="4" s="1"/>
  <c r="CI81" i="47"/>
  <c r="CI100" i="47" s="1"/>
  <c r="BU63" i="11"/>
  <c r="BU82" i="11" s="1"/>
  <c r="W15" i="4"/>
  <c r="AJ62" i="3"/>
  <c r="AL62" i="3" s="1"/>
  <c r="AC62" i="3"/>
  <c r="AE62" i="3" s="1"/>
  <c r="AM64" i="10"/>
  <c r="AM35" i="9"/>
  <c r="AI23" i="7"/>
  <c r="AI29" i="7" s="1"/>
  <c r="AB110" i="8"/>
  <c r="AD110" i="8" s="1"/>
  <c r="AF110" i="8" s="1"/>
  <c r="Y120" i="3"/>
  <c r="AA120" i="3" s="1"/>
  <c r="T344" i="44" l="1"/>
  <c r="T335" i="44"/>
  <c r="T38" i="44"/>
  <c r="T39" i="44" s="1"/>
  <c r="T40" i="44"/>
  <c r="U333" i="44"/>
  <c r="T334" i="44"/>
  <c r="Y337" i="44"/>
  <c r="S19" i="30"/>
  <c r="S63" i="30" s="1"/>
  <c r="T14" i="30"/>
  <c r="T16" i="30" s="1"/>
  <c r="K133" i="3"/>
  <c r="M133" i="3" s="1"/>
  <c r="I134" i="3"/>
  <c r="L11" i="7"/>
  <c r="L35" i="7" s="1"/>
  <c r="L59" i="7" s="1"/>
  <c r="Q16" i="9"/>
  <c r="Q23" i="9" s="1"/>
  <c r="Q51" i="9" s="1"/>
  <c r="S9" i="9"/>
  <c r="U66" i="10"/>
  <c r="U69" i="10" s="1"/>
  <c r="U9" i="9" s="1"/>
  <c r="AC60" i="3"/>
  <c r="AE60" i="3" s="1"/>
  <c r="AA64" i="3"/>
  <c r="AC64" i="3" s="1"/>
  <c r="AE64" i="3" s="1"/>
  <c r="AJ60" i="3"/>
  <c r="AJ120" i="3"/>
  <c r="AL120" i="3" s="1"/>
  <c r="AC120" i="3"/>
  <c r="AE120" i="3" s="1"/>
  <c r="AJ61" i="3"/>
  <c r="AL61" i="3" s="1"/>
  <c r="AC61" i="3"/>
  <c r="AE61" i="3" s="1"/>
  <c r="AL53" i="3"/>
  <c r="AJ57" i="3"/>
  <c r="AL57" i="3" s="1"/>
  <c r="AB111" i="8"/>
  <c r="AD111" i="8" s="1"/>
  <c r="AF111" i="8" s="1"/>
  <c r="Y125" i="3"/>
  <c r="W18" i="4"/>
  <c r="CF85" i="47"/>
  <c r="S38" i="4"/>
  <c r="BR67" i="11"/>
  <c r="AL118" i="3"/>
  <c r="T41" i="30"/>
  <c r="T43" i="30" s="1"/>
  <c r="T40" i="30"/>
  <c r="S72" i="30" l="1"/>
  <c r="U14" i="30"/>
  <c r="U16" i="30" s="1"/>
  <c r="T19" i="30"/>
  <c r="T65" i="30"/>
  <c r="T74" i="30" s="1"/>
  <c r="U344" i="44"/>
  <c r="U38" i="44"/>
  <c r="U39" i="44" s="1"/>
  <c r="U335" i="44"/>
  <c r="V333" i="44"/>
  <c r="U40" i="44"/>
  <c r="R31" i="44" s="1"/>
  <c r="U334" i="44"/>
  <c r="Z337" i="44"/>
  <c r="Y126" i="3"/>
  <c r="Y127" i="3" s="1"/>
  <c r="BP99" i="47"/>
  <c r="K135" i="3"/>
  <c r="M135" i="3" s="1"/>
  <c r="J135" i="3"/>
  <c r="V125" i="8"/>
  <c r="X125" i="8" s="1"/>
  <c r="Z125" i="8" s="1"/>
  <c r="K134" i="3"/>
  <c r="M134" i="3" s="1"/>
  <c r="G134" i="3" s="1"/>
  <c r="C134" i="3" s="1"/>
  <c r="P11" i="7"/>
  <c r="P35" i="7" s="1"/>
  <c r="P59" i="7" s="1"/>
  <c r="U16" i="9"/>
  <c r="U23" i="9" s="1"/>
  <c r="U51" i="9" s="1"/>
  <c r="N11" i="7"/>
  <c r="N35" i="7" s="1"/>
  <c r="N59" i="7" s="1"/>
  <c r="S16" i="9"/>
  <c r="S23" i="9" s="1"/>
  <c r="S51" i="9" s="1"/>
  <c r="S135" i="3"/>
  <c r="E9" i="63"/>
  <c r="AB112" i="8"/>
  <c r="AD112" i="8" s="1"/>
  <c r="AF112" i="8" s="1"/>
  <c r="T31" i="4"/>
  <c r="AA121" i="3"/>
  <c r="AJ64" i="3"/>
  <c r="AL64" i="3" s="1"/>
  <c r="AL60" i="3"/>
  <c r="CJ81" i="47"/>
  <c r="CJ100" i="47" s="1"/>
  <c r="X15" i="4"/>
  <c r="U128" i="3"/>
  <c r="AH128" i="3"/>
  <c r="T63" i="30"/>
  <c r="W19" i="4"/>
  <c r="W20" i="4" s="1"/>
  <c r="T36" i="5"/>
  <c r="BS21" i="11"/>
  <c r="BS22" i="11" s="1"/>
  <c r="T38" i="5"/>
  <c r="AA337" i="44" l="1"/>
  <c r="V40" i="44"/>
  <c r="R28" i="44" s="1"/>
  <c r="V335" i="44"/>
  <c r="V38" i="44"/>
  <c r="V39" i="44" s="1"/>
  <c r="V344" i="44"/>
  <c r="W333" i="44"/>
  <c r="V334" i="44"/>
  <c r="U65" i="30"/>
  <c r="U19" i="30"/>
  <c r="U63" i="30" s="1"/>
  <c r="K136" i="3"/>
  <c r="M136" i="3" s="1"/>
  <c r="U135" i="3"/>
  <c r="W135" i="3" s="1"/>
  <c r="BS14" i="46"/>
  <c r="AH135" i="3"/>
  <c r="D126" i="8"/>
  <c r="G9" i="63"/>
  <c r="I9" i="63" s="1"/>
  <c r="J9" i="63" s="1"/>
  <c r="K9" i="63" s="1"/>
  <c r="D9" i="63"/>
  <c r="AJ121" i="3"/>
  <c r="AC121" i="3"/>
  <c r="AE121" i="3" s="1"/>
  <c r="AA122" i="3"/>
  <c r="AC122" i="3" s="1"/>
  <c r="AE122" i="3" s="1"/>
  <c r="T34" i="4"/>
  <c r="CG99" i="47"/>
  <c r="T32" i="4"/>
  <c r="BS64" i="11"/>
  <c r="BS65" i="11" s="1"/>
  <c r="CG82" i="47"/>
  <c r="CG83" i="47" s="1"/>
  <c r="BS81" i="11"/>
  <c r="T28" i="4"/>
  <c r="T39" i="5"/>
  <c r="T41" i="5"/>
  <c r="BS24" i="11" s="1"/>
  <c r="BS48" i="11" s="1"/>
  <c r="BS47" i="11"/>
  <c r="W128" i="3"/>
  <c r="X18" i="4"/>
  <c r="X19" i="4" s="1"/>
  <c r="X20" i="4" s="1"/>
  <c r="T72" i="30"/>
  <c r="U35" i="5"/>
  <c r="BP219" i="46"/>
  <c r="BP259" i="46"/>
  <c r="BP312" i="46"/>
  <c r="BP229" i="46"/>
  <c r="BP249" i="46"/>
  <c r="BN13" i="6"/>
  <c r="J7" i="62" s="1" a="1"/>
  <c r="BP332" i="46"/>
  <c r="BP239" i="46"/>
  <c r="D119" i="8"/>
  <c r="BP322" i="46"/>
  <c r="BK10" i="47" a="1"/>
  <c r="AA125" i="3"/>
  <c r="AB116" i="8"/>
  <c r="AD116" i="8" s="1"/>
  <c r="BK99" i="47"/>
  <c r="V35" i="5" l="1"/>
  <c r="U72" i="30"/>
  <c r="AB337" i="44"/>
  <c r="AO32" i="9"/>
  <c r="U74" i="30"/>
  <c r="W40" i="44"/>
  <c r="W38" i="44"/>
  <c r="W39" i="44" s="1"/>
  <c r="W335" i="44"/>
  <c r="W344" i="44"/>
  <c r="X333" i="44"/>
  <c r="W334" i="44"/>
  <c r="AA126" i="3"/>
  <c r="AC126" i="3" s="1"/>
  <c r="AE126" i="3" s="1"/>
  <c r="BQ99" i="47"/>
  <c r="BT64" i="46"/>
  <c r="BS24" i="46"/>
  <c r="BT44" i="46"/>
  <c r="BT86" i="46"/>
  <c r="BT126" i="46"/>
  <c r="BT14" i="46"/>
  <c r="BR13" i="6" s="1"/>
  <c r="BS34" i="46"/>
  <c r="BU34" i="46" s="1"/>
  <c r="BT54" i="46"/>
  <c r="BS96" i="46"/>
  <c r="BT106" i="46"/>
  <c r="BT75" i="46"/>
  <c r="BQ34" i="46"/>
  <c r="BW34" i="46" s="1"/>
  <c r="BQ96" i="46"/>
  <c r="BP45" i="46"/>
  <c r="BP55" i="46"/>
  <c r="BP65" i="46"/>
  <c r="BP76" i="46"/>
  <c r="BP87" i="46"/>
  <c r="BP107" i="46"/>
  <c r="BP15" i="46"/>
  <c r="BP127" i="46"/>
  <c r="L119" i="8"/>
  <c r="L126" i="8"/>
  <c r="AF116" i="8"/>
  <c r="BT249" i="46"/>
  <c r="BT312" i="46"/>
  <c r="BT239" i="46"/>
  <c r="BT219" i="46"/>
  <c r="F126" i="8"/>
  <c r="BT259" i="46"/>
  <c r="BT332" i="46"/>
  <c r="BT229" i="46"/>
  <c r="BT322" i="46"/>
  <c r="D10" i="63"/>
  <c r="D13" i="63"/>
  <c r="BO116" i="46"/>
  <c r="L7" i="62"/>
  <c r="L8" i="62" s="1"/>
  <c r="K7" i="62"/>
  <c r="K8" i="62" s="1"/>
  <c r="J7" i="62"/>
  <c r="J8" i="62" s="1"/>
  <c r="BK13" i="47" a="1"/>
  <c r="BO35" i="46"/>
  <c r="F119" i="8"/>
  <c r="BO25" i="46"/>
  <c r="BP25" i="46" s="1"/>
  <c r="BK11" i="47" a="1"/>
  <c r="BS26" i="11"/>
  <c r="T29" i="4"/>
  <c r="T42" i="4" s="1"/>
  <c r="T37" i="4"/>
  <c r="BT21" i="11"/>
  <c r="AC35" i="5"/>
  <c r="BP323" i="46"/>
  <c r="J8" i="49"/>
  <c r="C4" i="60" s="1"/>
  <c r="C14" i="60" s="1"/>
  <c r="BP240" i="46"/>
  <c r="BP250" i="46"/>
  <c r="D120" i="8"/>
  <c r="BP313" i="46"/>
  <c r="BP260" i="46"/>
  <c r="BP230" i="46"/>
  <c r="BP333" i="46"/>
  <c r="U8" i="4"/>
  <c r="AB8" i="4" s="1"/>
  <c r="BP220" i="46"/>
  <c r="AL121" i="3"/>
  <c r="AJ122" i="3"/>
  <c r="AL122" i="3" s="1"/>
  <c r="AB117" i="8"/>
  <c r="AD117" i="8" s="1"/>
  <c r="BL99" i="47"/>
  <c r="AC125" i="3"/>
  <c r="AE125" i="3" s="1"/>
  <c r="AJ125" i="3"/>
  <c r="BN10" i="47"/>
  <c r="BK10" i="47"/>
  <c r="BM10" i="47"/>
  <c r="BL10" i="47"/>
  <c r="BO97" i="46"/>
  <c r="BK21" i="47" a="1"/>
  <c r="Y15" i="4"/>
  <c r="CK81" i="47"/>
  <c r="CK100" i="47" s="1"/>
  <c r="T44" i="5"/>
  <c r="CG84" i="47"/>
  <c r="T35" i="4"/>
  <c r="BS66" i="11"/>
  <c r="BN19" i="47"/>
  <c r="BM19" i="47"/>
  <c r="X38" i="44" l="1"/>
  <c r="X39" i="44" s="1"/>
  <c r="X40" i="44"/>
  <c r="Y333" i="44"/>
  <c r="X344" i="44"/>
  <c r="X335" i="44"/>
  <c r="X334" i="44"/>
  <c r="C30" i="60"/>
  <c r="AO35" i="9"/>
  <c r="AQ32" i="9"/>
  <c r="AO54" i="10"/>
  <c r="AO64" i="10" s="1"/>
  <c r="AK23" i="7"/>
  <c r="AK29" i="7" s="1"/>
  <c r="AC337" i="44"/>
  <c r="Z35" i="5"/>
  <c r="BU21" i="11"/>
  <c r="AJ126" i="3"/>
  <c r="AL126" i="3" s="1"/>
  <c r="BU96" i="46"/>
  <c r="BS116" i="46"/>
  <c r="BP116" i="46"/>
  <c r="BQ116" i="46"/>
  <c r="BP35" i="46"/>
  <c r="BV35" i="46" s="1"/>
  <c r="BQ35" i="46"/>
  <c r="BW35" i="46" s="1"/>
  <c r="BP97" i="46"/>
  <c r="BQ97" i="46"/>
  <c r="BQ25" i="46"/>
  <c r="BW25" i="46" s="1"/>
  <c r="BO302" i="46"/>
  <c r="BQ302" i="46" s="1"/>
  <c r="BO136" i="46"/>
  <c r="BO146" i="46" s="1"/>
  <c r="AA127" i="3"/>
  <c r="AC127" i="3" s="1"/>
  <c r="BR99" i="47"/>
  <c r="AJ125" i="8"/>
  <c r="T125" i="8"/>
  <c r="AF3" i="55"/>
  <c r="AF6" i="55" s="1"/>
  <c r="AF117" i="8"/>
  <c r="L120" i="8"/>
  <c r="R8" i="49"/>
  <c r="BK19" i="47"/>
  <c r="Y18" i="4"/>
  <c r="Z15" i="4" s="1"/>
  <c r="BN69" i="47"/>
  <c r="BN58" i="47"/>
  <c r="BS28" i="11"/>
  <c r="BS38" i="11"/>
  <c r="BS32" i="11"/>
  <c r="BS33" i="11" s="1"/>
  <c r="BS58" i="11" s="1"/>
  <c r="BS49" i="11"/>
  <c r="T118" i="8"/>
  <c r="AJ118" i="8"/>
  <c r="BL19" i="47"/>
  <c r="T47" i="5"/>
  <c r="T48" i="5" s="1"/>
  <c r="T52" i="5"/>
  <c r="AE3" i="55"/>
  <c r="AE6" i="55" s="1"/>
  <c r="BL58" i="47"/>
  <c r="BL69" i="47"/>
  <c r="BS67" i="11"/>
  <c r="T38" i="4"/>
  <c r="CG85" i="47"/>
  <c r="J14" i="49"/>
  <c r="BM21" i="47"/>
  <c r="BM57" i="47" s="1"/>
  <c r="BN21" i="47"/>
  <c r="BN57" i="47" s="1"/>
  <c r="BL21" i="47"/>
  <c r="BL57" i="47" s="1"/>
  <c r="BK21" i="47"/>
  <c r="BK57" i="47" s="1"/>
  <c r="BM58" i="47"/>
  <c r="BM69" i="47"/>
  <c r="U22" i="4"/>
  <c r="U23" i="4" s="1"/>
  <c r="U8" i="5"/>
  <c r="U9" i="4"/>
  <c r="U12" i="4"/>
  <c r="CH10" i="47"/>
  <c r="J23" i="49"/>
  <c r="J44" i="49"/>
  <c r="J9" i="49"/>
  <c r="AM55" i="9"/>
  <c r="J16" i="49"/>
  <c r="J29" i="49"/>
  <c r="J21" i="49"/>
  <c r="P6" i="21"/>
  <c r="J27" i="49"/>
  <c r="J25" i="49"/>
  <c r="J35" i="49"/>
  <c r="BN11" i="47"/>
  <c r="BN12" i="47" s="1"/>
  <c r="BN55" i="47" s="1"/>
  <c r="BL11" i="47"/>
  <c r="BK11" i="47"/>
  <c r="BK12" i="47" s="1"/>
  <c r="BK55" i="47" s="1"/>
  <c r="BM11" i="47"/>
  <c r="BM12" i="47" s="1"/>
  <c r="BM55" i="47" s="1"/>
  <c r="BM13" i="47"/>
  <c r="BK13" i="47"/>
  <c r="BL13" i="47"/>
  <c r="BN13" i="47"/>
  <c r="J37" i="49"/>
  <c r="R37" i="49" s="1"/>
  <c r="BK69" i="47"/>
  <c r="AD3" i="55"/>
  <c r="BK58" i="47"/>
  <c r="AL125" i="3"/>
  <c r="AB118" i="8"/>
  <c r="AD118" i="8" s="1"/>
  <c r="BS99" i="47"/>
  <c r="BM99" i="47"/>
  <c r="BO117" i="46"/>
  <c r="J11" i="49"/>
  <c r="F120" i="8"/>
  <c r="BX34" i="46"/>
  <c r="AM61" i="9" l="1"/>
  <c r="AM60" i="9"/>
  <c r="AM62" i="9"/>
  <c r="AD337" i="44"/>
  <c r="C44" i="60"/>
  <c r="H39" i="60"/>
  <c r="Z333" i="44"/>
  <c r="Y344" i="44"/>
  <c r="Y38" i="44"/>
  <c r="Y39" i="44" s="1"/>
  <c r="Y335" i="44"/>
  <c r="Y40" i="44"/>
  <c r="Y334" i="44"/>
  <c r="AQ35" i="9"/>
  <c r="AS32" i="9"/>
  <c r="AQ54" i="10"/>
  <c r="AQ64" i="10" s="1"/>
  <c r="P141" i="21"/>
  <c r="P188" i="21" s="1"/>
  <c r="P72" i="21"/>
  <c r="Y19" i="4"/>
  <c r="Y20" i="4" s="1"/>
  <c r="Z18" i="4"/>
  <c r="Z19" i="4" s="1"/>
  <c r="BS136" i="46"/>
  <c r="BT136" i="46" s="1"/>
  <c r="BT116" i="46"/>
  <c r="BU116" i="46"/>
  <c r="BQ117" i="46"/>
  <c r="BP117" i="46"/>
  <c r="BQ136" i="46"/>
  <c r="BP136" i="46"/>
  <c r="BP302" i="46"/>
  <c r="BO156" i="46"/>
  <c r="BQ156" i="46" s="1"/>
  <c r="BO303" i="46"/>
  <c r="BO342" i="46"/>
  <c r="BP342" i="46" s="1"/>
  <c r="AF118" i="8"/>
  <c r="J12" i="49"/>
  <c r="R11" i="49"/>
  <c r="R14" i="49"/>
  <c r="BS302" i="46"/>
  <c r="AA128" i="3"/>
  <c r="AA129" i="3" s="1"/>
  <c r="AC129" i="3" s="1"/>
  <c r="Y132" i="3"/>
  <c r="BM23" i="47"/>
  <c r="BL23" i="47"/>
  <c r="BL72" i="47" s="1"/>
  <c r="BK23" i="47"/>
  <c r="BK72" i="47" s="1"/>
  <c r="BL71" i="47"/>
  <c r="BL56" i="47"/>
  <c r="CH21" i="47"/>
  <c r="CH57" i="47" s="1"/>
  <c r="J38" i="49"/>
  <c r="P12" i="21"/>
  <c r="BK56" i="47"/>
  <c r="BK71" i="47"/>
  <c r="U25" i="4"/>
  <c r="U26" i="4" s="1"/>
  <c r="U13" i="4"/>
  <c r="BT10" i="11"/>
  <c r="U14" i="5"/>
  <c r="AC8" i="5"/>
  <c r="U11" i="5"/>
  <c r="BT12" i="11" s="1"/>
  <c r="U30" i="5"/>
  <c r="U16" i="5"/>
  <c r="U26" i="5"/>
  <c r="BT17" i="11" s="1"/>
  <c r="U9" i="5"/>
  <c r="U20" i="5"/>
  <c r="U36" i="5"/>
  <c r="BS59" i="11"/>
  <c r="BS50" i="11"/>
  <c r="BN23" i="47"/>
  <c r="AD11" i="55"/>
  <c r="AD6" i="55"/>
  <c r="BM56" i="47"/>
  <c r="BM71" i="47"/>
  <c r="P59" i="21"/>
  <c r="P53" i="21"/>
  <c r="J18" i="49"/>
  <c r="J15" i="49"/>
  <c r="P11" i="21"/>
  <c r="CH13" i="47"/>
  <c r="AM57" i="9"/>
  <c r="CH11" i="47"/>
  <c r="CH12" i="47" s="1"/>
  <c r="CH55" i="47" s="1"/>
  <c r="L34" i="53" s="1"/>
  <c r="L35" i="53" s="1"/>
  <c r="P8" i="21"/>
  <c r="AM56" i="9"/>
  <c r="BO137" i="46"/>
  <c r="BX25" i="46"/>
  <c r="BN99" i="47"/>
  <c r="U31" i="4"/>
  <c r="AB31" i="4" s="1"/>
  <c r="AB119" i="8"/>
  <c r="BN56" i="47"/>
  <c r="BN71" i="47"/>
  <c r="BX35" i="46"/>
  <c r="BL12" i="47"/>
  <c r="BL55" i="47" s="1"/>
  <c r="CL81" i="47"/>
  <c r="CL100" i="47" s="1"/>
  <c r="CH58" i="47"/>
  <c r="CH69" i="47"/>
  <c r="T45" i="5"/>
  <c r="T55" i="5"/>
  <c r="T53" i="5"/>
  <c r="BP303" i="46" l="1"/>
  <c r="BO349" i="46"/>
  <c r="BO348" i="46"/>
  <c r="AU32" i="9"/>
  <c r="AS35" i="9"/>
  <c r="AS54" i="10"/>
  <c r="AS64" i="10" s="1"/>
  <c r="J24" i="60"/>
  <c r="H24" i="60"/>
  <c r="C24" i="60"/>
  <c r="I24" i="60"/>
  <c r="D24" i="60"/>
  <c r="E24" i="60"/>
  <c r="F24" i="60"/>
  <c r="G24" i="60"/>
  <c r="Z344" i="44"/>
  <c r="Z335" i="44"/>
  <c r="Z40" i="44"/>
  <c r="AA333" i="44"/>
  <c r="Z38" i="44"/>
  <c r="Z39" i="44" s="1"/>
  <c r="Z334" i="44"/>
  <c r="AE337" i="44"/>
  <c r="P147" i="21"/>
  <c r="P78" i="21"/>
  <c r="P10" i="21"/>
  <c r="P143" i="21"/>
  <c r="P74" i="21"/>
  <c r="P76" i="21" s="1"/>
  <c r="P118" i="21" s="1"/>
  <c r="P77" i="21"/>
  <c r="P146" i="21"/>
  <c r="P187" i="21" s="1"/>
  <c r="P126" i="21"/>
  <c r="P120" i="21"/>
  <c r="Z20" i="4"/>
  <c r="BU136" i="46"/>
  <c r="CM81" i="47"/>
  <c r="CM100" i="47" s="1"/>
  <c r="AD18" i="4"/>
  <c r="BQ146" i="46"/>
  <c r="BQ137" i="46"/>
  <c r="BP137" i="46"/>
  <c r="AJ128" i="3"/>
  <c r="AL128" i="3" s="1"/>
  <c r="AC128" i="3"/>
  <c r="BO166" i="46"/>
  <c r="BP166" i="46" s="1"/>
  <c r="BO209" i="46"/>
  <c r="BP209" i="46" s="1"/>
  <c r="BO343" i="46"/>
  <c r="BP343" i="46" s="1"/>
  <c r="BQ342" i="46"/>
  <c r="BP156" i="46"/>
  <c r="BO147" i="46"/>
  <c r="BK27" i="47" a="1"/>
  <c r="BM27" i="47" s="1"/>
  <c r="BQ303" i="46"/>
  <c r="Y133" i="3"/>
  <c r="AB124" i="8" s="1"/>
  <c r="AB123" i="8"/>
  <c r="BM26" i="47"/>
  <c r="BM60" i="47" s="1"/>
  <c r="BL22" i="47"/>
  <c r="BK59" i="47"/>
  <c r="J40" i="49"/>
  <c r="R30" i="49"/>
  <c r="BS146" i="46"/>
  <c r="BU302" i="46"/>
  <c r="BT302" i="46"/>
  <c r="BS342" i="46"/>
  <c r="AA132" i="3"/>
  <c r="U23" i="5"/>
  <c r="U24" i="5" s="1"/>
  <c r="U32" i="5"/>
  <c r="U38" i="5" s="1"/>
  <c r="BM72" i="47"/>
  <c r="BM46" i="47"/>
  <c r="BM48" i="47" s="1"/>
  <c r="BM59" i="47"/>
  <c r="BL26" i="47"/>
  <c r="BL60" i="47" s="1"/>
  <c r="BL59" i="47"/>
  <c r="BL46" i="47"/>
  <c r="BL48" i="47" s="1"/>
  <c r="BK46" i="47"/>
  <c r="BK48" i="47" s="1"/>
  <c r="BK50" i="47" s="1"/>
  <c r="BK26" i="47"/>
  <c r="BK60" i="47" s="1"/>
  <c r="CH56" i="47"/>
  <c r="L37" i="53" s="1"/>
  <c r="CH71" i="47"/>
  <c r="L39" i="53" s="1"/>
  <c r="P52" i="21"/>
  <c r="P61" i="21"/>
  <c r="P320" i="21" s="1"/>
  <c r="BN59" i="47"/>
  <c r="BN46" i="47"/>
  <c r="BN48" i="47" s="1"/>
  <c r="BN26" i="47"/>
  <c r="BN72" i="47"/>
  <c r="BT44" i="11"/>
  <c r="AI96" i="5"/>
  <c r="T56" i="5"/>
  <c r="BT16" i="11"/>
  <c r="BT43" i="11" s="1"/>
  <c r="P226" i="21"/>
  <c r="P275" i="21"/>
  <c r="P277" i="21" s="1"/>
  <c r="BT15" i="11"/>
  <c r="U18" i="5"/>
  <c r="CH19" i="47"/>
  <c r="CH23" i="47" s="1"/>
  <c r="J31" i="49"/>
  <c r="BT64" i="11"/>
  <c r="BT65" i="11" s="1"/>
  <c r="CH82" i="47"/>
  <c r="CH83" i="47" s="1"/>
  <c r="U28" i="4"/>
  <c r="AB28" i="4" s="1"/>
  <c r="U34" i="4"/>
  <c r="U32" i="4"/>
  <c r="BT81" i="11"/>
  <c r="CH99" i="47"/>
  <c r="BT14" i="11"/>
  <c r="BT45" i="11"/>
  <c r="E42" i="44"/>
  <c r="BT53" i="11"/>
  <c r="J49" i="49" l="1"/>
  <c r="BO151" i="46"/>
  <c r="AA40" i="44"/>
  <c r="AB333" i="44"/>
  <c r="AA344" i="44"/>
  <c r="AA335" i="44"/>
  <c r="AA38" i="44"/>
  <c r="AA39" i="44" s="1"/>
  <c r="AA334" i="44"/>
  <c r="AU35" i="9"/>
  <c r="AW32" i="9"/>
  <c r="AU54" i="10"/>
  <c r="AU64" i="10" s="1"/>
  <c r="AF337" i="44"/>
  <c r="P145" i="21"/>
  <c r="P186" i="21" s="1"/>
  <c r="P16" i="21"/>
  <c r="P55" i="21" s="1"/>
  <c r="P51" i="21"/>
  <c r="R40" i="49"/>
  <c r="C6" i="60"/>
  <c r="C7" i="60" s="1"/>
  <c r="P119" i="21"/>
  <c r="P128" i="21"/>
  <c r="P149" i="21"/>
  <c r="P80" i="21"/>
  <c r="AC23" i="5"/>
  <c r="BQ343" i="46"/>
  <c r="BO269" i="46"/>
  <c r="BO279" i="46" s="1"/>
  <c r="BQ209" i="46"/>
  <c r="BO157" i="46"/>
  <c r="BO167" i="46" s="1"/>
  <c r="BP167" i="46" s="1"/>
  <c r="BK65" i="47"/>
  <c r="BK27" i="47"/>
  <c r="BK61" i="47" s="1"/>
  <c r="BN27" i="47"/>
  <c r="BN29" i="47" s="1"/>
  <c r="BL27" i="47"/>
  <c r="BL61" i="47" s="1"/>
  <c r="BP147" i="46"/>
  <c r="BQ147" i="46"/>
  <c r="AA133" i="3"/>
  <c r="AC133" i="3" s="1"/>
  <c r="BS156" i="46"/>
  <c r="BS166" i="46" s="1"/>
  <c r="BT166" i="46" s="1"/>
  <c r="AC32" i="5"/>
  <c r="U33" i="5"/>
  <c r="BM61" i="47"/>
  <c r="J73" i="49"/>
  <c r="J75" i="49" s="1"/>
  <c r="R75" i="49" s="1"/>
  <c r="J41" i="49"/>
  <c r="J46" i="49"/>
  <c r="J50" i="49" s="1"/>
  <c r="C8" i="60" s="1"/>
  <c r="U44" i="4"/>
  <c r="U45" i="4" s="1"/>
  <c r="BM65" i="47"/>
  <c r="BL74" i="47"/>
  <c r="BK74" i="47"/>
  <c r="BM50" i="47"/>
  <c r="AF4" i="55" s="1"/>
  <c r="AF7" i="55" s="1"/>
  <c r="AF9" i="55" s="1"/>
  <c r="BU342" i="46"/>
  <c r="BT342" i="46"/>
  <c r="BU146" i="46"/>
  <c r="AC132" i="3"/>
  <c r="Y134" i="3"/>
  <c r="AB125" i="8" s="1"/>
  <c r="AD125" i="8" s="1"/>
  <c r="AF125" i="8" s="1"/>
  <c r="BM29" i="47"/>
  <c r="BM34" i="47" s="1"/>
  <c r="BM39" i="47" s="1"/>
  <c r="BL65" i="47"/>
  <c r="BM74" i="47"/>
  <c r="BL50" i="47"/>
  <c r="BK64" i="47"/>
  <c r="BK75" i="47"/>
  <c r="AD4" i="55"/>
  <c r="CH72" i="47"/>
  <c r="CH59" i="47"/>
  <c r="CH26" i="47"/>
  <c r="CH46" i="47"/>
  <c r="CH48" i="47" s="1"/>
  <c r="CH27" i="47"/>
  <c r="P20" i="21"/>
  <c r="AC38" i="5"/>
  <c r="U39" i="5"/>
  <c r="U41" i="5"/>
  <c r="BT24" i="11" s="1"/>
  <c r="BN50" i="47"/>
  <c r="BN74" i="47"/>
  <c r="BN65" i="47"/>
  <c r="H119" i="8"/>
  <c r="BM13" i="6"/>
  <c r="J4" i="62" s="1" a="1"/>
  <c r="BT66" i="11"/>
  <c r="U35" i="4"/>
  <c r="CH84" i="47"/>
  <c r="BT42" i="11"/>
  <c r="BT55" i="11"/>
  <c r="U29" i="4"/>
  <c r="U37" i="4"/>
  <c r="AB37" i="4" s="1"/>
  <c r="P317" i="21"/>
  <c r="P279" i="21"/>
  <c r="P304" i="21"/>
  <c r="P293" i="21"/>
  <c r="P319" i="21" s="1"/>
  <c r="AM46" i="10"/>
  <c r="C17" i="60" s="1"/>
  <c r="C18" i="60" s="1"/>
  <c r="P297" i="21"/>
  <c r="BT19" i="11"/>
  <c r="BT41" i="11"/>
  <c r="BN60" i="47"/>
  <c r="P250" i="21"/>
  <c r="P303" i="21" s="1"/>
  <c r="P302" i="21"/>
  <c r="C9" i="60" l="1"/>
  <c r="C10" i="60" s="1"/>
  <c r="C11" i="60" s="1"/>
  <c r="P298" i="21"/>
  <c r="AG337" i="44"/>
  <c r="P301" i="21"/>
  <c r="P82" i="21"/>
  <c r="P108" i="21" s="1"/>
  <c r="P110" i="21" s="1"/>
  <c r="P113" i="21" s="1"/>
  <c r="P132" i="21" s="1"/>
  <c r="AW35" i="9"/>
  <c r="AW54" i="10"/>
  <c r="AW64" i="10" s="1"/>
  <c r="AB344" i="44"/>
  <c r="AC333" i="44"/>
  <c r="AB335" i="44"/>
  <c r="AB38" i="44"/>
  <c r="AB39" i="44" s="1"/>
  <c r="AB40" i="44"/>
  <c r="AB334" i="44"/>
  <c r="P249" i="21"/>
  <c r="P299" i="21" s="1"/>
  <c r="P151" i="21"/>
  <c r="P153" i="21" s="1"/>
  <c r="P122" i="21"/>
  <c r="P190" i="21"/>
  <c r="BQ269" i="46"/>
  <c r="C21" i="60"/>
  <c r="C25" i="60" s="1"/>
  <c r="P62" i="21"/>
  <c r="P18" i="21"/>
  <c r="P84" i="21" s="1"/>
  <c r="P54" i="21"/>
  <c r="P155" i="21"/>
  <c r="P86" i="21"/>
  <c r="BP269" i="46"/>
  <c r="BP279" i="46"/>
  <c r="BO210" i="46"/>
  <c r="BQ210" i="46" s="1"/>
  <c r="BN61" i="47"/>
  <c r="BK29" i="47"/>
  <c r="BK30" i="47" s="1"/>
  <c r="BQ157" i="46"/>
  <c r="BL29" i="47"/>
  <c r="BL62" i="47" s="1"/>
  <c r="BP157" i="46"/>
  <c r="BT156" i="46"/>
  <c r="BS209" i="46"/>
  <c r="BS269" i="46" s="1"/>
  <c r="BU156" i="46"/>
  <c r="AB44" i="4"/>
  <c r="J52" i="49"/>
  <c r="BM75" i="47"/>
  <c r="P42" i="21"/>
  <c r="J47" i="49"/>
  <c r="BM64" i="47"/>
  <c r="BM63" i="47" s="1"/>
  <c r="BL75" i="47"/>
  <c r="AE4" i="55"/>
  <c r="AE7" i="55" s="1"/>
  <c r="AE9" i="55" s="1"/>
  <c r="BL64" i="47"/>
  <c r="BT209" i="46"/>
  <c r="Y135" i="3"/>
  <c r="AB126" i="8" s="1"/>
  <c r="AA134" i="3"/>
  <c r="BM62" i="47"/>
  <c r="BM30" i="47"/>
  <c r="U44" i="5"/>
  <c r="U52" i="5" s="1"/>
  <c r="M4" i="62"/>
  <c r="M5" i="62" s="1"/>
  <c r="J4" i="62"/>
  <c r="J5" i="62" s="1"/>
  <c r="J11" i="62" s="1"/>
  <c r="J13" i="62" s="1"/>
  <c r="K4" i="62"/>
  <c r="K5" i="62" s="1"/>
  <c r="K11" i="62" s="1"/>
  <c r="K13" i="62" s="1"/>
  <c r="L4" i="62"/>
  <c r="L5" i="62" s="1"/>
  <c r="L11" i="62" s="1"/>
  <c r="L13" i="62" s="1"/>
  <c r="AM48" i="10"/>
  <c r="G24" i="31"/>
  <c r="G24" i="32"/>
  <c r="BT56" i="11"/>
  <c r="BT46" i="11"/>
  <c r="BT22" i="11"/>
  <c r="BT48" i="11" s="1"/>
  <c r="J76" i="49"/>
  <c r="J78" i="49"/>
  <c r="R78" i="49" s="1"/>
  <c r="P44" i="21"/>
  <c r="BM66" i="47"/>
  <c r="BM40" i="47"/>
  <c r="BO270" i="46"/>
  <c r="BO280" i="46" s="1"/>
  <c r="CH61" i="47"/>
  <c r="P281" i="21"/>
  <c r="P285" i="21" s="1"/>
  <c r="BN30" i="47"/>
  <c r="BN62" i="47"/>
  <c r="BN34" i="47"/>
  <c r="BN39" i="47" s="1"/>
  <c r="U38" i="4"/>
  <c r="BT67" i="11"/>
  <c r="CH85" i="47"/>
  <c r="BN64" i="47"/>
  <c r="BN75" i="47"/>
  <c r="CH74" i="47"/>
  <c r="CH50" i="47"/>
  <c r="CH65" i="47"/>
  <c r="CH63" i="47" s="1"/>
  <c r="AD12" i="55"/>
  <c r="AD7" i="55"/>
  <c r="AD9" i="55" s="1"/>
  <c r="P119" i="8"/>
  <c r="AD119" i="8"/>
  <c r="N119" i="8"/>
  <c r="J119" i="8"/>
  <c r="X119" i="8"/>
  <c r="CH60" i="47"/>
  <c r="CH29" i="47"/>
  <c r="P130" i="21" l="1"/>
  <c r="P121" i="21"/>
  <c r="BP210" i="46"/>
  <c r="BL30" i="47"/>
  <c r="BL34" i="47"/>
  <c r="BL39" i="47" s="1"/>
  <c r="BL40" i="47" s="1"/>
  <c r="AC344" i="44"/>
  <c r="AC335" i="44"/>
  <c r="AC38" i="44"/>
  <c r="AC39" i="44" s="1"/>
  <c r="AC40" i="44"/>
  <c r="AD333" i="44"/>
  <c r="AC334" i="44"/>
  <c r="AH337" i="44"/>
  <c r="P191" i="21"/>
  <c r="P177" i="21"/>
  <c r="P179" i="21" s="1"/>
  <c r="P182" i="21" s="1"/>
  <c r="P189" i="21"/>
  <c r="J61" i="49"/>
  <c r="J66" i="49" s="1"/>
  <c r="R66" i="49" s="1"/>
  <c r="AM9" i="10"/>
  <c r="P24" i="21"/>
  <c r="P159" i="21" s="1"/>
  <c r="P56" i="21"/>
  <c r="P307" i="21" s="1"/>
  <c r="P123" i="21"/>
  <c r="BK34" i="47"/>
  <c r="BK39" i="47" s="1"/>
  <c r="BK40" i="47" s="1"/>
  <c r="BK62" i="47"/>
  <c r="BU209" i="46"/>
  <c r="J55" i="49"/>
  <c r="J56" i="49" s="1"/>
  <c r="AM58" i="9"/>
  <c r="U47" i="5"/>
  <c r="AC47" i="5" s="1"/>
  <c r="J53" i="49"/>
  <c r="BL66" i="47"/>
  <c r="BM76" i="47"/>
  <c r="BL76" i="47"/>
  <c r="Z119" i="8"/>
  <c r="AF119" i="8"/>
  <c r="AA135" i="3"/>
  <c r="AC135" i="3" s="1"/>
  <c r="AE135" i="3" s="1"/>
  <c r="V31" i="4"/>
  <c r="BS279" i="46"/>
  <c r="BT279" i="46" s="1"/>
  <c r="BU269" i="46"/>
  <c r="BT269" i="46"/>
  <c r="AC134" i="3"/>
  <c r="AE134" i="3" s="1"/>
  <c r="BP280" i="46"/>
  <c r="BQ270" i="46"/>
  <c r="BP270" i="46"/>
  <c r="P47" i="21"/>
  <c r="P65" i="21" s="1"/>
  <c r="J79" i="49"/>
  <c r="J120" i="8"/>
  <c r="R120" i="8" s="1"/>
  <c r="BI81" i="47" s="1"/>
  <c r="AH119" i="8"/>
  <c r="R119" i="8"/>
  <c r="CH64" i="47"/>
  <c r="CH75" i="47"/>
  <c r="BN66" i="47"/>
  <c r="BN40" i="47"/>
  <c r="CH62" i="47"/>
  <c r="CH34" i="47"/>
  <c r="CH39" i="47" s="1"/>
  <c r="CH30" i="47"/>
  <c r="U45" i="5"/>
  <c r="U53" i="5"/>
  <c r="U55" i="5"/>
  <c r="BT26" i="11"/>
  <c r="BT47" i="11"/>
  <c r="AD38" i="44" l="1"/>
  <c r="AD39" i="44" s="1"/>
  <c r="AD344" i="44"/>
  <c r="AD335" i="44"/>
  <c r="AE333" i="44"/>
  <c r="AD40" i="44"/>
  <c r="AD334" i="44"/>
  <c r="AI337" i="44"/>
  <c r="P306" i="21"/>
  <c r="P30" i="21"/>
  <c r="P96" i="21" s="1"/>
  <c r="P90" i="21"/>
  <c r="P26" i="21"/>
  <c r="P92" i="21" s="1"/>
  <c r="P161" i="21" s="1"/>
  <c r="P253" i="21"/>
  <c r="P308" i="21" s="1"/>
  <c r="P165" i="21"/>
  <c r="BK66" i="47"/>
  <c r="G21" i="31"/>
  <c r="G26" i="31" s="1"/>
  <c r="G21" i="32"/>
  <c r="G26" i="32" s="1"/>
  <c r="AM29" i="10"/>
  <c r="AM68" i="10" s="1"/>
  <c r="U48" i="5"/>
  <c r="BN76" i="47"/>
  <c r="BK76" i="47"/>
  <c r="AJ135" i="3"/>
  <c r="AL135" i="3" s="1"/>
  <c r="AA136" i="3"/>
  <c r="AC136" i="3" s="1"/>
  <c r="V32" i="4"/>
  <c r="CI82" i="47"/>
  <c r="CI83" i="47" s="1"/>
  <c r="CI99" i="47"/>
  <c r="W31" i="4"/>
  <c r="V34" i="4"/>
  <c r="V28" i="4"/>
  <c r="V29" i="4" s="1"/>
  <c r="BU81" i="11"/>
  <c r="BU64" i="11"/>
  <c r="BU65" i="11" s="1"/>
  <c r="BT49" i="11"/>
  <c r="BT38" i="11"/>
  <c r="BT32" i="11"/>
  <c r="BT33" i="11" s="1"/>
  <c r="BT58" i="11" s="1"/>
  <c r="BT28" i="11"/>
  <c r="CH66" i="47"/>
  <c r="CH40" i="47"/>
  <c r="J69" i="49"/>
  <c r="P35" i="21"/>
  <c r="P101" i="21" s="1"/>
  <c r="J67" i="49"/>
  <c r="P36" i="21" s="1"/>
  <c r="U56" i="5"/>
  <c r="AC55" i="5"/>
  <c r="AE344" i="44" l="1"/>
  <c r="AE335" i="44"/>
  <c r="AE38" i="44"/>
  <c r="AE39" i="44" s="1"/>
  <c r="AF333" i="44"/>
  <c r="AE40" i="44"/>
  <c r="AE334" i="44"/>
  <c r="AJ337" i="44"/>
  <c r="AM50" i="10"/>
  <c r="AM80" i="10" s="1"/>
  <c r="V35" i="4"/>
  <c r="CI84" i="47"/>
  <c r="BU66" i="11"/>
  <c r="CJ99" i="47"/>
  <c r="X31" i="4"/>
  <c r="W34" i="4"/>
  <c r="W32" i="4"/>
  <c r="W28" i="4"/>
  <c r="W29" i="4" s="1"/>
  <c r="CJ82" i="47"/>
  <c r="CJ83" i="47" s="1"/>
  <c r="P38" i="21"/>
  <c r="B4" i="58"/>
  <c r="J70" i="49"/>
  <c r="BT59" i="11"/>
  <c r="BT50" i="11"/>
  <c r="CH76" i="47"/>
  <c r="L41" i="53"/>
  <c r="AM69" i="10"/>
  <c r="AM71" i="10"/>
  <c r="AI41" i="7"/>
  <c r="AI47" i="7" s="1"/>
  <c r="AI53" i="7" s="1"/>
  <c r="BI83" i="47" s="1"/>
  <c r="AF344" i="44" l="1"/>
  <c r="AF335" i="44"/>
  <c r="AF38" i="44"/>
  <c r="AF39" i="44" s="1"/>
  <c r="AF40" i="44"/>
  <c r="AG333" i="44"/>
  <c r="AF334" i="44"/>
  <c r="AK337" i="44"/>
  <c r="P64" i="21"/>
  <c r="P173" i="21"/>
  <c r="P104" i="21"/>
  <c r="W35" i="4"/>
  <c r="CJ84" i="47"/>
  <c r="X32" i="4"/>
  <c r="CK82" i="47"/>
  <c r="CK83" i="47" s="1"/>
  <c r="X34" i="4"/>
  <c r="Y31" i="4"/>
  <c r="Z31" i="4" s="1"/>
  <c r="CK99" i="47"/>
  <c r="X28" i="4"/>
  <c r="X29" i="4" s="1"/>
  <c r="G15" i="32"/>
  <c r="G17" i="32" s="1"/>
  <c r="G15" i="31"/>
  <c r="G17" i="31" s="1"/>
  <c r="AM9" i="9"/>
  <c r="AO66" i="10"/>
  <c r="AL337" i="44" l="1"/>
  <c r="AG344" i="44"/>
  <c r="AG38" i="44"/>
  <c r="AG39" i="44" s="1"/>
  <c r="AG40" i="44"/>
  <c r="AG335" i="44"/>
  <c r="AH333" i="44"/>
  <c r="AG334" i="44"/>
  <c r="P170" i="21"/>
  <c r="P131" i="21"/>
  <c r="CM82" i="47"/>
  <c r="CM99" i="47"/>
  <c r="AD31" i="4"/>
  <c r="Z32" i="4"/>
  <c r="Z34" i="4"/>
  <c r="CM84" i="47" s="1"/>
  <c r="Z28" i="4"/>
  <c r="CL82" i="47"/>
  <c r="Y28" i="4"/>
  <c r="Y32" i="4"/>
  <c r="Y34" i="4"/>
  <c r="CL99" i="47"/>
  <c r="X35" i="4"/>
  <c r="CK84" i="47"/>
  <c r="G29" i="32"/>
  <c r="AM66" i="9"/>
  <c r="AM16" i="9"/>
  <c r="AI11" i="7"/>
  <c r="AI35" i="7" s="1"/>
  <c r="G29" i="31"/>
  <c r="AH344" i="44" l="1"/>
  <c r="AH38" i="44"/>
  <c r="AH39" i="44" s="1"/>
  <c r="AH40" i="44"/>
  <c r="AH335" i="44"/>
  <c r="AI333" i="44"/>
  <c r="AH334" i="44"/>
  <c r="AM337" i="44"/>
  <c r="Z29" i="4"/>
  <c r="AD28" i="4"/>
  <c r="AM23" i="9"/>
  <c r="CL83" i="47"/>
  <c r="CM83" i="47"/>
  <c r="Z35" i="4"/>
  <c r="Y29" i="4"/>
  <c r="Y35" i="4"/>
  <c r="CL84" i="47"/>
  <c r="G38" i="31"/>
  <c r="G38" i="32"/>
  <c r="AI59" i="7"/>
  <c r="AN337" i="44" l="1"/>
  <c r="AI344" i="44"/>
  <c r="AI40" i="44"/>
  <c r="AI38" i="44"/>
  <c r="AI39" i="44" s="1"/>
  <c r="AI335" i="44"/>
  <c r="AJ333" i="44"/>
  <c r="AI334" i="44"/>
  <c r="AK333" i="44" l="1"/>
  <c r="AJ38" i="44"/>
  <c r="AJ39" i="44" s="1"/>
  <c r="AJ344" i="44"/>
  <c r="AJ40" i="44"/>
  <c r="AJ335" i="44"/>
  <c r="AJ334" i="44"/>
  <c r="AO337" i="44"/>
  <c r="AP337" i="44" l="1"/>
  <c r="AK344" i="44"/>
  <c r="AK38" i="44"/>
  <c r="AK39" i="44" s="1"/>
  <c r="AK335" i="44"/>
  <c r="AL333" i="44"/>
  <c r="AK40" i="44"/>
  <c r="AK334" i="44"/>
  <c r="AM333" i="44" l="1"/>
  <c r="AL38" i="44"/>
  <c r="AL39" i="44" s="1"/>
  <c r="AL344" i="44"/>
  <c r="AL335" i="44"/>
  <c r="AL40" i="44"/>
  <c r="AL334" i="44"/>
  <c r="AQ337" i="44"/>
  <c r="AR337" i="44" l="1"/>
  <c r="AM344" i="44"/>
  <c r="AM38" i="44"/>
  <c r="AM39" i="44" s="1"/>
  <c r="AM335" i="44"/>
  <c r="AM40" i="44"/>
  <c r="AN333" i="44"/>
  <c r="AM334" i="44"/>
  <c r="C43" i="44"/>
  <c r="C45" i="44"/>
  <c r="AS337" i="44" l="1"/>
  <c r="AN38" i="44"/>
  <c r="AN39" i="44" s="1"/>
  <c r="AO333" i="44"/>
  <c r="AN344" i="44"/>
  <c r="AN40" i="44"/>
  <c r="AN335" i="44"/>
  <c r="AN334" i="44"/>
  <c r="AO344" i="44" l="1"/>
  <c r="AO38" i="44"/>
  <c r="AO39" i="44" s="1"/>
  <c r="AO335" i="44"/>
  <c r="AO40" i="44"/>
  <c r="AP333" i="44"/>
  <c r="AO334" i="44"/>
  <c r="AT337" i="44"/>
  <c r="AU337" i="44" l="1"/>
  <c r="AP344" i="44"/>
  <c r="AP40" i="44"/>
  <c r="AP335" i="44"/>
  <c r="AQ333" i="44"/>
  <c r="AP38" i="44"/>
  <c r="AP39" i="44" s="1"/>
  <c r="AP334" i="44"/>
  <c r="D43" i="44"/>
  <c r="D45" i="44"/>
  <c r="AQ40" i="44" l="1"/>
  <c r="AQ335" i="44"/>
  <c r="AR333" i="44"/>
  <c r="AQ344" i="44"/>
  <c r="AQ38" i="44"/>
  <c r="AQ39" i="44" s="1"/>
  <c r="AQ334" i="44"/>
  <c r="AV337" i="44"/>
  <c r="E45" i="44"/>
  <c r="E43" i="44"/>
  <c r="AS333" i="44" l="1"/>
  <c r="AR40" i="44"/>
  <c r="AR344" i="44"/>
  <c r="AR38" i="44"/>
  <c r="AR39" i="44" s="1"/>
  <c r="AR335" i="44"/>
  <c r="AR334" i="44"/>
  <c r="AW337" i="44"/>
  <c r="AS344" i="44" l="1"/>
  <c r="AS335" i="44"/>
  <c r="AS38" i="44"/>
  <c r="AS39" i="44" s="1"/>
  <c r="AT333" i="44"/>
  <c r="AS40" i="44"/>
  <c r="AS334" i="44"/>
  <c r="AX337" i="44"/>
  <c r="AY337" i="44" l="1"/>
  <c r="AT40" i="44"/>
  <c r="AT335" i="44"/>
  <c r="AT38" i="44"/>
  <c r="AT39" i="44" s="1"/>
  <c r="AT344" i="44"/>
  <c r="AU333" i="44"/>
  <c r="AT334" i="44"/>
  <c r="AZ337" i="44" l="1"/>
  <c r="AU344" i="44"/>
  <c r="AU38" i="44"/>
  <c r="AU39" i="44" s="1"/>
  <c r="AU40" i="44"/>
  <c r="AV333" i="44"/>
  <c r="AU335" i="44"/>
  <c r="AU334" i="44"/>
  <c r="BA337" i="44" l="1"/>
  <c r="AV335" i="44"/>
  <c r="AW333" i="44"/>
  <c r="AV344" i="44"/>
  <c r="AV40" i="44"/>
  <c r="AV38" i="44"/>
  <c r="AV39" i="44" s="1"/>
  <c r="AV334" i="44"/>
  <c r="BB337" i="44" l="1"/>
  <c r="AW344" i="44"/>
  <c r="AX333" i="44"/>
  <c r="AW38" i="44"/>
  <c r="AW39" i="44" s="1"/>
  <c r="AW335" i="44"/>
  <c r="AW40" i="44"/>
  <c r="AW334" i="44"/>
  <c r="AD27" i="44"/>
  <c r="AD28" i="44"/>
  <c r="AD26" i="44"/>
  <c r="AY333" i="44" l="1"/>
  <c r="AX40" i="44"/>
  <c r="AX335" i="44"/>
  <c r="AX38" i="44"/>
  <c r="AX39" i="44" s="1"/>
  <c r="AX344" i="44"/>
  <c r="AX334" i="44"/>
  <c r="BC337" i="44"/>
  <c r="U33" i="44"/>
  <c r="B109" i="44"/>
  <c r="BD337" i="44" l="1"/>
  <c r="AY38" i="44"/>
  <c r="AY39" i="44" s="1"/>
  <c r="AZ333" i="44"/>
  <c r="AY335" i="44"/>
  <c r="AY344" i="44"/>
  <c r="AY40" i="44"/>
  <c r="AY334" i="44"/>
  <c r="C309" i="44"/>
  <c r="C310" i="44"/>
  <c r="BE337" i="44" l="1"/>
  <c r="BA333" i="44"/>
  <c r="AZ38" i="44"/>
  <c r="AZ39" i="44" s="1"/>
  <c r="AZ40" i="44"/>
  <c r="AZ344" i="44"/>
  <c r="AZ335" i="44"/>
  <c r="AZ334" i="44"/>
  <c r="C311" i="44"/>
  <c r="C314" i="44"/>
  <c r="C312" i="44"/>
  <c r="BB333" i="44" l="1"/>
  <c r="BA344" i="44"/>
  <c r="BA335" i="44"/>
  <c r="BA38" i="44"/>
  <c r="BA39" i="44" s="1"/>
  <c r="BA40" i="44"/>
  <c r="BA334" i="44"/>
  <c r="BF337" i="44"/>
  <c r="D309" i="44"/>
  <c r="D310" i="44"/>
  <c r="BG337" i="44" l="1"/>
  <c r="BC333" i="44"/>
  <c r="BB335" i="44"/>
  <c r="BB40" i="44"/>
  <c r="BB344" i="44"/>
  <c r="BB38" i="44"/>
  <c r="BB39" i="44" s="1"/>
  <c r="BB334" i="44"/>
  <c r="D312" i="44"/>
  <c r="D314" i="44"/>
  <c r="D311" i="44"/>
  <c r="BC40" i="44" l="1"/>
  <c r="BD333" i="44"/>
  <c r="BC335" i="44"/>
  <c r="BC38" i="44"/>
  <c r="BC39" i="44" s="1"/>
  <c r="BC344" i="44"/>
  <c r="BC334" i="44"/>
  <c r="BH337" i="44"/>
  <c r="BD344" i="44" l="1"/>
  <c r="BE333" i="44"/>
  <c r="BD38" i="44"/>
  <c r="BD39" i="44" s="1"/>
  <c r="BD40" i="44"/>
  <c r="BD335" i="44"/>
  <c r="BD334" i="44"/>
  <c r="BI337" i="44"/>
  <c r="E309" i="44"/>
  <c r="E310" i="44"/>
  <c r="BJ337" i="44" l="1"/>
  <c r="BE335" i="44"/>
  <c r="BE38" i="44"/>
  <c r="BE39" i="44" s="1"/>
  <c r="BF333" i="44"/>
  <c r="BE344" i="44"/>
  <c r="BE40" i="44"/>
  <c r="BE334" i="44"/>
  <c r="E312" i="44"/>
  <c r="E314" i="44"/>
  <c r="BF40" i="44" l="1"/>
  <c r="BG333" i="44"/>
  <c r="BF38" i="44"/>
  <c r="BF39" i="44" s="1"/>
  <c r="BF344" i="44"/>
  <c r="BF335" i="44"/>
  <c r="BF334" i="44"/>
  <c r="BK337" i="44"/>
  <c r="BG40" i="44" l="1"/>
  <c r="BH333" i="44"/>
  <c r="BG335" i="44"/>
  <c r="BG38" i="44"/>
  <c r="BG39" i="44" s="1"/>
  <c r="BG344" i="44"/>
  <c r="BG334" i="44"/>
  <c r="BL337" i="44"/>
  <c r="F309" i="44"/>
  <c r="BM337" i="44" l="1"/>
  <c r="BH344" i="44"/>
  <c r="BH40" i="44"/>
  <c r="BH38" i="44"/>
  <c r="BH39" i="44" s="1"/>
  <c r="BH335" i="44"/>
  <c r="BI333" i="44"/>
  <c r="BH334" i="44"/>
  <c r="BJ333" i="44" l="1"/>
  <c r="BI344" i="44"/>
  <c r="BI40" i="44"/>
  <c r="BI38" i="44"/>
  <c r="BI39" i="44" s="1"/>
  <c r="BI335" i="44"/>
  <c r="BI334" i="44"/>
  <c r="BN337" i="44"/>
  <c r="BJ335" i="44" l="1"/>
  <c r="BJ38" i="44"/>
  <c r="BJ39" i="44" s="1"/>
  <c r="BK333" i="44"/>
  <c r="BJ344" i="44"/>
  <c r="BJ40" i="44"/>
  <c r="BJ334" i="44"/>
  <c r="BO337" i="44"/>
  <c r="BK38" i="44" l="1"/>
  <c r="BK39" i="44" s="1"/>
  <c r="BK344" i="44"/>
  <c r="BK40" i="44"/>
  <c r="BL333" i="44"/>
  <c r="BK335" i="44"/>
  <c r="BK334" i="44"/>
  <c r="BP337" i="44"/>
  <c r="BM333" i="44" l="1"/>
  <c r="BL344" i="44"/>
  <c r="BL40" i="44"/>
  <c r="BL38" i="44"/>
  <c r="BL39" i="44" s="1"/>
  <c r="BL335" i="44"/>
  <c r="BL334" i="44"/>
  <c r="BQ337" i="44"/>
  <c r="BR337" i="44" l="1"/>
  <c r="BM335" i="44"/>
  <c r="BM38" i="44"/>
  <c r="BM39" i="44" s="1"/>
  <c r="BM344" i="44"/>
  <c r="BN333" i="44"/>
  <c r="BM40" i="44"/>
  <c r="BM334" i="44"/>
  <c r="BS337" i="44" l="1"/>
  <c r="BN344" i="44"/>
  <c r="BN38" i="44"/>
  <c r="BN39" i="44" s="1"/>
  <c r="BO333" i="44"/>
  <c r="BN40" i="44"/>
  <c r="BN335" i="44"/>
  <c r="BN334" i="44"/>
  <c r="BP333" i="44" l="1"/>
  <c r="BO335" i="44"/>
  <c r="BO40" i="44"/>
  <c r="BO344" i="44"/>
  <c r="BO38" i="44"/>
  <c r="BO39" i="44" s="1"/>
  <c r="BO334" i="44"/>
  <c r="BT337" i="44"/>
  <c r="BU337" i="44" l="1"/>
  <c r="BP335" i="44"/>
  <c r="BP344" i="44"/>
  <c r="BP40" i="44"/>
  <c r="BP38" i="44"/>
  <c r="BP39" i="44" s="1"/>
  <c r="BQ333" i="44"/>
  <c r="BP334" i="44"/>
  <c r="BR333" i="44" l="1"/>
  <c r="BQ38" i="44"/>
  <c r="BQ39" i="44" s="1"/>
  <c r="BQ40" i="44"/>
  <c r="BQ344" i="44"/>
  <c r="BQ335" i="44"/>
  <c r="BQ334" i="44"/>
  <c r="BV337" i="44"/>
  <c r="BR40" i="44" l="1"/>
  <c r="BR335" i="44"/>
  <c r="BR38" i="44"/>
  <c r="BR39" i="44" s="1"/>
  <c r="BR344" i="44"/>
  <c r="BS333" i="44"/>
  <c r="BR334" i="44"/>
  <c r="BW337" i="44"/>
  <c r="BS40" i="44" l="1"/>
  <c r="BS344" i="44"/>
  <c r="BS335" i="44"/>
  <c r="BT333" i="44"/>
  <c r="BS38" i="44"/>
  <c r="BS39" i="44" s="1"/>
  <c r="BS334" i="44"/>
  <c r="BX337" i="44"/>
  <c r="BY337" i="44" l="1"/>
  <c r="BU333" i="44"/>
  <c r="BT38" i="44"/>
  <c r="BT39" i="44" s="1"/>
  <c r="BT40" i="44"/>
  <c r="BT344" i="44"/>
  <c r="BT335" i="44"/>
  <c r="BT334" i="44"/>
  <c r="BV333" i="44" l="1"/>
  <c r="BU344" i="44"/>
  <c r="BU40" i="44"/>
  <c r="BU38" i="44"/>
  <c r="BU39" i="44" s="1"/>
  <c r="BU335" i="44"/>
  <c r="BU334" i="44"/>
  <c r="BZ337" i="44"/>
  <c r="CA337" i="44" l="1"/>
  <c r="BV40" i="44"/>
  <c r="BV38" i="44"/>
  <c r="BV39" i="44" s="1"/>
  <c r="BV344" i="44"/>
  <c r="BW333" i="44"/>
  <c r="BV335" i="44"/>
  <c r="BV334" i="44"/>
  <c r="BX333" i="44" l="1"/>
  <c r="BW38" i="44"/>
  <c r="BW39" i="44" s="1"/>
  <c r="BW40" i="44"/>
  <c r="BW335" i="44"/>
  <c r="BW344" i="44"/>
  <c r="BW334" i="44"/>
  <c r="CB337" i="44"/>
  <c r="CC337" i="44" l="1"/>
  <c r="BY333" i="44"/>
  <c r="BX40" i="44"/>
  <c r="BX335" i="44"/>
  <c r="BX344" i="44"/>
  <c r="BX38" i="44"/>
  <c r="BX39" i="44" s="1"/>
  <c r="BX334" i="44"/>
  <c r="CD337" i="44" l="1"/>
  <c r="BY38" i="44"/>
  <c r="BY39" i="44" s="1"/>
  <c r="BZ333" i="44"/>
  <c r="BY335" i="44"/>
  <c r="BY40" i="44"/>
  <c r="BY344" i="44"/>
  <c r="BY334" i="44"/>
  <c r="BZ344" i="44" l="1"/>
  <c r="BZ38" i="44"/>
  <c r="BZ39" i="44" s="1"/>
  <c r="CA333" i="44"/>
  <c r="BZ40" i="44"/>
  <c r="BZ335" i="44"/>
  <c r="BZ334" i="44"/>
  <c r="CE337" i="44"/>
  <c r="CF337" i="44" l="1"/>
  <c r="CB333" i="44"/>
  <c r="CA38" i="44"/>
  <c r="CA39" i="44" s="1"/>
  <c r="CA40" i="44"/>
  <c r="CA344" i="44"/>
  <c r="CA335" i="44"/>
  <c r="CA334" i="44"/>
  <c r="CC333" i="44" l="1"/>
  <c r="CB344" i="44"/>
  <c r="CB40" i="44"/>
  <c r="CB335" i="44"/>
  <c r="CB38" i="44"/>
  <c r="CB39" i="44" s="1"/>
  <c r="CB334" i="44"/>
  <c r="CG337" i="44"/>
  <c r="CH337" i="44" l="1"/>
  <c r="CC40" i="44"/>
  <c r="CC344" i="44"/>
  <c r="CC335" i="44"/>
  <c r="CD333" i="44"/>
  <c r="CC38" i="44"/>
  <c r="CC39" i="44" s="1"/>
  <c r="CC334" i="44"/>
  <c r="CI337" i="44" l="1"/>
  <c r="CE333" i="44"/>
  <c r="CD40" i="44"/>
  <c r="CD38" i="44"/>
  <c r="CD39" i="44" s="1"/>
  <c r="CD344" i="44"/>
  <c r="CD335" i="44"/>
  <c r="CD334" i="44"/>
  <c r="CE335" i="44" l="1"/>
  <c r="CF333" i="44"/>
  <c r="CE344" i="44"/>
  <c r="CE38" i="44"/>
  <c r="CE39" i="44" s="1"/>
  <c r="CE40" i="44"/>
  <c r="CE334" i="44"/>
  <c r="CJ337" i="44"/>
  <c r="CK337" i="44" l="1"/>
  <c r="CF335" i="44"/>
  <c r="CG333" i="44"/>
  <c r="CF344" i="44"/>
  <c r="CF38" i="44"/>
  <c r="CF39" i="44" s="1"/>
  <c r="CF40" i="44"/>
  <c r="CF334" i="44"/>
  <c r="CG40" i="44" l="1"/>
  <c r="CG335" i="44"/>
  <c r="CG344" i="44"/>
  <c r="CG38" i="44"/>
  <c r="CG39" i="44" s="1"/>
  <c r="CH333" i="44"/>
  <c r="CG334" i="44"/>
  <c r="CL337" i="44"/>
  <c r="CH344" i="44" l="1"/>
  <c r="CH38" i="44"/>
  <c r="CH39" i="44" s="1"/>
  <c r="CH40" i="44"/>
  <c r="CH335" i="44"/>
  <c r="CI333" i="44"/>
  <c r="CH334" i="44"/>
  <c r="CM337" i="44"/>
  <c r="CN337" i="44" l="1"/>
  <c r="CI38" i="44"/>
  <c r="CI39" i="44" s="1"/>
  <c r="CI335" i="44"/>
  <c r="CI344" i="44"/>
  <c r="CJ333" i="44"/>
  <c r="CI40" i="44"/>
  <c r="CI334" i="44"/>
  <c r="CO337" i="44" l="1"/>
  <c r="CJ344" i="44"/>
  <c r="CK333" i="44"/>
  <c r="CJ38" i="44"/>
  <c r="CJ39" i="44" s="1"/>
  <c r="CJ335" i="44"/>
  <c r="CJ40" i="44"/>
  <c r="CJ334" i="44"/>
  <c r="CL333" i="44" l="1"/>
  <c r="CK335" i="44"/>
  <c r="CK40" i="44"/>
  <c r="CK344" i="44"/>
  <c r="CK38" i="44"/>
  <c r="CK39" i="44" s="1"/>
  <c r="CK334" i="44"/>
  <c r="CP337" i="44"/>
  <c r="CQ337" i="44" l="1"/>
  <c r="CL344" i="44"/>
  <c r="CL38" i="44"/>
  <c r="CL39" i="44" s="1"/>
  <c r="CM333" i="44"/>
  <c r="CL40" i="44"/>
  <c r="CL335" i="44"/>
  <c r="CL334" i="44"/>
  <c r="CM344" i="44" l="1"/>
  <c r="CN333" i="44"/>
  <c r="CM38" i="44"/>
  <c r="CM39" i="44" s="1"/>
  <c r="CM335" i="44"/>
  <c r="CM40" i="44"/>
  <c r="CM334" i="44"/>
  <c r="CR337" i="44"/>
  <c r="CN335" i="44" l="1"/>
  <c r="CO333" i="44"/>
  <c r="CN344" i="44"/>
  <c r="CN40" i="44"/>
  <c r="CN38" i="44"/>
  <c r="CN39" i="44" s="1"/>
  <c r="CN334" i="44"/>
  <c r="CS337" i="44"/>
  <c r="CP333" i="44" l="1"/>
  <c r="CO40" i="44"/>
  <c r="CO335" i="44"/>
  <c r="CO344" i="44"/>
  <c r="CO38" i="44"/>
  <c r="CO39" i="44" s="1"/>
  <c r="CO334" i="44"/>
  <c r="CT337" i="44"/>
  <c r="CU337" i="44" l="1"/>
  <c r="CP344" i="44"/>
  <c r="CP38" i="44"/>
  <c r="CP39" i="44" s="1"/>
  <c r="CP335" i="44"/>
  <c r="CP40" i="44"/>
  <c r="CQ333" i="44"/>
  <c r="CP334" i="44"/>
  <c r="CQ344" i="44" l="1"/>
  <c r="CQ335" i="44"/>
  <c r="CQ38" i="44"/>
  <c r="CQ39" i="44" s="1"/>
  <c r="CQ40" i="44"/>
  <c r="CR333" i="44"/>
  <c r="CQ334" i="44"/>
  <c r="CV337" i="44"/>
  <c r="CW337" i="44" l="1"/>
  <c r="CR344" i="44"/>
  <c r="CR38" i="44"/>
  <c r="CR39" i="44" s="1"/>
  <c r="CR40" i="44"/>
  <c r="CR335" i="44"/>
  <c r="CS333" i="44"/>
  <c r="CR334" i="44"/>
  <c r="CS344" i="44" l="1"/>
  <c r="CS40" i="44"/>
  <c r="CS335" i="44"/>
  <c r="CT333" i="44"/>
  <c r="CS38" i="44"/>
  <c r="CS39" i="44" s="1"/>
  <c r="CS334" i="44"/>
  <c r="CX337" i="44"/>
  <c r="CY337" i="44" l="1"/>
  <c r="CU333" i="44"/>
  <c r="CT38" i="44"/>
  <c r="CT39" i="44" s="1"/>
  <c r="CT40" i="44"/>
  <c r="CT344" i="44"/>
  <c r="CT335" i="44"/>
  <c r="CT334" i="44"/>
  <c r="CU40" i="44" l="1"/>
  <c r="CU344" i="44"/>
  <c r="CU335" i="44"/>
  <c r="CU38" i="44"/>
  <c r="CU39" i="44" s="1"/>
  <c r="CV333" i="44"/>
  <c r="CU334" i="44"/>
  <c r="CZ337" i="44"/>
  <c r="DA337" i="44" l="1"/>
  <c r="CV40" i="44"/>
  <c r="CV335" i="44"/>
  <c r="CV344" i="44"/>
  <c r="CW333" i="44"/>
  <c r="CV38" i="44"/>
  <c r="CV39" i="44" s="1"/>
  <c r="CV334" i="44"/>
  <c r="CW335" i="44" l="1"/>
  <c r="CW344" i="44"/>
  <c r="CX333" i="44"/>
  <c r="CW40" i="44"/>
  <c r="CW38" i="44"/>
  <c r="CW39" i="44" s="1"/>
  <c r="CW334" i="44"/>
  <c r="DB337" i="44"/>
  <c r="DC337" i="44" l="1"/>
  <c r="CX38" i="44"/>
  <c r="CX39" i="44" s="1"/>
  <c r="CX344" i="44"/>
  <c r="CX40" i="44"/>
  <c r="CX335" i="44"/>
  <c r="CY333" i="44"/>
  <c r="CX334" i="44"/>
  <c r="CY344" i="44" l="1"/>
  <c r="CZ333" i="44"/>
  <c r="CY38" i="44"/>
  <c r="CY39" i="44" s="1"/>
  <c r="CY40" i="44"/>
  <c r="CY335" i="44"/>
  <c r="CY334" i="44"/>
  <c r="DD337" i="44"/>
  <c r="CZ38" i="44" l="1"/>
  <c r="CZ39" i="44" s="1"/>
  <c r="DA333" i="44"/>
  <c r="CZ40" i="44"/>
  <c r="CZ335" i="44"/>
  <c r="CZ344" i="44"/>
  <c r="CZ334" i="44"/>
  <c r="DE337" i="44"/>
  <c r="DF337" i="44" l="1"/>
  <c r="DB333" i="44"/>
  <c r="DA40" i="44"/>
  <c r="DA344" i="44"/>
  <c r="DA38" i="44"/>
  <c r="DA39" i="44" s="1"/>
  <c r="DA335" i="44"/>
  <c r="DA334" i="44"/>
  <c r="DB40" i="44" l="1"/>
  <c r="DC333" i="44"/>
  <c r="DB335" i="44"/>
  <c r="DB38" i="44"/>
  <c r="DB39" i="44" s="1"/>
  <c r="DB344" i="44"/>
  <c r="DB334" i="44"/>
  <c r="DG337" i="44"/>
  <c r="DC344" i="44" l="1"/>
  <c r="DC40" i="44"/>
  <c r="DC38" i="44"/>
  <c r="DC39" i="44" s="1"/>
  <c r="DD333" i="44"/>
  <c r="DC335" i="44"/>
  <c r="DC334" i="44"/>
  <c r="DH337" i="44"/>
  <c r="DE333" i="44" l="1"/>
  <c r="DD40" i="44"/>
  <c r="DD335" i="44"/>
  <c r="DD344" i="44"/>
  <c r="DD38" i="44"/>
  <c r="DD39" i="44" s="1"/>
  <c r="DD334" i="44"/>
  <c r="DI337" i="44"/>
  <c r="DF333" i="44" l="1"/>
  <c r="DE344" i="44"/>
  <c r="DE40" i="44"/>
  <c r="DE38" i="44"/>
  <c r="DE39" i="44" s="1"/>
  <c r="DE335" i="44"/>
  <c r="DE334" i="44"/>
  <c r="DJ337" i="44"/>
  <c r="DK337" i="44" l="1"/>
  <c r="DG333" i="44"/>
  <c r="DF40" i="44"/>
  <c r="DF38" i="44"/>
  <c r="DF39" i="44" s="1"/>
  <c r="DF335" i="44"/>
  <c r="DF344" i="44"/>
  <c r="DF334" i="44"/>
  <c r="DL337" i="44" l="1"/>
  <c r="DG335" i="44"/>
  <c r="DG38" i="44"/>
  <c r="DG39" i="44" s="1"/>
  <c r="DG344" i="44"/>
  <c r="DG40" i="44"/>
  <c r="DH333" i="44"/>
  <c r="DG334" i="44"/>
  <c r="DH38" i="44" l="1"/>
  <c r="DH39" i="44" s="1"/>
  <c r="DH335" i="44"/>
  <c r="DI333" i="44"/>
  <c r="DH40" i="44"/>
  <c r="DH344" i="44"/>
  <c r="DH334" i="44"/>
  <c r="DM337" i="44"/>
  <c r="DN337" i="44" l="1"/>
  <c r="DI344" i="44"/>
  <c r="DI40" i="44"/>
  <c r="DI38" i="44"/>
  <c r="DI39" i="44" s="1"/>
  <c r="DI335" i="44"/>
  <c r="DJ333" i="44"/>
  <c r="DI334" i="44"/>
  <c r="DK333" i="44" l="1"/>
  <c r="DJ40" i="44"/>
  <c r="DJ344" i="44"/>
  <c r="DJ335" i="44"/>
  <c r="DJ38" i="44"/>
  <c r="DJ39" i="44" s="1"/>
  <c r="DJ334" i="44"/>
  <c r="DO337" i="44"/>
  <c r="DP337" i="44" l="1"/>
  <c r="DL333" i="44"/>
  <c r="DK344" i="44"/>
  <c r="DK38" i="44"/>
  <c r="DK39" i="44" s="1"/>
  <c r="DK335" i="44"/>
  <c r="DK40" i="44"/>
  <c r="DK334" i="44"/>
  <c r="DL38" i="44" l="1"/>
  <c r="DL39" i="44" s="1"/>
  <c r="DL335" i="44"/>
  <c r="DL344" i="44"/>
  <c r="DL40" i="44"/>
  <c r="DM333" i="44"/>
  <c r="DL334" i="44"/>
  <c r="DQ337" i="44"/>
  <c r="DR337" i="44" l="1"/>
  <c r="DN333" i="44"/>
  <c r="DM40" i="44"/>
  <c r="DM344" i="44"/>
  <c r="DM38" i="44"/>
  <c r="DM39" i="44" s="1"/>
  <c r="DM335" i="44"/>
  <c r="DM334" i="44"/>
  <c r="DN335" i="44" l="1"/>
  <c r="DN344" i="44"/>
  <c r="DN38" i="44"/>
  <c r="DN39" i="44" s="1"/>
  <c r="DO333" i="44"/>
  <c r="DN40" i="44"/>
  <c r="DN334" i="44"/>
  <c r="DS337" i="44"/>
  <c r="DT337" i="44" l="1"/>
  <c r="DO344" i="44"/>
  <c r="DO38" i="44"/>
  <c r="DO39" i="44" s="1"/>
  <c r="DO40" i="44"/>
  <c r="DP333" i="44"/>
  <c r="DO335" i="44"/>
  <c r="DO334" i="44"/>
  <c r="DQ333" i="44" l="1"/>
  <c r="DP335" i="44"/>
  <c r="DP40" i="44"/>
  <c r="DP344" i="44"/>
  <c r="DP38" i="44"/>
  <c r="DP39" i="44" s="1"/>
  <c r="DP334" i="44"/>
  <c r="DU337" i="44"/>
  <c r="DR333" i="44" l="1"/>
  <c r="DQ40" i="44"/>
  <c r="DQ335" i="44"/>
  <c r="DQ38" i="44"/>
  <c r="DQ39" i="44" s="1"/>
  <c r="DQ344" i="44"/>
  <c r="DQ334" i="44"/>
  <c r="DV337" i="44"/>
  <c r="DW337" i="44" l="1"/>
  <c r="DR335" i="44"/>
  <c r="DR40" i="44"/>
  <c r="DR38" i="44"/>
  <c r="DR39" i="44" s="1"/>
  <c r="DR344" i="44"/>
  <c r="DS333" i="44"/>
  <c r="DR334" i="44"/>
  <c r="DS38" i="44" l="1"/>
  <c r="DS39" i="44" s="1"/>
  <c r="DT333" i="44"/>
  <c r="DS335" i="44"/>
  <c r="DS344" i="44"/>
  <c r="DS40" i="44"/>
  <c r="DS334" i="44"/>
  <c r="DX337" i="44"/>
  <c r="DT40" i="44" l="1"/>
  <c r="DT335" i="44"/>
  <c r="DU333" i="44"/>
  <c r="DT38" i="44"/>
  <c r="DT39" i="44" s="1"/>
  <c r="DT344" i="44"/>
  <c r="DT334" i="44"/>
  <c r="DY337" i="44"/>
  <c r="DZ337" i="44" l="1"/>
  <c r="DU344" i="44"/>
  <c r="DU40" i="44"/>
  <c r="DU38" i="44"/>
  <c r="DU39" i="44" s="1"/>
  <c r="DU335" i="44"/>
  <c r="DV333" i="44"/>
  <c r="DU334" i="44"/>
  <c r="DV344" i="44" l="1"/>
  <c r="DW333" i="44"/>
  <c r="DV38" i="44"/>
  <c r="DV39" i="44" s="1"/>
  <c r="DV335" i="44"/>
  <c r="DV40" i="44"/>
  <c r="DV334" i="44"/>
  <c r="EA337" i="44"/>
  <c r="DW335" i="44" l="1"/>
  <c r="DW38" i="44"/>
  <c r="DW39" i="44" s="1"/>
  <c r="DW344" i="44"/>
  <c r="DW40" i="44"/>
  <c r="DX333" i="44"/>
  <c r="DW334" i="44"/>
  <c r="EB337" i="44"/>
  <c r="DX38" i="44" l="1"/>
  <c r="DX39" i="44" s="1"/>
  <c r="DX335" i="44"/>
  <c r="DY333" i="44"/>
  <c r="DX40" i="44"/>
  <c r="DX344" i="44"/>
  <c r="DX334" i="44"/>
  <c r="EC337" i="44"/>
  <c r="ED337" i="44" l="1"/>
  <c r="DY344" i="44"/>
  <c r="DZ333" i="44"/>
  <c r="DY38" i="44"/>
  <c r="DY39" i="44" s="1"/>
  <c r="DY335" i="44"/>
  <c r="DY40" i="44"/>
  <c r="DY334" i="44"/>
  <c r="DZ344" i="44" l="1"/>
  <c r="EA333" i="44"/>
  <c r="DZ40" i="44"/>
  <c r="DZ38" i="44"/>
  <c r="DZ39" i="44" s="1"/>
  <c r="DZ335" i="44"/>
  <c r="DZ334" i="44"/>
  <c r="EE337" i="44"/>
  <c r="EA38" i="44" l="1"/>
  <c r="EA39" i="44" s="1"/>
  <c r="EA335" i="44"/>
  <c r="EA344" i="44"/>
  <c r="EB333" i="44"/>
  <c r="EA40" i="44"/>
  <c r="EA334" i="44"/>
  <c r="EF337" i="44"/>
  <c r="EB344" i="44" l="1"/>
  <c r="EB38" i="44"/>
  <c r="EB39" i="44" s="1"/>
  <c r="EC333" i="44"/>
  <c r="EB40" i="44"/>
  <c r="EB335" i="44"/>
  <c r="EB334" i="44"/>
  <c r="EG337" i="44"/>
  <c r="EC335" i="44" l="1"/>
  <c r="EC344" i="44"/>
  <c r="ED333" i="44"/>
  <c r="EC40" i="44"/>
  <c r="EC38" i="44"/>
  <c r="EC39" i="44" s="1"/>
  <c r="EC334" i="44"/>
  <c r="EH337" i="44"/>
  <c r="EI337" i="44" l="1"/>
  <c r="ED335" i="44"/>
  <c r="ED344" i="44"/>
  <c r="EE333" i="44"/>
  <c r="ED38" i="44"/>
  <c r="ED39" i="44" s="1"/>
  <c r="ED40" i="44"/>
  <c r="ED334" i="44"/>
  <c r="EE335" i="44" l="1"/>
  <c r="EE344" i="44"/>
  <c r="EE38" i="44"/>
  <c r="EE39" i="44" s="1"/>
  <c r="EE40" i="44"/>
  <c r="EF333" i="44"/>
  <c r="EE334" i="44"/>
  <c r="EJ337" i="44"/>
  <c r="EK337" i="44" l="1"/>
  <c r="EF40" i="44"/>
  <c r="EF335" i="44"/>
  <c r="EF344" i="44"/>
  <c r="EG333" i="44"/>
  <c r="EF38" i="44"/>
  <c r="EF39" i="44" s="1"/>
  <c r="EF334" i="44"/>
  <c r="EG40" i="44" l="1"/>
  <c r="EG38" i="44"/>
  <c r="EG39" i="44" s="1"/>
  <c r="EG335" i="44"/>
  <c r="EH333" i="44"/>
  <c r="EG344" i="44"/>
  <c r="EG334" i="44"/>
  <c r="EL337" i="44"/>
  <c r="EM337" i="44" l="1"/>
  <c r="EH335" i="44"/>
  <c r="EH40" i="44"/>
  <c r="EH38" i="44"/>
  <c r="EH39" i="44" s="1"/>
  <c r="EH344" i="44"/>
  <c r="EI333" i="44"/>
  <c r="EH334" i="44"/>
  <c r="EJ333" i="44" l="1"/>
  <c r="EI40" i="44"/>
  <c r="EI344" i="44"/>
  <c r="EI38" i="44"/>
  <c r="EI39" i="44" s="1"/>
  <c r="EI335" i="44"/>
  <c r="EI334" i="44"/>
  <c r="EN337" i="44"/>
  <c r="EJ335" i="44" l="1"/>
  <c r="EJ344" i="44"/>
  <c r="EK333" i="44"/>
  <c r="EJ38" i="44"/>
  <c r="EJ39" i="44" s="1"/>
  <c r="EJ40" i="44"/>
  <c r="EJ334" i="44"/>
  <c r="EO337" i="44"/>
  <c r="EP337" i="44" l="1"/>
  <c r="EK40" i="44"/>
  <c r="EL333" i="44"/>
  <c r="EK38" i="44"/>
  <c r="EK39" i="44" s="1"/>
  <c r="EK335" i="44"/>
  <c r="EK344" i="44"/>
  <c r="EK334" i="44"/>
  <c r="EM333" i="44" l="1"/>
  <c r="EL38" i="44"/>
  <c r="EL39" i="44" s="1"/>
  <c r="EL40" i="44"/>
  <c r="EL335" i="44"/>
  <c r="EL344" i="44"/>
  <c r="EL334" i="44"/>
  <c r="EQ337" i="44"/>
  <c r="ER337" i="44" l="1"/>
  <c r="EM38" i="44"/>
  <c r="EM39" i="44" s="1"/>
  <c r="EM344" i="44"/>
  <c r="EN333" i="44"/>
  <c r="EM40" i="44"/>
  <c r="EM335" i="44"/>
  <c r="EM334" i="44"/>
  <c r="ES337" i="44" l="1"/>
  <c r="EN40" i="44"/>
  <c r="EN38" i="44"/>
  <c r="EN39" i="44" s="1"/>
  <c r="EN335" i="44"/>
  <c r="EO333" i="44"/>
  <c r="EN344" i="44"/>
  <c r="EN334" i="44"/>
  <c r="EO40" i="44" l="1"/>
  <c r="EO335" i="44"/>
  <c r="EO38" i="44"/>
  <c r="EO39" i="44" s="1"/>
  <c r="EO344" i="44"/>
  <c r="EP333" i="44"/>
  <c r="EO334" i="44"/>
  <c r="ET337" i="44"/>
  <c r="EQ333" i="44" l="1"/>
  <c r="EP40" i="44"/>
  <c r="EP344" i="44"/>
  <c r="EP335" i="44"/>
  <c r="EP38" i="44"/>
  <c r="EP39" i="44" s="1"/>
  <c r="EP334" i="44"/>
  <c r="EU337" i="44"/>
  <c r="EV337" i="44" l="1"/>
  <c r="EQ335" i="44"/>
  <c r="EQ38" i="44"/>
  <c r="EQ39" i="44" s="1"/>
  <c r="ER333" i="44"/>
  <c r="EQ344" i="44"/>
  <c r="EQ40" i="44"/>
  <c r="EQ334" i="44"/>
  <c r="ER335" i="44" l="1"/>
  <c r="ER344" i="44"/>
  <c r="ER38" i="44"/>
  <c r="ER39" i="44" s="1"/>
  <c r="ES333" i="44"/>
  <c r="ER40" i="44"/>
  <c r="ER334" i="44"/>
  <c r="EW337" i="44"/>
  <c r="ES38" i="44" l="1"/>
  <c r="ES39" i="44" s="1"/>
  <c r="ES335" i="44"/>
  <c r="ET333" i="44"/>
  <c r="ES344" i="44"/>
  <c r="ES40" i="44"/>
  <c r="ES334" i="44"/>
  <c r="EX337" i="44"/>
  <c r="EY337" i="44" l="1"/>
  <c r="EU333" i="44"/>
  <c r="ET40" i="44"/>
  <c r="ET38" i="44"/>
  <c r="ET39" i="44" s="1"/>
  <c r="ET344" i="44"/>
  <c r="ET335" i="44"/>
  <c r="ET334" i="44"/>
  <c r="EU344" i="44" l="1"/>
  <c r="EV333" i="44"/>
  <c r="EU38" i="44"/>
  <c r="EU39" i="44" s="1"/>
  <c r="EU335" i="44"/>
  <c r="EU40" i="44"/>
  <c r="EU334" i="44"/>
  <c r="EZ337" i="44"/>
  <c r="EV40" i="44" l="1"/>
  <c r="EV335" i="44"/>
  <c r="EV38" i="44"/>
  <c r="EV39" i="44" s="1"/>
  <c r="EV344" i="44"/>
  <c r="EW333" i="44"/>
  <c r="EV334" i="44"/>
  <c r="FA337" i="44"/>
  <c r="EX333" i="44" l="1"/>
  <c r="EW335" i="44"/>
  <c r="EW344" i="44"/>
  <c r="EW38" i="44"/>
  <c r="EW39" i="44" s="1"/>
  <c r="EW40" i="44"/>
  <c r="EW334" i="44"/>
  <c r="FB337" i="44"/>
  <c r="FC337" i="44" l="1"/>
  <c r="EX335" i="44"/>
  <c r="EX344" i="44"/>
  <c r="EX38" i="44"/>
  <c r="EX39" i="44" s="1"/>
  <c r="EY333" i="44"/>
  <c r="EX40" i="44"/>
  <c r="EX334" i="44"/>
  <c r="EY344" i="44" l="1"/>
  <c r="EY40" i="44"/>
  <c r="EY38" i="44"/>
  <c r="EY39" i="44" s="1"/>
  <c r="EZ333" i="44"/>
  <c r="EY335" i="44"/>
  <c r="EY334" i="44"/>
  <c r="FD337" i="44"/>
  <c r="EZ335" i="44" l="1"/>
  <c r="FA333" i="44"/>
  <c r="EZ38" i="44"/>
  <c r="EZ39" i="44" s="1"/>
  <c r="EZ344" i="44"/>
  <c r="EZ40" i="44"/>
  <c r="EZ334" i="44"/>
  <c r="FE337" i="44"/>
  <c r="FF337" i="44" l="1"/>
  <c r="FB333" i="44"/>
  <c r="FA344" i="44"/>
  <c r="FA38" i="44"/>
  <c r="FA39" i="44" s="1"/>
  <c r="FA335" i="44"/>
  <c r="FA40" i="44"/>
  <c r="FA334" i="44"/>
  <c r="FC333" i="44" l="1"/>
  <c r="FB38" i="44"/>
  <c r="FB39" i="44" s="1"/>
  <c r="FB335" i="44"/>
  <c r="FB344" i="44"/>
  <c r="FB40" i="44"/>
  <c r="FB334" i="44"/>
  <c r="FG337" i="44"/>
  <c r="FH337" i="44" l="1"/>
  <c r="FC40" i="44"/>
  <c r="FC344" i="44"/>
  <c r="FD333" i="44"/>
  <c r="FC38" i="44"/>
  <c r="FC39" i="44" s="1"/>
  <c r="FC335" i="44"/>
  <c r="FC334" i="44"/>
  <c r="FI337" i="44" l="1"/>
  <c r="FD335" i="44"/>
  <c r="FD344" i="44"/>
  <c r="FD38" i="44"/>
  <c r="FD39" i="44" s="1"/>
  <c r="FE333" i="44"/>
  <c r="FD40" i="44"/>
  <c r="FD334" i="44"/>
  <c r="FJ337" i="44" l="1"/>
  <c r="FE344" i="44"/>
  <c r="FE40" i="44"/>
  <c r="FE38" i="44"/>
  <c r="FE39" i="44" s="1"/>
  <c r="FE335" i="44"/>
  <c r="FF333" i="44"/>
  <c r="FE334" i="44"/>
  <c r="FF344" i="44" l="1"/>
  <c r="FF38" i="44"/>
  <c r="FF39" i="44" s="1"/>
  <c r="FF335" i="44"/>
  <c r="FF40" i="44"/>
  <c r="FG333" i="44"/>
  <c r="FF334" i="44"/>
  <c r="FK337" i="44"/>
  <c r="FL337" i="44" l="1"/>
  <c r="FG344" i="44"/>
  <c r="FH333" i="44"/>
  <c r="FG335" i="44"/>
  <c r="FG38" i="44"/>
  <c r="FG39" i="44" s="1"/>
  <c r="FG40" i="44"/>
  <c r="FG334" i="44"/>
  <c r="FM337" i="44" l="1"/>
  <c r="FH335" i="44"/>
  <c r="FH344" i="44"/>
  <c r="FH40" i="44"/>
  <c r="FH38" i="44"/>
  <c r="FH39" i="44" s="1"/>
  <c r="FI333" i="44"/>
  <c r="FH334" i="44"/>
  <c r="FJ333" i="44" l="1"/>
  <c r="FI38" i="44"/>
  <c r="FI39" i="44" s="1"/>
  <c r="FI40" i="44"/>
  <c r="FI344" i="44"/>
  <c r="FI335" i="44"/>
  <c r="FI334" i="44"/>
  <c r="FN337" i="44"/>
  <c r="FJ38" i="44" l="1"/>
  <c r="FJ39" i="44" s="1"/>
  <c r="FJ335" i="44"/>
  <c r="FK333" i="44"/>
  <c r="FJ40" i="44"/>
  <c r="FJ344" i="44"/>
  <c r="FJ334" i="44"/>
  <c r="FO337" i="44"/>
  <c r="FP337" i="44" l="1"/>
  <c r="FK40" i="44"/>
  <c r="FK335" i="44"/>
  <c r="FK344" i="44"/>
  <c r="FK38" i="44"/>
  <c r="FK39" i="44" s="1"/>
  <c r="FL333" i="44"/>
  <c r="FK334" i="44"/>
  <c r="FL40" i="44" l="1"/>
  <c r="FL344" i="44"/>
  <c r="FL38" i="44"/>
  <c r="FL39" i="44" s="1"/>
  <c r="FM333" i="44"/>
  <c r="FL335" i="44"/>
  <c r="FL334" i="44"/>
  <c r="FQ337" i="44"/>
  <c r="FR337" i="44" l="1"/>
  <c r="FN333" i="44"/>
  <c r="FM40" i="44"/>
  <c r="FM335" i="44"/>
  <c r="FM38" i="44"/>
  <c r="FM39" i="44" s="1"/>
  <c r="FM344" i="44"/>
  <c r="FM334" i="44"/>
  <c r="FO333" i="44" l="1"/>
  <c r="FN344" i="44"/>
  <c r="FN40" i="44"/>
  <c r="FN38" i="44"/>
  <c r="FN39" i="44" s="1"/>
  <c r="FN335" i="44"/>
  <c r="FN334" i="44"/>
  <c r="FS337" i="44"/>
  <c r="FT337" i="44" l="1"/>
  <c r="FP333" i="44"/>
  <c r="FO40" i="44"/>
  <c r="FO335" i="44"/>
  <c r="FO344" i="44"/>
  <c r="FO38" i="44"/>
  <c r="FO39" i="44" s="1"/>
  <c r="FO334" i="44"/>
  <c r="FU337" i="44" l="1"/>
  <c r="FQ333" i="44"/>
  <c r="FP344" i="44"/>
  <c r="FP40" i="44"/>
  <c r="FP38" i="44"/>
  <c r="FP39" i="44" s="1"/>
  <c r="FP335" i="44"/>
  <c r="FP334" i="44"/>
  <c r="FV337" i="44" l="1"/>
  <c r="FQ40" i="44"/>
  <c r="FQ38" i="44"/>
  <c r="FQ39" i="44" s="1"/>
  <c r="FQ344" i="44"/>
  <c r="FR333" i="44"/>
  <c r="FQ335" i="44"/>
  <c r="FQ334" i="44"/>
  <c r="FS333" i="44" l="1"/>
  <c r="FR38" i="44"/>
  <c r="FR39" i="44" s="1"/>
  <c r="FR335" i="44"/>
  <c r="FR40" i="44"/>
  <c r="FR344" i="44"/>
  <c r="FR334" i="44"/>
  <c r="FW337" i="44"/>
  <c r="FX337" i="44" l="1"/>
  <c r="FS344" i="44"/>
  <c r="FS38" i="44"/>
  <c r="FS39" i="44" s="1"/>
  <c r="FT333" i="44"/>
  <c r="FS40" i="44"/>
  <c r="FS335" i="44"/>
  <c r="FS334" i="44"/>
  <c r="FU333" i="44" l="1"/>
  <c r="FT38" i="44"/>
  <c r="FT39" i="44" s="1"/>
  <c r="FT335" i="44"/>
  <c r="FT344" i="44"/>
  <c r="FT40" i="44"/>
  <c r="FT334" i="44"/>
  <c r="FY337" i="44"/>
  <c r="FU344" i="44" l="1"/>
  <c r="FU335" i="44"/>
  <c r="FV333" i="44"/>
  <c r="FU40" i="44"/>
  <c r="FU38" i="44"/>
  <c r="FU39" i="44" s="1"/>
  <c r="FU334" i="44"/>
  <c r="FZ337" i="44"/>
  <c r="GA337" i="44" l="1"/>
  <c r="FV38" i="44"/>
  <c r="FV39" i="44" s="1"/>
  <c r="FW333" i="44"/>
  <c r="FV40" i="44"/>
  <c r="FV335" i="44"/>
  <c r="FV344" i="44"/>
  <c r="FV334" i="44"/>
  <c r="GB337" i="44" l="1"/>
  <c r="FX333" i="44"/>
  <c r="FW38" i="44"/>
  <c r="FW39" i="44" s="1"/>
  <c r="FW335" i="44"/>
  <c r="FW40" i="44"/>
  <c r="FW344" i="44"/>
  <c r="FW334" i="44"/>
  <c r="GC337" i="44" l="1"/>
  <c r="FY333" i="44"/>
  <c r="FX40" i="44"/>
  <c r="FX335" i="44"/>
  <c r="FX38" i="44"/>
  <c r="FX39" i="44" s="1"/>
  <c r="FX344" i="44"/>
  <c r="FX334" i="44"/>
  <c r="FY335" i="44" l="1"/>
  <c r="FY38" i="44"/>
  <c r="FY39" i="44" s="1"/>
  <c r="FY344" i="44"/>
  <c r="FZ333" i="44"/>
  <c r="FY40" i="44"/>
  <c r="FY334" i="44"/>
  <c r="GD337" i="44"/>
  <c r="GE337" i="44" l="1"/>
  <c r="FZ38" i="44"/>
  <c r="FZ39" i="44" s="1"/>
  <c r="FZ40" i="44"/>
  <c r="FZ344" i="44"/>
  <c r="GA333" i="44"/>
  <c r="FZ335" i="44"/>
  <c r="FZ334" i="44"/>
  <c r="GA40" i="44" l="1"/>
  <c r="GA335" i="44"/>
  <c r="GA344" i="44"/>
  <c r="GB333" i="44"/>
  <c r="GA38" i="44"/>
  <c r="GA39" i="44" s="1"/>
  <c r="GA334" i="44"/>
  <c r="GF337" i="44"/>
  <c r="GG337" i="44" l="1"/>
  <c r="GB38" i="44"/>
  <c r="GB39" i="44" s="1"/>
  <c r="GB335" i="44"/>
  <c r="GB344" i="44"/>
  <c r="GC333" i="44"/>
  <c r="GB40" i="44"/>
  <c r="GB334" i="44"/>
  <c r="GC344" i="44" l="1"/>
  <c r="GD333" i="44"/>
  <c r="GC40" i="44"/>
  <c r="GC38" i="44"/>
  <c r="GC39" i="44" s="1"/>
  <c r="GC335" i="44"/>
  <c r="GC334" i="44"/>
  <c r="GH337" i="44"/>
  <c r="GD38" i="44" l="1"/>
  <c r="GD39" i="44" s="1"/>
  <c r="GD335" i="44"/>
  <c r="GE333" i="44"/>
  <c r="GD344" i="44"/>
  <c r="GD40" i="44"/>
  <c r="GD334" i="44"/>
  <c r="GI337" i="44"/>
  <c r="GJ337" i="44" l="1"/>
  <c r="GF333" i="44"/>
  <c r="GE40" i="44"/>
  <c r="GE344" i="44"/>
  <c r="GE38" i="44"/>
  <c r="GE39" i="44" s="1"/>
  <c r="GE335" i="44"/>
  <c r="GE334" i="44"/>
  <c r="GG333" i="44" l="1"/>
  <c r="GF38" i="44"/>
  <c r="GF39" i="44" s="1"/>
  <c r="GF40" i="44"/>
  <c r="GF335" i="44"/>
  <c r="GF344" i="44"/>
  <c r="GF334" i="44"/>
  <c r="GK337" i="44"/>
  <c r="GG344" i="44" l="1"/>
  <c r="GG38" i="44"/>
  <c r="GG39" i="44" s="1"/>
  <c r="GH333" i="44"/>
  <c r="GG335" i="44"/>
  <c r="GG40" i="44"/>
  <c r="GG334" i="44"/>
  <c r="GL337" i="44"/>
  <c r="GH38" i="44" l="1"/>
  <c r="GH39" i="44" s="1"/>
  <c r="GH344" i="44"/>
  <c r="GH40" i="44"/>
  <c r="GH335" i="44"/>
  <c r="GI333" i="44"/>
  <c r="GH334" i="44"/>
  <c r="GM337" i="44"/>
  <c r="GN337" i="44" l="1"/>
  <c r="GI40" i="44"/>
  <c r="GI38" i="44"/>
  <c r="GI39" i="44" s="1"/>
  <c r="GI335" i="44"/>
  <c r="GI344" i="44"/>
  <c r="GJ333" i="44"/>
  <c r="GI334" i="44"/>
  <c r="GJ344" i="44" l="1"/>
  <c r="GK333" i="44"/>
  <c r="GJ40" i="44"/>
  <c r="GJ38" i="44"/>
  <c r="GJ39" i="44" s="1"/>
  <c r="GJ335" i="44"/>
  <c r="GJ334" i="44"/>
  <c r="GO337" i="44"/>
  <c r="GP337" i="44" l="1"/>
  <c r="GK38" i="44"/>
  <c r="GK39" i="44" s="1"/>
  <c r="GL333" i="44"/>
  <c r="GK40" i="44"/>
  <c r="GK335" i="44"/>
  <c r="GK344" i="44"/>
  <c r="GK334" i="44"/>
  <c r="GL344" i="44" l="1"/>
  <c r="GM333" i="44"/>
  <c r="GL335" i="44"/>
  <c r="GL40" i="44"/>
  <c r="GL38" i="44"/>
  <c r="GL39" i="44" s="1"/>
  <c r="GL334" i="44"/>
  <c r="GQ337" i="44"/>
  <c r="GM344" i="44" l="1"/>
  <c r="GM40" i="44"/>
  <c r="GN333" i="44"/>
  <c r="GM38" i="44"/>
  <c r="GM39" i="44" s="1"/>
  <c r="GM335" i="44"/>
  <c r="GM334" i="44"/>
  <c r="GR337" i="44"/>
  <c r="GS337" i="44" l="1"/>
  <c r="GN38" i="44"/>
  <c r="GN39" i="44" s="1"/>
  <c r="GO333" i="44"/>
  <c r="GN40" i="44"/>
  <c r="GN344" i="44"/>
  <c r="GN335" i="44"/>
  <c r="GN334" i="44"/>
  <c r="GO335" i="44" l="1"/>
  <c r="GP333" i="44"/>
  <c r="GO38" i="44"/>
  <c r="GO39" i="44" s="1"/>
  <c r="GO344" i="44"/>
  <c r="GO40" i="44"/>
  <c r="GO334" i="44"/>
  <c r="GT337" i="44"/>
  <c r="GP38" i="44" l="1"/>
  <c r="GP39" i="44" s="1"/>
  <c r="GP344" i="44"/>
  <c r="GP40" i="44"/>
  <c r="GP335" i="44"/>
  <c r="GQ333" i="44"/>
  <c r="GP334" i="44"/>
  <c r="GU337" i="44"/>
  <c r="GV337" i="44" l="1"/>
  <c r="GQ344" i="44"/>
  <c r="GQ335" i="44"/>
  <c r="GQ38" i="44"/>
  <c r="GQ39" i="44" s="1"/>
  <c r="GQ40" i="44"/>
  <c r="GR333" i="44"/>
  <c r="GQ334" i="44"/>
  <c r="GS333" i="44" l="1"/>
  <c r="GR344" i="44"/>
  <c r="GR335" i="44"/>
  <c r="GR38" i="44"/>
  <c r="GR39" i="44" s="1"/>
  <c r="GR40" i="44"/>
  <c r="GR334" i="44"/>
  <c r="GW337" i="44"/>
  <c r="GX337" i="44" l="1"/>
  <c r="GS344" i="44"/>
  <c r="GS38" i="44"/>
  <c r="GS39" i="44" s="1"/>
  <c r="GS335" i="44"/>
  <c r="GT333" i="44"/>
  <c r="GS40" i="44"/>
  <c r="GS334" i="44"/>
  <c r="GU333" i="44" l="1"/>
  <c r="GT344" i="44"/>
  <c r="GT40" i="44"/>
  <c r="GT38" i="44"/>
  <c r="GT39" i="44" s="1"/>
  <c r="GT335" i="44"/>
  <c r="GT334" i="44"/>
  <c r="GY337" i="44"/>
  <c r="GZ337" i="44" l="1"/>
  <c r="GU38" i="44"/>
  <c r="GU39" i="44" s="1"/>
  <c r="GV333" i="44"/>
  <c r="GU335" i="44"/>
  <c r="GU344" i="44"/>
  <c r="GU40" i="44"/>
  <c r="GU334" i="44"/>
  <c r="GV40" i="44" l="1"/>
  <c r="GV38" i="44"/>
  <c r="GV39" i="44" s="1"/>
  <c r="GV344" i="44"/>
  <c r="GV335" i="44"/>
  <c r="GW333" i="44"/>
  <c r="GV334" i="44"/>
  <c r="HA337" i="44"/>
  <c r="HB337" i="44" l="1"/>
  <c r="GX333" i="44"/>
  <c r="GW40" i="44"/>
  <c r="GW335" i="44"/>
  <c r="GW344" i="44"/>
  <c r="GW38" i="44"/>
  <c r="GW39" i="44" s="1"/>
  <c r="GW334" i="44"/>
  <c r="GX40" i="44" l="1"/>
  <c r="GX344" i="44"/>
  <c r="GY333" i="44"/>
  <c r="GX335" i="44"/>
  <c r="GX38" i="44"/>
  <c r="GX39" i="44" s="1"/>
  <c r="GX334" i="44"/>
  <c r="HC337" i="44"/>
  <c r="GY335" i="44" l="1"/>
  <c r="GY344" i="44"/>
  <c r="GZ333" i="44"/>
  <c r="GY40" i="44"/>
  <c r="GY38" i="44"/>
  <c r="GY39" i="44" s="1"/>
  <c r="GY334" i="44"/>
  <c r="HD337" i="44"/>
  <c r="HE337" i="44" l="1"/>
  <c r="GZ40" i="44"/>
  <c r="HA333" i="44"/>
  <c r="GZ344" i="44"/>
  <c r="GZ38" i="44"/>
  <c r="GZ39" i="44" s="1"/>
  <c r="GZ335" i="44"/>
  <c r="GZ334" i="44"/>
  <c r="HA344" i="44" l="1"/>
  <c r="HB333" i="44"/>
  <c r="HA38" i="44"/>
  <c r="HA39" i="44" s="1"/>
  <c r="HA40" i="44"/>
  <c r="HA335" i="44"/>
  <c r="HA334" i="44"/>
  <c r="HF337" i="44"/>
  <c r="HB335" i="44" l="1"/>
  <c r="HC333" i="44"/>
  <c r="HB38" i="44"/>
  <c r="HB39" i="44" s="1"/>
  <c r="HB344" i="44"/>
  <c r="HB40" i="44"/>
  <c r="HB334" i="44"/>
  <c r="HG337" i="44"/>
  <c r="HH337" i="44" l="1"/>
  <c r="HD333" i="44"/>
  <c r="HC344" i="44"/>
  <c r="HC40" i="44"/>
  <c r="HC38" i="44"/>
  <c r="HC39" i="44" s="1"/>
  <c r="HC335" i="44"/>
  <c r="HC334" i="44"/>
  <c r="HI337" i="44" l="1"/>
  <c r="HD38" i="44"/>
  <c r="HD39" i="44" s="1"/>
  <c r="HE333" i="44"/>
  <c r="HD40" i="44"/>
  <c r="HD335" i="44"/>
  <c r="HD344" i="44"/>
  <c r="HD334" i="44"/>
  <c r="HF333" i="44" l="1"/>
  <c r="HE40" i="44"/>
  <c r="HE344" i="44"/>
  <c r="HE335" i="44"/>
  <c r="HE38" i="44"/>
  <c r="HE39" i="44" s="1"/>
  <c r="HE334" i="44"/>
  <c r="HJ337" i="44"/>
  <c r="HF335" i="44" l="1"/>
  <c r="HF344" i="44"/>
  <c r="HF38" i="44"/>
  <c r="HF39" i="44" s="1"/>
  <c r="HF40" i="44"/>
  <c r="HG333" i="44"/>
  <c r="HF334" i="44"/>
  <c r="HK337" i="44"/>
  <c r="HL337" i="44" l="1"/>
  <c r="HG38" i="44"/>
  <c r="HG39" i="44" s="1"/>
  <c r="HG40" i="44"/>
  <c r="HG344" i="44"/>
  <c r="HH333" i="44"/>
  <c r="HG335" i="44"/>
  <c r="HG334" i="44"/>
  <c r="HH344" i="44" l="1"/>
  <c r="HH38" i="44"/>
  <c r="HH39" i="44" s="1"/>
  <c r="HH40" i="44"/>
  <c r="HI333" i="44"/>
  <c r="HH335" i="44"/>
  <c r="HH334" i="44"/>
  <c r="HM337" i="44"/>
  <c r="HI38" i="44" l="1"/>
  <c r="HI39" i="44" s="1"/>
  <c r="HJ333" i="44"/>
  <c r="HI40" i="44"/>
  <c r="HI335" i="44"/>
  <c r="HI344" i="44"/>
  <c r="HI334" i="44"/>
  <c r="HN337" i="44"/>
  <c r="HJ344" i="44" l="1"/>
  <c r="HJ40" i="44"/>
  <c r="HJ335" i="44"/>
  <c r="HK333" i="44"/>
  <c r="HJ38" i="44"/>
  <c r="HJ39" i="44" s="1"/>
  <c r="HJ334" i="44"/>
  <c r="HO337" i="44"/>
  <c r="HL333" i="44" l="1"/>
  <c r="HK40" i="44"/>
  <c r="HK335" i="44"/>
  <c r="HK344" i="44"/>
  <c r="HK38" i="44"/>
  <c r="HK39" i="44" s="1"/>
  <c r="HK334" i="44"/>
  <c r="HP337" i="44"/>
  <c r="HQ337" i="44" l="1"/>
  <c r="HM333" i="44"/>
  <c r="HL40" i="44"/>
  <c r="HL335" i="44"/>
  <c r="HL344" i="44"/>
  <c r="HL38" i="44"/>
  <c r="HL39" i="44" s="1"/>
  <c r="HL334" i="44"/>
  <c r="HM40" i="44" l="1"/>
  <c r="HM38" i="44"/>
  <c r="HM39" i="44" s="1"/>
  <c r="HM335" i="44"/>
  <c r="HM344" i="44"/>
  <c r="HN333" i="44"/>
  <c r="HM334" i="44"/>
  <c r="HR337" i="44"/>
  <c r="HS337" i="44" l="1"/>
  <c r="HO333" i="44"/>
  <c r="HN344" i="44"/>
  <c r="HN335" i="44"/>
  <c r="HN40" i="44"/>
  <c r="HN38" i="44"/>
  <c r="HN39" i="44" s="1"/>
  <c r="HN334" i="44"/>
  <c r="HO335" i="44" l="1"/>
  <c r="HP333" i="44"/>
  <c r="HO40" i="44"/>
  <c r="HO38" i="44"/>
  <c r="HO39" i="44" s="1"/>
  <c r="HO344" i="44"/>
  <c r="HO334" i="44"/>
  <c r="HT337" i="44"/>
  <c r="HP40" i="44" l="1"/>
  <c r="HQ333" i="44"/>
  <c r="HP335" i="44"/>
  <c r="HP38" i="44"/>
  <c r="HP39" i="44" s="1"/>
  <c r="HP344" i="44"/>
  <c r="HP334" i="44"/>
  <c r="HU337" i="44"/>
  <c r="HV337" i="44" l="1"/>
  <c r="HQ335" i="44"/>
  <c r="HQ344" i="44"/>
  <c r="HQ38" i="44"/>
  <c r="HQ39" i="44" s="1"/>
  <c r="HR333" i="44"/>
  <c r="HQ40" i="44"/>
  <c r="HQ334" i="44"/>
  <c r="HR344" i="44" l="1"/>
  <c r="HR38" i="44"/>
  <c r="HR39" i="44" s="1"/>
  <c r="HS333" i="44"/>
  <c r="HR40" i="44"/>
  <c r="HR335" i="44"/>
  <c r="HR334" i="44"/>
  <c r="HW337" i="44"/>
  <c r="HS38" i="44" l="1"/>
  <c r="HS39" i="44" s="1"/>
  <c r="HS335" i="44"/>
  <c r="HS344" i="44"/>
  <c r="HS40" i="44"/>
  <c r="HT333" i="44"/>
  <c r="HS334" i="44"/>
  <c r="HX337" i="44"/>
  <c r="HY337" i="44" l="1"/>
  <c r="HT40" i="44"/>
  <c r="HT344" i="44"/>
  <c r="HU333" i="44"/>
  <c r="HT38" i="44"/>
  <c r="HT39" i="44" s="1"/>
  <c r="HT335" i="44"/>
  <c r="HT334" i="44"/>
  <c r="HU335" i="44" l="1"/>
  <c r="HU40" i="44"/>
  <c r="HU344" i="44"/>
  <c r="HU38" i="44"/>
  <c r="HU39" i="44" s="1"/>
  <c r="HV333" i="44"/>
  <c r="HU334" i="44"/>
  <c r="HZ337" i="44"/>
  <c r="HW333" i="44" l="1"/>
  <c r="HV38" i="44"/>
  <c r="HV39" i="44" s="1"/>
  <c r="HV344" i="44"/>
  <c r="HV40" i="44"/>
  <c r="HV335" i="44"/>
  <c r="HV334" i="44"/>
  <c r="IA337" i="44"/>
  <c r="HX333" i="44" l="1"/>
  <c r="HW40" i="44"/>
  <c r="HW344" i="44"/>
  <c r="HW38" i="44"/>
  <c r="HW39" i="44" s="1"/>
  <c r="HW335" i="44"/>
  <c r="HW334" i="44"/>
  <c r="IB337" i="44"/>
  <c r="HX40" i="44" l="1"/>
  <c r="HX344" i="44"/>
  <c r="HX335" i="44"/>
  <c r="HY333" i="44"/>
  <c r="HX38" i="44"/>
  <c r="HX39" i="44" s="1"/>
  <c r="HX334" i="44"/>
  <c r="IC337" i="44"/>
  <c r="ID337" i="44" l="1"/>
  <c r="HY38" i="44"/>
  <c r="HY39" i="44" s="1"/>
  <c r="HY335" i="44"/>
  <c r="HZ333" i="44"/>
  <c r="HY40" i="44"/>
  <c r="HY344" i="44"/>
  <c r="HY334" i="44"/>
  <c r="IA333" i="44" l="1"/>
  <c r="HZ40" i="44"/>
  <c r="HZ38" i="44"/>
  <c r="HZ39" i="44" s="1"/>
  <c r="HZ344" i="44"/>
  <c r="HZ335" i="44"/>
  <c r="HZ334" i="44"/>
  <c r="IE337" i="44"/>
  <c r="IA335" i="44" l="1"/>
  <c r="IB333" i="44"/>
  <c r="IA344" i="44"/>
  <c r="IA40" i="44"/>
  <c r="IA38" i="44"/>
  <c r="IA39" i="44" s="1"/>
  <c r="IA334" i="44"/>
  <c r="IF337" i="44"/>
  <c r="IG337" i="44" l="1"/>
  <c r="IB38" i="44"/>
  <c r="IB39" i="44" s="1"/>
  <c r="IB335" i="44"/>
  <c r="IB344" i="44"/>
  <c r="IC333" i="44"/>
  <c r="IB40" i="44"/>
  <c r="IB334" i="44"/>
  <c r="IC344" i="44" l="1"/>
  <c r="ID333" i="44"/>
  <c r="IC38" i="44"/>
  <c r="IC39" i="44" s="1"/>
  <c r="IC40" i="44"/>
  <c r="IC335" i="44"/>
  <c r="IC334" i="44"/>
  <c r="IH337" i="44"/>
  <c r="ID40" i="44" l="1"/>
  <c r="ID335" i="44"/>
  <c r="ID344" i="44"/>
  <c r="IE333" i="44"/>
  <c r="ID38" i="44"/>
  <c r="ID39" i="44" s="1"/>
  <c r="ID334" i="44"/>
  <c r="II337" i="44"/>
  <c r="IJ337" i="44" l="1"/>
  <c r="IE38" i="44"/>
  <c r="IE39" i="44" s="1"/>
  <c r="IF333" i="44"/>
  <c r="IE335" i="44"/>
  <c r="IE344" i="44"/>
  <c r="IE40" i="44"/>
  <c r="IE334" i="44"/>
  <c r="IF335" i="44" l="1"/>
  <c r="IF40" i="44"/>
  <c r="IG333" i="44"/>
  <c r="IF344" i="44"/>
  <c r="IF38" i="44"/>
  <c r="IF39" i="44" s="1"/>
  <c r="IF334" i="44"/>
  <c r="IK337" i="44"/>
  <c r="IG38" i="44" l="1"/>
  <c r="IG39" i="44" s="1"/>
  <c r="IG335" i="44"/>
  <c r="IH333" i="44"/>
  <c r="IG40" i="44"/>
  <c r="IG344" i="44"/>
  <c r="IG334" i="44"/>
  <c r="IL337" i="44"/>
  <c r="IM337" i="44" l="1"/>
  <c r="IH40" i="44"/>
  <c r="IH344" i="44"/>
  <c r="II333" i="44"/>
  <c r="IH38" i="44"/>
  <c r="IH39" i="44" s="1"/>
  <c r="IH335" i="44"/>
  <c r="IH334" i="44"/>
  <c r="II344" i="44" l="1"/>
  <c r="II38" i="44"/>
  <c r="II39" i="44" s="1"/>
  <c r="II335" i="44"/>
  <c r="II40" i="44"/>
  <c r="IJ333" i="44"/>
  <c r="II334" i="44"/>
  <c r="IN337" i="44"/>
  <c r="BP20" i="47" a="1"/>
  <c r="IK333" i="44" l="1"/>
  <c r="IJ335" i="44"/>
  <c r="IJ40" i="44"/>
  <c r="IJ344" i="44"/>
  <c r="IJ38" i="44"/>
  <c r="IJ39" i="44" s="1"/>
  <c r="IJ334" i="44"/>
  <c r="IO337" i="44"/>
  <c r="BQ20" i="47"/>
  <c r="BQ49" i="47" s="1"/>
  <c r="BS20" i="47"/>
  <c r="BS49" i="47" s="1"/>
  <c r="BR20" i="47"/>
  <c r="BR49" i="47" s="1"/>
  <c r="BP20" i="47"/>
  <c r="BP49" i="47" s="1"/>
  <c r="BS329" i="46"/>
  <c r="IP337" i="44" l="1"/>
  <c r="IL333" i="44"/>
  <c r="IK344" i="44"/>
  <c r="IK38" i="44"/>
  <c r="IK39" i="44" s="1"/>
  <c r="IK40" i="44"/>
  <c r="IK335" i="44"/>
  <c r="IK334" i="44"/>
  <c r="BU329" i="46"/>
  <c r="IQ337" i="44" l="1"/>
  <c r="IL40" i="44"/>
  <c r="IL335" i="44"/>
  <c r="IL38" i="44"/>
  <c r="IL39" i="44" s="1"/>
  <c r="IL344" i="44"/>
  <c r="IM333" i="44"/>
  <c r="IL334" i="44"/>
  <c r="BS330" i="46"/>
  <c r="BS333" i="46" s="1"/>
  <c r="K33" i="49"/>
  <c r="D13" i="60" s="1"/>
  <c r="IM38" i="44" l="1"/>
  <c r="IM39" i="44" s="1"/>
  <c r="IM335" i="44"/>
  <c r="IN333" i="44"/>
  <c r="IM344" i="44"/>
  <c r="IM40" i="44"/>
  <c r="IM334" i="44"/>
  <c r="IR337" i="44"/>
  <c r="BU330" i="46"/>
  <c r="BS334" i="46"/>
  <c r="BU334" i="46" s="1"/>
  <c r="AO11" i="10"/>
  <c r="Q13" i="21"/>
  <c r="K34" i="49"/>
  <c r="CI20" i="47"/>
  <c r="K77" i="49"/>
  <c r="Q46" i="21" s="1"/>
  <c r="BS335" i="46"/>
  <c r="BU335" i="46" s="1"/>
  <c r="BU333" i="46"/>
  <c r="IN335" i="44" l="1"/>
  <c r="IO333" i="44"/>
  <c r="IN344" i="44"/>
  <c r="IN40" i="44"/>
  <c r="IN38" i="44"/>
  <c r="IN39" i="44" s="1"/>
  <c r="IN334" i="44"/>
  <c r="CI49" i="47"/>
  <c r="Q276" i="21"/>
  <c r="Q79" i="21"/>
  <c r="AO18" i="9"/>
  <c r="H22" i="31"/>
  <c r="I22" i="31" s="1"/>
  <c r="J22" i="31" s="1"/>
  <c r="K22" i="31" s="1"/>
  <c r="L22" i="31" s="1"/>
  <c r="M22" i="31" s="1"/>
  <c r="N22" i="31" s="1"/>
  <c r="O22" i="31" s="1"/>
  <c r="H22" i="32"/>
  <c r="IO335" i="44" l="1"/>
  <c r="IP333" i="44"/>
  <c r="IO40" i="44"/>
  <c r="IO344" i="44"/>
  <c r="IO38" i="44"/>
  <c r="IO39" i="44" s="1"/>
  <c r="IO334" i="44"/>
  <c r="Q112" i="21"/>
  <c r="Q129" i="21"/>
  <c r="IP335" i="44" l="1"/>
  <c r="IQ333" i="44"/>
  <c r="IP344" i="44"/>
  <c r="IP40" i="44"/>
  <c r="IP38" i="44"/>
  <c r="IP39" i="44" s="1"/>
  <c r="IP334" i="44"/>
  <c r="BP10" i="6"/>
  <c r="H123" i="8" s="1"/>
  <c r="IR333" i="44" l="1"/>
  <c r="IQ38" i="44"/>
  <c r="IQ39" i="44" s="1"/>
  <c r="IQ344" i="44"/>
  <c r="IQ335" i="44"/>
  <c r="IQ40" i="44"/>
  <c r="IQ334" i="44"/>
  <c r="N123" i="8"/>
  <c r="X123" i="8"/>
  <c r="Z123" i="8" s="1"/>
  <c r="AD123" i="8"/>
  <c r="AF123" i="8" s="1"/>
  <c r="P123" i="8"/>
  <c r="J123" i="8"/>
  <c r="BP11" i="6"/>
  <c r="H124" i="8" s="1"/>
  <c r="P125" i="8" l="1"/>
  <c r="J124" i="8"/>
  <c r="J125" i="8"/>
  <c r="P124" i="8"/>
  <c r="N124" i="8"/>
  <c r="X124" i="8"/>
  <c r="Z124" i="8" s="1"/>
  <c r="AD124" i="8"/>
  <c r="AF124" i="8" s="1"/>
  <c r="IR40" i="44"/>
  <c r="IR344" i="44"/>
  <c r="IR38" i="44"/>
  <c r="IR39" i="44" s="1"/>
  <c r="IR335" i="44"/>
  <c r="IR334" i="44"/>
  <c r="E5" i="63"/>
  <c r="G5" i="63" s="1"/>
  <c r="H7" i="63"/>
  <c r="I5" i="63" l="1"/>
  <c r="J5" i="63" s="1"/>
  <c r="K5" i="63" s="1"/>
  <c r="H5" i="63"/>
  <c r="C127" i="3"/>
  <c r="G127" i="3" s="1"/>
  <c r="U127" i="3"/>
  <c r="W127" i="3" s="1"/>
  <c r="AH127" i="3"/>
  <c r="AJ127" i="3" s="1"/>
  <c r="AL127" i="3" s="1"/>
  <c r="S129" i="3"/>
  <c r="C129" i="3" s="1"/>
  <c r="S134" i="3"/>
  <c r="BS13" i="46" s="1"/>
  <c r="AH129" i="3" l="1"/>
  <c r="AH134" i="3"/>
  <c r="AJ134" i="3" s="1"/>
  <c r="AL134" i="3" s="1"/>
  <c r="BT13" i="46"/>
  <c r="BR12" i="6" s="1"/>
  <c r="BT43" i="46"/>
  <c r="BT53" i="46"/>
  <c r="BT74" i="46"/>
  <c r="BS95" i="46"/>
  <c r="BU95" i="46" s="1"/>
  <c r="BT63" i="46"/>
  <c r="BT105" i="46"/>
  <c r="BT125" i="46"/>
  <c r="BT85" i="46"/>
  <c r="BS23" i="46"/>
  <c r="BS33" i="46"/>
  <c r="BU33" i="46" s="1"/>
  <c r="BT228" i="46"/>
  <c r="BT258" i="46"/>
  <c r="BT218" i="46"/>
  <c r="BT331" i="46"/>
  <c r="BT248" i="46"/>
  <c r="BT321" i="46"/>
  <c r="BT238" i="46"/>
  <c r="BT311" i="46"/>
  <c r="D125" i="8"/>
  <c r="L125" i="8" s="1"/>
  <c r="AE127" i="3"/>
  <c r="O127" i="3"/>
  <c r="AJ129" i="3"/>
  <c r="AL129" i="3" s="1"/>
  <c r="U129" i="3"/>
  <c r="W129" i="3" s="1"/>
  <c r="BW15" i="46"/>
  <c r="U134" i="3"/>
  <c r="BS115" i="46" l="1"/>
  <c r="W134" i="3"/>
  <c r="U40" i="4"/>
  <c r="G129" i="3"/>
  <c r="F125" i="8"/>
  <c r="BT115" i="46" l="1"/>
  <c r="BS135" i="46"/>
  <c r="BU115" i="46"/>
  <c r="O129" i="3"/>
  <c r="AE129" i="3"/>
  <c r="P60" i="21"/>
  <c r="CH70" i="47"/>
  <c r="L32" i="53" s="1"/>
  <c r="J10" i="49"/>
  <c r="U42" i="4"/>
  <c r="BT54" i="11"/>
  <c r="BX15" i="46"/>
  <c r="T124" i="8"/>
  <c r="AJ124" i="8"/>
  <c r="R125" i="8"/>
  <c r="AH125" i="8"/>
  <c r="BS301" i="46"/>
  <c r="P195" i="21" l="1"/>
  <c r="P127" i="21"/>
  <c r="P133" i="21"/>
  <c r="P201" i="21" s="1"/>
  <c r="BT135" i="46"/>
  <c r="BU135" i="46"/>
  <c r="BU301" i="46"/>
  <c r="BS341" i="46"/>
  <c r="BT301" i="46"/>
  <c r="BS145" i="46"/>
  <c r="P58" i="21"/>
  <c r="P66" i="21"/>
  <c r="P263" i="21"/>
  <c r="P314" i="21"/>
  <c r="P257" i="21"/>
  <c r="P313" i="21" l="1"/>
  <c r="P134" i="21"/>
  <c r="BS155" i="46"/>
  <c r="BS165" i="46" s="1"/>
  <c r="P315" i="21"/>
  <c r="BU145" i="46"/>
  <c r="BT341" i="46"/>
  <c r="BU341" i="46"/>
  <c r="P323" i="21"/>
  <c r="P264" i="21"/>
  <c r="P324" i="21" s="1"/>
  <c r="BS208" i="46" l="1"/>
  <c r="BT208" i="46" s="1"/>
  <c r="BT155" i="46"/>
  <c r="BU155" i="46"/>
  <c r="BT165" i="46"/>
  <c r="P256" i="21"/>
  <c r="P220" i="21" s="1"/>
  <c r="BS268" i="46" l="1"/>
  <c r="BT268" i="46" s="1"/>
  <c r="BU208" i="46"/>
  <c r="P225" i="21"/>
  <c r="P258" i="21" s="1"/>
  <c r="P224" i="21"/>
  <c r="P222" i="21" s="1"/>
  <c r="P251" i="21"/>
  <c r="BU268" i="46" l="1"/>
  <c r="BS278" i="46"/>
  <c r="BT278" i="46" s="1"/>
  <c r="P229" i="21"/>
  <c r="P231" i="21" l="1"/>
  <c r="P246" i="21"/>
  <c r="P262" i="21" s="1"/>
  <c r="P252" i="21"/>
  <c r="P260" i="21"/>
  <c r="P233" i="21" l="1"/>
  <c r="P237" i="21" s="1"/>
  <c r="P243" i="21" l="1"/>
  <c r="P244" i="21" s="1"/>
  <c r="P261" i="21" s="1"/>
  <c r="P239" i="21"/>
  <c r="G132" i="3" l="1"/>
  <c r="C132" i="3" s="1"/>
  <c r="S132" i="3" s="1"/>
  <c r="AH132" i="3" l="1"/>
  <c r="U132" i="3"/>
  <c r="BS11" i="46"/>
  <c r="AE132" i="3"/>
  <c r="BT103" i="46" l="1"/>
  <c r="BT236" i="46"/>
  <c r="BT83" i="46"/>
  <c r="BT123" i="46"/>
  <c r="BT11" i="46"/>
  <c r="BR10" i="6" s="1"/>
  <c r="M7" i="62" s="1"/>
  <c r="M8" i="62" s="1"/>
  <c r="M11" i="62" s="1"/>
  <c r="M13" i="62" s="1"/>
  <c r="BT329" i="46"/>
  <c r="BT41" i="46"/>
  <c r="BT51" i="46"/>
  <c r="BT256" i="46"/>
  <c r="BT309" i="46"/>
  <c r="BT216" i="46"/>
  <c r="BS31" i="46"/>
  <c r="BS21" i="46"/>
  <c r="BT61" i="46"/>
  <c r="BS93" i="46"/>
  <c r="BT246" i="46"/>
  <c r="BT72" i="46"/>
  <c r="BT226" i="46"/>
  <c r="BT319" i="46"/>
  <c r="D123" i="8"/>
  <c r="L123" i="8" s="1"/>
  <c r="W132" i="3"/>
  <c r="AJ132" i="3"/>
  <c r="F123" i="8" l="1"/>
  <c r="BU93" i="46"/>
  <c r="BU31" i="46"/>
  <c r="BS113" i="46"/>
  <c r="AL132" i="3"/>
  <c r="AH123" i="8" l="1"/>
  <c r="R123" i="8"/>
  <c r="BT113" i="46"/>
  <c r="BS133" i="46"/>
  <c r="BS299" i="46"/>
  <c r="BU113" i="46"/>
  <c r="BU133" i="46" l="1"/>
  <c r="BS143" i="46"/>
  <c r="BT133" i="46"/>
  <c r="BS339" i="46"/>
  <c r="BU299" i="46"/>
  <c r="BT299" i="46"/>
  <c r="BU143" i="46" l="1"/>
  <c r="BU339" i="46"/>
  <c r="BT339" i="46"/>
  <c r="BS153" i="46"/>
  <c r="BT153" i="46" l="1"/>
  <c r="BS163" i="46"/>
  <c r="BS206" i="46"/>
  <c r="BU153" i="46"/>
  <c r="BT206" i="46" l="1"/>
  <c r="BU206" i="46"/>
  <c r="BS266" i="46"/>
  <c r="BT163" i="46"/>
  <c r="BT266" i="46" l="1"/>
  <c r="BU266" i="46"/>
  <c r="BS276" i="46"/>
  <c r="BT276" i="46" l="1"/>
  <c r="G133" i="3"/>
  <c r="C133" i="3" s="1"/>
  <c r="S133" i="3" s="1"/>
  <c r="U133" i="3" l="1"/>
  <c r="S136" i="3"/>
  <c r="BS12" i="46"/>
  <c r="BP10" i="47" s="1" a="1"/>
  <c r="AH133" i="3"/>
  <c r="AE133" i="3"/>
  <c r="BP10" i="47" l="1"/>
  <c r="BS10" i="47"/>
  <c r="BR10" i="47"/>
  <c r="BR69" i="47" s="1"/>
  <c r="BT330" i="46"/>
  <c r="BT124" i="46"/>
  <c r="BS17" i="46"/>
  <c r="BT84" i="46"/>
  <c r="BS16" i="46"/>
  <c r="BU16" i="46" s="1"/>
  <c r="BS32" i="46"/>
  <c r="BP13" i="47" s="1" a="1"/>
  <c r="BQ10" i="47"/>
  <c r="D124" i="8"/>
  <c r="L124" i="8" s="1"/>
  <c r="BS94" i="46"/>
  <c r="BP21" i="47" s="1" a="1"/>
  <c r="BS22" i="46"/>
  <c r="BT257" i="46"/>
  <c r="BT104" i="46"/>
  <c r="BT310" i="46"/>
  <c r="BT247" i="46"/>
  <c r="BT12" i="46"/>
  <c r="BR11" i="6" s="1"/>
  <c r="BT320" i="46"/>
  <c r="BT237" i="46"/>
  <c r="BT227" i="46"/>
  <c r="BT62" i="46"/>
  <c r="BT73" i="46"/>
  <c r="BT217" i="46"/>
  <c r="BT52" i="46"/>
  <c r="BT42" i="46"/>
  <c r="BS15" i="46"/>
  <c r="AJ133" i="3"/>
  <c r="AH136" i="3"/>
  <c r="C136" i="3"/>
  <c r="E136" i="3"/>
  <c r="U136" i="3"/>
  <c r="W136" i="3" s="1"/>
  <c r="W133" i="3"/>
  <c r="BR58" i="47" l="1"/>
  <c r="BS114" i="46"/>
  <c r="BS119" i="46" s="1"/>
  <c r="BP11" i="47" a="1"/>
  <c r="BQ11" i="47" s="1"/>
  <c r="BQ12" i="47" s="1"/>
  <c r="BQ55" i="47" s="1"/>
  <c r="BP13" i="47"/>
  <c r="BR13" i="47"/>
  <c r="BS13" i="47"/>
  <c r="BR21" i="47"/>
  <c r="BR57" i="47" s="1"/>
  <c r="BP21" i="47"/>
  <c r="BP57" i="47" s="1"/>
  <c r="BS21" i="47"/>
  <c r="BS57" i="47" s="1"/>
  <c r="BS69" i="47"/>
  <c r="BS58" i="47"/>
  <c r="BP69" i="47"/>
  <c r="BP58" i="47"/>
  <c r="BU17" i="46"/>
  <c r="BT57" i="46"/>
  <c r="BT262" i="46"/>
  <c r="BT315" i="46"/>
  <c r="BT89" i="46"/>
  <c r="BT109" i="46"/>
  <c r="BT78" i="46"/>
  <c r="BT242" i="46"/>
  <c r="BT232" i="46"/>
  <c r="BT335" i="46"/>
  <c r="BT47" i="46"/>
  <c r="BT17" i="46"/>
  <c r="BT67" i="46"/>
  <c r="BT222" i="46"/>
  <c r="BT129" i="46"/>
  <c r="BT325" i="46"/>
  <c r="F124" i="8"/>
  <c r="BS26" i="46"/>
  <c r="BT26" i="46" s="1"/>
  <c r="BU26" i="46" s="1"/>
  <c r="BS27" i="46"/>
  <c r="BT27" i="46" s="1"/>
  <c r="BU27" i="46" s="1"/>
  <c r="BS25" i="46"/>
  <c r="BS99" i="46"/>
  <c r="BS98" i="46"/>
  <c r="BS97" i="46"/>
  <c r="BQ21" i="47"/>
  <c r="BQ57" i="47" s="1"/>
  <c r="BU94" i="46"/>
  <c r="BS37" i="46"/>
  <c r="BS36" i="46"/>
  <c r="BS35" i="46"/>
  <c r="BU32" i="46"/>
  <c r="BQ13" i="47"/>
  <c r="V40" i="4"/>
  <c r="BU15" i="46"/>
  <c r="BT45" i="46"/>
  <c r="BT333" i="46"/>
  <c r="BT313" i="46"/>
  <c r="BT76" i="46"/>
  <c r="D127" i="8"/>
  <c r="L127" i="8" s="1"/>
  <c r="V8" i="4"/>
  <c r="BT15" i="46"/>
  <c r="BT107" i="46"/>
  <c r="BT260" i="46"/>
  <c r="BT230" i="46"/>
  <c r="BT127" i="46"/>
  <c r="BT250" i="46"/>
  <c r="BT55" i="46"/>
  <c r="BT87" i="46"/>
  <c r="K8" i="49"/>
  <c r="BT240" i="46"/>
  <c r="BT65" i="46"/>
  <c r="BT323" i="46"/>
  <c r="BT220" i="46"/>
  <c r="BT108" i="46"/>
  <c r="BT56" i="46"/>
  <c r="BT16" i="46"/>
  <c r="BT261" i="46"/>
  <c r="BT231" i="46"/>
  <c r="BT324" i="46"/>
  <c r="BT77" i="46"/>
  <c r="BT241" i="46"/>
  <c r="BT66" i="46"/>
  <c r="BT314" i="46"/>
  <c r="BT221" i="46"/>
  <c r="BT88" i="46"/>
  <c r="BT46" i="46"/>
  <c r="BT334" i="46"/>
  <c r="BT128" i="46"/>
  <c r="AL133" i="3"/>
  <c r="AJ136" i="3"/>
  <c r="AL136" i="3" s="1"/>
  <c r="G136" i="3"/>
  <c r="BQ58" i="47"/>
  <c r="BQ69" i="47"/>
  <c r="D4" i="60" l="1"/>
  <c r="AM78" i="10"/>
  <c r="BU114" i="46"/>
  <c r="BS300" i="46"/>
  <c r="BS304" i="46" s="1"/>
  <c r="BT114" i="46"/>
  <c r="BS117" i="46"/>
  <c r="BU117" i="46" s="1"/>
  <c r="BS134" i="46"/>
  <c r="BS144" i="46" s="1"/>
  <c r="BP27" i="47" s="1" a="1"/>
  <c r="BS118" i="46"/>
  <c r="BT118" i="46" s="1"/>
  <c r="BP71" i="47"/>
  <c r="BP56" i="47"/>
  <c r="BP11" i="47"/>
  <c r="BR11" i="47"/>
  <c r="BS11" i="47"/>
  <c r="BS71" i="47"/>
  <c r="BS56" i="47"/>
  <c r="BR71" i="47"/>
  <c r="BR56" i="47"/>
  <c r="BT37" i="46"/>
  <c r="BU37" i="46"/>
  <c r="BU99" i="46"/>
  <c r="BT99" i="46"/>
  <c r="K31" i="49"/>
  <c r="K9" i="49"/>
  <c r="K25" i="49"/>
  <c r="K29" i="49"/>
  <c r="T29" i="49" s="1"/>
  <c r="AO55" i="9"/>
  <c r="Q6" i="21"/>
  <c r="CI10" i="47"/>
  <c r="K16" i="49"/>
  <c r="K44" i="49"/>
  <c r="K21" i="49"/>
  <c r="K27" i="49"/>
  <c r="K23" i="49"/>
  <c r="T23" i="49" s="1"/>
  <c r="K35" i="49"/>
  <c r="L35" i="49" s="1"/>
  <c r="M35" i="49" s="1"/>
  <c r="N35" i="49" s="1"/>
  <c r="O35" i="49" s="1"/>
  <c r="BU35" i="46"/>
  <c r="BT35" i="46"/>
  <c r="K14" i="49"/>
  <c r="BT25" i="46"/>
  <c r="BU25" i="46" s="1"/>
  <c r="F127" i="8"/>
  <c r="K11" i="49"/>
  <c r="AH124" i="8"/>
  <c r="AJ123" i="8"/>
  <c r="T123" i="8"/>
  <c r="R124" i="8"/>
  <c r="BQ71" i="47"/>
  <c r="BQ56" i="47"/>
  <c r="BT98" i="46"/>
  <c r="BU98" i="46"/>
  <c r="BQ23" i="47"/>
  <c r="O136" i="3"/>
  <c r="AE136" i="3"/>
  <c r="V37" i="4"/>
  <c r="V12" i="4"/>
  <c r="V8" i="5"/>
  <c r="V9" i="4"/>
  <c r="V42" i="4" s="1"/>
  <c r="V22" i="4"/>
  <c r="V23" i="4" s="1"/>
  <c r="W8" i="4"/>
  <c r="BU54" i="11"/>
  <c r="K10" i="49"/>
  <c r="CI70" i="47"/>
  <c r="O32" i="53" s="1"/>
  <c r="Q60" i="21"/>
  <c r="BU36" i="46"/>
  <c r="BT36" i="46"/>
  <c r="BT97" i="46"/>
  <c r="K37" i="49"/>
  <c r="BU97" i="46"/>
  <c r="BT119" i="46"/>
  <c r="BU119" i="46"/>
  <c r="K40" i="49" l="1"/>
  <c r="D5" i="60"/>
  <c r="D14" i="60"/>
  <c r="BS138" i="46"/>
  <c r="BT138" i="46" s="1"/>
  <c r="BU134" i="46"/>
  <c r="BS305" i="46"/>
  <c r="BT305" i="46" s="1"/>
  <c r="BT134" i="46"/>
  <c r="BS139" i="46"/>
  <c r="BU139" i="46" s="1"/>
  <c r="BS303" i="46"/>
  <c r="BS340" i="46"/>
  <c r="BS343" i="46" s="1"/>
  <c r="BU300" i="46"/>
  <c r="BT300" i="46"/>
  <c r="BU118" i="46"/>
  <c r="BT117" i="46"/>
  <c r="BS137" i="46"/>
  <c r="BU137" i="46" s="1"/>
  <c r="BS27" i="47"/>
  <c r="BR27" i="47"/>
  <c r="BP27" i="47"/>
  <c r="BR12" i="47"/>
  <c r="BR55" i="47" s="1"/>
  <c r="BR23" i="47"/>
  <c r="BP12" i="47"/>
  <c r="BP55" i="47" s="1"/>
  <c r="BP23" i="47"/>
  <c r="BS23" i="47"/>
  <c r="BS12" i="47"/>
  <c r="BS55" i="47" s="1"/>
  <c r="K38" i="49"/>
  <c r="L37" i="49"/>
  <c r="Q12" i="21"/>
  <c r="CI21" i="47"/>
  <c r="CI57" i="47" s="1"/>
  <c r="Q257" i="21"/>
  <c r="Q314" i="21"/>
  <c r="X8" i="4"/>
  <c r="L8" i="49"/>
  <c r="E4" i="60" s="1"/>
  <c r="E5" i="60" s="1"/>
  <c r="W22" i="4"/>
  <c r="W23" i="4" s="1"/>
  <c r="W9" i="4"/>
  <c r="W37" i="4"/>
  <c r="W12" i="4"/>
  <c r="V13" i="4"/>
  <c r="AD12" i="4"/>
  <c r="V25" i="4"/>
  <c r="V26" i="4" s="1"/>
  <c r="BQ72" i="47"/>
  <c r="BQ59" i="47"/>
  <c r="BQ46" i="47"/>
  <c r="BQ48" i="47" s="1"/>
  <c r="BQ26" i="47"/>
  <c r="AG78" i="10"/>
  <c r="V9" i="5"/>
  <c r="V26" i="5"/>
  <c r="V11" i="5"/>
  <c r="V36" i="5"/>
  <c r="Z8" i="5"/>
  <c r="AN55" i="9" s="1"/>
  <c r="BU10" i="11"/>
  <c r="V16" i="5"/>
  <c r="Z16" i="5" s="1"/>
  <c r="V30" i="5"/>
  <c r="V14" i="5"/>
  <c r="V20" i="5"/>
  <c r="BS149" i="46"/>
  <c r="BQ27" i="47"/>
  <c r="BS147" i="46"/>
  <c r="BU144" i="46"/>
  <c r="BS148" i="46"/>
  <c r="BT304" i="46"/>
  <c r="BU304" i="46"/>
  <c r="CI85" i="47"/>
  <c r="BU67" i="11"/>
  <c r="V38" i="4"/>
  <c r="CI69" i="47"/>
  <c r="CI58" i="47"/>
  <c r="CI11" i="47"/>
  <c r="CI12" i="47" s="1"/>
  <c r="CI55" i="47" s="1"/>
  <c r="O34" i="53" s="1"/>
  <c r="O35" i="53" s="1"/>
  <c r="Q8" i="21"/>
  <c r="Q10" i="21" s="1"/>
  <c r="AO56" i="9"/>
  <c r="BS154" i="46"/>
  <c r="AO57" i="9"/>
  <c r="K18" i="49"/>
  <c r="Q11" i="21"/>
  <c r="K15" i="49"/>
  <c r="CI13" i="47"/>
  <c r="Q53" i="21"/>
  <c r="Q59" i="21"/>
  <c r="K12" i="49"/>
  <c r="AO15" i="9"/>
  <c r="AO13" i="9"/>
  <c r="AO12" i="9"/>
  <c r="K73" i="49" l="1"/>
  <c r="K75" i="49" s="1"/>
  <c r="D6" i="60"/>
  <c r="BU138" i="46"/>
  <c r="BT137" i="46"/>
  <c r="BU305" i="46"/>
  <c r="BT139" i="46"/>
  <c r="BU303" i="46"/>
  <c r="BS348" i="46"/>
  <c r="BS349" i="46"/>
  <c r="BT303" i="46"/>
  <c r="BS345" i="46"/>
  <c r="BT345" i="46" s="1"/>
  <c r="BU340" i="46"/>
  <c r="BT340" i="46"/>
  <c r="BS344" i="46"/>
  <c r="BU344" i="46" s="1"/>
  <c r="BS157" i="46"/>
  <c r="BS210" i="46" s="1"/>
  <c r="K41" i="49"/>
  <c r="BS46" i="47"/>
  <c r="BS48" i="47" s="1"/>
  <c r="BS59" i="47"/>
  <c r="BS72" i="47"/>
  <c r="BS26" i="47"/>
  <c r="BP26" i="47"/>
  <c r="BP46" i="47"/>
  <c r="BP48" i="47" s="1"/>
  <c r="BP72" i="47"/>
  <c r="BP59" i="47"/>
  <c r="BR26" i="47"/>
  <c r="BR61" i="47" s="1"/>
  <c r="BR72" i="47"/>
  <c r="BR59" i="47"/>
  <c r="BR46" i="47"/>
  <c r="BR48" i="47" s="1"/>
  <c r="K46" i="49"/>
  <c r="K47" i="49" s="1"/>
  <c r="V44" i="4"/>
  <c r="V45" i="4" s="1"/>
  <c r="BQ61" i="47"/>
  <c r="V32" i="5"/>
  <c r="V33" i="5" s="1"/>
  <c r="Q16" i="21"/>
  <c r="Q55" i="21" s="1"/>
  <c r="Q51" i="21"/>
  <c r="AO42" i="10"/>
  <c r="CI56" i="47"/>
  <c r="O37" i="53" s="1"/>
  <c r="CI71" i="47"/>
  <c r="O39" i="53" s="1"/>
  <c r="CI23" i="47"/>
  <c r="Q226" i="21"/>
  <c r="BU16" i="11"/>
  <c r="Q275" i="21"/>
  <c r="Q277" i="21" s="1"/>
  <c r="Z20" i="5"/>
  <c r="Q315" i="21"/>
  <c r="BU148" i="46"/>
  <c r="BT148" i="46"/>
  <c r="BQ74" i="47"/>
  <c r="BQ50" i="47"/>
  <c r="BQ65" i="47"/>
  <c r="BS159" i="46"/>
  <c r="BT154" i="46"/>
  <c r="BS164" i="46"/>
  <c r="BU154" i="46"/>
  <c r="BS207" i="46"/>
  <c r="BS158" i="46"/>
  <c r="BT344" i="46"/>
  <c r="BU147" i="46"/>
  <c r="K49" i="49"/>
  <c r="BT147" i="46"/>
  <c r="Z14" i="5"/>
  <c r="AN57" i="9" s="1"/>
  <c r="V18" i="5"/>
  <c r="BU15" i="11"/>
  <c r="BU12" i="11"/>
  <c r="Z11" i="5"/>
  <c r="AN56" i="9" s="1"/>
  <c r="W25" i="4"/>
  <c r="W26" i="4" s="1"/>
  <c r="W13" i="4"/>
  <c r="L44" i="49"/>
  <c r="L11" i="49"/>
  <c r="CJ10" i="47"/>
  <c r="L16" i="49"/>
  <c r="L14" i="49"/>
  <c r="R6" i="21"/>
  <c r="L9" i="49"/>
  <c r="AQ55" i="9"/>
  <c r="L33" i="49"/>
  <c r="E13" i="60" s="1"/>
  <c r="E14" i="60" s="1"/>
  <c r="BP13" i="6"/>
  <c r="AO41" i="10"/>
  <c r="AO26" i="9"/>
  <c r="BU149" i="46"/>
  <c r="BT149" i="46"/>
  <c r="AO40" i="10"/>
  <c r="Q58" i="21"/>
  <c r="Q263" i="21"/>
  <c r="Q133" i="21"/>
  <c r="Q134" i="21" s="1"/>
  <c r="Q61" i="21"/>
  <c r="Q320" i="21" s="1"/>
  <c r="Q52" i="21"/>
  <c r="BU343" i="46"/>
  <c r="BT343" i="46"/>
  <c r="BV343" i="46" s="1"/>
  <c r="V23" i="5"/>
  <c r="BU14" i="11"/>
  <c r="BU53" i="11"/>
  <c r="F42" i="44"/>
  <c r="BU45" i="11"/>
  <c r="Z26" i="5"/>
  <c r="BU17" i="11"/>
  <c r="BU44" i="11" s="1"/>
  <c r="BQ29" i="47"/>
  <c r="BQ60" i="47"/>
  <c r="CJ85" i="47"/>
  <c r="W38" i="4"/>
  <c r="M8" i="49"/>
  <c r="F4" i="60" s="1"/>
  <c r="F5" i="60" s="1"/>
  <c r="X12" i="4"/>
  <c r="X37" i="4"/>
  <c r="X22" i="4"/>
  <c r="X23" i="4" s="1"/>
  <c r="Y8" i="4"/>
  <c r="X9" i="4"/>
  <c r="Q78" i="21"/>
  <c r="Q147" i="21"/>
  <c r="L38" i="49"/>
  <c r="M37" i="49"/>
  <c r="CJ21" i="47"/>
  <c r="R12" i="21"/>
  <c r="Q42" i="21" l="1"/>
  <c r="BU345" i="46"/>
  <c r="D7" i="60"/>
  <c r="CJ57" i="47"/>
  <c r="K52" i="49"/>
  <c r="AO58" i="9" s="1"/>
  <c r="AO27" i="9" s="1"/>
  <c r="F311" i="44" s="1"/>
  <c r="BT157" i="46"/>
  <c r="BS167" i="46"/>
  <c r="BT167" i="46" s="1"/>
  <c r="BU157" i="46"/>
  <c r="V38" i="5"/>
  <c r="BS60" i="47"/>
  <c r="BS29" i="47"/>
  <c r="BS61" i="47"/>
  <c r="BR29" i="47"/>
  <c r="BR60" i="47"/>
  <c r="BP65" i="47"/>
  <c r="BP50" i="47"/>
  <c r="BP74" i="47"/>
  <c r="BR74" i="47"/>
  <c r="BR50" i="47"/>
  <c r="BR65" i="47"/>
  <c r="BP61" i="47"/>
  <c r="BP29" i="47"/>
  <c r="BP60" i="47"/>
  <c r="BS65" i="47"/>
  <c r="BS50" i="47"/>
  <c r="BS74" i="47"/>
  <c r="Z32" i="5"/>
  <c r="Y9" i="4"/>
  <c r="Z8" i="4"/>
  <c r="N8" i="49"/>
  <c r="G4" i="60" s="1"/>
  <c r="Y12" i="4"/>
  <c r="Y22" i="4"/>
  <c r="Y23" i="4" s="1"/>
  <c r="Y37" i="4"/>
  <c r="BQ30" i="47"/>
  <c r="BQ62" i="47"/>
  <c r="BQ34" i="47"/>
  <c r="BQ39" i="47" s="1"/>
  <c r="Z23" i="5"/>
  <c r="V24" i="5"/>
  <c r="BU42" i="11"/>
  <c r="BU55" i="11"/>
  <c r="Q44" i="21"/>
  <c r="K76" i="49"/>
  <c r="K78" i="49"/>
  <c r="R147" i="21"/>
  <c r="R78" i="21"/>
  <c r="F45" i="44"/>
  <c r="Q201" i="21"/>
  <c r="Q202" i="21" s="1"/>
  <c r="Q194" i="21" s="1"/>
  <c r="AO44" i="10"/>
  <c r="AO46" i="10" s="1"/>
  <c r="D17" i="60" s="1"/>
  <c r="D18" i="60" s="1"/>
  <c r="R13" i="21"/>
  <c r="L77" i="49"/>
  <c r="AQ11" i="10"/>
  <c r="AQ18" i="9" s="1"/>
  <c r="CJ20" i="47"/>
  <c r="L34" i="49"/>
  <c r="CJ13" i="47"/>
  <c r="L18" i="49"/>
  <c r="R11" i="21"/>
  <c r="AQ57" i="9"/>
  <c r="R8" i="21"/>
  <c r="R10" i="21" s="1"/>
  <c r="AQ56" i="9"/>
  <c r="CJ11" i="47"/>
  <c r="BS211" i="46"/>
  <c r="BS212" i="46"/>
  <c r="BU207" i="46"/>
  <c r="BT207" i="46"/>
  <c r="BS267" i="46"/>
  <c r="BU159" i="46"/>
  <c r="BT159" i="46"/>
  <c r="BU43" i="11"/>
  <c r="V41" i="5"/>
  <c r="V44" i="5" s="1"/>
  <c r="V39" i="5"/>
  <c r="Z38" i="5"/>
  <c r="AS55" i="9"/>
  <c r="M44" i="49"/>
  <c r="M14" i="49"/>
  <c r="S6" i="21"/>
  <c r="M11" i="49"/>
  <c r="CK10" i="47"/>
  <c r="M16" i="49"/>
  <c r="M9" i="49"/>
  <c r="M33" i="49"/>
  <c r="F13" i="60" s="1"/>
  <c r="F14" i="60" s="1"/>
  <c r="R59" i="21"/>
  <c r="AQ12" i="9"/>
  <c r="AQ13" i="9"/>
  <c r="AQ15" i="9"/>
  <c r="K50" i="49"/>
  <c r="D8" i="60" s="1"/>
  <c r="D9" i="60" s="1"/>
  <c r="D10" i="60" s="1"/>
  <c r="Q20" i="21"/>
  <c r="CI27" i="47"/>
  <c r="X38" i="4"/>
  <c r="CK85" i="47"/>
  <c r="Q264" i="21"/>
  <c r="Q323" i="21"/>
  <c r="S12" i="21"/>
  <c r="N37" i="49"/>
  <c r="M38" i="49"/>
  <c r="CK21" i="47"/>
  <c r="X13" i="4"/>
  <c r="X25" i="4"/>
  <c r="X26" i="4" s="1"/>
  <c r="BU19" i="11"/>
  <c r="BU41" i="11"/>
  <c r="Q302" i="21"/>
  <c r="Q187" i="21"/>
  <c r="Q301" i="21"/>
  <c r="Q250" i="21"/>
  <c r="Q303" i="21" s="1"/>
  <c r="H126" i="8"/>
  <c r="BQ13" i="6"/>
  <c r="CJ69" i="47"/>
  <c r="CJ12" i="47"/>
  <c r="CJ55" i="47" s="1"/>
  <c r="R34" i="53" s="1"/>
  <c r="R35" i="53" s="1"/>
  <c r="L40" i="49"/>
  <c r="E6" i="60" s="1"/>
  <c r="F43" i="44"/>
  <c r="BT164" i="46"/>
  <c r="BS169" i="46"/>
  <c r="BT169" i="46" s="1"/>
  <c r="BS168" i="46"/>
  <c r="BT168" i="46" s="1"/>
  <c r="BQ75" i="47"/>
  <c r="BQ64" i="47"/>
  <c r="U275" i="21"/>
  <c r="U226" i="21"/>
  <c r="CI26" i="47"/>
  <c r="CI72" i="47"/>
  <c r="CI59" i="47"/>
  <c r="CI46" i="47"/>
  <c r="CI48" i="47" s="1"/>
  <c r="BU210" i="46"/>
  <c r="BT210" i="46"/>
  <c r="BS270" i="46"/>
  <c r="Q249" i="21"/>
  <c r="Q299" i="21" s="1"/>
  <c r="Q297" i="21"/>
  <c r="Q186" i="21"/>
  <c r="Q298" i="21"/>
  <c r="I20" i="44"/>
  <c r="BT158" i="46"/>
  <c r="BU158" i="46"/>
  <c r="Q279" i="21"/>
  <c r="Q317" i="21"/>
  <c r="Q304" i="21"/>
  <c r="Q293" i="21"/>
  <c r="Q319" i="21" s="1"/>
  <c r="Q62" i="21"/>
  <c r="Q54" i="21"/>
  <c r="Q18" i="21"/>
  <c r="D21" i="60" l="1"/>
  <c r="D25" i="60" s="1"/>
  <c r="D11" i="60"/>
  <c r="H4" i="60"/>
  <c r="G5" i="60"/>
  <c r="E7" i="60"/>
  <c r="K55" i="49"/>
  <c r="K56" i="49" s="1"/>
  <c r="K61" i="49"/>
  <c r="K53" i="49"/>
  <c r="AO9" i="10"/>
  <c r="Q24" i="21"/>
  <c r="Q26" i="21" s="1"/>
  <c r="CJ23" i="47"/>
  <c r="CJ46" i="47" s="1"/>
  <c r="CJ48" i="47" s="1"/>
  <c r="AO30" i="9"/>
  <c r="AO37" i="9" s="1"/>
  <c r="BP75" i="47"/>
  <c r="BP64" i="47"/>
  <c r="BR64" i="47"/>
  <c r="BR75" i="47"/>
  <c r="BS34" i="47"/>
  <c r="BS39" i="47" s="1"/>
  <c r="BS30" i="47"/>
  <c r="BS62" i="47"/>
  <c r="BP30" i="47"/>
  <c r="BP34" i="47"/>
  <c r="BP39" i="47" s="1"/>
  <c r="BP62" i="47"/>
  <c r="CK57" i="47"/>
  <c r="BS75" i="47"/>
  <c r="BS64" i="47"/>
  <c r="BR34" i="47"/>
  <c r="BR39" i="47" s="1"/>
  <c r="BR62" i="47"/>
  <c r="BR30" i="47"/>
  <c r="J126" i="8"/>
  <c r="X126" i="8"/>
  <c r="Z126" i="8" s="1"/>
  <c r="P126" i="8"/>
  <c r="N126" i="8"/>
  <c r="AD126" i="8"/>
  <c r="AF126" i="8" s="1"/>
  <c r="S147" i="21"/>
  <c r="S78" i="21"/>
  <c r="AQ42" i="10"/>
  <c r="R263" i="21"/>
  <c r="R58" i="21"/>
  <c r="R133" i="21"/>
  <c r="R134" i="21" s="1"/>
  <c r="S59" i="21"/>
  <c r="BS271" i="46"/>
  <c r="BS277" i="46"/>
  <c r="BS272" i="46"/>
  <c r="BT267" i="46"/>
  <c r="BU267" i="46"/>
  <c r="BT211" i="46"/>
  <c r="BU211" i="46"/>
  <c r="R276" i="21"/>
  <c r="R53" i="21"/>
  <c r="R79" i="21"/>
  <c r="N14" i="49"/>
  <c r="N44" i="49"/>
  <c r="N33" i="49"/>
  <c r="G13" i="60" s="1"/>
  <c r="G14" i="60" s="1"/>
  <c r="N16" i="49"/>
  <c r="T16" i="49" s="1"/>
  <c r="N9" i="49"/>
  <c r="N11" i="49"/>
  <c r="T6" i="21"/>
  <c r="AU55" i="9"/>
  <c r="CL10" i="47"/>
  <c r="CI61" i="47"/>
  <c r="AQ26" i="9"/>
  <c r="AQ41" i="10"/>
  <c r="S13" i="21"/>
  <c r="M77" i="49"/>
  <c r="AS11" i="10"/>
  <c r="AS18" i="9" s="1"/>
  <c r="CK20" i="47"/>
  <c r="M34" i="49"/>
  <c r="CK69" i="47"/>
  <c r="M18" i="49"/>
  <c r="AS57" i="9"/>
  <c r="S11" i="21"/>
  <c r="CK13" i="47"/>
  <c r="R61" i="21"/>
  <c r="R320" i="21" s="1"/>
  <c r="R52" i="21"/>
  <c r="CJ58" i="47"/>
  <c r="CJ49" i="47"/>
  <c r="H24" i="31"/>
  <c r="I24" i="31" s="1"/>
  <c r="J24" i="31" s="1"/>
  <c r="K24" i="31" s="1"/>
  <c r="L24" i="31" s="1"/>
  <c r="M24" i="31" s="1"/>
  <c r="N24" i="31" s="1"/>
  <c r="O24" i="31" s="1"/>
  <c r="H24" i="32"/>
  <c r="AO48" i="10"/>
  <c r="Y38" i="4"/>
  <c r="CL85" i="47"/>
  <c r="Z37" i="4"/>
  <c r="Z9" i="4"/>
  <c r="Z12" i="4"/>
  <c r="Z22" i="4"/>
  <c r="Z23" i="4" s="1"/>
  <c r="AD8" i="4"/>
  <c r="O8" i="49"/>
  <c r="R27" i="44"/>
  <c r="R26" i="44"/>
  <c r="IR62" i="44"/>
  <c r="R29" i="44"/>
  <c r="R30" i="44"/>
  <c r="R32" i="44"/>
  <c r="R25" i="44"/>
  <c r="BP98" i="44"/>
  <c r="CP98" i="44"/>
  <c r="BO98" i="44"/>
  <c r="BK98" i="44"/>
  <c r="BJ98" i="44"/>
  <c r="BV98" i="44"/>
  <c r="AQ98" i="44"/>
  <c r="AO98" i="44"/>
  <c r="BI98" i="44"/>
  <c r="Z98" i="44"/>
  <c r="BZ98" i="44"/>
  <c r="IR98" i="44"/>
  <c r="CH98" i="44"/>
  <c r="EY98" i="44"/>
  <c r="FD98" i="44"/>
  <c r="II98" i="44"/>
  <c r="CB98" i="44"/>
  <c r="GO98" i="44"/>
  <c r="FU98" i="44"/>
  <c r="DB98" i="44"/>
  <c r="Y98" i="44"/>
  <c r="EL98" i="44"/>
  <c r="ID98" i="44"/>
  <c r="CS98" i="44"/>
  <c r="DU98" i="44"/>
  <c r="HB98" i="44"/>
  <c r="CU98" i="44"/>
  <c r="EF98" i="44"/>
  <c r="DS98" i="44"/>
  <c r="BH98" i="44"/>
  <c r="T98" i="44"/>
  <c r="P98" i="44"/>
  <c r="F98" i="44"/>
  <c r="CV98" i="44"/>
  <c r="HL98" i="44"/>
  <c r="CM98" i="44"/>
  <c r="AS98" i="44"/>
  <c r="HG98" i="44"/>
  <c r="GG98" i="44"/>
  <c r="IM98" i="44"/>
  <c r="IN98" i="44"/>
  <c r="FS98" i="44"/>
  <c r="CD98" i="44"/>
  <c r="CF98" i="44"/>
  <c r="GL98" i="44"/>
  <c r="HH98" i="44"/>
  <c r="HU98" i="44"/>
  <c r="EX98" i="44"/>
  <c r="GN98" i="44"/>
  <c r="HM98" i="44"/>
  <c r="CE98" i="44"/>
  <c r="DL98" i="44"/>
  <c r="EW98" i="44"/>
  <c r="HR98" i="44"/>
  <c r="FM98" i="44"/>
  <c r="DP98" i="44"/>
  <c r="AA98" i="44"/>
  <c r="FQ98" i="44"/>
  <c r="GP98" i="44"/>
  <c r="DJ98" i="44"/>
  <c r="BQ98" i="44"/>
  <c r="GF98" i="44"/>
  <c r="IQ98" i="44"/>
  <c r="GE98" i="44"/>
  <c r="HO98" i="44"/>
  <c r="FA98" i="44"/>
  <c r="DI98" i="44"/>
  <c r="AU98" i="44"/>
  <c r="BC98" i="44"/>
  <c r="EM98" i="44"/>
  <c r="G98" i="44"/>
  <c r="CN98" i="44"/>
  <c r="BF98" i="44"/>
  <c r="ES98" i="44"/>
  <c r="ER98" i="44"/>
  <c r="BA98" i="44"/>
  <c r="GR98" i="44"/>
  <c r="CJ98" i="44"/>
  <c r="HF98" i="44"/>
  <c r="ED98" i="44"/>
  <c r="FJ98" i="44"/>
  <c r="AW98" i="44"/>
  <c r="CY98" i="44"/>
  <c r="AZ98" i="44"/>
  <c r="FO98" i="44"/>
  <c r="AC98" i="44"/>
  <c r="IF98" i="44"/>
  <c r="GQ98" i="44"/>
  <c r="AH98" i="44"/>
  <c r="EB98" i="44"/>
  <c r="DM98" i="44"/>
  <c r="K98" i="44"/>
  <c r="CW98" i="44"/>
  <c r="BG98" i="44"/>
  <c r="CR98" i="44"/>
  <c r="BN98" i="44"/>
  <c r="HK98" i="44"/>
  <c r="M98" i="44"/>
  <c r="H98" i="44"/>
  <c r="HA98" i="44"/>
  <c r="DH98" i="44"/>
  <c r="FB98" i="44"/>
  <c r="AK98" i="44"/>
  <c r="D98" i="44"/>
  <c r="HW98" i="44"/>
  <c r="EI98" i="44"/>
  <c r="CG98" i="44"/>
  <c r="HQ98" i="44"/>
  <c r="GW98" i="44"/>
  <c r="GY98" i="44"/>
  <c r="DE98" i="44"/>
  <c r="AD98" i="44"/>
  <c r="AB98" i="44"/>
  <c r="GT98" i="44"/>
  <c r="EP98" i="44"/>
  <c r="DO98" i="44"/>
  <c r="FP98" i="44"/>
  <c r="FF98" i="44"/>
  <c r="AY98" i="44"/>
  <c r="BB98" i="44"/>
  <c r="EV98" i="44"/>
  <c r="IP98" i="44"/>
  <c r="J98" i="44"/>
  <c r="HE98" i="44"/>
  <c r="HI98" i="44"/>
  <c r="GC98" i="44"/>
  <c r="FG98" i="44"/>
  <c r="AT98" i="44"/>
  <c r="EQ98" i="44"/>
  <c r="CZ98" i="44"/>
  <c r="C98" i="44"/>
  <c r="E98" i="44"/>
  <c r="L98" i="44"/>
  <c r="R98" i="44"/>
  <c r="AI98" i="44"/>
  <c r="FV98" i="44"/>
  <c r="HV98" i="44"/>
  <c r="FZ98" i="44"/>
  <c r="GB98" i="44"/>
  <c r="EH98" i="44"/>
  <c r="CK98" i="44"/>
  <c r="AV98" i="44"/>
  <c r="HN98" i="44"/>
  <c r="AL98" i="44"/>
  <c r="GM98" i="44"/>
  <c r="FK98" i="44"/>
  <c r="CI98" i="44"/>
  <c r="AM98" i="44"/>
  <c r="AE98" i="44"/>
  <c r="V98" i="44"/>
  <c r="EG98" i="44"/>
  <c r="HX98" i="44"/>
  <c r="EZ98" i="44"/>
  <c r="AN98" i="44"/>
  <c r="Q98" i="44"/>
  <c r="EN98" i="44"/>
  <c r="GK98" i="44"/>
  <c r="FH98" i="44"/>
  <c r="GD98" i="44"/>
  <c r="BU98" i="44"/>
  <c r="AF98" i="44"/>
  <c r="DQ98" i="44"/>
  <c r="GJ98" i="44"/>
  <c r="HP98" i="44"/>
  <c r="FC98" i="44"/>
  <c r="DN98" i="44"/>
  <c r="BW98" i="44"/>
  <c r="IG98" i="44"/>
  <c r="HT98" i="44"/>
  <c r="CO98" i="44"/>
  <c r="GX98" i="44"/>
  <c r="DY98" i="44"/>
  <c r="IA98" i="44"/>
  <c r="FW98" i="44"/>
  <c r="CC98" i="44"/>
  <c r="AR98" i="44"/>
  <c r="BS98" i="44"/>
  <c r="GI98" i="44"/>
  <c r="IK98" i="44"/>
  <c r="HY98" i="44"/>
  <c r="FI98" i="44"/>
  <c r="CA98" i="44"/>
  <c r="AP98" i="44"/>
  <c r="DX98" i="44"/>
  <c r="BD98" i="44"/>
  <c r="BR98" i="44"/>
  <c r="O98" i="44"/>
  <c r="CQ98" i="44"/>
  <c r="U98" i="44"/>
  <c r="IC98" i="44"/>
  <c r="FT98" i="44"/>
  <c r="IH98" i="44"/>
  <c r="HS98" i="44"/>
  <c r="IO98" i="44"/>
  <c r="GU98" i="44"/>
  <c r="DK98" i="44"/>
  <c r="DD98" i="44"/>
  <c r="AG98" i="44"/>
  <c r="EA98" i="44"/>
  <c r="CL98" i="44"/>
  <c r="IL98" i="44"/>
  <c r="FN98" i="44"/>
  <c r="GA98" i="44"/>
  <c r="BE98" i="44"/>
  <c r="IB98" i="44"/>
  <c r="EE98" i="44"/>
  <c r="I98" i="44"/>
  <c r="N98" i="44"/>
  <c r="DT98" i="44"/>
  <c r="HC98" i="44"/>
  <c r="EU98" i="44"/>
  <c r="EK98" i="44"/>
  <c r="CT98" i="44"/>
  <c r="DW98" i="44"/>
  <c r="HJ98" i="44"/>
  <c r="GH98" i="44"/>
  <c r="FR98" i="44"/>
  <c r="BT98" i="44"/>
  <c r="X98" i="44"/>
  <c r="GV98" i="44"/>
  <c r="HZ98" i="44"/>
  <c r="DV98" i="44"/>
  <c r="GS98" i="44"/>
  <c r="FX98" i="44"/>
  <c r="EO98" i="44"/>
  <c r="AX98" i="44"/>
  <c r="ET98" i="44"/>
  <c r="CX98" i="44"/>
  <c r="FL98" i="44"/>
  <c r="HD98" i="44"/>
  <c r="DF98" i="44"/>
  <c r="IE98" i="44"/>
  <c r="GZ98" i="44"/>
  <c r="DC98" i="44"/>
  <c r="FE98" i="44"/>
  <c r="W98" i="44"/>
  <c r="EC98" i="44"/>
  <c r="DZ98" i="44"/>
  <c r="IJ98" i="44"/>
  <c r="FY98" i="44"/>
  <c r="DA98" i="44"/>
  <c r="BY98" i="44"/>
  <c r="BX98" i="44"/>
  <c r="BM98" i="44"/>
  <c r="BL98" i="44"/>
  <c r="C142" i="44"/>
  <c r="C143" i="44" s="1"/>
  <c r="AJ98" i="44"/>
  <c r="DG98" i="44"/>
  <c r="S98" i="44"/>
  <c r="DR98" i="44"/>
  <c r="EJ98" i="44"/>
  <c r="CI29" i="47"/>
  <c r="CI60" i="47"/>
  <c r="BU46" i="11"/>
  <c r="BU22" i="11"/>
  <c r="BU56" i="11"/>
  <c r="Q324" i="21"/>
  <c r="Q256" i="21"/>
  <c r="Q220" i="21" s="1"/>
  <c r="Q56" i="21"/>
  <c r="AQ40" i="10"/>
  <c r="M40" i="49"/>
  <c r="F6" i="60" s="1"/>
  <c r="V52" i="5"/>
  <c r="V47" i="5"/>
  <c r="Z44" i="5"/>
  <c r="Q322" i="21"/>
  <c r="Q126" i="21"/>
  <c r="BQ66" i="47"/>
  <c r="BQ40" i="47"/>
  <c r="BQ76" i="47" s="1"/>
  <c r="BU270" i="46"/>
  <c r="BT270" i="46"/>
  <c r="BS280" i="46"/>
  <c r="BT280" i="46" s="1"/>
  <c r="CJ59" i="47"/>
  <c r="Q281" i="21"/>
  <c r="Q285" i="21" s="1"/>
  <c r="CI50" i="47"/>
  <c r="CI65" i="47"/>
  <c r="CI74" i="47"/>
  <c r="L41" i="49"/>
  <c r="W44" i="4"/>
  <c r="W45" i="4" s="1"/>
  <c r="L73" i="49"/>
  <c r="L46" i="49"/>
  <c r="T12" i="21"/>
  <c r="N38" i="49"/>
  <c r="CL21" i="47"/>
  <c r="O37" i="49"/>
  <c r="L50" i="49"/>
  <c r="E8" i="60" s="1"/>
  <c r="E9" i="60" s="1"/>
  <c r="E10" i="60" s="1"/>
  <c r="R16" i="21"/>
  <c r="R55" i="21" s="1"/>
  <c r="R51" i="21"/>
  <c r="S8" i="21"/>
  <c r="S10" i="21" s="1"/>
  <c r="CK11" i="47"/>
  <c r="AS56" i="9"/>
  <c r="AS12" i="9"/>
  <c r="AS40" i="10" s="1"/>
  <c r="AS13" i="9"/>
  <c r="AS15" i="9"/>
  <c r="Z41" i="5"/>
  <c r="BU24" i="11"/>
  <c r="BT212" i="46"/>
  <c r="BU212" i="46"/>
  <c r="CJ71" i="47"/>
  <c r="R39" i="53" s="1"/>
  <c r="CJ56" i="47"/>
  <c r="R37" i="53" s="1"/>
  <c r="R46" i="21"/>
  <c r="K79" i="49"/>
  <c r="Q47" i="21"/>
  <c r="Q65" i="21" s="1"/>
  <c r="Y13" i="4"/>
  <c r="Y25" i="4"/>
  <c r="Y26" i="4" s="1"/>
  <c r="K66" i="49"/>
  <c r="Q30" i="21"/>
  <c r="CJ26" i="47" l="1"/>
  <c r="H21" i="31"/>
  <c r="AO44" i="9"/>
  <c r="R186" i="21"/>
  <c r="Q72" i="21"/>
  <c r="CJ72" i="47"/>
  <c r="E11" i="60"/>
  <c r="F7" i="60"/>
  <c r="H13" i="60"/>
  <c r="H6" i="60"/>
  <c r="I4" i="60"/>
  <c r="H21" i="32"/>
  <c r="AO45" i="9"/>
  <c r="AO29" i="10"/>
  <c r="AO50" i="10" s="1"/>
  <c r="AO80" i="10" s="1"/>
  <c r="CK23" i="47"/>
  <c r="CK59" i="47" s="1"/>
  <c r="BR66" i="47"/>
  <c r="BR40" i="47"/>
  <c r="BR76" i="47" s="1"/>
  <c r="CL57" i="47"/>
  <c r="BP66" i="47"/>
  <c r="BP40" i="47"/>
  <c r="BP76" i="47" s="1"/>
  <c r="BS40" i="47"/>
  <c r="BS76" i="47" s="1"/>
  <c r="BS66" i="47"/>
  <c r="N40" i="49"/>
  <c r="S51" i="21"/>
  <c r="S16" i="21"/>
  <c r="S55" i="21" s="1"/>
  <c r="L75" i="49"/>
  <c r="R42" i="21"/>
  <c r="CJ50" i="47"/>
  <c r="CJ65" i="47"/>
  <c r="CJ74" i="47"/>
  <c r="Q251" i="21"/>
  <c r="Q224" i="21"/>
  <c r="Q225" i="21"/>
  <c r="Q258" i="21" s="1"/>
  <c r="DR78" i="44"/>
  <c r="DR62" i="44"/>
  <c r="DC62" i="44"/>
  <c r="DC78" i="44"/>
  <c r="L65" i="49"/>
  <c r="M50" i="49"/>
  <c r="F8" i="60" s="1"/>
  <c r="F9" i="60" s="1"/>
  <c r="F10" i="60" s="1"/>
  <c r="S283" i="44"/>
  <c r="S164" i="44"/>
  <c r="S46" i="44" s="1"/>
  <c r="S192" i="44"/>
  <c r="S194" i="44"/>
  <c r="S48" i="44" s="1"/>
  <c r="S217" i="44"/>
  <c r="S157" i="44"/>
  <c r="BL78" i="44"/>
  <c r="BL62" i="44"/>
  <c r="DA62" i="44"/>
  <c r="DA78" i="44"/>
  <c r="EC78" i="44"/>
  <c r="EC62" i="44"/>
  <c r="GZ78" i="44"/>
  <c r="GZ62" i="44"/>
  <c r="FL78" i="44"/>
  <c r="FL62" i="44"/>
  <c r="EO62" i="44"/>
  <c r="EO78" i="44"/>
  <c r="HZ62" i="44"/>
  <c r="HZ78" i="44"/>
  <c r="FR78" i="44"/>
  <c r="FR62" i="44"/>
  <c r="CT62" i="44"/>
  <c r="CT78" i="44"/>
  <c r="DT78" i="44"/>
  <c r="DT62" i="44"/>
  <c r="IB78" i="44"/>
  <c r="IB62" i="44"/>
  <c r="IL62" i="44"/>
  <c r="IL78" i="44"/>
  <c r="DD78" i="44"/>
  <c r="DD62" i="44"/>
  <c r="HS78" i="44"/>
  <c r="HS62" i="44"/>
  <c r="U283" i="44"/>
  <c r="U164" i="44"/>
  <c r="U46" i="44" s="1"/>
  <c r="U157" i="44"/>
  <c r="U217" i="44"/>
  <c r="U192" i="44"/>
  <c r="U194" i="44"/>
  <c r="U48" i="44" s="1"/>
  <c r="BD62" i="44"/>
  <c r="BD78" i="44"/>
  <c r="FI62" i="44"/>
  <c r="FI78" i="44"/>
  <c r="BS78" i="44"/>
  <c r="BS62" i="44"/>
  <c r="IA62" i="44"/>
  <c r="IA78" i="44"/>
  <c r="HT78" i="44"/>
  <c r="HT62" i="44"/>
  <c r="FC62" i="44"/>
  <c r="FC78" i="44"/>
  <c r="AF78" i="44"/>
  <c r="AF62" i="44"/>
  <c r="GK62" i="44"/>
  <c r="GK78" i="44"/>
  <c r="EZ78" i="44"/>
  <c r="EZ62" i="44"/>
  <c r="AE62" i="44"/>
  <c r="AE78" i="44"/>
  <c r="GM62" i="44"/>
  <c r="GM78" i="44"/>
  <c r="CK78" i="44"/>
  <c r="CK62" i="44"/>
  <c r="HV62" i="44"/>
  <c r="HV78" i="44"/>
  <c r="L283" i="44"/>
  <c r="L164" i="44"/>
  <c r="L46" i="44" s="1"/>
  <c r="L192" i="44"/>
  <c r="L217" i="44"/>
  <c r="L194" i="44"/>
  <c r="L48" i="44" s="1"/>
  <c r="L157" i="44"/>
  <c r="EQ62" i="44"/>
  <c r="EQ78" i="44"/>
  <c r="HI78" i="44"/>
  <c r="HI62" i="44"/>
  <c r="EV62" i="44"/>
  <c r="EV78" i="44"/>
  <c r="FP78" i="44"/>
  <c r="FP62" i="44"/>
  <c r="AB78" i="44"/>
  <c r="AB62" i="44"/>
  <c r="GW62" i="44"/>
  <c r="GW78" i="44"/>
  <c r="HW62" i="44"/>
  <c r="HW78" i="44"/>
  <c r="DH62" i="44"/>
  <c r="DH78" i="44"/>
  <c r="HK78" i="44"/>
  <c r="HK62" i="44"/>
  <c r="CW78" i="44"/>
  <c r="CW62" i="44"/>
  <c r="AH78" i="44"/>
  <c r="AH62" i="44"/>
  <c r="FO62" i="44"/>
  <c r="FO78" i="44"/>
  <c r="FJ62" i="44"/>
  <c r="FJ78" i="44"/>
  <c r="GR78" i="44"/>
  <c r="GR62" i="44"/>
  <c r="BF78" i="44"/>
  <c r="BF62" i="44"/>
  <c r="BC62" i="44"/>
  <c r="BC78" i="44"/>
  <c r="HO62" i="44"/>
  <c r="HO78" i="44"/>
  <c r="BQ78" i="44"/>
  <c r="BQ62" i="44"/>
  <c r="AA78" i="44"/>
  <c r="AA62" i="44"/>
  <c r="EW78" i="44"/>
  <c r="EW62" i="44"/>
  <c r="GN62" i="44"/>
  <c r="GN78" i="44"/>
  <c r="GL78" i="44"/>
  <c r="GL62" i="44"/>
  <c r="IN78" i="44"/>
  <c r="IN62" i="44"/>
  <c r="AS78" i="44"/>
  <c r="AS62" i="44"/>
  <c r="F273" i="44"/>
  <c r="F164" i="44"/>
  <c r="F46" i="44" s="1"/>
  <c r="F64" i="44" s="1"/>
  <c r="F157" i="44"/>
  <c r="F194" i="44"/>
  <c r="F61" i="44"/>
  <c r="U25" i="44" s="1"/>
  <c r="F84" i="44"/>
  <c r="F85" i="44" s="1"/>
  <c r="F192" i="44"/>
  <c r="F217" i="44"/>
  <c r="DS62" i="44"/>
  <c r="DS78" i="44"/>
  <c r="DU62" i="44"/>
  <c r="DU78" i="44"/>
  <c r="Y62" i="44"/>
  <c r="Y78" i="44"/>
  <c r="CB62" i="44"/>
  <c r="CB78" i="44"/>
  <c r="CH62" i="44"/>
  <c r="CH78" i="44"/>
  <c r="BI62" i="44"/>
  <c r="BI78" i="44"/>
  <c r="BV78" i="44"/>
  <c r="BV62" i="44"/>
  <c r="CP78" i="44"/>
  <c r="CP62" i="44"/>
  <c r="Z38" i="4"/>
  <c r="CM85" i="47"/>
  <c r="AD37" i="4"/>
  <c r="S61" i="21"/>
  <c r="S320" i="21" s="1"/>
  <c r="S52" i="21"/>
  <c r="CK12" i="47"/>
  <c r="CK55" i="47" s="1"/>
  <c r="CL69" i="47"/>
  <c r="T13" i="21"/>
  <c r="N34" i="49"/>
  <c r="N77" i="49"/>
  <c r="CL20" i="47"/>
  <c r="AU11" i="10"/>
  <c r="AU18" i="9" s="1"/>
  <c r="BU271" i="46"/>
  <c r="BT271" i="46"/>
  <c r="AS26" i="9"/>
  <c r="T147" i="21"/>
  <c r="T78" i="21"/>
  <c r="CI75" i="47"/>
  <c r="CI64" i="47"/>
  <c r="Q77" i="21"/>
  <c r="Q76" i="21"/>
  <c r="Q74" i="21" s="1"/>
  <c r="Q120" i="21"/>
  <c r="Q188" i="21" s="1"/>
  <c r="Z47" i="5"/>
  <c r="V48" i="5"/>
  <c r="CI62" i="47"/>
  <c r="CI30" i="47"/>
  <c r="CI34" i="47"/>
  <c r="CI39" i="47" s="1"/>
  <c r="DG78" i="44"/>
  <c r="DG62" i="44"/>
  <c r="BM78" i="44"/>
  <c r="BM62" i="44"/>
  <c r="FY62" i="44"/>
  <c r="FY78" i="44"/>
  <c r="W78" i="44"/>
  <c r="W62" i="44"/>
  <c r="IE78" i="44"/>
  <c r="IE62" i="44"/>
  <c r="CX62" i="44"/>
  <c r="CX78" i="44"/>
  <c r="FX78" i="44"/>
  <c r="FX62" i="44"/>
  <c r="GV62" i="44"/>
  <c r="GV78" i="44"/>
  <c r="GH62" i="44"/>
  <c r="GH78" i="44"/>
  <c r="EK78" i="44"/>
  <c r="EK62" i="44"/>
  <c r="N283" i="44"/>
  <c r="N164" i="44"/>
  <c r="N46" i="44" s="1"/>
  <c r="N157" i="44"/>
  <c r="N217" i="44"/>
  <c r="N192" i="44"/>
  <c r="N194" i="44"/>
  <c r="N48" i="44" s="1"/>
  <c r="BE78" i="44"/>
  <c r="BE62" i="44"/>
  <c r="CL78" i="44"/>
  <c r="CL62" i="44"/>
  <c r="DK78" i="44"/>
  <c r="DK62" i="44"/>
  <c r="IH62" i="44"/>
  <c r="IH78" i="44"/>
  <c r="CQ62" i="44"/>
  <c r="CQ78" i="44"/>
  <c r="DX62" i="44"/>
  <c r="DX78" i="44"/>
  <c r="HY62" i="44"/>
  <c r="HY78" i="44"/>
  <c r="AR78" i="44"/>
  <c r="AR62" i="44"/>
  <c r="DY78" i="44"/>
  <c r="DY62" i="44"/>
  <c r="IG62" i="44"/>
  <c r="IG78" i="44"/>
  <c r="HP62" i="44"/>
  <c r="HP78" i="44"/>
  <c r="BU78" i="44"/>
  <c r="BU62" i="44"/>
  <c r="EN78" i="44"/>
  <c r="EN62" i="44"/>
  <c r="HX62" i="44"/>
  <c r="HX78" i="44"/>
  <c r="AM78" i="44"/>
  <c r="AM62" i="44"/>
  <c r="AL62" i="44"/>
  <c r="AL78" i="44"/>
  <c r="EH78" i="44"/>
  <c r="EH62" i="44"/>
  <c r="FV62" i="44"/>
  <c r="FV78" i="44"/>
  <c r="E157" i="44"/>
  <c r="E273" i="44"/>
  <c r="E61" i="44"/>
  <c r="E164" i="44"/>
  <c r="E46" i="44" s="1"/>
  <c r="E64" i="44" s="1"/>
  <c r="E217" i="44"/>
  <c r="E192" i="44"/>
  <c r="E194" i="44"/>
  <c r="E48" i="44" s="1"/>
  <c r="E75" i="44" s="1"/>
  <c r="E84" i="44"/>
  <c r="E85" i="44" s="1"/>
  <c r="AT62" i="44"/>
  <c r="AT78" i="44"/>
  <c r="HE78" i="44"/>
  <c r="HE62" i="44"/>
  <c r="BB62" i="44"/>
  <c r="BB78" i="44"/>
  <c r="DO78" i="44"/>
  <c r="DO62" i="44"/>
  <c r="AD78" i="44"/>
  <c r="AD62" i="44"/>
  <c r="HQ78" i="44"/>
  <c r="HQ62" i="44"/>
  <c r="D61" i="44"/>
  <c r="D164" i="44"/>
  <c r="D46" i="44" s="1"/>
  <c r="D157" i="44"/>
  <c r="D273" i="44"/>
  <c r="D192" i="44"/>
  <c r="D217" i="44"/>
  <c r="D194" i="44"/>
  <c r="D48" i="44" s="1"/>
  <c r="D75" i="44" s="1"/>
  <c r="D84" i="44"/>
  <c r="D85" i="44" s="1"/>
  <c r="HA62" i="44"/>
  <c r="HA78" i="44"/>
  <c r="BN78" i="44"/>
  <c r="BN62" i="44"/>
  <c r="K283" i="44"/>
  <c r="K164" i="44"/>
  <c r="K46" i="44" s="1"/>
  <c r="K217" i="44"/>
  <c r="K157" i="44"/>
  <c r="K194" i="44"/>
  <c r="K48" i="44" s="1"/>
  <c r="K192" i="44"/>
  <c r="GQ78" i="44"/>
  <c r="GQ62" i="44"/>
  <c r="AZ78" i="44"/>
  <c r="AZ62" i="44"/>
  <c r="ED78" i="44"/>
  <c r="ED62" i="44"/>
  <c r="BA62" i="44"/>
  <c r="BA78" i="44"/>
  <c r="CN78" i="44"/>
  <c r="CN62" i="44"/>
  <c r="AU78" i="44"/>
  <c r="AU62" i="44"/>
  <c r="GE62" i="44"/>
  <c r="GE78" i="44"/>
  <c r="DJ78" i="44"/>
  <c r="DJ62" i="44"/>
  <c r="DP78" i="44"/>
  <c r="DP62" i="44"/>
  <c r="DL78" i="44"/>
  <c r="DL62" i="44"/>
  <c r="EX62" i="44"/>
  <c r="EX78" i="44"/>
  <c r="CF62" i="44"/>
  <c r="CF78" i="44"/>
  <c r="IM62" i="44"/>
  <c r="IM78" i="44"/>
  <c r="CM78" i="44"/>
  <c r="CM62" i="44"/>
  <c r="P283" i="44"/>
  <c r="P164" i="44"/>
  <c r="P46" i="44" s="1"/>
  <c r="P157" i="44"/>
  <c r="P192" i="44"/>
  <c r="P194" i="44"/>
  <c r="P48" i="44" s="1"/>
  <c r="P217" i="44"/>
  <c r="EF78" i="44"/>
  <c r="EF62" i="44"/>
  <c r="CS78" i="44"/>
  <c r="CS62" i="44"/>
  <c r="DB78" i="44"/>
  <c r="DB62" i="44"/>
  <c r="II78" i="44"/>
  <c r="II62" i="44"/>
  <c r="BJ78" i="44"/>
  <c r="BJ62" i="44"/>
  <c r="BP78" i="44"/>
  <c r="BP62" i="44"/>
  <c r="R187" i="21"/>
  <c r="R301" i="21"/>
  <c r="R302" i="21"/>
  <c r="R250" i="21"/>
  <c r="R303" i="21" s="1"/>
  <c r="S46" i="21"/>
  <c r="AQ44" i="10"/>
  <c r="AQ46" i="10" s="1"/>
  <c r="E17" i="60" s="1"/>
  <c r="E18" i="60" s="1"/>
  <c r="E21" i="60" s="1"/>
  <c r="E25" i="60" s="1"/>
  <c r="AU13" i="9"/>
  <c r="AU41" i="10" s="1"/>
  <c r="AU15" i="9"/>
  <c r="AU12" i="9"/>
  <c r="AU40" i="10" s="1"/>
  <c r="T8" i="21"/>
  <c r="T10" i="21" s="1"/>
  <c r="AU56" i="9"/>
  <c r="CL11" i="47"/>
  <c r="CL12" i="47" s="1"/>
  <c r="CL55" i="47" s="1"/>
  <c r="R277" i="21"/>
  <c r="R293" i="21" s="1"/>
  <c r="R319" i="21" s="1"/>
  <c r="R323" i="21"/>
  <c r="R264" i="21"/>
  <c r="R18" i="21"/>
  <c r="R62" i="21"/>
  <c r="R54" i="21"/>
  <c r="K69" i="49"/>
  <c r="Q35" i="21"/>
  <c r="K67" i="49"/>
  <c r="Q36" i="21" s="1"/>
  <c r="BU48" i="11"/>
  <c r="F310" i="44"/>
  <c r="R249" i="21"/>
  <c r="R299" i="21" s="1"/>
  <c r="R297" i="21"/>
  <c r="R298" i="21"/>
  <c r="CM21" i="47"/>
  <c r="O38" i="49"/>
  <c r="U12" i="21"/>
  <c r="T37" i="49"/>
  <c r="L47" i="49"/>
  <c r="L49" i="49"/>
  <c r="L52" i="49" s="1"/>
  <c r="CJ60" i="47"/>
  <c r="V53" i="5"/>
  <c r="V45" i="5"/>
  <c r="Z52" i="5"/>
  <c r="V55" i="5"/>
  <c r="Q307" i="21"/>
  <c r="Q191" i="21"/>
  <c r="Q123" i="21"/>
  <c r="Q253" i="21"/>
  <c r="Q308" i="21" s="1"/>
  <c r="BU47" i="11"/>
  <c r="BU26" i="11"/>
  <c r="EJ78" i="44"/>
  <c r="EJ62" i="44"/>
  <c r="AJ62" i="44"/>
  <c r="AJ78" i="44"/>
  <c r="BX78" i="44"/>
  <c r="BX62" i="44"/>
  <c r="IJ78" i="44"/>
  <c r="IJ62" i="44"/>
  <c r="FE78" i="44"/>
  <c r="FE62" i="44"/>
  <c r="DF62" i="44"/>
  <c r="DF78" i="44"/>
  <c r="ET62" i="44"/>
  <c r="ET78" i="44"/>
  <c r="GS78" i="44"/>
  <c r="GS62" i="44"/>
  <c r="X78" i="44"/>
  <c r="X62" i="44"/>
  <c r="HJ78" i="44"/>
  <c r="HJ62" i="44"/>
  <c r="EU78" i="44"/>
  <c r="EU62" i="44"/>
  <c r="I283" i="44"/>
  <c r="I164" i="44"/>
  <c r="I46" i="44" s="1"/>
  <c r="I192" i="44"/>
  <c r="I194" i="44"/>
  <c r="I48" i="44" s="1"/>
  <c r="I157" i="44"/>
  <c r="I217" i="44"/>
  <c r="GA78" i="44"/>
  <c r="GA62" i="44"/>
  <c r="EA62" i="44"/>
  <c r="EA78" i="44"/>
  <c r="GU62" i="44"/>
  <c r="GU78" i="44"/>
  <c r="FT78" i="44"/>
  <c r="FT62" i="44"/>
  <c r="O283" i="44"/>
  <c r="O157" i="44"/>
  <c r="O164" i="44"/>
  <c r="O46" i="44" s="1"/>
  <c r="O217" i="44"/>
  <c r="O192" i="44"/>
  <c r="O194" i="44"/>
  <c r="O48" i="44" s="1"/>
  <c r="AP62" i="44"/>
  <c r="AP78" i="44"/>
  <c r="IK78" i="44"/>
  <c r="IK62" i="44"/>
  <c r="CC78" i="44"/>
  <c r="CC62" i="44"/>
  <c r="GX78" i="44"/>
  <c r="GX62" i="44"/>
  <c r="BW62" i="44"/>
  <c r="BW78" i="44"/>
  <c r="GJ62" i="44"/>
  <c r="GJ78" i="44"/>
  <c r="GD62" i="44"/>
  <c r="GD78" i="44"/>
  <c r="Q283" i="44"/>
  <c r="Q164" i="44"/>
  <c r="Q46" i="44" s="1"/>
  <c r="Q217" i="44"/>
  <c r="Q192" i="44"/>
  <c r="Q157" i="44"/>
  <c r="Q194" i="44"/>
  <c r="Q48" i="44" s="1"/>
  <c r="EG62" i="44"/>
  <c r="EG78" i="44"/>
  <c r="CI62" i="44"/>
  <c r="CI78" i="44"/>
  <c r="HN62" i="44"/>
  <c r="HN78" i="44"/>
  <c r="GB78" i="44"/>
  <c r="GB62" i="44"/>
  <c r="AI62" i="44"/>
  <c r="AI78" i="44"/>
  <c r="C61" i="44"/>
  <c r="D62" i="44" s="1"/>
  <c r="C84" i="44"/>
  <c r="C85" i="44" s="1"/>
  <c r="C178" i="44"/>
  <c r="C164" i="44"/>
  <c r="C46" i="44" s="1"/>
  <c r="C64" i="44" s="1"/>
  <c r="C273" i="44"/>
  <c r="C157" i="44"/>
  <c r="C235" i="44"/>
  <c r="C217" i="44"/>
  <c r="C272" i="44"/>
  <c r="D272" i="44" s="1"/>
  <c r="E272" i="44" s="1"/>
  <c r="F272" i="44" s="1"/>
  <c r="G272" i="44" s="1"/>
  <c r="H272" i="44" s="1"/>
  <c r="I272" i="44" s="1"/>
  <c r="J272" i="44" s="1"/>
  <c r="K272" i="44" s="1"/>
  <c r="L272" i="44" s="1"/>
  <c r="M272" i="44" s="1"/>
  <c r="N272" i="44" s="1"/>
  <c r="O272" i="44" s="1"/>
  <c r="P272" i="44" s="1"/>
  <c r="Q272" i="44" s="1"/>
  <c r="R272" i="44" s="1"/>
  <c r="S272" i="44" s="1"/>
  <c r="T272" i="44" s="1"/>
  <c r="U272" i="44" s="1"/>
  <c r="V272" i="44" s="1"/>
  <c r="C192" i="44"/>
  <c r="C208" i="44"/>
  <c r="C194" i="44"/>
  <c r="C48" i="44" s="1"/>
  <c r="C75" i="44" s="1"/>
  <c r="FG78" i="44"/>
  <c r="FG62" i="44"/>
  <c r="J283" i="44"/>
  <c r="J164" i="44"/>
  <c r="J46" i="44" s="1"/>
  <c r="J157" i="44"/>
  <c r="J192" i="44"/>
  <c r="J217" i="44"/>
  <c r="J194" i="44"/>
  <c r="J48" i="44" s="1"/>
  <c r="AY62" i="44"/>
  <c r="AY78" i="44"/>
  <c r="EP62" i="44"/>
  <c r="EP78" i="44"/>
  <c r="DE78" i="44"/>
  <c r="DE62" i="44"/>
  <c r="CG78" i="44"/>
  <c r="CG62" i="44"/>
  <c r="AK78" i="44"/>
  <c r="AK62" i="44"/>
  <c r="H283" i="44"/>
  <c r="H164" i="44"/>
  <c r="H46" i="44" s="1"/>
  <c r="H217" i="44"/>
  <c r="H157" i="44"/>
  <c r="H192" i="44"/>
  <c r="H194" i="44"/>
  <c r="H48" i="44" s="1"/>
  <c r="CR78" i="44"/>
  <c r="CR62" i="44"/>
  <c r="DM78" i="44"/>
  <c r="DM62" i="44"/>
  <c r="IF78" i="44"/>
  <c r="IF62" i="44"/>
  <c r="CY62" i="44"/>
  <c r="CY78" i="44"/>
  <c r="HF78" i="44"/>
  <c r="HF62" i="44"/>
  <c r="ER62" i="44"/>
  <c r="ER78" i="44"/>
  <c r="G283" i="44"/>
  <c r="G164" i="44"/>
  <c r="G46" i="44" s="1"/>
  <c r="G157" i="44"/>
  <c r="G192" i="44"/>
  <c r="G194" i="44"/>
  <c r="G48" i="44" s="1"/>
  <c r="G217" i="44"/>
  <c r="DI78" i="44"/>
  <c r="DI62" i="44"/>
  <c r="IQ78" i="44"/>
  <c r="IQ62" i="44"/>
  <c r="GP78" i="44"/>
  <c r="GP62" i="44"/>
  <c r="FM62" i="44"/>
  <c r="FM78" i="44"/>
  <c r="CE78" i="44"/>
  <c r="CE62" i="44"/>
  <c r="HU78" i="44"/>
  <c r="HU62" i="44"/>
  <c r="CD78" i="44"/>
  <c r="CD62" i="44"/>
  <c r="GG62" i="44"/>
  <c r="GG78" i="44"/>
  <c r="HL78" i="44"/>
  <c r="HL62" i="44"/>
  <c r="T283" i="44"/>
  <c r="T164" i="44"/>
  <c r="T46" i="44" s="1"/>
  <c r="T217" i="44"/>
  <c r="T192" i="44"/>
  <c r="T194" i="44"/>
  <c r="T48" i="44" s="1"/>
  <c r="T157" i="44"/>
  <c r="CU62" i="44"/>
  <c r="CU78" i="44"/>
  <c r="ID62" i="44"/>
  <c r="ID78" i="44"/>
  <c r="FU62" i="44"/>
  <c r="FU78" i="44"/>
  <c r="FD78" i="44"/>
  <c r="FD62" i="44"/>
  <c r="BZ62" i="44"/>
  <c r="BZ78" i="44"/>
  <c r="AO78" i="44"/>
  <c r="AO62" i="44"/>
  <c r="BK62" i="44"/>
  <c r="BK78" i="44"/>
  <c r="Z13" i="4"/>
  <c r="Z25" i="4"/>
  <c r="Z26" i="4" s="1"/>
  <c r="AS41" i="10"/>
  <c r="H26" i="32"/>
  <c r="N18" i="49"/>
  <c r="AU57" i="9"/>
  <c r="CL13" i="47"/>
  <c r="T11" i="21"/>
  <c r="BU272" i="46"/>
  <c r="BT272" i="46"/>
  <c r="S263" i="21"/>
  <c r="S58" i="21"/>
  <c r="S133" i="21"/>
  <c r="S134" i="21" s="1"/>
  <c r="R126" i="8"/>
  <c r="J127" i="8"/>
  <c r="R127" i="8" s="1"/>
  <c r="AH126" i="8"/>
  <c r="M41" i="49"/>
  <c r="M46" i="49"/>
  <c r="X44" i="4"/>
  <c r="X45" i="4" s="1"/>
  <c r="M73" i="49"/>
  <c r="BY62" i="44"/>
  <c r="BY78" i="44"/>
  <c r="DZ62" i="44"/>
  <c r="DZ78" i="44"/>
  <c r="HD62" i="44"/>
  <c r="HD78" i="44"/>
  <c r="AX62" i="44"/>
  <c r="AX78" i="44"/>
  <c r="DV78" i="44"/>
  <c r="DV62" i="44"/>
  <c r="BT62" i="44"/>
  <c r="BT78" i="44"/>
  <c r="DW62" i="44"/>
  <c r="DW78" i="44"/>
  <c r="HC78" i="44"/>
  <c r="HC62" i="44"/>
  <c r="EE78" i="44"/>
  <c r="EE62" i="44"/>
  <c r="FN78" i="44"/>
  <c r="FN62" i="44"/>
  <c r="AG78" i="44"/>
  <c r="AG62" i="44"/>
  <c r="IO62" i="44"/>
  <c r="IO78" i="44"/>
  <c r="IC62" i="44"/>
  <c r="IC78" i="44"/>
  <c r="BR78" i="44"/>
  <c r="BR62" i="44"/>
  <c r="CA62" i="44"/>
  <c r="CA78" i="44"/>
  <c r="GI78" i="44"/>
  <c r="GI62" i="44"/>
  <c r="FW62" i="44"/>
  <c r="FW78" i="44"/>
  <c r="CO62" i="44"/>
  <c r="CO78" i="44"/>
  <c r="DN62" i="44"/>
  <c r="DN78" i="44"/>
  <c r="DQ78" i="44"/>
  <c r="DQ62" i="44"/>
  <c r="FH78" i="44"/>
  <c r="FH62" i="44"/>
  <c r="AN62" i="44"/>
  <c r="AN78" i="44"/>
  <c r="V283" i="44"/>
  <c r="V157" i="44"/>
  <c r="V164" i="44"/>
  <c r="V46" i="44" s="1"/>
  <c r="V217" i="44"/>
  <c r="V192" i="44"/>
  <c r="V194" i="44"/>
  <c r="V48" i="44" s="1"/>
  <c r="FK62" i="44"/>
  <c r="FK78" i="44"/>
  <c r="AV62" i="44"/>
  <c r="AV78" i="44"/>
  <c r="FZ78" i="44"/>
  <c r="FZ62" i="44"/>
  <c r="R283" i="44"/>
  <c r="R164" i="44"/>
  <c r="R46" i="44" s="1"/>
  <c r="R157" i="44"/>
  <c r="R192" i="44"/>
  <c r="R217" i="44"/>
  <c r="R194" i="44"/>
  <c r="R48" i="44" s="1"/>
  <c r="CZ62" i="44"/>
  <c r="CZ78" i="44"/>
  <c r="GC62" i="44"/>
  <c r="GC78" i="44"/>
  <c r="IP78" i="44"/>
  <c r="IP62" i="44"/>
  <c r="FF62" i="44"/>
  <c r="FF78" i="44"/>
  <c r="GT62" i="44"/>
  <c r="GT78" i="44"/>
  <c r="GY78" i="44"/>
  <c r="GY62" i="44"/>
  <c r="EI78" i="44"/>
  <c r="EI62" i="44"/>
  <c r="FB62" i="44"/>
  <c r="FB78" i="44"/>
  <c r="M283" i="44"/>
  <c r="M157" i="44"/>
  <c r="M164" i="44"/>
  <c r="M46" i="44" s="1"/>
  <c r="M217" i="44"/>
  <c r="M192" i="44"/>
  <c r="M194" i="44"/>
  <c r="M48" i="44" s="1"/>
  <c r="BG62" i="44"/>
  <c r="BG78" i="44"/>
  <c r="EB62" i="44"/>
  <c r="EB78" i="44"/>
  <c r="AC78" i="44"/>
  <c r="AC62" i="44"/>
  <c r="AW78" i="44"/>
  <c r="AW62" i="44"/>
  <c r="CJ62" i="44"/>
  <c r="CJ78" i="44"/>
  <c r="ES78" i="44"/>
  <c r="ES62" i="44"/>
  <c r="EM62" i="44"/>
  <c r="EM78" i="44"/>
  <c r="FA78" i="44"/>
  <c r="FA62" i="44"/>
  <c r="GF62" i="44"/>
  <c r="GF78" i="44"/>
  <c r="FQ62" i="44"/>
  <c r="FQ78" i="44"/>
  <c r="HR78" i="44"/>
  <c r="HR62" i="44"/>
  <c r="HM78" i="44"/>
  <c r="HM62" i="44"/>
  <c r="HH78" i="44"/>
  <c r="HH62" i="44"/>
  <c r="FS78" i="44"/>
  <c r="FS62" i="44"/>
  <c r="HG78" i="44"/>
  <c r="HG62" i="44"/>
  <c r="CV78" i="44"/>
  <c r="CV62" i="44"/>
  <c r="BH62" i="44"/>
  <c r="BH78" i="44"/>
  <c r="HB78" i="44"/>
  <c r="HB62" i="44"/>
  <c r="EL62" i="44"/>
  <c r="EL78" i="44"/>
  <c r="GO62" i="44"/>
  <c r="GO78" i="44"/>
  <c r="EY78" i="44"/>
  <c r="EY62" i="44"/>
  <c r="Z78" i="44"/>
  <c r="Z62" i="44"/>
  <c r="AQ78" i="44"/>
  <c r="AQ62" i="44"/>
  <c r="BO62" i="44"/>
  <c r="BO78" i="44"/>
  <c r="O9" i="49"/>
  <c r="O14" i="49"/>
  <c r="AW55" i="9"/>
  <c r="O44" i="49"/>
  <c r="T8" i="49"/>
  <c r="U6" i="21"/>
  <c r="O16" i="49"/>
  <c r="O33" i="49"/>
  <c r="O11" i="49"/>
  <c r="CM10" i="47"/>
  <c r="CK56" i="47"/>
  <c r="CK71" i="47"/>
  <c r="CK49" i="47"/>
  <c r="CK58" i="47"/>
  <c r="S53" i="21"/>
  <c r="S276" i="21"/>
  <c r="S79" i="21"/>
  <c r="I21" i="31"/>
  <c r="H26" i="31"/>
  <c r="T59" i="21"/>
  <c r="R129" i="21"/>
  <c r="R112" i="21"/>
  <c r="BS282" i="46"/>
  <c r="BT282" i="46" s="1"/>
  <c r="BS281" i="46"/>
  <c r="BT281" i="46" s="1"/>
  <c r="BT277" i="46"/>
  <c r="R201" i="21"/>
  <c r="R202" i="21" s="1"/>
  <c r="R194" i="21" s="1"/>
  <c r="AS42" i="10"/>
  <c r="F314" i="44" l="1"/>
  <c r="AO68" i="10"/>
  <c r="F11" i="60"/>
  <c r="I13" i="60"/>
  <c r="I6" i="60"/>
  <c r="J4" i="60"/>
  <c r="N46" i="49"/>
  <c r="N47" i="49" s="1"/>
  <c r="G6" i="60"/>
  <c r="G7" i="60" s="1"/>
  <c r="CK46" i="47"/>
  <c r="CK48" i="47" s="1"/>
  <c r="CK74" i="47" s="1"/>
  <c r="CK26" i="47"/>
  <c r="CK60" i="47" s="1"/>
  <c r="CK72" i="47"/>
  <c r="G273" i="44"/>
  <c r="G290" i="44" s="1"/>
  <c r="F48" i="44"/>
  <c r="F75" i="44" s="1"/>
  <c r="G75" i="44" s="1"/>
  <c r="H75" i="44" s="1"/>
  <c r="I75" i="44" s="1"/>
  <c r="J75" i="44" s="1"/>
  <c r="K75" i="44" s="1"/>
  <c r="L75" i="44" s="1"/>
  <c r="M75" i="44" s="1"/>
  <c r="N75" i="44" s="1"/>
  <c r="O75" i="44" s="1"/>
  <c r="P75" i="44" s="1"/>
  <c r="Q75" i="44" s="1"/>
  <c r="R75" i="44" s="1"/>
  <c r="S75" i="44" s="1"/>
  <c r="T75" i="44" s="1"/>
  <c r="U75" i="44" s="1"/>
  <c r="V75" i="44" s="1"/>
  <c r="W75" i="44" s="1"/>
  <c r="X75" i="44" s="1"/>
  <c r="Y75" i="44" s="1"/>
  <c r="Z75" i="44" s="1"/>
  <c r="AA75" i="44" s="1"/>
  <c r="AB75" i="44" s="1"/>
  <c r="AC75" i="44" s="1"/>
  <c r="AD75" i="44" s="1"/>
  <c r="AE75" i="44" s="1"/>
  <c r="AF75" i="44" s="1"/>
  <c r="AG75" i="44" s="1"/>
  <c r="AH75" i="44" s="1"/>
  <c r="AI75" i="44" s="1"/>
  <c r="AJ75" i="44" s="1"/>
  <c r="AK75" i="44" s="1"/>
  <c r="AL75" i="44" s="1"/>
  <c r="AM75" i="44" s="1"/>
  <c r="AN75" i="44" s="1"/>
  <c r="AO75" i="44" s="1"/>
  <c r="AP75" i="44" s="1"/>
  <c r="AQ75" i="44" s="1"/>
  <c r="AR75" i="44" s="1"/>
  <c r="AS75" i="44" s="1"/>
  <c r="AT75" i="44" s="1"/>
  <c r="AU75" i="44" s="1"/>
  <c r="AV75" i="44" s="1"/>
  <c r="AW75" i="44" s="1"/>
  <c r="AX75" i="44" s="1"/>
  <c r="AY75" i="44" s="1"/>
  <c r="AZ75" i="44" s="1"/>
  <c r="BA75" i="44" s="1"/>
  <c r="BB75" i="44" s="1"/>
  <c r="BC75" i="44" s="1"/>
  <c r="BD75" i="44" s="1"/>
  <c r="BE75" i="44" s="1"/>
  <c r="BF75" i="44" s="1"/>
  <c r="BG75" i="44" s="1"/>
  <c r="BH75" i="44" s="1"/>
  <c r="BI75" i="44" s="1"/>
  <c r="BJ75" i="44" s="1"/>
  <c r="BK75" i="44" s="1"/>
  <c r="BL75" i="44" s="1"/>
  <c r="BM75" i="44" s="1"/>
  <c r="BN75" i="44" s="1"/>
  <c r="BO75" i="44" s="1"/>
  <c r="BP75" i="44" s="1"/>
  <c r="BQ75" i="44" s="1"/>
  <c r="BR75" i="44" s="1"/>
  <c r="BS75" i="44" s="1"/>
  <c r="BT75" i="44" s="1"/>
  <c r="BU75" i="44" s="1"/>
  <c r="BV75" i="44" s="1"/>
  <c r="BW75" i="44" s="1"/>
  <c r="BX75" i="44" s="1"/>
  <c r="BY75" i="44" s="1"/>
  <c r="BZ75" i="44" s="1"/>
  <c r="CA75" i="44" s="1"/>
  <c r="CB75" i="44" s="1"/>
  <c r="CC75" i="44" s="1"/>
  <c r="CD75" i="44" s="1"/>
  <c r="CE75" i="44" s="1"/>
  <c r="CF75" i="44" s="1"/>
  <c r="CG75" i="44" s="1"/>
  <c r="CH75" i="44" s="1"/>
  <c r="CI75" i="44" s="1"/>
  <c r="CJ75" i="44" s="1"/>
  <c r="CK75" i="44" s="1"/>
  <c r="CL75" i="44" s="1"/>
  <c r="CM75" i="44" s="1"/>
  <c r="CN75" i="44" s="1"/>
  <c r="CO75" i="44" s="1"/>
  <c r="CP75" i="44" s="1"/>
  <c r="CQ75" i="44" s="1"/>
  <c r="CR75" i="44" s="1"/>
  <c r="CS75" i="44" s="1"/>
  <c r="CT75" i="44" s="1"/>
  <c r="CU75" i="44" s="1"/>
  <c r="CV75" i="44" s="1"/>
  <c r="CW75" i="44" s="1"/>
  <c r="CX75" i="44" s="1"/>
  <c r="CY75" i="44" s="1"/>
  <c r="CZ75" i="44" s="1"/>
  <c r="DA75" i="44" s="1"/>
  <c r="DB75" i="44" s="1"/>
  <c r="DC75" i="44" s="1"/>
  <c r="DD75" i="44" s="1"/>
  <c r="DE75" i="44" s="1"/>
  <c r="DF75" i="44" s="1"/>
  <c r="DG75" i="44" s="1"/>
  <c r="DH75" i="44" s="1"/>
  <c r="DI75" i="44" s="1"/>
  <c r="DJ75" i="44" s="1"/>
  <c r="DK75" i="44" s="1"/>
  <c r="DL75" i="44" s="1"/>
  <c r="DM75" i="44" s="1"/>
  <c r="DN75" i="44" s="1"/>
  <c r="DO75" i="44" s="1"/>
  <c r="DP75" i="44" s="1"/>
  <c r="DQ75" i="44" s="1"/>
  <c r="DR75" i="44" s="1"/>
  <c r="DS75" i="44" s="1"/>
  <c r="DT75" i="44" s="1"/>
  <c r="DU75" i="44" s="1"/>
  <c r="DV75" i="44" s="1"/>
  <c r="DW75" i="44" s="1"/>
  <c r="DX75" i="44" s="1"/>
  <c r="DY75" i="44" s="1"/>
  <c r="DZ75" i="44" s="1"/>
  <c r="EA75" i="44" s="1"/>
  <c r="EB75" i="44" s="1"/>
  <c r="EC75" i="44" s="1"/>
  <c r="ED75" i="44" s="1"/>
  <c r="EE75" i="44" s="1"/>
  <c r="EF75" i="44" s="1"/>
  <c r="EG75" i="44" s="1"/>
  <c r="EH75" i="44" s="1"/>
  <c r="EI75" i="44" s="1"/>
  <c r="EJ75" i="44" s="1"/>
  <c r="EK75" i="44" s="1"/>
  <c r="EL75" i="44" s="1"/>
  <c r="EM75" i="44" s="1"/>
  <c r="EN75" i="44" s="1"/>
  <c r="EO75" i="44" s="1"/>
  <c r="EP75" i="44" s="1"/>
  <c r="EQ75" i="44" s="1"/>
  <c r="ER75" i="44" s="1"/>
  <c r="ES75" i="44" s="1"/>
  <c r="ET75" i="44" s="1"/>
  <c r="EU75" i="44" s="1"/>
  <c r="EV75" i="44" s="1"/>
  <c r="EW75" i="44" s="1"/>
  <c r="EX75" i="44" s="1"/>
  <c r="EY75" i="44" s="1"/>
  <c r="EZ75" i="44" s="1"/>
  <c r="FA75" i="44" s="1"/>
  <c r="FB75" i="44" s="1"/>
  <c r="FC75" i="44" s="1"/>
  <c r="FD75" i="44" s="1"/>
  <c r="FE75" i="44" s="1"/>
  <c r="FF75" i="44" s="1"/>
  <c r="FG75" i="44" s="1"/>
  <c r="FH75" i="44" s="1"/>
  <c r="FI75" i="44" s="1"/>
  <c r="FJ75" i="44" s="1"/>
  <c r="FK75" i="44" s="1"/>
  <c r="FL75" i="44" s="1"/>
  <c r="FM75" i="44" s="1"/>
  <c r="FN75" i="44" s="1"/>
  <c r="FO75" i="44" s="1"/>
  <c r="FP75" i="44" s="1"/>
  <c r="FQ75" i="44" s="1"/>
  <c r="FR75" i="44" s="1"/>
  <c r="FS75" i="44" s="1"/>
  <c r="FT75" i="44" s="1"/>
  <c r="FU75" i="44" s="1"/>
  <c r="FV75" i="44" s="1"/>
  <c r="FW75" i="44" s="1"/>
  <c r="FX75" i="44" s="1"/>
  <c r="FY75" i="44" s="1"/>
  <c r="FZ75" i="44" s="1"/>
  <c r="GA75" i="44" s="1"/>
  <c r="GB75" i="44" s="1"/>
  <c r="GC75" i="44" s="1"/>
  <c r="GD75" i="44" s="1"/>
  <c r="GE75" i="44" s="1"/>
  <c r="GF75" i="44" s="1"/>
  <c r="GG75" i="44" s="1"/>
  <c r="GH75" i="44" s="1"/>
  <c r="GI75" i="44" s="1"/>
  <c r="GJ75" i="44" s="1"/>
  <c r="GK75" i="44" s="1"/>
  <c r="GL75" i="44" s="1"/>
  <c r="GM75" i="44" s="1"/>
  <c r="GN75" i="44" s="1"/>
  <c r="GO75" i="44" s="1"/>
  <c r="GP75" i="44" s="1"/>
  <c r="GQ75" i="44" s="1"/>
  <c r="GR75" i="44" s="1"/>
  <c r="GS75" i="44" s="1"/>
  <c r="GT75" i="44" s="1"/>
  <c r="GU75" i="44" s="1"/>
  <c r="GV75" i="44" s="1"/>
  <c r="GW75" i="44" s="1"/>
  <c r="GX75" i="44" s="1"/>
  <c r="GY75" i="44" s="1"/>
  <c r="GZ75" i="44" s="1"/>
  <c r="HA75" i="44" s="1"/>
  <c r="HB75" i="44" s="1"/>
  <c r="HC75" i="44" s="1"/>
  <c r="HD75" i="44" s="1"/>
  <c r="HE75" i="44" s="1"/>
  <c r="HF75" i="44" s="1"/>
  <c r="HG75" i="44" s="1"/>
  <c r="HH75" i="44" s="1"/>
  <c r="HI75" i="44" s="1"/>
  <c r="HJ75" i="44" s="1"/>
  <c r="HK75" i="44" s="1"/>
  <c r="HL75" i="44" s="1"/>
  <c r="HM75" i="44" s="1"/>
  <c r="HN75" i="44" s="1"/>
  <c r="HO75" i="44" s="1"/>
  <c r="HP75" i="44" s="1"/>
  <c r="HQ75" i="44" s="1"/>
  <c r="HR75" i="44" s="1"/>
  <c r="HS75" i="44" s="1"/>
  <c r="HT75" i="44" s="1"/>
  <c r="HU75" i="44" s="1"/>
  <c r="HV75" i="44" s="1"/>
  <c r="HW75" i="44" s="1"/>
  <c r="HX75" i="44" s="1"/>
  <c r="HY75" i="44" s="1"/>
  <c r="HZ75" i="44" s="1"/>
  <c r="IA75" i="44" s="1"/>
  <c r="IB75" i="44" s="1"/>
  <c r="IC75" i="44" s="1"/>
  <c r="ID75" i="44" s="1"/>
  <c r="IE75" i="44" s="1"/>
  <c r="IF75" i="44" s="1"/>
  <c r="IG75" i="44" s="1"/>
  <c r="IH75" i="44" s="1"/>
  <c r="II75" i="44" s="1"/>
  <c r="IJ75" i="44" s="1"/>
  <c r="IK75" i="44" s="1"/>
  <c r="IL75" i="44" s="1"/>
  <c r="IM75" i="44" s="1"/>
  <c r="IN75" i="44" s="1"/>
  <c r="IO75" i="44" s="1"/>
  <c r="IP75" i="44" s="1"/>
  <c r="IQ75" i="44" s="1"/>
  <c r="IR75" i="44" s="1"/>
  <c r="N41" i="49"/>
  <c r="N73" i="49"/>
  <c r="T42" i="21" s="1"/>
  <c r="E62" i="44"/>
  <c r="E277" i="44" s="1"/>
  <c r="Y44" i="4"/>
  <c r="Y45" i="4" s="1"/>
  <c r="R228" i="44"/>
  <c r="R232" i="44" s="1"/>
  <c r="E65" i="44"/>
  <c r="E280" i="44" s="1"/>
  <c r="C32" i="32"/>
  <c r="F32" i="32"/>
  <c r="B28" i="32"/>
  <c r="G32" i="32"/>
  <c r="E32" i="32"/>
  <c r="D32" i="32"/>
  <c r="B32" i="32"/>
  <c r="I26" i="31"/>
  <c r="J21" i="31"/>
  <c r="AQ48" i="10"/>
  <c r="G289" i="44"/>
  <c r="G296" i="44"/>
  <c r="G281" i="44"/>
  <c r="G299" i="44"/>
  <c r="C299" i="44"/>
  <c r="C290" i="44"/>
  <c r="C300" i="44"/>
  <c r="C277" i="44"/>
  <c r="C274" i="44"/>
  <c r="C279" i="44"/>
  <c r="C276" i="44"/>
  <c r="R324" i="21"/>
  <c r="R256" i="21"/>
  <c r="R220" i="21" s="1"/>
  <c r="K55" i="44"/>
  <c r="K201" i="44"/>
  <c r="K205" i="44" s="1"/>
  <c r="T263" i="21"/>
  <c r="T58" i="21"/>
  <c r="T133" i="21"/>
  <c r="T134" i="21" s="1"/>
  <c r="S277" i="21"/>
  <c r="S293" i="21" s="1"/>
  <c r="S319" i="21" s="1"/>
  <c r="O34" i="49"/>
  <c r="CM20" i="47"/>
  <c r="U13" i="21"/>
  <c r="T33" i="49"/>
  <c r="O77" i="49"/>
  <c r="AW11" i="10"/>
  <c r="AW18" i="9" s="1"/>
  <c r="O40" i="49"/>
  <c r="M228" i="44"/>
  <c r="M232" i="44" s="1"/>
  <c r="V228" i="44"/>
  <c r="V232" i="44" s="1"/>
  <c r="V53" i="44"/>
  <c r="V171" i="44"/>
  <c r="V172" i="44" s="1"/>
  <c r="M47" i="49"/>
  <c r="M49" i="49"/>
  <c r="M52" i="49" s="1"/>
  <c r="S264" i="21"/>
  <c r="S323" i="21"/>
  <c r="CL71" i="47"/>
  <c r="CL56" i="47"/>
  <c r="T53" i="44"/>
  <c r="T171" i="44"/>
  <c r="T172" i="44" s="1"/>
  <c r="G228" i="44"/>
  <c r="G232" i="44" s="1"/>
  <c r="G55" i="44"/>
  <c r="G201" i="44"/>
  <c r="G205" i="44" s="1"/>
  <c r="H228" i="44"/>
  <c r="H232" i="44" s="1"/>
  <c r="J53" i="44"/>
  <c r="J171" i="44"/>
  <c r="C55" i="44"/>
  <c r="C77" i="44" s="1"/>
  <c r="C292" i="44" s="1"/>
  <c r="C201" i="44"/>
  <c r="C205" i="44" s="1"/>
  <c r="C171" i="44"/>
  <c r="C53" i="44"/>
  <c r="C26" i="44"/>
  <c r="C67" i="44" s="1"/>
  <c r="C184" i="44"/>
  <c r="Q53" i="44"/>
  <c r="Q171" i="44"/>
  <c r="Q172" i="44" s="1"/>
  <c r="O228" i="44"/>
  <c r="O232" i="44" s="1"/>
  <c r="I171" i="44"/>
  <c r="I53" i="44"/>
  <c r="Z55" i="5"/>
  <c r="V56" i="5"/>
  <c r="CM57" i="47"/>
  <c r="R317" i="21"/>
  <c r="R304" i="21"/>
  <c r="R279" i="21"/>
  <c r="P53" i="44"/>
  <c r="P171" i="44"/>
  <c r="K228" i="44"/>
  <c r="K232" i="44" s="1"/>
  <c r="E279" i="44"/>
  <c r="E276" i="44"/>
  <c r="E299" i="44"/>
  <c r="E300" i="44"/>
  <c r="E274" i="44"/>
  <c r="E290" i="44"/>
  <c r="CI40" i="47"/>
  <c r="CI66" i="47"/>
  <c r="T46" i="21"/>
  <c r="CL23" i="47"/>
  <c r="L171" i="44"/>
  <c r="L53" i="44"/>
  <c r="L201" i="44"/>
  <c r="L205" i="44" s="1"/>
  <c r="L55" i="44"/>
  <c r="U228" i="44"/>
  <c r="U232" i="44" s="1"/>
  <c r="M65" i="49"/>
  <c r="N50" i="49"/>
  <c r="G53" i="44"/>
  <c r="G171" i="44"/>
  <c r="G172" i="44" s="1"/>
  <c r="AO47" i="9"/>
  <c r="AK41" i="7"/>
  <c r="AK47" i="7" s="1"/>
  <c r="AK53" i="7" s="1"/>
  <c r="D53" i="44"/>
  <c r="D171" i="44"/>
  <c r="N55" i="44"/>
  <c r="N201" i="44"/>
  <c r="N205" i="44" s="1"/>
  <c r="S301" i="21"/>
  <c r="S187" i="21"/>
  <c r="S302" i="21"/>
  <c r="S250" i="21"/>
  <c r="S303" i="21" s="1"/>
  <c r="F65" i="44"/>
  <c r="U29" i="44" s="1"/>
  <c r="U27" i="44"/>
  <c r="F171" i="44"/>
  <c r="F175" i="44" s="1"/>
  <c r="F53" i="44"/>
  <c r="U171" i="44"/>
  <c r="U53" i="44"/>
  <c r="S171" i="44"/>
  <c r="S172" i="44" s="1"/>
  <c r="S53" i="44"/>
  <c r="S55" i="44"/>
  <c r="S201" i="44"/>
  <c r="S205" i="44" s="1"/>
  <c r="R34" i="21"/>
  <c r="CJ38" i="47"/>
  <c r="CJ75" i="47"/>
  <c r="CJ64" i="47"/>
  <c r="S54" i="21"/>
  <c r="S62" i="21"/>
  <c r="S18" i="21"/>
  <c r="H273" i="44"/>
  <c r="P228" i="44"/>
  <c r="P232" i="44" s="1"/>
  <c r="U59" i="21"/>
  <c r="R55" i="44"/>
  <c r="R201" i="44"/>
  <c r="R205" i="44" s="1"/>
  <c r="M75" i="49"/>
  <c r="S42" i="21"/>
  <c r="S201" i="21"/>
  <c r="S202" i="21" s="1"/>
  <c r="S194" i="21" s="1"/>
  <c r="T55" i="44"/>
  <c r="T201" i="44"/>
  <c r="T205" i="44" s="1"/>
  <c r="H55" i="44"/>
  <c r="H201" i="44"/>
  <c r="H205" i="44" s="1"/>
  <c r="J228" i="44"/>
  <c r="J232" i="44" s="1"/>
  <c r="C228" i="44"/>
  <c r="C232" i="44" s="1"/>
  <c r="C65" i="44"/>
  <c r="C280" i="44" s="1"/>
  <c r="Q228" i="44"/>
  <c r="Q232" i="44" s="1"/>
  <c r="O53" i="44"/>
  <c r="O171" i="44"/>
  <c r="O172" i="44" s="1"/>
  <c r="I201" i="44"/>
  <c r="I205" i="44" s="1"/>
  <c r="I55" i="44"/>
  <c r="BU38" i="11"/>
  <c r="BU49" i="11"/>
  <c r="BU28" i="11"/>
  <c r="BU32" i="11"/>
  <c r="BU33" i="11" s="1"/>
  <c r="BU58" i="11" s="1"/>
  <c r="L53" i="49"/>
  <c r="AQ9" i="10"/>
  <c r="L61" i="49"/>
  <c r="L55" i="49"/>
  <c r="L56" i="49" s="1"/>
  <c r="AQ58" i="9"/>
  <c r="AQ27" i="9" s="1"/>
  <c r="AQ30" i="9" s="1"/>
  <c r="AQ37" i="9" s="1"/>
  <c r="U147" i="21"/>
  <c r="U78" i="21"/>
  <c r="AU26" i="9"/>
  <c r="AU44" i="10" s="1"/>
  <c r="D228" i="44"/>
  <c r="D232" i="44" s="1"/>
  <c r="E55" i="44"/>
  <c r="E77" i="44" s="1"/>
  <c r="E292" i="44" s="1"/>
  <c r="E201" i="44"/>
  <c r="E205" i="44" s="1"/>
  <c r="E171" i="44"/>
  <c r="E172" i="44" s="1"/>
  <c r="N228" i="44"/>
  <c r="N232" i="44" s="1"/>
  <c r="Q82" i="21"/>
  <c r="Q122" i="21" s="1"/>
  <c r="T79" i="21"/>
  <c r="T53" i="21"/>
  <c r="T276" i="21"/>
  <c r="F228" i="44"/>
  <c r="F232" i="44" s="1"/>
  <c r="F62" i="44"/>
  <c r="F277" i="44" s="1"/>
  <c r="S228" i="44"/>
  <c r="S232" i="44" s="1"/>
  <c r="AU42" i="10"/>
  <c r="Q229" i="21"/>
  <c r="S298" i="21"/>
  <c r="S186" i="21"/>
  <c r="S297" i="21"/>
  <c r="S249" i="21"/>
  <c r="S299" i="21" s="1"/>
  <c r="Q55" i="44"/>
  <c r="Q201" i="44"/>
  <c r="Q205" i="44" s="1"/>
  <c r="Q306" i="21"/>
  <c r="CM69" i="47"/>
  <c r="AW13" i="9"/>
  <c r="AW26" i="9" s="1"/>
  <c r="AW15" i="9"/>
  <c r="AW42" i="10" s="1"/>
  <c r="AW12" i="9"/>
  <c r="AW40" i="10" s="1"/>
  <c r="R322" i="21"/>
  <c r="R126" i="21"/>
  <c r="T16" i="21"/>
  <c r="T55" i="21" s="1"/>
  <c r="T51" i="21"/>
  <c r="S112" i="21"/>
  <c r="S129" i="21"/>
  <c r="U8" i="21"/>
  <c r="U10" i="21" s="1"/>
  <c r="T11" i="49"/>
  <c r="AW56" i="9"/>
  <c r="CM11" i="47"/>
  <c r="CM13" i="47"/>
  <c r="U11" i="21"/>
  <c r="AW57" i="9"/>
  <c r="O18" i="49"/>
  <c r="T14" i="49"/>
  <c r="M55" i="44"/>
  <c r="M201" i="44"/>
  <c r="M205" i="44" s="1"/>
  <c r="M53" i="44"/>
  <c r="M171" i="44"/>
  <c r="M172" i="44" s="1"/>
  <c r="R53" i="44"/>
  <c r="R171" i="44"/>
  <c r="R172" i="44" s="1"/>
  <c r="V55" i="44"/>
  <c r="V201" i="44"/>
  <c r="V205" i="44" s="1"/>
  <c r="T52" i="21"/>
  <c r="T61" i="21"/>
  <c r="T320" i="21" s="1"/>
  <c r="T228" i="44"/>
  <c r="T232" i="44" s="1"/>
  <c r="H171" i="44"/>
  <c r="H53" i="44"/>
  <c r="J201" i="44"/>
  <c r="J205" i="44" s="1"/>
  <c r="J55" i="44"/>
  <c r="C209" i="44"/>
  <c r="C210" i="44" s="1"/>
  <c r="C28" i="44"/>
  <c r="I28" i="44" s="1"/>
  <c r="C240" i="44"/>
  <c r="C241" i="44" s="1"/>
  <c r="O55" i="44"/>
  <c r="O201" i="44"/>
  <c r="O205" i="44" s="1"/>
  <c r="I228" i="44"/>
  <c r="I232" i="44" s="1"/>
  <c r="R20" i="21"/>
  <c r="R56" i="21" s="1"/>
  <c r="CJ27" i="47"/>
  <c r="K70" i="49"/>
  <c r="Q38" i="21"/>
  <c r="C4" i="58"/>
  <c r="AS44" i="10"/>
  <c r="AS46" i="10" s="1"/>
  <c r="F17" i="60" s="1"/>
  <c r="F18" i="60" s="1"/>
  <c r="F21" i="60" s="1"/>
  <c r="F25" i="60" s="1"/>
  <c r="P201" i="44"/>
  <c r="P205" i="44" s="1"/>
  <c r="P55" i="44"/>
  <c r="K171" i="44"/>
  <c r="K53" i="44"/>
  <c r="D201" i="44"/>
  <c r="D205" i="44" s="1"/>
  <c r="D55" i="44"/>
  <c r="D77" i="44" s="1"/>
  <c r="D292" i="44" s="1"/>
  <c r="D276" i="44"/>
  <c r="D290" i="44"/>
  <c r="D299" i="44"/>
  <c r="D277" i="44"/>
  <c r="D274" i="44"/>
  <c r="D300" i="44"/>
  <c r="D64" i="44"/>
  <c r="D279" i="44" s="1"/>
  <c r="E228" i="44"/>
  <c r="E232" i="44" s="1"/>
  <c r="N171" i="44"/>
  <c r="N172" i="44" s="1"/>
  <c r="N53" i="44"/>
  <c r="Q105" i="21"/>
  <c r="Q128" i="21"/>
  <c r="CL58" i="47"/>
  <c r="CL49" i="47"/>
  <c r="AO69" i="10"/>
  <c r="AO71" i="10"/>
  <c r="F55" i="44"/>
  <c r="F77" i="44" s="1"/>
  <c r="G77" i="44" s="1"/>
  <c r="H77" i="44" s="1"/>
  <c r="I77" i="44" s="1"/>
  <c r="J77" i="44" s="1"/>
  <c r="K77" i="44" s="1"/>
  <c r="L77" i="44" s="1"/>
  <c r="M77" i="44" s="1"/>
  <c r="N77" i="44" s="1"/>
  <c r="O77" i="44" s="1"/>
  <c r="P77" i="44" s="1"/>
  <c r="Q77" i="44" s="1"/>
  <c r="R77" i="44" s="1"/>
  <c r="S77" i="44" s="1"/>
  <c r="T77" i="44" s="1"/>
  <c r="U77" i="44" s="1"/>
  <c r="V77" i="44" s="1"/>
  <c r="W77" i="44" s="1"/>
  <c r="X77" i="44" s="1"/>
  <c r="Y77" i="44" s="1"/>
  <c r="Z77" i="44" s="1"/>
  <c r="AA77" i="44" s="1"/>
  <c r="AB77" i="44" s="1"/>
  <c r="AC77" i="44" s="1"/>
  <c r="AD77" i="44" s="1"/>
  <c r="AE77" i="44" s="1"/>
  <c r="AF77" i="44" s="1"/>
  <c r="AG77" i="44" s="1"/>
  <c r="AH77" i="44" s="1"/>
  <c r="AI77" i="44" s="1"/>
  <c r="AJ77" i="44" s="1"/>
  <c r="AK77" i="44" s="1"/>
  <c r="AL77" i="44" s="1"/>
  <c r="AM77" i="44" s="1"/>
  <c r="AN77" i="44" s="1"/>
  <c r="AO77" i="44" s="1"/>
  <c r="AP77" i="44" s="1"/>
  <c r="AQ77" i="44" s="1"/>
  <c r="AR77" i="44" s="1"/>
  <c r="AS77" i="44" s="1"/>
  <c r="AT77" i="44" s="1"/>
  <c r="AU77" i="44" s="1"/>
  <c r="AV77" i="44" s="1"/>
  <c r="AW77" i="44" s="1"/>
  <c r="AX77" i="44" s="1"/>
  <c r="AY77" i="44" s="1"/>
  <c r="AZ77" i="44" s="1"/>
  <c r="BA77" i="44" s="1"/>
  <c r="BB77" i="44" s="1"/>
  <c r="BC77" i="44" s="1"/>
  <c r="BD77" i="44" s="1"/>
  <c r="BE77" i="44" s="1"/>
  <c r="BF77" i="44" s="1"/>
  <c r="BG77" i="44" s="1"/>
  <c r="BH77" i="44" s="1"/>
  <c r="BI77" i="44" s="1"/>
  <c r="BJ77" i="44" s="1"/>
  <c r="BK77" i="44" s="1"/>
  <c r="BL77" i="44" s="1"/>
  <c r="BM77" i="44" s="1"/>
  <c r="BN77" i="44" s="1"/>
  <c r="BO77" i="44" s="1"/>
  <c r="BP77" i="44" s="1"/>
  <c r="BQ77" i="44" s="1"/>
  <c r="BR77" i="44" s="1"/>
  <c r="BS77" i="44" s="1"/>
  <c r="BT77" i="44" s="1"/>
  <c r="BU77" i="44" s="1"/>
  <c r="BV77" i="44" s="1"/>
  <c r="BW77" i="44" s="1"/>
  <c r="BX77" i="44" s="1"/>
  <c r="BY77" i="44" s="1"/>
  <c r="BZ77" i="44" s="1"/>
  <c r="CA77" i="44" s="1"/>
  <c r="CB77" i="44" s="1"/>
  <c r="CC77" i="44" s="1"/>
  <c r="CD77" i="44" s="1"/>
  <c r="CE77" i="44" s="1"/>
  <c r="CF77" i="44" s="1"/>
  <c r="CG77" i="44" s="1"/>
  <c r="CH77" i="44" s="1"/>
  <c r="CI77" i="44" s="1"/>
  <c r="CJ77" i="44" s="1"/>
  <c r="CK77" i="44" s="1"/>
  <c r="CL77" i="44" s="1"/>
  <c r="CM77" i="44" s="1"/>
  <c r="CN77" i="44" s="1"/>
  <c r="CO77" i="44" s="1"/>
  <c r="CP77" i="44" s="1"/>
  <c r="CQ77" i="44" s="1"/>
  <c r="CR77" i="44" s="1"/>
  <c r="CS77" i="44" s="1"/>
  <c r="CT77" i="44" s="1"/>
  <c r="CU77" i="44" s="1"/>
  <c r="CV77" i="44" s="1"/>
  <c r="CW77" i="44" s="1"/>
  <c r="CX77" i="44" s="1"/>
  <c r="CY77" i="44" s="1"/>
  <c r="CZ77" i="44" s="1"/>
  <c r="DA77" i="44" s="1"/>
  <c r="DB77" i="44" s="1"/>
  <c r="DC77" i="44" s="1"/>
  <c r="DD77" i="44" s="1"/>
  <c r="DE77" i="44" s="1"/>
  <c r="DF77" i="44" s="1"/>
  <c r="DG77" i="44" s="1"/>
  <c r="DH77" i="44" s="1"/>
  <c r="DI77" i="44" s="1"/>
  <c r="DJ77" i="44" s="1"/>
  <c r="DK77" i="44" s="1"/>
  <c r="DL77" i="44" s="1"/>
  <c r="DM77" i="44" s="1"/>
  <c r="DN77" i="44" s="1"/>
  <c r="DO77" i="44" s="1"/>
  <c r="DP77" i="44" s="1"/>
  <c r="DQ77" i="44" s="1"/>
  <c r="DR77" i="44" s="1"/>
  <c r="DS77" i="44" s="1"/>
  <c r="DT77" i="44" s="1"/>
  <c r="DU77" i="44" s="1"/>
  <c r="DV77" i="44" s="1"/>
  <c r="DW77" i="44" s="1"/>
  <c r="DX77" i="44" s="1"/>
  <c r="DY77" i="44" s="1"/>
  <c r="DZ77" i="44" s="1"/>
  <c r="EA77" i="44" s="1"/>
  <c r="EB77" i="44" s="1"/>
  <c r="EC77" i="44" s="1"/>
  <c r="ED77" i="44" s="1"/>
  <c r="EE77" i="44" s="1"/>
  <c r="EF77" i="44" s="1"/>
  <c r="EG77" i="44" s="1"/>
  <c r="EH77" i="44" s="1"/>
  <c r="EI77" i="44" s="1"/>
  <c r="EJ77" i="44" s="1"/>
  <c r="EK77" i="44" s="1"/>
  <c r="EL77" i="44" s="1"/>
  <c r="EM77" i="44" s="1"/>
  <c r="EN77" i="44" s="1"/>
  <c r="EO77" i="44" s="1"/>
  <c r="EP77" i="44" s="1"/>
  <c r="EQ77" i="44" s="1"/>
  <c r="ER77" i="44" s="1"/>
  <c r="ES77" i="44" s="1"/>
  <c r="ET77" i="44" s="1"/>
  <c r="EU77" i="44" s="1"/>
  <c r="EV77" i="44" s="1"/>
  <c r="EW77" i="44" s="1"/>
  <c r="EX77" i="44" s="1"/>
  <c r="EY77" i="44" s="1"/>
  <c r="EZ77" i="44" s="1"/>
  <c r="FA77" i="44" s="1"/>
  <c r="FB77" i="44" s="1"/>
  <c r="FC77" i="44" s="1"/>
  <c r="FD77" i="44" s="1"/>
  <c r="FE77" i="44" s="1"/>
  <c r="FF77" i="44" s="1"/>
  <c r="FG77" i="44" s="1"/>
  <c r="FH77" i="44" s="1"/>
  <c r="FI77" i="44" s="1"/>
  <c r="FJ77" i="44" s="1"/>
  <c r="FK77" i="44" s="1"/>
  <c r="FL77" i="44" s="1"/>
  <c r="FM77" i="44" s="1"/>
  <c r="FN77" i="44" s="1"/>
  <c r="FO77" i="44" s="1"/>
  <c r="FP77" i="44" s="1"/>
  <c r="FQ77" i="44" s="1"/>
  <c r="FR77" i="44" s="1"/>
  <c r="FS77" i="44" s="1"/>
  <c r="FT77" i="44" s="1"/>
  <c r="FU77" i="44" s="1"/>
  <c r="FV77" i="44" s="1"/>
  <c r="FW77" i="44" s="1"/>
  <c r="FX77" i="44" s="1"/>
  <c r="FY77" i="44" s="1"/>
  <c r="FZ77" i="44" s="1"/>
  <c r="GA77" i="44" s="1"/>
  <c r="GB77" i="44" s="1"/>
  <c r="GC77" i="44" s="1"/>
  <c r="GD77" i="44" s="1"/>
  <c r="GE77" i="44" s="1"/>
  <c r="GF77" i="44" s="1"/>
  <c r="GG77" i="44" s="1"/>
  <c r="GH77" i="44" s="1"/>
  <c r="GI77" i="44" s="1"/>
  <c r="GJ77" i="44" s="1"/>
  <c r="GK77" i="44" s="1"/>
  <c r="GL77" i="44" s="1"/>
  <c r="GM77" i="44" s="1"/>
  <c r="GN77" i="44" s="1"/>
  <c r="GO77" i="44" s="1"/>
  <c r="GP77" i="44" s="1"/>
  <c r="GQ77" i="44" s="1"/>
  <c r="GR77" i="44" s="1"/>
  <c r="GS77" i="44" s="1"/>
  <c r="GT77" i="44" s="1"/>
  <c r="GU77" i="44" s="1"/>
  <c r="GV77" i="44" s="1"/>
  <c r="GW77" i="44" s="1"/>
  <c r="GX77" i="44" s="1"/>
  <c r="GY77" i="44" s="1"/>
  <c r="GZ77" i="44" s="1"/>
  <c r="HA77" i="44" s="1"/>
  <c r="HB77" i="44" s="1"/>
  <c r="HC77" i="44" s="1"/>
  <c r="HD77" i="44" s="1"/>
  <c r="HE77" i="44" s="1"/>
  <c r="HF77" i="44" s="1"/>
  <c r="HG77" i="44" s="1"/>
  <c r="HH77" i="44" s="1"/>
  <c r="HI77" i="44" s="1"/>
  <c r="HJ77" i="44" s="1"/>
  <c r="HK77" i="44" s="1"/>
  <c r="HL77" i="44" s="1"/>
  <c r="HM77" i="44" s="1"/>
  <c r="HN77" i="44" s="1"/>
  <c r="HO77" i="44" s="1"/>
  <c r="HP77" i="44" s="1"/>
  <c r="HQ77" i="44" s="1"/>
  <c r="HR77" i="44" s="1"/>
  <c r="HS77" i="44" s="1"/>
  <c r="HT77" i="44" s="1"/>
  <c r="HU77" i="44" s="1"/>
  <c r="HV77" i="44" s="1"/>
  <c r="HW77" i="44" s="1"/>
  <c r="HX77" i="44" s="1"/>
  <c r="HY77" i="44" s="1"/>
  <c r="HZ77" i="44" s="1"/>
  <c r="IA77" i="44" s="1"/>
  <c r="IB77" i="44" s="1"/>
  <c r="IC77" i="44" s="1"/>
  <c r="ID77" i="44" s="1"/>
  <c r="IE77" i="44" s="1"/>
  <c r="IF77" i="44" s="1"/>
  <c r="IG77" i="44" s="1"/>
  <c r="IH77" i="44" s="1"/>
  <c r="II77" i="44" s="1"/>
  <c r="IJ77" i="44" s="1"/>
  <c r="IK77" i="44" s="1"/>
  <c r="IL77" i="44" s="1"/>
  <c r="IM77" i="44" s="1"/>
  <c r="IN77" i="44" s="1"/>
  <c r="IO77" i="44" s="1"/>
  <c r="IP77" i="44" s="1"/>
  <c r="IQ77" i="44" s="1"/>
  <c r="IR77" i="44" s="1"/>
  <c r="IR76" i="44" s="1"/>
  <c r="F201" i="44"/>
  <c r="F205" i="44" s="1"/>
  <c r="F300" i="44"/>
  <c r="F274" i="44"/>
  <c r="G274" i="44" s="1"/>
  <c r="F276" i="44"/>
  <c r="F299" i="44"/>
  <c r="F279" i="44"/>
  <c r="L228" i="44"/>
  <c r="L232" i="44" s="1"/>
  <c r="U55" i="44"/>
  <c r="U201" i="44"/>
  <c r="U205" i="44" s="1"/>
  <c r="Q222" i="21"/>
  <c r="R44" i="21"/>
  <c r="L76" i="49"/>
  <c r="L78" i="49"/>
  <c r="H293" i="44"/>
  <c r="H277" i="44"/>
  <c r="R72" i="21" l="1"/>
  <c r="N49" i="49"/>
  <c r="CL27" i="47" s="1"/>
  <c r="G8" i="60"/>
  <c r="CK50" i="47"/>
  <c r="CK75" i="47" s="1"/>
  <c r="J13" i="60"/>
  <c r="J6" i="60"/>
  <c r="F290" i="44"/>
  <c r="CK65" i="47"/>
  <c r="G285" i="44"/>
  <c r="G291" i="44"/>
  <c r="G279" i="44"/>
  <c r="U202" i="44"/>
  <c r="G276" i="44"/>
  <c r="G297" i="44"/>
  <c r="G301" i="44"/>
  <c r="G292" i="44"/>
  <c r="N75" i="49"/>
  <c r="N78" i="49" s="1"/>
  <c r="T47" i="21" s="1"/>
  <c r="H229" i="44"/>
  <c r="CM23" i="47"/>
  <c r="CM72" i="47" s="1"/>
  <c r="F292" i="44"/>
  <c r="F280" i="44"/>
  <c r="M229" i="44"/>
  <c r="E202" i="44"/>
  <c r="O202" i="44"/>
  <c r="T229" i="44"/>
  <c r="CM12" i="47"/>
  <c r="CM55" i="47" s="1"/>
  <c r="G229" i="44"/>
  <c r="M202" i="44"/>
  <c r="Q202" i="44"/>
  <c r="AU46" i="10"/>
  <c r="G17" i="60" s="1"/>
  <c r="D202" i="44"/>
  <c r="J229" i="44"/>
  <c r="R202" i="44"/>
  <c r="U229" i="44"/>
  <c r="G202" i="44"/>
  <c r="G56" i="44" s="1"/>
  <c r="S229" i="44"/>
  <c r="D229" i="44"/>
  <c r="R229" i="44"/>
  <c r="L229" i="44"/>
  <c r="U51" i="21"/>
  <c r="U16" i="21"/>
  <c r="U55" i="21" s="1"/>
  <c r="AS48" i="10"/>
  <c r="Q64" i="21"/>
  <c r="Q37" i="21"/>
  <c r="R76" i="21"/>
  <c r="R74" i="21" s="1"/>
  <c r="R77" i="21"/>
  <c r="U26" i="44"/>
  <c r="G62" i="44" s="1"/>
  <c r="AW41" i="10"/>
  <c r="AQ29" i="10"/>
  <c r="AQ44" i="9"/>
  <c r="C63" i="44"/>
  <c r="C278" i="44" s="1"/>
  <c r="S126" i="21"/>
  <c r="S322" i="21"/>
  <c r="U263" i="21"/>
  <c r="U133" i="21"/>
  <c r="U134" i="21" s="1"/>
  <c r="U58" i="21"/>
  <c r="R169" i="21"/>
  <c r="R100" i="21"/>
  <c r="F47" i="44"/>
  <c r="D54" i="44"/>
  <c r="D76" i="44" s="1"/>
  <c r="D175" i="44"/>
  <c r="D47" i="44" s="1"/>
  <c r="H35" i="31"/>
  <c r="H36" i="31" s="1"/>
  <c r="H35" i="32"/>
  <c r="H36" i="32" s="1"/>
  <c r="L175" i="44"/>
  <c r="L47" i="44" s="1"/>
  <c r="L49" i="44" s="1"/>
  <c r="L54" i="44"/>
  <c r="P54" i="44"/>
  <c r="P175" i="44"/>
  <c r="P47" i="44" s="1"/>
  <c r="P49" i="44" s="1"/>
  <c r="I54" i="44"/>
  <c r="I175" i="44"/>
  <c r="I47" i="44" s="1"/>
  <c r="I49" i="44" s="1"/>
  <c r="C244" i="44"/>
  <c r="C54" i="44"/>
  <c r="C76" i="44" s="1"/>
  <c r="C175" i="44"/>
  <c r="C47" i="44" s="1"/>
  <c r="J175" i="44"/>
  <c r="J47" i="44" s="1"/>
  <c r="J49" i="44" s="1"/>
  <c r="J54" i="44"/>
  <c r="T201" i="21"/>
  <c r="T202" i="21" s="1"/>
  <c r="T194" i="21" s="1"/>
  <c r="AQ66" i="10"/>
  <c r="AO9" i="9"/>
  <c r="C31" i="60" s="1"/>
  <c r="Q115" i="21"/>
  <c r="K54" i="44"/>
  <c r="K175" i="44"/>
  <c r="K47" i="44" s="1"/>
  <c r="K49" i="44" s="1"/>
  <c r="I229" i="44"/>
  <c r="H54" i="44"/>
  <c r="H175" i="44"/>
  <c r="H47" i="44" s="1"/>
  <c r="H49" i="44" s="1"/>
  <c r="T301" i="21"/>
  <c r="T187" i="21"/>
  <c r="T302" i="21"/>
  <c r="T250" i="21"/>
  <c r="T303" i="21" s="1"/>
  <c r="M175" i="44"/>
  <c r="M47" i="44" s="1"/>
  <c r="M49" i="44" s="1"/>
  <c r="M54" i="44"/>
  <c r="U61" i="21"/>
  <c r="U320" i="21" s="1"/>
  <c r="U52" i="21"/>
  <c r="T129" i="21"/>
  <c r="T112" i="21"/>
  <c r="N229" i="44"/>
  <c r="AW44" i="10"/>
  <c r="AW46" i="10" s="1"/>
  <c r="AW48" i="10" s="1"/>
  <c r="BU50" i="11"/>
  <c r="BU59" i="11"/>
  <c r="Q229" i="44"/>
  <c r="S44" i="21"/>
  <c r="M76" i="49"/>
  <c r="M78" i="49"/>
  <c r="H296" i="44"/>
  <c r="H285" i="44"/>
  <c r="H292" i="44"/>
  <c r="H289" i="44"/>
  <c r="H279" i="44"/>
  <c r="H281" i="44"/>
  <c r="H299" i="44"/>
  <c r="H276" i="44"/>
  <c r="H297" i="44"/>
  <c r="H291" i="44"/>
  <c r="H290" i="44"/>
  <c r="H301" i="44"/>
  <c r="H274" i="44"/>
  <c r="I273" i="44"/>
  <c r="U54" i="44"/>
  <c r="U175" i="44"/>
  <c r="U47" i="44" s="1"/>
  <c r="U49" i="44" s="1"/>
  <c r="D172" i="44"/>
  <c r="L202" i="44"/>
  <c r="CL59" i="47"/>
  <c r="CL46" i="47"/>
  <c r="CL48" i="47" s="1"/>
  <c r="CL26" i="47"/>
  <c r="CL72" i="47"/>
  <c r="O41" i="53"/>
  <c r="CI76" i="47"/>
  <c r="Q54" i="44"/>
  <c r="Q175" i="44"/>
  <c r="Q47" i="44" s="1"/>
  <c r="Q49" i="44" s="1"/>
  <c r="T54" i="44"/>
  <c r="T175" i="44"/>
  <c r="T47" i="44" s="1"/>
  <c r="T49" i="44" s="1"/>
  <c r="S324" i="21"/>
  <c r="S256" i="21"/>
  <c r="S220" i="21" s="1"/>
  <c r="V229" i="44"/>
  <c r="O41" i="49"/>
  <c r="O73" i="49"/>
  <c r="O46" i="49"/>
  <c r="T40" i="49"/>
  <c r="Z44" i="4"/>
  <c r="U53" i="21"/>
  <c r="U79" i="21"/>
  <c r="U276" i="21"/>
  <c r="S304" i="21"/>
  <c r="S279" i="21"/>
  <c r="S317" i="21"/>
  <c r="C282" i="44"/>
  <c r="K21" i="31"/>
  <c r="J26" i="31"/>
  <c r="E229" i="44"/>
  <c r="CJ61" i="47"/>
  <c r="CJ29" i="47"/>
  <c r="V202" i="44"/>
  <c r="R175" i="44"/>
  <c r="R47" i="44" s="1"/>
  <c r="R49" i="44" s="1"/>
  <c r="R54" i="44"/>
  <c r="CM56" i="47"/>
  <c r="CM71" i="47"/>
  <c r="T297" i="21"/>
  <c r="T298" i="21"/>
  <c r="T249" i="21"/>
  <c r="T299" i="21" s="1"/>
  <c r="T186" i="21"/>
  <c r="Q260" i="21"/>
  <c r="Q252" i="21"/>
  <c r="Q231" i="21"/>
  <c r="Q246" i="21"/>
  <c r="Q262" i="21" s="1"/>
  <c r="F229" i="44"/>
  <c r="E54" i="44"/>
  <c r="E76" i="44" s="1"/>
  <c r="E175" i="44"/>
  <c r="E47" i="44" s="1"/>
  <c r="R24" i="21"/>
  <c r="R26" i="21" s="1"/>
  <c r="O175" i="44"/>
  <c r="O47" i="44" s="1"/>
  <c r="O49" i="44" s="1"/>
  <c r="O54" i="44"/>
  <c r="C229" i="44"/>
  <c r="H202" i="44"/>
  <c r="T202" i="44"/>
  <c r="P229" i="44"/>
  <c r="S202" i="44"/>
  <c r="S56" i="44" s="1"/>
  <c r="S175" i="44"/>
  <c r="S47" i="44" s="1"/>
  <c r="S49" i="44" s="1"/>
  <c r="S54" i="44"/>
  <c r="F66" i="44"/>
  <c r="N202" i="44"/>
  <c r="D66" i="44"/>
  <c r="G54" i="44"/>
  <c r="G175" i="44"/>
  <c r="G47" i="44" s="1"/>
  <c r="G49" i="44" s="1"/>
  <c r="O50" i="49"/>
  <c r="O65" i="49" s="1"/>
  <c r="N65" i="49"/>
  <c r="L172" i="44"/>
  <c r="K229" i="44"/>
  <c r="I172" i="44"/>
  <c r="O229" i="44"/>
  <c r="O56" i="44" s="1"/>
  <c r="C172" i="44"/>
  <c r="C202" i="44"/>
  <c r="J172" i="44"/>
  <c r="S20" i="21"/>
  <c r="S56" i="21" s="1"/>
  <c r="CK27" i="47"/>
  <c r="V54" i="44"/>
  <c r="V175" i="44"/>
  <c r="V47" i="44" s="1"/>
  <c r="V49" i="44" s="1"/>
  <c r="CM58" i="47"/>
  <c r="CM49" i="47"/>
  <c r="T323" i="21"/>
  <c r="T264" i="21"/>
  <c r="K202" i="44"/>
  <c r="N54" i="44"/>
  <c r="N175" i="44"/>
  <c r="N47" i="44" s="1"/>
  <c r="N49" i="44" s="1"/>
  <c r="L79" i="49"/>
  <c r="R47" i="21"/>
  <c r="R65" i="21" s="1"/>
  <c r="F202" i="44"/>
  <c r="D65" i="44"/>
  <c r="D280" i="44" s="1"/>
  <c r="K172" i="44"/>
  <c r="P202" i="44"/>
  <c r="R307" i="21"/>
  <c r="R123" i="21"/>
  <c r="R191" i="21"/>
  <c r="R253" i="21"/>
  <c r="R308" i="21" s="1"/>
  <c r="J202" i="44"/>
  <c r="H172" i="44"/>
  <c r="H56" i="44" s="1"/>
  <c r="T54" i="21"/>
  <c r="T18" i="21"/>
  <c r="T62" i="21"/>
  <c r="T277" i="21"/>
  <c r="T293" i="21" s="1"/>
  <c r="T319" i="21" s="1"/>
  <c r="Q84" i="21"/>
  <c r="Q121" i="21"/>
  <c r="Q130" i="21"/>
  <c r="Q108" i="21"/>
  <c r="Q110" i="21" s="1"/>
  <c r="Q113" i="21" s="1"/>
  <c r="Q132" i="21" s="1"/>
  <c r="L66" i="49"/>
  <c r="R30" i="21"/>
  <c r="I202" i="44"/>
  <c r="U172" i="44"/>
  <c r="U56" i="44" s="1"/>
  <c r="F172" i="44"/>
  <c r="H15" i="32"/>
  <c r="H17" i="32" s="1"/>
  <c r="H29" i="32" s="1"/>
  <c r="H15" i="31"/>
  <c r="CK38" i="47"/>
  <c r="S34" i="21"/>
  <c r="P172" i="44"/>
  <c r="R281" i="21"/>
  <c r="R285" i="21" s="1"/>
  <c r="C185" i="44"/>
  <c r="C245" i="44" s="1"/>
  <c r="C32" i="44" s="1"/>
  <c r="C66" i="44"/>
  <c r="D67" i="44" s="1"/>
  <c r="M53" i="49"/>
  <c r="M61" i="49"/>
  <c r="AS9" i="10"/>
  <c r="AS29" i="10" s="1"/>
  <c r="M55" i="49"/>
  <c r="M56" i="49" s="1"/>
  <c r="AS58" i="9"/>
  <c r="AS27" i="9" s="1"/>
  <c r="AS30" i="9" s="1"/>
  <c r="AS37" i="9" s="1"/>
  <c r="U46" i="21"/>
  <c r="R225" i="21"/>
  <c r="R258" i="21" s="1"/>
  <c r="R224" i="21"/>
  <c r="R222" i="21" s="1"/>
  <c r="R251" i="21"/>
  <c r="C28" i="32"/>
  <c r="B30" i="32"/>
  <c r="B31" i="32" s="1"/>
  <c r="B37" i="32" s="1"/>
  <c r="B39" i="32" s="1"/>
  <c r="B41" i="32" s="1"/>
  <c r="R120" i="21" l="1"/>
  <c r="R188" i="21" s="1"/>
  <c r="S72" i="21"/>
  <c r="N52" i="49"/>
  <c r="N53" i="49" s="1"/>
  <c r="CK64" i="47"/>
  <c r="T20" i="21"/>
  <c r="T24" i="21" s="1"/>
  <c r="T26" i="21" s="1"/>
  <c r="H17" i="60"/>
  <c r="G18" i="60"/>
  <c r="C45" i="60"/>
  <c r="C32" i="60"/>
  <c r="C39" i="60" s="1"/>
  <c r="G9" i="60"/>
  <c r="G10" i="60" s="1"/>
  <c r="G11" i="60" s="1"/>
  <c r="H8" i="60"/>
  <c r="V56" i="44"/>
  <c r="V57" i="44" s="1"/>
  <c r="CM46" i="47"/>
  <c r="CM48" i="47" s="1"/>
  <c r="CM74" i="47" s="1"/>
  <c r="N76" i="49"/>
  <c r="T44" i="21"/>
  <c r="N79" i="49"/>
  <c r="T56" i="44"/>
  <c r="M56" i="44"/>
  <c r="M100" i="44" s="1"/>
  <c r="P56" i="44"/>
  <c r="P100" i="44" s="1"/>
  <c r="G57" i="44"/>
  <c r="T100" i="44"/>
  <c r="E56" i="44"/>
  <c r="E82" i="44" s="1"/>
  <c r="E78" i="44" s="1"/>
  <c r="E293" i="44" s="1"/>
  <c r="N56" i="44"/>
  <c r="N100" i="44" s="1"/>
  <c r="AU48" i="10"/>
  <c r="CM59" i="47"/>
  <c r="R56" i="44"/>
  <c r="R57" i="44" s="1"/>
  <c r="CM26" i="47"/>
  <c r="CM60" i="47" s="1"/>
  <c r="G100" i="44"/>
  <c r="U57" i="44"/>
  <c r="L56" i="44"/>
  <c r="L57" i="44" s="1"/>
  <c r="D56" i="44"/>
  <c r="D82" i="44" s="1"/>
  <c r="D297" i="44" s="1"/>
  <c r="Q56" i="44"/>
  <c r="Q100" i="44" s="1"/>
  <c r="CL61" i="47"/>
  <c r="H100" i="44"/>
  <c r="F56" i="44"/>
  <c r="F82" i="44" s="1"/>
  <c r="F297" i="44" s="1"/>
  <c r="S24" i="21"/>
  <c r="S26" i="21" s="1"/>
  <c r="R229" i="21"/>
  <c r="R260" i="21" s="1"/>
  <c r="U100" i="44"/>
  <c r="O57" i="44"/>
  <c r="O100" i="44"/>
  <c r="S76" i="21"/>
  <c r="S100" i="44"/>
  <c r="L69" i="49"/>
  <c r="L67" i="49"/>
  <c r="R36" i="21" s="1"/>
  <c r="R35" i="21"/>
  <c r="D63" i="44"/>
  <c r="D278" i="44" s="1"/>
  <c r="D282" i="44"/>
  <c r="J56" i="44"/>
  <c r="I302" i="44"/>
  <c r="I274" i="44"/>
  <c r="I297" i="44"/>
  <c r="I293" i="44"/>
  <c r="I301" i="44"/>
  <c r="I300" i="44"/>
  <c r="I298" i="44"/>
  <c r="I277" i="44"/>
  <c r="I278" i="44"/>
  <c r="I291" i="44"/>
  <c r="I286" i="44"/>
  <c r="I296" i="44"/>
  <c r="I285" i="44"/>
  <c r="I280" i="44"/>
  <c r="I282" i="44"/>
  <c r="I279" i="44"/>
  <c r="I281" i="44"/>
  <c r="I290" i="44"/>
  <c r="I276" i="44"/>
  <c r="I292" i="44"/>
  <c r="I289" i="44"/>
  <c r="I299" i="44"/>
  <c r="I284" i="44"/>
  <c r="J273" i="44"/>
  <c r="T126" i="21"/>
  <c r="T322" i="21"/>
  <c r="D74" i="44"/>
  <c r="D49" i="44"/>
  <c r="S225" i="21"/>
  <c r="S258" i="21" s="1"/>
  <c r="S251" i="21"/>
  <c r="S224" i="21"/>
  <c r="V100" i="44"/>
  <c r="M66" i="49"/>
  <c r="S30" i="21"/>
  <c r="R306" i="21"/>
  <c r="T57" i="44"/>
  <c r="U277" i="21"/>
  <c r="U293" i="21" s="1"/>
  <c r="U319" i="21" s="1"/>
  <c r="S57" i="44"/>
  <c r="U187" i="21"/>
  <c r="U250" i="21"/>
  <c r="U303" i="21" s="1"/>
  <c r="U302" i="21"/>
  <c r="U301" i="21"/>
  <c r="C74" i="44"/>
  <c r="C49" i="44"/>
  <c r="AS44" i="9"/>
  <c r="AQ45" i="9"/>
  <c r="AQ47" i="9" s="1"/>
  <c r="D28" i="32"/>
  <c r="C30" i="32"/>
  <c r="C31" i="32" s="1"/>
  <c r="C37" i="32" s="1"/>
  <c r="C39" i="32" s="1"/>
  <c r="C41" i="32" s="1"/>
  <c r="I15" i="31"/>
  <c r="H17" i="31"/>
  <c r="CK61" i="47"/>
  <c r="CK29" i="47"/>
  <c r="Q233" i="21"/>
  <c r="Q237" i="21" s="1"/>
  <c r="U129" i="21"/>
  <c r="U112" i="21"/>
  <c r="U62" i="21"/>
  <c r="U18" i="21"/>
  <c r="U54" i="21"/>
  <c r="C68" i="44"/>
  <c r="C281" i="44"/>
  <c r="Q86" i="21"/>
  <c r="Q90" i="21" s="1"/>
  <c r="D68" i="44"/>
  <c r="N61" i="49"/>
  <c r="N55" i="49"/>
  <c r="N56" i="49" s="1"/>
  <c r="S123" i="21"/>
  <c r="S253" i="21"/>
  <c r="S308" i="21" s="1"/>
  <c r="S307" i="21"/>
  <c r="S191" i="21"/>
  <c r="T34" i="21"/>
  <c r="CL38" i="47"/>
  <c r="E291" i="44"/>
  <c r="S281" i="21"/>
  <c r="S285" i="21" s="1"/>
  <c r="O75" i="49"/>
  <c r="U42" i="21"/>
  <c r="CL29" i="47"/>
  <c r="CL60" i="47"/>
  <c r="D291" i="44"/>
  <c r="U201" i="21"/>
  <c r="U202" i="21" s="1"/>
  <c r="U194" i="21" s="1"/>
  <c r="H62" i="44"/>
  <c r="G61" i="44"/>
  <c r="R105" i="21"/>
  <c r="R128" i="21"/>
  <c r="H57" i="44"/>
  <c r="U186" i="21"/>
  <c r="U297" i="21"/>
  <c r="U298" i="21"/>
  <c r="U249" i="21"/>
  <c r="U299" i="21" s="1"/>
  <c r="S100" i="21"/>
  <c r="S169" i="21"/>
  <c r="E74" i="44"/>
  <c r="E49" i="44"/>
  <c r="L21" i="31"/>
  <c r="K26" i="31"/>
  <c r="O47" i="49"/>
  <c r="T46" i="49"/>
  <c r="O49" i="49"/>
  <c r="O52" i="49" s="1"/>
  <c r="C291" i="44"/>
  <c r="AQ68" i="10"/>
  <c r="AQ71" i="10" s="1"/>
  <c r="AQ50" i="10"/>
  <c r="AQ80" i="10" s="1"/>
  <c r="AS50" i="10"/>
  <c r="AS80" i="10" s="1"/>
  <c r="AS68" i="10"/>
  <c r="AS71" i="10" s="1"/>
  <c r="T304" i="21"/>
  <c r="T317" i="21"/>
  <c r="T279" i="21"/>
  <c r="K56" i="44"/>
  <c r="K57" i="44" s="1"/>
  <c r="T256" i="21"/>
  <c r="T220" i="21" s="1"/>
  <c r="T324" i="21"/>
  <c r="C56" i="44"/>
  <c r="C82" i="44" s="1"/>
  <c r="I56" i="44"/>
  <c r="I57" i="44" s="1"/>
  <c r="U34" i="21"/>
  <c r="CM38" i="47"/>
  <c r="E67" i="44"/>
  <c r="D281" i="44"/>
  <c r="F281" i="44"/>
  <c r="CJ62" i="47"/>
  <c r="CJ34" i="47"/>
  <c r="CJ39" i="47" s="1"/>
  <c r="CJ30" i="47"/>
  <c r="AD44" i="4"/>
  <c r="Z45" i="4"/>
  <c r="CL74" i="47"/>
  <c r="CL50" i="47"/>
  <c r="CL65" i="47"/>
  <c r="M79" i="49"/>
  <c r="S47" i="21"/>
  <c r="S65" i="21" s="1"/>
  <c r="AO66" i="9"/>
  <c r="F312" i="44"/>
  <c r="F54" i="44" s="1"/>
  <c r="AO16" i="9"/>
  <c r="AO23" i="9" s="1"/>
  <c r="AO51" i="9" s="1"/>
  <c r="AK11" i="7"/>
  <c r="AK35" i="7" s="1"/>
  <c r="F74" i="44"/>
  <c r="F49" i="44"/>
  <c r="U323" i="21"/>
  <c r="U264" i="21"/>
  <c r="R82" i="21"/>
  <c r="R122" i="21" s="1"/>
  <c r="D86" i="44" l="1"/>
  <c r="S120" i="21"/>
  <c r="S188" i="21" s="1"/>
  <c r="AU58" i="9"/>
  <c r="AU27" i="9" s="1"/>
  <c r="AU30" i="9" s="1"/>
  <c r="AU37" i="9" s="1"/>
  <c r="S77" i="21"/>
  <c r="S82" i="21" s="1"/>
  <c r="S122" i="21" s="1"/>
  <c r="T72" i="21"/>
  <c r="T77" i="21" s="1"/>
  <c r="L100" i="44"/>
  <c r="T56" i="21"/>
  <c r="T307" i="21" s="1"/>
  <c r="AU9" i="10"/>
  <c r="AU29" i="10" s="1"/>
  <c r="AU68" i="10" s="1"/>
  <c r="AU71" i="10" s="1"/>
  <c r="G21" i="60"/>
  <c r="G25" i="60" s="1"/>
  <c r="I8" i="60"/>
  <c r="H9" i="60"/>
  <c r="H10" i="60" s="1"/>
  <c r="I17" i="60"/>
  <c r="H18" i="60"/>
  <c r="CM50" i="47"/>
  <c r="CM64" i="47" s="1"/>
  <c r="CM65" i="47"/>
  <c r="R246" i="21"/>
  <c r="R262" i="21" s="1"/>
  <c r="M57" i="44"/>
  <c r="D57" i="44"/>
  <c r="Q57" i="44"/>
  <c r="F86" i="44"/>
  <c r="F301" i="44" s="1"/>
  <c r="P57" i="44"/>
  <c r="R252" i="21"/>
  <c r="N57" i="44"/>
  <c r="R231" i="21"/>
  <c r="R233" i="21" s="1"/>
  <c r="R237" i="21" s="1"/>
  <c r="R100" i="44"/>
  <c r="S229" i="21"/>
  <c r="S260" i="21" s="1"/>
  <c r="D78" i="44"/>
  <c r="D293" i="44" s="1"/>
  <c r="S222" i="21"/>
  <c r="D100" i="44"/>
  <c r="T65" i="21"/>
  <c r="O61" i="49"/>
  <c r="AW58" i="9"/>
  <c r="AW27" i="9" s="1"/>
  <c r="AW30" i="9" s="1"/>
  <c r="AW37" i="9" s="1"/>
  <c r="O55" i="49"/>
  <c r="O53" i="49"/>
  <c r="AW9" i="10"/>
  <c r="AW29" i="10" s="1"/>
  <c r="T52" i="49"/>
  <c r="T120" i="21"/>
  <c r="T188" i="21" s="1"/>
  <c r="Q239" i="21"/>
  <c r="Q243" i="21"/>
  <c r="Q244" i="21" s="1"/>
  <c r="Q261" i="21" s="1"/>
  <c r="F81" i="44"/>
  <c r="F289" i="44"/>
  <c r="I62" i="44"/>
  <c r="CL30" i="47"/>
  <c r="CL62" i="47"/>
  <c r="CL34" i="47"/>
  <c r="CL39" i="47" s="1"/>
  <c r="T30" i="21"/>
  <c r="N66" i="49"/>
  <c r="D87" i="44"/>
  <c r="D302" i="44" s="1"/>
  <c r="D301" i="44"/>
  <c r="R121" i="21"/>
  <c r="R108" i="21"/>
  <c r="R110" i="21" s="1"/>
  <c r="R113" i="21" s="1"/>
  <c r="R132" i="21" s="1"/>
  <c r="R130" i="21"/>
  <c r="R84" i="21"/>
  <c r="H38" i="31"/>
  <c r="I38" i="31" s="1"/>
  <c r="J38" i="31" s="1"/>
  <c r="K38" i="31" s="1"/>
  <c r="L38" i="31" s="1"/>
  <c r="M38" i="31" s="1"/>
  <c r="N38" i="31" s="1"/>
  <c r="O38" i="31" s="1"/>
  <c r="H38" i="32"/>
  <c r="AK59" i="7"/>
  <c r="R115" i="21"/>
  <c r="U126" i="21"/>
  <c r="U322" i="21"/>
  <c r="U44" i="21"/>
  <c r="O76" i="49"/>
  <c r="T75" i="49"/>
  <c r="O78" i="49"/>
  <c r="CJ66" i="47"/>
  <c r="CJ40" i="47"/>
  <c r="E63" i="44"/>
  <c r="E278" i="44" s="1"/>
  <c r="E282" i="44"/>
  <c r="C86" i="44"/>
  <c r="D129" i="44" s="1"/>
  <c r="C297" i="44"/>
  <c r="T281" i="21"/>
  <c r="T285" i="21" s="1"/>
  <c r="M21" i="31"/>
  <c r="L26" i="31"/>
  <c r="H61" i="44"/>
  <c r="C109" i="44"/>
  <c r="C90" i="44"/>
  <c r="C283" i="44"/>
  <c r="CK30" i="47"/>
  <c r="CK34" i="47"/>
  <c r="CK39" i="47" s="1"/>
  <c r="CK62" i="47"/>
  <c r="C100" i="44"/>
  <c r="I100" i="44"/>
  <c r="T100" i="21"/>
  <c r="T169" i="21"/>
  <c r="S306" i="21"/>
  <c r="Q92" i="21"/>
  <c r="Q96" i="21"/>
  <c r="Q101" i="21" s="1"/>
  <c r="Q104" i="21" s="1"/>
  <c r="D30" i="32"/>
  <c r="D31" i="32" s="1"/>
  <c r="D37" i="32" s="1"/>
  <c r="D39" i="32" s="1"/>
  <c r="D41" i="32" s="1"/>
  <c r="E28" i="32"/>
  <c r="J298" i="44"/>
  <c r="J276" i="44"/>
  <c r="J280" i="44"/>
  <c r="J302" i="44"/>
  <c r="J277" i="44"/>
  <c r="J274" i="44"/>
  <c r="J282" i="44"/>
  <c r="J285" i="44"/>
  <c r="J290" i="44"/>
  <c r="J301" i="44"/>
  <c r="J289" i="44"/>
  <c r="J279" i="44"/>
  <c r="J300" i="44"/>
  <c r="J278" i="44"/>
  <c r="J291" i="44"/>
  <c r="J281" i="44"/>
  <c r="J293" i="44"/>
  <c r="J296" i="44"/>
  <c r="J284" i="44"/>
  <c r="J292" i="44"/>
  <c r="J299" i="44"/>
  <c r="J286" i="44"/>
  <c r="J297" i="44"/>
  <c r="K273" i="44"/>
  <c r="J57" i="44"/>
  <c r="J100" i="44"/>
  <c r="K100" i="44"/>
  <c r="U324" i="21"/>
  <c r="U256" i="21"/>
  <c r="U220" i="21" s="1"/>
  <c r="F76" i="44"/>
  <c r="F100" i="44"/>
  <c r="F57" i="44"/>
  <c r="U169" i="21"/>
  <c r="U100" i="21"/>
  <c r="C57" i="44"/>
  <c r="C78" i="44"/>
  <c r="C293" i="44" s="1"/>
  <c r="E81" i="44"/>
  <c r="E289" i="44"/>
  <c r="H29" i="31"/>
  <c r="AQ69" i="10"/>
  <c r="M69" i="49"/>
  <c r="M67" i="49"/>
  <c r="S36" i="21" s="1"/>
  <c r="S35" i="21"/>
  <c r="D289" i="44"/>
  <c r="D81" i="44"/>
  <c r="L70" i="49"/>
  <c r="R38" i="21"/>
  <c r="D4" i="58"/>
  <c r="S128" i="21"/>
  <c r="AS45" i="9"/>
  <c r="AS47" i="9" s="1"/>
  <c r="CL64" i="47"/>
  <c r="CL75" i="47"/>
  <c r="CM27" i="47"/>
  <c r="U20" i="21"/>
  <c r="U56" i="21" s="1"/>
  <c r="T49" i="49"/>
  <c r="D90" i="44"/>
  <c r="D109" i="44"/>
  <c r="D283" i="44"/>
  <c r="J15" i="31"/>
  <c r="I17" i="31"/>
  <c r="C289" i="44"/>
  <c r="C81" i="44"/>
  <c r="C92" i="44" s="1"/>
  <c r="B92" i="44" s="1"/>
  <c r="U317" i="21"/>
  <c r="U279" i="21"/>
  <c r="U304" i="21"/>
  <c r="T251" i="21"/>
  <c r="T225" i="21"/>
  <c r="T258" i="21" s="1"/>
  <c r="T224" i="21"/>
  <c r="E86" i="44"/>
  <c r="E297" i="44"/>
  <c r="S74" i="21"/>
  <c r="U72" i="21" l="1"/>
  <c r="U76" i="21" s="1"/>
  <c r="T76" i="21"/>
  <c r="T74" i="21" s="1"/>
  <c r="S105" i="21"/>
  <c r="AU50" i="10"/>
  <c r="AU80" i="10" s="1"/>
  <c r="CM75" i="47"/>
  <c r="T191" i="21"/>
  <c r="AU44" i="9"/>
  <c r="V72" i="21"/>
  <c r="Z12" i="21"/>
  <c r="AA12" i="21" s="1"/>
  <c r="T253" i="21"/>
  <c r="T308" i="21" s="1"/>
  <c r="T123" i="21"/>
  <c r="T306" i="21" s="1"/>
  <c r="S130" i="21"/>
  <c r="J17" i="60"/>
  <c r="J18" i="60" s="1"/>
  <c r="I18" i="60"/>
  <c r="H21" i="60"/>
  <c r="H25" i="60" s="1"/>
  <c r="H11" i="60"/>
  <c r="J8" i="60"/>
  <c r="J9" i="60" s="1"/>
  <c r="J10" i="60" s="1"/>
  <c r="I9" i="60"/>
  <c r="I10" i="60" s="1"/>
  <c r="S246" i="21"/>
  <c r="S262" i="21" s="1"/>
  <c r="S108" i="21"/>
  <c r="S110" i="21" s="1"/>
  <c r="S113" i="21" s="1"/>
  <c r="S132" i="21" s="1"/>
  <c r="F87" i="44"/>
  <c r="F302" i="44" s="1"/>
  <c r="S231" i="21"/>
  <c r="S233" i="21" s="1"/>
  <c r="S237" i="21" s="1"/>
  <c r="S252" i="21"/>
  <c r="S84" i="21"/>
  <c r="S121" i="21"/>
  <c r="U77" i="21"/>
  <c r="R239" i="21"/>
  <c r="R243" i="21"/>
  <c r="R244" i="21" s="1"/>
  <c r="R261" i="21" s="1"/>
  <c r="U251" i="21"/>
  <c r="U224" i="21"/>
  <c r="U222" i="21" s="1"/>
  <c r="U225" i="21"/>
  <c r="U258" i="21" s="1"/>
  <c r="C83" i="44"/>
  <c r="M133" i="44"/>
  <c r="M134" i="44" s="1"/>
  <c r="C106" i="44"/>
  <c r="C296" i="44"/>
  <c r="U24" i="21"/>
  <c r="U26" i="21" s="1"/>
  <c r="E106" i="44"/>
  <c r="E83" i="44"/>
  <c r="E296" i="44"/>
  <c r="K297" i="44"/>
  <c r="K279" i="44"/>
  <c r="K285" i="44"/>
  <c r="K276" i="44"/>
  <c r="K290" i="44"/>
  <c r="K301" i="44"/>
  <c r="K298" i="44"/>
  <c r="K280" i="44"/>
  <c r="K291" i="44"/>
  <c r="K282" i="44"/>
  <c r="K281" i="44"/>
  <c r="K300" i="44"/>
  <c r="K284" i="44"/>
  <c r="K299" i="44"/>
  <c r="K289" i="44"/>
  <c r="K278" i="44"/>
  <c r="K277" i="44"/>
  <c r="K293" i="44"/>
  <c r="K274" i="44"/>
  <c r="K302" i="44"/>
  <c r="K286" i="44"/>
  <c r="K292" i="44"/>
  <c r="K296" i="44"/>
  <c r="L273" i="44"/>
  <c r="M26" i="31"/>
  <c r="N21" i="31"/>
  <c r="C87" i="44"/>
  <c r="C301" i="44"/>
  <c r="CJ76" i="47"/>
  <c r="R41" i="53"/>
  <c r="O79" i="49"/>
  <c r="T78" i="49"/>
  <c r="U47" i="21"/>
  <c r="U65" i="21" s="1"/>
  <c r="CL40" i="47"/>
  <c r="CL66" i="47"/>
  <c r="T82" i="21"/>
  <c r="T122" i="21" s="1"/>
  <c r="E129" i="44"/>
  <c r="E87" i="44"/>
  <c r="E302" i="44" s="1"/>
  <c r="E301" i="44"/>
  <c r="U307" i="21"/>
  <c r="U123" i="21"/>
  <c r="U191" i="21"/>
  <c r="U253" i="21"/>
  <c r="U308" i="21" s="1"/>
  <c r="S38" i="21"/>
  <c r="M70" i="49"/>
  <c r="E4" i="58"/>
  <c r="F129" i="44"/>
  <c r="T128" i="21"/>
  <c r="T105" i="21"/>
  <c r="T55" i="49"/>
  <c r="O56" i="49"/>
  <c r="T229" i="21"/>
  <c r="T222" i="21"/>
  <c r="U281" i="21"/>
  <c r="U285" i="21" s="1"/>
  <c r="I29" i="31"/>
  <c r="CM61" i="47"/>
  <c r="CM29" i="47"/>
  <c r="AU45" i="9"/>
  <c r="AU47" i="9" s="1"/>
  <c r="AW44" i="9"/>
  <c r="AW45" i="9" s="1"/>
  <c r="AW47" i="9" s="1"/>
  <c r="E30" i="32"/>
  <c r="E31" i="32" s="1"/>
  <c r="E37" i="32" s="1"/>
  <c r="E39" i="32" s="1"/>
  <c r="E41" i="32" s="1"/>
  <c r="F28" i="32"/>
  <c r="Q103" i="21"/>
  <c r="Q131" i="21"/>
  <c r="I61" i="44"/>
  <c r="T35" i="21"/>
  <c r="N67" i="49"/>
  <c r="T36" i="21" s="1"/>
  <c r="N69" i="49"/>
  <c r="D106" i="44"/>
  <c r="D83" i="44"/>
  <c r="D296" i="44"/>
  <c r="AS66" i="10"/>
  <c r="AS69" i="10" s="1"/>
  <c r="AQ9" i="9"/>
  <c r="K15" i="31"/>
  <c r="J17" i="31"/>
  <c r="R37" i="21"/>
  <c r="R64" i="21"/>
  <c r="G74" i="44"/>
  <c r="F78" i="44"/>
  <c r="F291" i="44"/>
  <c r="CK40" i="47"/>
  <c r="CK76" i="47" s="1"/>
  <c r="CK66" i="47"/>
  <c r="S115" i="21"/>
  <c r="R86" i="21"/>
  <c r="R90" i="21" s="1"/>
  <c r="J62" i="44"/>
  <c r="F106" i="44"/>
  <c r="F83" i="44"/>
  <c r="F296" i="44"/>
  <c r="AW50" i="10"/>
  <c r="AW80" i="10" s="1"/>
  <c r="AW68" i="10"/>
  <c r="AW71" i="10" s="1"/>
  <c r="O66" i="49"/>
  <c r="T61" i="49"/>
  <c r="U30" i="21"/>
  <c r="U120" i="21" l="1"/>
  <c r="U188" i="21" s="1"/>
  <c r="S86" i="21"/>
  <c r="S90" i="21" s="1"/>
  <c r="S92" i="21" s="1"/>
  <c r="I11" i="60"/>
  <c r="I21" i="60"/>
  <c r="I25" i="60" s="1"/>
  <c r="J11" i="60"/>
  <c r="J21" i="60"/>
  <c r="CL76" i="47"/>
  <c r="U82" i="21"/>
  <c r="U122" i="21" s="1"/>
  <c r="S239" i="21"/>
  <c r="S243" i="21"/>
  <c r="S244" i="21" s="1"/>
  <c r="S261" i="21" s="1"/>
  <c r="R92" i="21"/>
  <c r="R96" i="21"/>
  <c r="R101" i="21" s="1"/>
  <c r="R104" i="21" s="1"/>
  <c r="J61" i="44"/>
  <c r="L292" i="44"/>
  <c r="L290" i="44"/>
  <c r="L289" i="44"/>
  <c r="L284" i="44"/>
  <c r="L293" i="44"/>
  <c r="L285" i="44"/>
  <c r="L296" i="44"/>
  <c r="L297" i="44"/>
  <c r="L280" i="44"/>
  <c r="L298" i="44"/>
  <c r="L302" i="44"/>
  <c r="L291" i="44"/>
  <c r="L299" i="44"/>
  <c r="L274" i="44"/>
  <c r="L279" i="44"/>
  <c r="L281" i="44"/>
  <c r="L276" i="44"/>
  <c r="L300" i="44"/>
  <c r="L282" i="44"/>
  <c r="L301" i="44"/>
  <c r="L286" i="44"/>
  <c r="L277" i="44"/>
  <c r="L278" i="44"/>
  <c r="M273" i="44"/>
  <c r="T66" i="49"/>
  <c r="O69" i="49"/>
  <c r="O67" i="49"/>
  <c r="U36" i="21" s="1"/>
  <c r="U35" i="21"/>
  <c r="F130" i="44"/>
  <c r="F298" i="44"/>
  <c r="D130" i="44"/>
  <c r="D298" i="44"/>
  <c r="T38" i="21"/>
  <c r="N70" i="49"/>
  <c r="F4" i="58"/>
  <c r="F30" i="32"/>
  <c r="F31" i="32" s="1"/>
  <c r="F37" i="32" s="1"/>
  <c r="F39" i="32" s="1"/>
  <c r="F41" i="32" s="1"/>
  <c r="G28" i="32"/>
  <c r="T84" i="21"/>
  <c r="T108" i="21"/>
  <c r="T110" i="21" s="1"/>
  <c r="T113" i="21" s="1"/>
  <c r="T132" i="21" s="1"/>
  <c r="T130" i="21"/>
  <c r="T121" i="21"/>
  <c r="U128" i="21"/>
  <c r="U105" i="21"/>
  <c r="U115" i="21" s="1"/>
  <c r="N26" i="31"/>
  <c r="O21" i="31"/>
  <c r="O26" i="31" s="1"/>
  <c r="J29" i="31"/>
  <c r="AQ66" i="9"/>
  <c r="AQ16" i="9"/>
  <c r="AQ23" i="9" s="1"/>
  <c r="AQ51" i="9" s="1"/>
  <c r="T231" i="21"/>
  <c r="T260" i="21"/>
  <c r="T252" i="21"/>
  <c r="T246" i="21"/>
  <c r="T262" i="21" s="1"/>
  <c r="U306" i="21"/>
  <c r="E130" i="44"/>
  <c r="E298" i="44"/>
  <c r="T115" i="21"/>
  <c r="C130" i="44"/>
  <c r="C298" i="44"/>
  <c r="K62" i="44"/>
  <c r="G78" i="44"/>
  <c r="F293" i="44"/>
  <c r="K17" i="31"/>
  <c r="L15" i="31"/>
  <c r="AU66" i="10"/>
  <c r="AU69" i="10" s="1"/>
  <c r="AS9" i="9"/>
  <c r="CM30" i="47"/>
  <c r="CM62" i="47"/>
  <c r="CM34" i="47"/>
  <c r="CM39" i="47" s="1"/>
  <c r="S37" i="21"/>
  <c r="S64" i="21"/>
  <c r="C302" i="44"/>
  <c r="U229" i="21"/>
  <c r="U74" i="21"/>
  <c r="T64" i="21" l="1"/>
  <c r="Z11" i="21"/>
  <c r="AA11" i="21" s="1"/>
  <c r="S96" i="21"/>
  <c r="S101" i="21" s="1"/>
  <c r="S104" i="21" s="1"/>
  <c r="U108" i="21"/>
  <c r="U110" i="21" s="1"/>
  <c r="U113" i="21" s="1"/>
  <c r="U132" i="21" s="1"/>
  <c r="J25" i="60"/>
  <c r="C41" i="60" s="1"/>
  <c r="J26" i="60"/>
  <c r="J27" i="60" s="1"/>
  <c r="C42" i="60" s="1"/>
  <c r="U130" i="21"/>
  <c r="U121" i="21"/>
  <c r="U84" i="21"/>
  <c r="F32" i="31"/>
  <c r="J32" i="31"/>
  <c r="C32" i="31"/>
  <c r="L17" i="31"/>
  <c r="M15" i="31"/>
  <c r="K29" i="31"/>
  <c r="K32" i="31"/>
  <c r="M301" i="44"/>
  <c r="M296" i="44"/>
  <c r="M280" i="44"/>
  <c r="M286" i="44"/>
  <c r="M285" i="44"/>
  <c r="M277" i="44"/>
  <c r="M276" i="44"/>
  <c r="M299" i="44"/>
  <c r="M300" i="44"/>
  <c r="M290" i="44"/>
  <c r="M291" i="44"/>
  <c r="M292" i="44"/>
  <c r="M281" i="44"/>
  <c r="M298" i="44"/>
  <c r="M297" i="44"/>
  <c r="M293" i="44"/>
  <c r="M279" i="44"/>
  <c r="M289" i="44"/>
  <c r="M284" i="44"/>
  <c r="M278" i="44"/>
  <c r="M274" i="44"/>
  <c r="M302" i="44"/>
  <c r="M282" i="44"/>
  <c r="N273" i="44"/>
  <c r="R103" i="21"/>
  <c r="R131" i="21"/>
  <c r="AS16" i="9"/>
  <c r="AS23" i="9" s="1"/>
  <c r="AS51" i="9" s="1"/>
  <c r="AS66" i="9"/>
  <c r="B28" i="31"/>
  <c r="B32" i="31"/>
  <c r="E32" i="31"/>
  <c r="H78" i="44"/>
  <c r="U252" i="21"/>
  <c r="U246" i="21"/>
  <c r="U262" i="21" s="1"/>
  <c r="U231" i="21"/>
  <c r="U260" i="21"/>
  <c r="CM66" i="47"/>
  <c r="CM40" i="47"/>
  <c r="CM76" i="47" s="1"/>
  <c r="AU9" i="9"/>
  <c r="AW66" i="10"/>
  <c r="AW69" i="10" s="1"/>
  <c r="AW9" i="9" s="1"/>
  <c r="D32" i="31"/>
  <c r="G32" i="31"/>
  <c r="I32" i="31"/>
  <c r="H32" i="31"/>
  <c r="O70" i="49"/>
  <c r="T69" i="49"/>
  <c r="U38" i="21"/>
  <c r="U64" i="21" s="1"/>
  <c r="L62" i="44"/>
  <c r="T233" i="21"/>
  <c r="T237" i="21" s="1"/>
  <c r="T86" i="21"/>
  <c r="T90" i="21" s="1"/>
  <c r="G30" i="32"/>
  <c r="G31" i="32" s="1"/>
  <c r="G37" i="32" s="1"/>
  <c r="G39" i="32" s="1"/>
  <c r="G41" i="32" s="1"/>
  <c r="H28" i="32"/>
  <c r="H30" i="32" s="1"/>
  <c r="H31" i="32" s="1"/>
  <c r="H37" i="32" s="1"/>
  <c r="H39" i="32" s="1"/>
  <c r="H41" i="32" s="1"/>
  <c r="K61" i="44"/>
  <c r="S131" i="21" l="1"/>
  <c r="S103" i="21"/>
  <c r="U86" i="21"/>
  <c r="U90" i="21" s="1"/>
  <c r="U96" i="21" s="1"/>
  <c r="U101" i="21" s="1"/>
  <c r="U104" i="21" s="1"/>
  <c r="C43" i="60"/>
  <c r="C48" i="60" s="1"/>
  <c r="C49" i="60" s="1"/>
  <c r="I78" i="44"/>
  <c r="T92" i="21"/>
  <c r="T96" i="21"/>
  <c r="T101" i="21" s="1"/>
  <c r="T104" i="21" s="1"/>
  <c r="T243" i="21"/>
  <c r="T244" i="21" s="1"/>
  <c r="T261" i="21" s="1"/>
  <c r="T239" i="21"/>
  <c r="M62" i="44"/>
  <c r="AW66" i="9"/>
  <c r="AW16" i="9"/>
  <c r="AW23" i="9" s="1"/>
  <c r="AW51" i="9" s="1"/>
  <c r="L61" i="44"/>
  <c r="AU66" i="9"/>
  <c r="AU16" i="9"/>
  <c r="AU23" i="9" s="1"/>
  <c r="AU51" i="9" s="1"/>
  <c r="U233" i="21"/>
  <c r="U237" i="21" s="1"/>
  <c r="N301" i="44"/>
  <c r="N298" i="44"/>
  <c r="N280" i="44"/>
  <c r="N297" i="44"/>
  <c r="N291" i="44"/>
  <c r="N285" i="44"/>
  <c r="N277" i="44"/>
  <c r="N281" i="44"/>
  <c r="N286" i="44"/>
  <c r="N282" i="44"/>
  <c r="N290" i="44"/>
  <c r="N296" i="44"/>
  <c r="N289" i="44"/>
  <c r="N292" i="44"/>
  <c r="N300" i="44"/>
  <c r="N279" i="44"/>
  <c r="N276" i="44"/>
  <c r="N278" i="44"/>
  <c r="N284" i="44"/>
  <c r="N299" i="44"/>
  <c r="N302" i="44"/>
  <c r="N274" i="44"/>
  <c r="N293" i="44"/>
  <c r="O273" i="44"/>
  <c r="N15" i="31"/>
  <c r="M17" i="31"/>
  <c r="B30" i="31"/>
  <c r="B31" i="31" s="1"/>
  <c r="B37" i="31" s="1"/>
  <c r="B39" i="31" s="1"/>
  <c r="B41" i="31" s="1"/>
  <c r="C28" i="31"/>
  <c r="L29" i="31"/>
  <c r="L32" i="31"/>
  <c r="J78" i="44" l="1"/>
  <c r="U92" i="21"/>
  <c r="U239" i="21"/>
  <c r="U243" i="21"/>
  <c r="U244" i="21" s="1"/>
  <c r="U261" i="21" s="1"/>
  <c r="O276" i="44"/>
  <c r="O286" i="44"/>
  <c r="O281" i="44"/>
  <c r="O278" i="44"/>
  <c r="O300" i="44"/>
  <c r="O297" i="44"/>
  <c r="O277" i="44"/>
  <c r="O296" i="44"/>
  <c r="O284" i="44"/>
  <c r="O279" i="44"/>
  <c r="O298" i="44"/>
  <c r="O290" i="44"/>
  <c r="O274" i="44"/>
  <c r="O292" i="44"/>
  <c r="O293" i="44"/>
  <c r="O291" i="44"/>
  <c r="O299" i="44"/>
  <c r="O282" i="44"/>
  <c r="O301" i="44"/>
  <c r="O302" i="44"/>
  <c r="O280" i="44"/>
  <c r="O289" i="44"/>
  <c r="O285" i="44"/>
  <c r="P273" i="44"/>
  <c r="N62" i="44"/>
  <c r="T103" i="21"/>
  <c r="T131" i="21"/>
  <c r="C30" i="31"/>
  <c r="C31" i="31" s="1"/>
  <c r="C37" i="31" s="1"/>
  <c r="C39" i="31" s="1"/>
  <c r="C41" i="31" s="1"/>
  <c r="D28" i="31"/>
  <c r="M29" i="31"/>
  <c r="M32" i="31"/>
  <c r="N17" i="31"/>
  <c r="O15" i="31"/>
  <c r="O17" i="31" s="1"/>
  <c r="O29" i="31" s="1"/>
  <c r="M61" i="44"/>
  <c r="U103" i="21"/>
  <c r="U131" i="21"/>
  <c r="K78" i="44" l="1"/>
  <c r="N32" i="31"/>
  <c r="N29" i="31"/>
  <c r="N61" i="44"/>
  <c r="D30" i="31"/>
  <c r="D31" i="31" s="1"/>
  <c r="D37" i="31" s="1"/>
  <c r="D39" i="31" s="1"/>
  <c r="D41" i="31" s="1"/>
  <c r="E28" i="31"/>
  <c r="O62" i="44"/>
  <c r="P297" i="44"/>
  <c r="P285" i="44"/>
  <c r="P274" i="44"/>
  <c r="P284" i="44"/>
  <c r="P298" i="44"/>
  <c r="P299" i="44"/>
  <c r="P290" i="44"/>
  <c r="P293" i="44"/>
  <c r="P291" i="44"/>
  <c r="P300" i="44"/>
  <c r="P278" i="44"/>
  <c r="P277" i="44"/>
  <c r="P296" i="44"/>
  <c r="P276" i="44"/>
  <c r="P302" i="44"/>
  <c r="P280" i="44"/>
  <c r="P292" i="44"/>
  <c r="P282" i="44"/>
  <c r="P286" i="44"/>
  <c r="P281" i="44"/>
  <c r="P301" i="44"/>
  <c r="P289" i="44"/>
  <c r="P279" i="44"/>
  <c r="Q273" i="44"/>
  <c r="L78" i="44" l="1"/>
  <c r="P62" i="44"/>
  <c r="O61" i="44"/>
  <c r="E30" i="31"/>
  <c r="E31" i="31" s="1"/>
  <c r="E37" i="31" s="1"/>
  <c r="E39" i="31" s="1"/>
  <c r="E41" i="31" s="1"/>
  <c r="F28" i="31"/>
  <c r="Q289" i="44"/>
  <c r="Q279" i="44"/>
  <c r="Q293" i="44"/>
  <c r="Q285" i="44"/>
  <c r="Q274" i="44"/>
  <c r="Q290" i="44"/>
  <c r="Q281" i="44"/>
  <c r="Q276" i="44"/>
  <c r="Q277" i="44"/>
  <c r="Q282" i="44"/>
  <c r="Q280" i="44"/>
  <c r="Q291" i="44"/>
  <c r="Q300" i="44"/>
  <c r="Q301" i="44"/>
  <c r="Q296" i="44"/>
  <c r="Q284" i="44"/>
  <c r="Q302" i="44"/>
  <c r="Q297" i="44"/>
  <c r="Q286" i="44"/>
  <c r="Q292" i="44"/>
  <c r="Q299" i="44"/>
  <c r="Q298" i="44"/>
  <c r="Q278" i="44"/>
  <c r="R273" i="44"/>
  <c r="M78" i="44" l="1"/>
  <c r="P61" i="44"/>
  <c r="G28" i="31"/>
  <c r="F30" i="31"/>
  <c r="F31" i="31" s="1"/>
  <c r="F37" i="31" s="1"/>
  <c r="F39" i="31" s="1"/>
  <c r="F41" i="31" s="1"/>
  <c r="R299" i="44"/>
  <c r="R297" i="44"/>
  <c r="R279" i="44"/>
  <c r="R285" i="44"/>
  <c r="R286" i="44"/>
  <c r="R298" i="44"/>
  <c r="R289" i="44"/>
  <c r="R274" i="44"/>
  <c r="R301" i="44"/>
  <c r="R302" i="44"/>
  <c r="R281" i="44"/>
  <c r="R296" i="44"/>
  <c r="R276" i="44"/>
  <c r="R292" i="44"/>
  <c r="R291" i="44"/>
  <c r="R282" i="44"/>
  <c r="R300" i="44"/>
  <c r="R280" i="44"/>
  <c r="R290" i="44"/>
  <c r="R293" i="44"/>
  <c r="R277" i="44"/>
  <c r="R284" i="44"/>
  <c r="R278" i="44"/>
  <c r="S273" i="44"/>
  <c r="Q62" i="44"/>
  <c r="N78" i="44" l="1"/>
  <c r="R62" i="44"/>
  <c r="Q61" i="44"/>
  <c r="S300" i="44"/>
  <c r="S281" i="44"/>
  <c r="S302" i="44"/>
  <c r="S296" i="44"/>
  <c r="S298" i="44"/>
  <c r="S291" i="44"/>
  <c r="S297" i="44"/>
  <c r="S299" i="44"/>
  <c r="S284" i="44"/>
  <c r="S292" i="44"/>
  <c r="S293" i="44"/>
  <c r="S274" i="44"/>
  <c r="S279" i="44"/>
  <c r="S280" i="44"/>
  <c r="S278" i="44"/>
  <c r="S276" i="44"/>
  <c r="S282" i="44"/>
  <c r="S301" i="44"/>
  <c r="S290" i="44"/>
  <c r="S286" i="44"/>
  <c r="S289" i="44"/>
  <c r="S277" i="44"/>
  <c r="S285" i="44"/>
  <c r="T273" i="44"/>
  <c r="H28" i="31"/>
  <c r="G30" i="31"/>
  <c r="G31" i="31" s="1"/>
  <c r="G37" i="31" s="1"/>
  <c r="G39" i="31" s="1"/>
  <c r="G41" i="31" s="1"/>
  <c r="O78" i="44" l="1"/>
  <c r="H30" i="31"/>
  <c r="H31" i="31" s="1"/>
  <c r="H37" i="31" s="1"/>
  <c r="H39" i="31" s="1"/>
  <c r="H41" i="31" s="1"/>
  <c r="I28" i="31"/>
  <c r="R61" i="44"/>
  <c r="T300" i="44"/>
  <c r="T290" i="44"/>
  <c r="T277" i="44"/>
  <c r="T296" i="44"/>
  <c r="T293" i="44"/>
  <c r="T297" i="44"/>
  <c r="T289" i="44"/>
  <c r="T291" i="44"/>
  <c r="T282" i="44"/>
  <c r="T284" i="44"/>
  <c r="T302" i="44"/>
  <c r="T285" i="44"/>
  <c r="T280" i="44"/>
  <c r="T279" i="44"/>
  <c r="T299" i="44"/>
  <c r="T298" i="44"/>
  <c r="T286" i="44"/>
  <c r="T281" i="44"/>
  <c r="T301" i="44"/>
  <c r="T274" i="44"/>
  <c r="T292" i="44"/>
  <c r="T278" i="44"/>
  <c r="T276" i="44"/>
  <c r="U273" i="44"/>
  <c r="S62" i="44"/>
  <c r="P78" i="44" l="1"/>
  <c r="T62" i="44"/>
  <c r="I30" i="31"/>
  <c r="I31" i="31" s="1"/>
  <c r="I37" i="31" s="1"/>
  <c r="I39" i="31" s="1"/>
  <c r="I41" i="31" s="1"/>
  <c r="J28" i="31"/>
  <c r="U281" i="44"/>
  <c r="U286" i="44"/>
  <c r="U284" i="44"/>
  <c r="U298" i="44"/>
  <c r="U276" i="44"/>
  <c r="U300" i="44"/>
  <c r="U274" i="44"/>
  <c r="U292" i="44"/>
  <c r="U279" i="44"/>
  <c r="U293" i="44"/>
  <c r="U289" i="44"/>
  <c r="U282" i="44"/>
  <c r="U280" i="44"/>
  <c r="U278" i="44"/>
  <c r="U285" i="44"/>
  <c r="U301" i="44"/>
  <c r="U290" i="44"/>
  <c r="U291" i="44"/>
  <c r="U302" i="44"/>
  <c r="U296" i="44"/>
  <c r="U299" i="44"/>
  <c r="U277" i="44"/>
  <c r="U297" i="44"/>
  <c r="V273" i="44"/>
  <c r="S61" i="44"/>
  <c r="Q78" i="44" l="1"/>
  <c r="V286" i="44"/>
  <c r="V289" i="44"/>
  <c r="V274" i="44"/>
  <c r="V277" i="44"/>
  <c r="V293" i="44"/>
  <c r="V285" i="44"/>
  <c r="V281" i="44"/>
  <c r="V279" i="44"/>
  <c r="V282" i="44"/>
  <c r="V297" i="44"/>
  <c r="V290" i="44"/>
  <c r="V299" i="44"/>
  <c r="V301" i="44"/>
  <c r="V278" i="44"/>
  <c r="V300" i="44"/>
  <c r="V284" i="44"/>
  <c r="V280" i="44"/>
  <c r="V296" i="44"/>
  <c r="V276" i="44"/>
  <c r="V291" i="44"/>
  <c r="V302" i="44"/>
  <c r="V292" i="44"/>
  <c r="V298" i="44"/>
  <c r="T61" i="44"/>
  <c r="J30" i="31"/>
  <c r="J31" i="31" s="1"/>
  <c r="J37" i="31" s="1"/>
  <c r="J39" i="31" s="1"/>
  <c r="J41" i="31" s="1"/>
  <c r="K28" i="31"/>
  <c r="U62" i="44"/>
  <c r="R78" i="44" l="1"/>
  <c r="V62" i="44"/>
  <c r="L28" i="31"/>
  <c r="K30" i="31"/>
  <c r="K31" i="31" s="1"/>
  <c r="K37" i="31" s="1"/>
  <c r="K39" i="31" s="1"/>
  <c r="K41" i="31" s="1"/>
  <c r="U61" i="44"/>
  <c r="G277" i="44"/>
  <c r="S78" i="44" l="1"/>
  <c r="V61" i="44"/>
  <c r="L30" i="31"/>
  <c r="L31" i="31" s="1"/>
  <c r="L37" i="31" s="1"/>
  <c r="L39" i="31" s="1"/>
  <c r="L41" i="31" s="1"/>
  <c r="M28" i="31"/>
  <c r="T78" i="44" l="1"/>
  <c r="N28" i="31"/>
  <c r="M30" i="31"/>
  <c r="M31" i="31" s="1"/>
  <c r="M37" i="31" s="1"/>
  <c r="M39" i="31" s="1"/>
  <c r="M41" i="31" s="1"/>
  <c r="W61" i="44"/>
  <c r="U78" i="44" l="1"/>
  <c r="X61" i="44"/>
  <c r="N30" i="31"/>
  <c r="N31" i="31" s="1"/>
  <c r="N37" i="31" s="1"/>
  <c r="N39" i="31" s="1"/>
  <c r="N41" i="31" s="1"/>
  <c r="O28" i="31"/>
  <c r="O30" i="31" s="1"/>
  <c r="O31" i="31" s="1"/>
  <c r="O37" i="31" s="1"/>
  <c r="O39" i="31" s="1"/>
  <c r="O41" i="31" s="1"/>
  <c r="V78" i="44" l="1"/>
  <c r="Y61" i="44"/>
  <c r="G293" i="44"/>
  <c r="Z61" i="44" l="1"/>
  <c r="AA61" i="44" l="1"/>
  <c r="AB61" i="44" l="1"/>
  <c r="AC61" i="44" l="1"/>
  <c r="AD61" i="44" l="1"/>
  <c r="AE61" i="44" l="1"/>
  <c r="AF61" i="44" l="1"/>
  <c r="AG61" i="44" l="1"/>
  <c r="AH61" i="44" l="1"/>
  <c r="AI61" i="44" l="1"/>
  <c r="AJ61" i="44" l="1"/>
  <c r="AK61" i="44" l="1"/>
  <c r="AL61" i="44" l="1"/>
  <c r="AM61" i="44" l="1"/>
  <c r="AN61" i="44" l="1"/>
  <c r="AO61" i="44" l="1"/>
  <c r="AP61" i="44" l="1"/>
  <c r="AQ61" i="44" l="1"/>
  <c r="AR61" i="44" l="1"/>
  <c r="AS61" i="44" l="1"/>
  <c r="AT61" i="44" l="1"/>
  <c r="AU61" i="44" l="1"/>
  <c r="AV61" i="44" l="1"/>
  <c r="AW61" i="44" l="1"/>
  <c r="AX61" i="44" l="1"/>
  <c r="AY61" i="44" l="1"/>
  <c r="AZ61" i="44" l="1"/>
  <c r="BA61" i="44" l="1"/>
  <c r="BB61" i="44" l="1"/>
  <c r="BC61" i="44" l="1"/>
  <c r="BD61" i="44" l="1"/>
  <c r="BE61" i="44" l="1"/>
  <c r="BF61" i="44" l="1"/>
  <c r="BG61" i="44" l="1"/>
  <c r="BH61" i="44" l="1"/>
  <c r="BI61" i="44" l="1"/>
  <c r="BJ61" i="44" l="1"/>
  <c r="BK61" i="44" l="1"/>
  <c r="BL61" i="44" l="1"/>
  <c r="BM61" i="44" l="1"/>
  <c r="BN61" i="44" l="1"/>
  <c r="BO61" i="44" l="1"/>
  <c r="BP61" i="44" l="1"/>
  <c r="BQ61" i="44" l="1"/>
  <c r="BR61" i="44" l="1"/>
  <c r="BS61" i="44" l="1"/>
  <c r="BT61" i="44" l="1"/>
  <c r="BU61" i="44" l="1"/>
  <c r="BV61" i="44" l="1"/>
  <c r="BW61" i="44" l="1"/>
  <c r="BX61" i="44" l="1"/>
  <c r="BY61" i="44" l="1"/>
  <c r="BZ61" i="44" l="1"/>
  <c r="CA61" i="44" l="1"/>
  <c r="CB61" i="44" l="1"/>
  <c r="CC61" i="44" l="1"/>
  <c r="CD61" i="44" l="1"/>
  <c r="CE61" i="44" l="1"/>
  <c r="CF61" i="44" l="1"/>
  <c r="CG61" i="44" l="1"/>
  <c r="CH61" i="44" l="1"/>
  <c r="CI61" i="44" l="1"/>
  <c r="CJ61" i="44" l="1"/>
  <c r="CK61" i="44" l="1"/>
  <c r="CL61" i="44" l="1"/>
  <c r="CM61" i="44" l="1"/>
  <c r="CN61" i="44" l="1"/>
  <c r="CO61" i="44" l="1"/>
  <c r="CP61" i="44" l="1"/>
  <c r="CQ61" i="44" l="1"/>
  <c r="CR61" i="44" l="1"/>
  <c r="CS61" i="44" l="1"/>
  <c r="CT61" i="44" l="1"/>
  <c r="CU61" i="44" l="1"/>
  <c r="CV61" i="44" l="1"/>
  <c r="CW61" i="44" l="1"/>
  <c r="CX61" i="44" l="1"/>
  <c r="CY61" i="44" l="1"/>
  <c r="CZ61" i="44" l="1"/>
  <c r="DA61" i="44" l="1"/>
  <c r="DB61" i="44" l="1"/>
  <c r="DC61" i="44" l="1"/>
  <c r="DD61" i="44" l="1"/>
  <c r="DE61" i="44" l="1"/>
  <c r="DF61" i="44" l="1"/>
  <c r="DG61" i="44" l="1"/>
  <c r="DH61" i="44" l="1"/>
  <c r="DI61" i="44" l="1"/>
  <c r="DJ61" i="44" l="1"/>
  <c r="DK61" i="44" l="1"/>
  <c r="DL61" i="44" l="1"/>
  <c r="DM61" i="44" l="1"/>
  <c r="DN61" i="44" l="1"/>
  <c r="DO61" i="44" l="1"/>
  <c r="DP61" i="44" l="1"/>
  <c r="DQ61" i="44" l="1"/>
  <c r="DR61" i="44" l="1"/>
  <c r="DS61" i="44" l="1"/>
  <c r="DT61" i="44" l="1"/>
  <c r="DU61" i="44" l="1"/>
  <c r="DV61" i="44" l="1"/>
  <c r="DW61" i="44" l="1"/>
  <c r="DX61" i="44" l="1"/>
  <c r="DY61" i="44" l="1"/>
  <c r="DZ61" i="44" l="1"/>
  <c r="EA61" i="44" l="1"/>
  <c r="EB61" i="44" l="1"/>
  <c r="EC61" i="44" l="1"/>
  <c r="ED61" i="44" l="1"/>
  <c r="EE61" i="44" l="1"/>
  <c r="EF61" i="44" l="1"/>
  <c r="EG61" i="44" l="1"/>
  <c r="EH61" i="44" l="1"/>
  <c r="EI61" i="44" l="1"/>
  <c r="EJ61" i="44" l="1"/>
  <c r="EK61" i="44" l="1"/>
  <c r="EL61" i="44" l="1"/>
  <c r="EM61" i="44" l="1"/>
  <c r="EN61" i="44" l="1"/>
  <c r="EO61" i="44" l="1"/>
  <c r="EP61" i="44" l="1"/>
  <c r="EQ61" i="44" l="1"/>
  <c r="ER61" i="44" l="1"/>
  <c r="ES61" i="44" l="1"/>
  <c r="ET61" i="44" l="1"/>
  <c r="EU61" i="44" l="1"/>
  <c r="EV61" i="44" l="1"/>
  <c r="EW61" i="44" l="1"/>
  <c r="EX61" i="44" l="1"/>
  <c r="EY61" i="44" l="1"/>
  <c r="EZ61" i="44" l="1"/>
  <c r="FA61" i="44" l="1"/>
  <c r="FB61" i="44" l="1"/>
  <c r="FC61" i="44" l="1"/>
  <c r="FD61" i="44" l="1"/>
  <c r="FE61" i="44" l="1"/>
  <c r="FF61" i="44" l="1"/>
  <c r="FG61" i="44" l="1"/>
  <c r="FH61" i="44" l="1"/>
  <c r="FI61" i="44" l="1"/>
  <c r="FJ61" i="44" l="1"/>
  <c r="FK61" i="44" l="1"/>
  <c r="FL61" i="44" l="1"/>
  <c r="FM61" i="44" l="1"/>
  <c r="FN61" i="44" l="1"/>
  <c r="FO61" i="44" l="1"/>
  <c r="FP61" i="44" l="1"/>
  <c r="FQ61" i="44" l="1"/>
  <c r="FR61" i="44" l="1"/>
  <c r="FS61" i="44" l="1"/>
  <c r="FT61" i="44" l="1"/>
  <c r="FU61" i="44" l="1"/>
  <c r="FV61" i="44" l="1"/>
  <c r="FW61" i="44" l="1"/>
  <c r="FX61" i="44" l="1"/>
  <c r="FY61" i="44" l="1"/>
  <c r="FZ61" i="44" l="1"/>
  <c r="GA61" i="44" l="1"/>
  <c r="GB61" i="44" l="1"/>
  <c r="GC61" i="44" l="1"/>
  <c r="GD61" i="44" l="1"/>
  <c r="GE61" i="44" l="1"/>
  <c r="GF61" i="44" l="1"/>
  <c r="GG61" i="44" l="1"/>
  <c r="GH61" i="44" l="1"/>
  <c r="GI61" i="44" l="1"/>
  <c r="GJ61" i="44" l="1"/>
  <c r="GK61" i="44" l="1"/>
  <c r="GL61" i="44" l="1"/>
  <c r="GM61" i="44" l="1"/>
  <c r="GN61" i="44" l="1"/>
  <c r="GO61" i="44" l="1"/>
  <c r="GP61" i="44" l="1"/>
  <c r="GQ61" i="44" l="1"/>
  <c r="GR61" i="44" l="1"/>
  <c r="GS61" i="44" l="1"/>
  <c r="GT61" i="44" l="1"/>
  <c r="GU61" i="44" l="1"/>
  <c r="GV61" i="44" l="1"/>
  <c r="GW61" i="44" l="1"/>
  <c r="GX61" i="44" l="1"/>
  <c r="GY61" i="44" l="1"/>
  <c r="GZ61" i="44" l="1"/>
  <c r="HA61" i="44" l="1"/>
  <c r="HB61" i="44" l="1"/>
  <c r="HC61" i="44" l="1"/>
  <c r="HD61" i="44" l="1"/>
  <c r="HE61" i="44" l="1"/>
  <c r="HF61" i="44" l="1"/>
  <c r="HG61" i="44" l="1"/>
  <c r="HH61" i="44" l="1"/>
  <c r="HI61" i="44" l="1"/>
  <c r="HJ61" i="44" l="1"/>
  <c r="HK61" i="44" l="1"/>
  <c r="HL61" i="44" l="1"/>
  <c r="HM61" i="44" l="1"/>
  <c r="HN61" i="44" l="1"/>
  <c r="HO61" i="44" l="1"/>
  <c r="HP61" i="44" l="1"/>
  <c r="HQ61" i="44" l="1"/>
  <c r="HR61" i="44" l="1"/>
  <c r="HS61" i="44" l="1"/>
  <c r="HT61" i="44" l="1"/>
  <c r="HU61" i="44" l="1"/>
  <c r="HV61" i="44" l="1"/>
  <c r="HW61" i="44" l="1"/>
  <c r="HX61" i="44" l="1"/>
  <c r="HY61" i="44" l="1"/>
  <c r="HZ61" i="44" l="1"/>
  <c r="IA61" i="44" l="1"/>
  <c r="IB61" i="44" l="1"/>
  <c r="IC61" i="44" l="1"/>
  <c r="ID61" i="44" l="1"/>
  <c r="IE61" i="44" l="1"/>
  <c r="IF61" i="44" l="1"/>
  <c r="IG61" i="44" l="1"/>
  <c r="IH61" i="44" l="1"/>
  <c r="II61" i="44" l="1"/>
  <c r="IJ61" i="44" l="1"/>
  <c r="IK61" i="44" l="1"/>
  <c r="IL61" i="44" l="1"/>
  <c r="IM61" i="44" l="1"/>
  <c r="IN61" i="44" l="1"/>
  <c r="IO61" i="44" l="1"/>
  <c r="IP61" i="44" l="1"/>
  <c r="IQ61" i="44" l="1"/>
  <c r="IR61" i="44" l="1"/>
  <c r="P322" i="21" l="1"/>
  <c r="P198" i="21"/>
  <c r="P197" i="21"/>
  <c r="P196" i="21"/>
  <c r="P199" i="21"/>
  <c r="P200" i="21"/>
  <c r="P194" i="21"/>
  <c r="P202" i="21" s="1"/>
  <c r="Q141" i="21"/>
  <c r="Q148" i="21" s="1"/>
  <c r="Q197" i="21" l="1"/>
  <c r="Q181" i="21"/>
  <c r="Q145" i="21"/>
  <c r="Q143" i="21" s="1"/>
  <c r="Q146" i="21"/>
  <c r="R141" i="21"/>
  <c r="Q196" i="21" l="1"/>
  <c r="Q183" i="21"/>
  <c r="Q151" i="21"/>
  <c r="Q190" i="21" s="1"/>
  <c r="R145" i="21"/>
  <c r="S141" i="21"/>
  <c r="R148" i="21"/>
  <c r="R146" i="21"/>
  <c r="R196" i="21" l="1"/>
  <c r="R183" i="21"/>
  <c r="R197" i="21"/>
  <c r="R181" i="21"/>
  <c r="S145" i="21"/>
  <c r="S148" i="21"/>
  <c r="S146" i="21"/>
  <c r="T141" i="21"/>
  <c r="R151" i="21"/>
  <c r="R190" i="21" s="1"/>
  <c r="Q189" i="21"/>
  <c r="Q198" i="21"/>
  <c r="Q153" i="21"/>
  <c r="Q177" i="21"/>
  <c r="Q179" i="21" s="1"/>
  <c r="Q182" i="21" s="1"/>
  <c r="Q200" i="21" s="1"/>
  <c r="R143" i="21"/>
  <c r="S151" i="21" l="1"/>
  <c r="U141" i="21"/>
  <c r="T145" i="21"/>
  <c r="T143" i="21" s="1"/>
  <c r="T148" i="21"/>
  <c r="T146" i="21"/>
  <c r="Q155" i="21"/>
  <c r="Q159" i="21" s="1"/>
  <c r="S181" i="21"/>
  <c r="S197" i="21"/>
  <c r="S183" i="21"/>
  <c r="S196" i="21"/>
  <c r="R189" i="21"/>
  <c r="R177" i="21"/>
  <c r="R179" i="21" s="1"/>
  <c r="R182" i="21" s="1"/>
  <c r="R200" i="21" s="1"/>
  <c r="R198" i="21"/>
  <c r="R153" i="21"/>
  <c r="S143" i="21"/>
  <c r="S189" i="21" l="1"/>
  <c r="S190" i="21"/>
  <c r="S153" i="21"/>
  <c r="S155" i="21" s="1"/>
  <c r="S159" i="21" s="1"/>
  <c r="S198" i="21"/>
  <c r="S177" i="21"/>
  <c r="S179" i="21" s="1"/>
  <c r="S182" i="21" s="1"/>
  <c r="S200" i="21" s="1"/>
  <c r="T197" i="21"/>
  <c r="T181" i="21"/>
  <c r="Q161" i="21"/>
  <c r="Q165" i="21"/>
  <c r="Q170" i="21" s="1"/>
  <c r="Q173" i="21" s="1"/>
  <c r="T151" i="21"/>
  <c r="T190" i="21" s="1"/>
  <c r="T183" i="21"/>
  <c r="T196" i="21"/>
  <c r="R155" i="21"/>
  <c r="R159" i="21" s="1"/>
  <c r="U148" i="21"/>
  <c r="U146" i="21"/>
  <c r="U145" i="21"/>
  <c r="U143" i="21" s="1"/>
  <c r="U151" i="21" l="1"/>
  <c r="S161" i="21"/>
  <c r="S165" i="21"/>
  <c r="S170" i="21" s="1"/>
  <c r="S173" i="21" s="1"/>
  <c r="R161" i="21"/>
  <c r="R165" i="21"/>
  <c r="R170" i="21" s="1"/>
  <c r="R173" i="21" s="1"/>
  <c r="Z13" i="21" s="1"/>
  <c r="Q199" i="21"/>
  <c r="Q172" i="21"/>
  <c r="Q174" i="21"/>
  <c r="T198" i="21"/>
  <c r="T153" i="21"/>
  <c r="T177" i="21"/>
  <c r="T179" i="21" s="1"/>
  <c r="T182" i="21" s="1"/>
  <c r="T200" i="21" s="1"/>
  <c r="T189" i="21"/>
  <c r="U196" i="21"/>
  <c r="U183" i="21"/>
  <c r="U181" i="21"/>
  <c r="U197" i="21"/>
  <c r="U198" i="21" l="1"/>
  <c r="U190" i="21"/>
  <c r="U189" i="21"/>
  <c r="U177" i="21"/>
  <c r="U179" i="21" s="1"/>
  <c r="U182" i="21" s="1"/>
  <c r="U200" i="21" s="1"/>
  <c r="U153" i="21"/>
  <c r="U155" i="21" s="1"/>
  <c r="R174" i="21"/>
  <c r="R172" i="21"/>
  <c r="AA13" i="21"/>
  <c r="R199" i="21"/>
  <c r="T155" i="21"/>
  <c r="T159" i="21" s="1"/>
  <c r="S172" i="21"/>
  <c r="S174" i="21"/>
  <c r="S199" i="21"/>
  <c r="U159" i="21" l="1"/>
  <c r="U165" i="21" s="1"/>
  <c r="U170" i="21" s="1"/>
  <c r="U173" i="21" s="1"/>
  <c r="T161" i="21"/>
  <c r="T165" i="21"/>
  <c r="T170" i="21" s="1"/>
  <c r="T173" i="21" s="1"/>
  <c r="U161" i="21" l="1"/>
  <c r="U199" i="21"/>
  <c r="U172" i="21"/>
  <c r="U174" i="21"/>
  <c r="T199" i="21"/>
  <c r="T174" i="21"/>
  <c r="T172" i="21"/>
  <c r="G128" i="3" l="1"/>
  <c r="AE128" i="3" s="1"/>
  <c r="O128" i="3" l="1"/>
  <c r="AM30" i="9" l="1"/>
  <c r="AM37" i="9" s="1"/>
  <c r="AM47" i="9" s="1"/>
  <c r="AM51" i="9" l="1"/>
  <c r="G35" i="31"/>
  <c r="G36" i="31" s="1"/>
  <c r="G35" i="32"/>
  <c r="G36" i="32" s="1"/>
  <c r="AM64" i="9"/>
  <c r="E311" i="44"/>
  <c r="E53" i="44" s="1"/>
  <c r="E57" i="44" l="1"/>
  <c r="E100" i="44"/>
  <c r="AC100" i="44" s="1"/>
  <c r="B100" i="44" s="1"/>
  <c r="E66" i="44"/>
  <c r="E281" i="44" l="1"/>
  <c r="E68" i="44"/>
  <c r="F68" i="44"/>
  <c r="U30" i="44"/>
  <c r="F67" i="44"/>
  <c r="E90" i="44" l="1"/>
  <c r="E283" i="44"/>
  <c r="E109" i="44"/>
  <c r="AT66" i="44"/>
  <c r="BJ66" i="44"/>
  <c r="BZ66" i="44"/>
  <c r="BN66" i="44"/>
  <c r="DV66" i="44"/>
  <c r="BW66" i="44"/>
  <c r="FO66" i="44"/>
  <c r="GE66" i="44"/>
  <c r="GU66" i="44"/>
  <c r="HK66" i="44"/>
  <c r="BX66" i="44"/>
  <c r="Z66" i="44"/>
  <c r="DB66" i="44"/>
  <c r="FN66" i="44"/>
  <c r="HZ66" i="44"/>
  <c r="AL66" i="44"/>
  <c r="DF66" i="44"/>
  <c r="BG66" i="44"/>
  <c r="DS66" i="44"/>
  <c r="EI66" i="44"/>
  <c r="EY66" i="44"/>
  <c r="BH66" i="44"/>
  <c r="DT66" i="44"/>
  <c r="CL66" i="44"/>
  <c r="EX66" i="44"/>
  <c r="HJ66" i="44"/>
  <c r="AD66" i="44"/>
  <c r="CP66" i="44"/>
  <c r="AQ66" i="44"/>
  <c r="DC66" i="44"/>
  <c r="AR66" i="44"/>
  <c r="DD66" i="44"/>
  <c r="CD66" i="44"/>
  <c r="EH66" i="44"/>
  <c r="GT66" i="44"/>
  <c r="GX66" i="44"/>
  <c r="CN66" i="44"/>
  <c r="IP66" i="44"/>
  <c r="AM66" i="44"/>
  <c r="CY66" i="44"/>
  <c r="GQ66" i="44"/>
  <c r="GH66" i="44"/>
  <c r="BR66" i="44"/>
  <c r="ET66" i="44"/>
  <c r="FJ66" i="44"/>
  <c r="AI66" i="44"/>
  <c r="CT66" i="44"/>
  <c r="FF66" i="44"/>
  <c r="HR66" i="44"/>
  <c r="AE66" i="44"/>
  <c r="CQ66" i="44"/>
  <c r="FC66" i="44"/>
  <c r="IE66" i="44"/>
  <c r="AN66" i="44"/>
  <c r="EB66" i="44"/>
  <c r="GJ66" i="44"/>
  <c r="AO66" i="44"/>
  <c r="DA66" i="44"/>
  <c r="FM66" i="44"/>
  <c r="HY66" i="44"/>
  <c r="CU66" i="44"/>
  <c r="II66" i="44"/>
  <c r="BD66" i="44"/>
  <c r="EJ66" i="44"/>
  <c r="GV66" i="44"/>
  <c r="BQ66" i="44"/>
  <c r="EC66" i="44"/>
  <c r="GO66" i="44"/>
  <c r="BL66" i="44"/>
  <c r="EF66" i="44"/>
  <c r="GR66" i="44"/>
  <c r="AG66" i="44"/>
  <c r="CS66" i="44"/>
  <c r="FE66" i="44"/>
  <c r="HQ66" i="44"/>
  <c r="EA66" i="44"/>
  <c r="ID66" i="44"/>
  <c r="AB66" i="44"/>
  <c r="GD66" i="44"/>
  <c r="W66" i="44"/>
  <c r="CI66" i="44"/>
  <c r="EU66" i="44"/>
  <c r="FK66" i="44"/>
  <c r="GA66" i="44"/>
  <c r="FB66" i="44"/>
  <c r="AP66" i="44"/>
  <c r="ED66" i="44"/>
  <c r="IL66" i="44"/>
  <c r="CE66" i="44"/>
  <c r="CH66" i="44"/>
  <c r="EP66" i="44"/>
  <c r="HB66" i="44"/>
  <c r="CA66" i="44"/>
  <c r="EM66" i="44"/>
  <c r="GY66" i="44"/>
  <c r="AF66" i="44"/>
  <c r="CZ66" i="44"/>
  <c r="FT66" i="44"/>
  <c r="IF66" i="44"/>
  <c r="Y66" i="44"/>
  <c r="CK66" i="44"/>
  <c r="EW66" i="44"/>
  <c r="HI66" i="44"/>
  <c r="HC66" i="44"/>
  <c r="AV66" i="44"/>
  <c r="DP66" i="44"/>
  <c r="GF66" i="44"/>
  <c r="BA66" i="44"/>
  <c r="DM66" i="44"/>
  <c r="FY66" i="44"/>
  <c r="IK66" i="44"/>
  <c r="HO66" i="44"/>
  <c r="AJ66" i="44"/>
  <c r="DX66" i="44"/>
  <c r="GB66" i="44"/>
  <c r="IN66" i="44"/>
  <c r="CC66" i="44"/>
  <c r="EO66" i="44"/>
  <c r="HA66" i="44"/>
  <c r="AZ66" i="44"/>
  <c r="ER66" i="44"/>
  <c r="HD66" i="44"/>
  <c r="BI66" i="44"/>
  <c r="DU66" i="44"/>
  <c r="GG66" i="44"/>
  <c r="EL66" i="44"/>
  <c r="CM66" i="44"/>
  <c r="IA66" i="44"/>
  <c r="DR66" i="44"/>
  <c r="BS66" i="44"/>
  <c r="EE66" i="44"/>
  <c r="AH66" i="44"/>
  <c r="DN66" i="44"/>
  <c r="HF66" i="44"/>
  <c r="HV66" i="44"/>
  <c r="BO66" i="44"/>
  <c r="BF66" i="44"/>
  <c r="DZ66" i="44"/>
  <c r="GL66" i="44"/>
  <c r="BK66" i="44"/>
  <c r="DW66" i="44"/>
  <c r="FS66" i="44"/>
  <c r="CR66" i="44"/>
  <c r="FD66" i="44"/>
  <c r="HP66" i="44"/>
  <c r="BU66" i="44"/>
  <c r="EG66" i="44"/>
  <c r="GS66" i="44"/>
  <c r="FW66" i="44"/>
  <c r="DH66" i="44"/>
  <c r="FP66" i="44"/>
  <c r="IB66" i="44"/>
  <c r="AK66" i="44"/>
  <c r="CW66" i="44"/>
  <c r="FI66" i="44"/>
  <c r="HU66" i="44"/>
  <c r="GI66" i="44"/>
  <c r="CV66" i="44"/>
  <c r="FL66" i="44"/>
  <c r="HX66" i="44"/>
  <c r="BM66" i="44"/>
  <c r="DY66" i="44"/>
  <c r="GK66" i="44"/>
  <c r="HS66" i="44"/>
  <c r="X66" i="44"/>
  <c r="DL66" i="44"/>
  <c r="GN66" i="44"/>
  <c r="AS66" i="44"/>
  <c r="DE66" i="44"/>
  <c r="FQ66" i="44"/>
  <c r="IC66" i="44"/>
  <c r="BV66" i="44"/>
  <c r="HW66" i="44"/>
  <c r="CX66" i="44"/>
  <c r="FZ66" i="44"/>
  <c r="AX66" i="44"/>
  <c r="AU66" i="44"/>
  <c r="GZ66" i="44"/>
  <c r="IO66" i="44"/>
  <c r="EZ66" i="44"/>
  <c r="EV66" i="44"/>
  <c r="AW66" i="44"/>
  <c r="FX66" i="44"/>
  <c r="AC66" i="44"/>
  <c r="FA66" i="44"/>
  <c r="DI66" i="44"/>
  <c r="EK66" i="44"/>
  <c r="FR66" i="44"/>
  <c r="IQ66" i="44"/>
  <c r="IM66" i="44"/>
  <c r="HN66" i="44"/>
  <c r="GP66" i="44"/>
  <c r="IH66" i="44"/>
  <c r="EN66" i="44"/>
  <c r="GC66" i="44"/>
  <c r="CF66" i="44"/>
  <c r="HE66" i="44"/>
  <c r="BT66" i="44"/>
  <c r="IG66" i="44"/>
  <c r="GM66" i="44"/>
  <c r="CB66" i="44"/>
  <c r="HT66" i="44"/>
  <c r="BY66" i="44"/>
  <c r="GW66" i="44"/>
  <c r="HH66" i="44"/>
  <c r="FH66" i="44"/>
  <c r="AA66" i="44"/>
  <c r="BB66" i="44"/>
  <c r="DO66" i="44"/>
  <c r="FV66" i="44"/>
  <c r="DK66" i="44"/>
  <c r="BP66" i="44"/>
  <c r="DQ66" i="44"/>
  <c r="FG66" i="44"/>
  <c r="ES66" i="44"/>
  <c r="FU66" i="44"/>
  <c r="CJ66" i="44"/>
  <c r="IJ66" i="44"/>
  <c r="CO66" i="44"/>
  <c r="HM66" i="44"/>
  <c r="BC66" i="44"/>
  <c r="HG66" i="44"/>
  <c r="AY66" i="44"/>
  <c r="DJ66" i="44"/>
  <c r="DG66" i="44"/>
  <c r="BE66" i="44"/>
  <c r="HL66" i="44"/>
  <c r="CG66" i="44"/>
  <c r="EQ66" i="44"/>
  <c r="F109" i="44"/>
  <c r="F90" i="44"/>
  <c r="F283" i="44"/>
  <c r="F282" i="44"/>
  <c r="F63" i="44"/>
  <c r="F278" i="44" s="1"/>
  <c r="U32" i="44"/>
  <c r="S66" i="44" s="1"/>
  <c r="R66" i="44" l="1"/>
  <c r="S64" i="44" s="1"/>
  <c r="N66" i="44"/>
  <c r="O64" i="44" s="1"/>
  <c r="O66" i="44"/>
  <c r="P64" i="44" s="1"/>
  <c r="I66" i="44"/>
  <c r="J64" i="44" s="1"/>
  <c r="K66" i="44"/>
  <c r="L64" i="44" s="1"/>
  <c r="P66" i="44"/>
  <c r="Q64" i="44" s="1"/>
  <c r="T66" i="44"/>
  <c r="U64" i="44" s="1"/>
  <c r="Q66" i="44"/>
  <c r="J66" i="44"/>
  <c r="K64" i="44" s="1"/>
  <c r="G66" i="44"/>
  <c r="H64" i="44" s="1"/>
  <c r="T64" i="44"/>
  <c r="G64" i="44"/>
  <c r="V66" i="44"/>
  <c r="M66" i="44"/>
  <c r="N64" i="44" s="1"/>
  <c r="U66" i="44"/>
  <c r="H66" i="44"/>
  <c r="I64" i="44" s="1"/>
  <c r="L66" i="44"/>
  <c r="I67" i="44" l="1"/>
  <c r="I65" i="44"/>
  <c r="I68" i="44"/>
  <c r="U31" i="44"/>
  <c r="N67" i="44"/>
  <c r="N68" i="44"/>
  <c r="N65" i="44"/>
  <c r="O67" i="44"/>
  <c r="O65" i="44"/>
  <c r="O68" i="44"/>
  <c r="P67" i="44"/>
  <c r="P65" i="44"/>
  <c r="P68" i="44"/>
  <c r="U67" i="44"/>
  <c r="U65" i="44"/>
  <c r="U68" i="44"/>
  <c r="S65" i="44"/>
  <c r="S67" i="44"/>
  <c r="S68" i="44"/>
  <c r="T67" i="44"/>
  <c r="T65" i="44"/>
  <c r="T68" i="44"/>
  <c r="K65" i="44"/>
  <c r="K67" i="44"/>
  <c r="K68" i="44"/>
  <c r="Q67" i="44"/>
  <c r="Q65" i="44"/>
  <c r="Q68" i="44"/>
  <c r="M64" i="44"/>
  <c r="G67" i="44"/>
  <c r="G65" i="44"/>
  <c r="G68" i="44"/>
  <c r="G81" i="44"/>
  <c r="H67" i="44"/>
  <c r="H65" i="44"/>
  <c r="H68" i="44"/>
  <c r="V64" i="44"/>
  <c r="L67" i="44"/>
  <c r="L65" i="44"/>
  <c r="L68" i="44"/>
  <c r="J67" i="44"/>
  <c r="J65" i="44"/>
  <c r="J68" i="44"/>
  <c r="R64" i="44"/>
  <c r="O63" i="44" l="1"/>
  <c r="S63" i="44"/>
  <c r="H63" i="44"/>
  <c r="Q63" i="44"/>
  <c r="N63" i="44"/>
  <c r="J109" i="44"/>
  <c r="J90" i="44"/>
  <c r="V65" i="44"/>
  <c r="V67" i="44"/>
  <c r="V68" i="44"/>
  <c r="IR64" i="44"/>
  <c r="U28" i="44"/>
  <c r="G109" i="44"/>
  <c r="G90" i="44"/>
  <c r="K63" i="44"/>
  <c r="T90" i="44"/>
  <c r="T109" i="44"/>
  <c r="U109" i="44"/>
  <c r="U90" i="44"/>
  <c r="N109" i="44"/>
  <c r="N90" i="44"/>
  <c r="R67" i="44"/>
  <c r="R65" i="44"/>
  <c r="R68" i="44"/>
  <c r="M67" i="44"/>
  <c r="M65" i="44"/>
  <c r="M68" i="44"/>
  <c r="S109" i="44"/>
  <c r="S90" i="44"/>
  <c r="J63" i="44"/>
  <c r="G83" i="44"/>
  <c r="G84" i="44"/>
  <c r="G85" i="44" s="1"/>
  <c r="G63" i="44"/>
  <c r="Q90" i="44"/>
  <c r="Q109" i="44"/>
  <c r="T63" i="44"/>
  <c r="U63" i="44"/>
  <c r="O109" i="44"/>
  <c r="O90" i="44"/>
  <c r="L90" i="44"/>
  <c r="L109" i="44"/>
  <c r="P109" i="44"/>
  <c r="P90" i="44"/>
  <c r="I109" i="44"/>
  <c r="I90" i="44"/>
  <c r="L63" i="44"/>
  <c r="H109" i="44"/>
  <c r="H90" i="44"/>
  <c r="K109" i="44"/>
  <c r="K90" i="44"/>
  <c r="P63" i="44"/>
  <c r="I63" i="44"/>
  <c r="G282" i="44"/>
  <c r="G280" i="44"/>
  <c r="R63" i="44" l="1"/>
  <c r="IR65" i="44"/>
  <c r="IR63" i="44" s="1"/>
  <c r="IR68" i="44"/>
  <c r="M109" i="44"/>
  <c r="M90" i="44"/>
  <c r="G130" i="44"/>
  <c r="R90" i="44"/>
  <c r="R109" i="44"/>
  <c r="AF64" i="44"/>
  <c r="AN64" i="44"/>
  <c r="AV64" i="44"/>
  <c r="BD64" i="44"/>
  <c r="BL64" i="44"/>
  <c r="CJ64" i="44"/>
  <c r="CZ64" i="44"/>
  <c r="DX64" i="44"/>
  <c r="EV64" i="44"/>
  <c r="GJ64" i="44"/>
  <c r="IF64" i="44"/>
  <c r="IG64" i="44"/>
  <c r="BJ64" i="44"/>
  <c r="FB64" i="44"/>
  <c r="AK64" i="44"/>
  <c r="BA64" i="44"/>
  <c r="BQ64" i="44"/>
  <c r="CC64" i="44"/>
  <c r="CO64" i="44"/>
  <c r="DA64" i="44"/>
  <c r="DM64" i="44"/>
  <c r="DY64" i="44"/>
  <c r="EK64" i="44"/>
  <c r="EW64" i="44"/>
  <c r="FI64" i="44"/>
  <c r="FY64" i="44"/>
  <c r="HA64" i="44"/>
  <c r="IK64" i="44"/>
  <c r="Z64" i="44"/>
  <c r="BZ64" i="44"/>
  <c r="EH64" i="44"/>
  <c r="HB64" i="44"/>
  <c r="AH64" i="44"/>
  <c r="AP64" i="44"/>
  <c r="BF64" i="44"/>
  <c r="BR64" i="44"/>
  <c r="CD64" i="44"/>
  <c r="CL64" i="44"/>
  <c r="CT64" i="44"/>
  <c r="DJ64" i="44"/>
  <c r="DZ64" i="44"/>
  <c r="EP64" i="44"/>
  <c r="EX64" i="44"/>
  <c r="FN64" i="44"/>
  <c r="FV64" i="44"/>
  <c r="GL64" i="44"/>
  <c r="GX64" i="44"/>
  <c r="HJ64" i="44"/>
  <c r="HV64" i="44"/>
  <c r="IH64" i="44"/>
  <c r="BT64" i="44"/>
  <c r="CR64" i="44"/>
  <c r="DP64" i="44"/>
  <c r="EN64" i="44"/>
  <c r="FD64" i="44"/>
  <c r="GZ64" i="44"/>
  <c r="GK64" i="44"/>
  <c r="AD64" i="44"/>
  <c r="DV64" i="44"/>
  <c r="Y64" i="44"/>
  <c r="AG64" i="44"/>
  <c r="AS64" i="44"/>
  <c r="BE64" i="44"/>
  <c r="BM64" i="44"/>
  <c r="BY64" i="44"/>
  <c r="CK64" i="44"/>
  <c r="CW64" i="44"/>
  <c r="DI64" i="44"/>
  <c r="DU64" i="44"/>
  <c r="EG64" i="44"/>
  <c r="ES64" i="44"/>
  <c r="FE64" i="44"/>
  <c r="FQ64" i="44"/>
  <c r="GO64" i="44"/>
  <c r="HI64" i="44"/>
  <c r="AX64" i="44"/>
  <c r="DB64" i="44"/>
  <c r="FF64" i="44"/>
  <c r="HZ64" i="44"/>
  <c r="CB64" i="44"/>
  <c r="DH64" i="44"/>
  <c r="EF64" i="44"/>
  <c r="FT64" i="44"/>
  <c r="HP64" i="44"/>
  <c r="HM64" i="44"/>
  <c r="CP64" i="44"/>
  <c r="AC64" i="44"/>
  <c r="AO64" i="44"/>
  <c r="AW64" i="44"/>
  <c r="BI64" i="44"/>
  <c r="BU64" i="44"/>
  <c r="CG64" i="44"/>
  <c r="CS64" i="44"/>
  <c r="DE64" i="44"/>
  <c r="DQ64" i="44"/>
  <c r="EC64" i="44"/>
  <c r="EO64" i="44"/>
  <c r="FA64" i="44"/>
  <c r="FM64" i="44"/>
  <c r="GC64" i="44"/>
  <c r="HU64" i="44"/>
  <c r="DR64" i="44"/>
  <c r="GD64" i="44"/>
  <c r="EJ64" i="44"/>
  <c r="HY64" i="44"/>
  <c r="DF64" i="44"/>
  <c r="X64" i="44"/>
  <c r="FP64" i="44"/>
  <c r="GF64" i="44"/>
  <c r="GV64" i="44"/>
  <c r="HL64" i="44"/>
  <c r="IB64" i="44"/>
  <c r="GS64" i="44"/>
  <c r="HQ64" i="44"/>
  <c r="IO64" i="44"/>
  <c r="AL64" i="44"/>
  <c r="BN64" i="44"/>
  <c r="CX64" i="44"/>
  <c r="ED64" i="44"/>
  <c r="FJ64" i="44"/>
  <c r="FR64" i="44"/>
  <c r="FZ64" i="44"/>
  <c r="GH64" i="44"/>
  <c r="GP64" i="44"/>
  <c r="GT64" i="44"/>
  <c r="HF64" i="44"/>
  <c r="HN64" i="44"/>
  <c r="HR64" i="44"/>
  <c r="ID64" i="44"/>
  <c r="IL64" i="44"/>
  <c r="IP64" i="44"/>
  <c r="EZ64" i="44"/>
  <c r="AT64" i="44"/>
  <c r="EL64" i="44"/>
  <c r="BB64" i="44"/>
  <c r="CH64" i="44"/>
  <c r="DN64" i="44"/>
  <c r="ET64" i="44"/>
  <c r="FH64" i="44"/>
  <c r="FX64" i="44"/>
  <c r="GN64" i="44"/>
  <c r="HD64" i="44"/>
  <c r="HT64" i="44"/>
  <c r="IJ64" i="44"/>
  <c r="GG64" i="44"/>
  <c r="HE64" i="44"/>
  <c r="IC64" i="44"/>
  <c r="AB64" i="44"/>
  <c r="AJ64" i="44"/>
  <c r="AR64" i="44"/>
  <c r="AZ64" i="44"/>
  <c r="BH64" i="44"/>
  <c r="BP64" i="44"/>
  <c r="BX64" i="44"/>
  <c r="CF64" i="44"/>
  <c r="CN64" i="44"/>
  <c r="CV64" i="44"/>
  <c r="DD64" i="44"/>
  <c r="DL64" i="44"/>
  <c r="DT64" i="44"/>
  <c r="EB64" i="44"/>
  <c r="ER64" i="44"/>
  <c r="FL64" i="44"/>
  <c r="GB64" i="44"/>
  <c r="GR64" i="44"/>
  <c r="HH64" i="44"/>
  <c r="HX64" i="44"/>
  <c r="IN64" i="44"/>
  <c r="FU64" i="44"/>
  <c r="GW64" i="44"/>
  <c r="BV64" i="44"/>
  <c r="AA64" i="44"/>
  <c r="AE64" i="44"/>
  <c r="AI64" i="44"/>
  <c r="AM64" i="44"/>
  <c r="AQ64" i="44"/>
  <c r="AU64" i="44"/>
  <c r="AY64" i="44"/>
  <c r="BC64" i="44"/>
  <c r="BG64" i="44"/>
  <c r="BK64" i="44"/>
  <c r="BO64" i="44"/>
  <c r="BS64" i="44"/>
  <c r="BW64" i="44"/>
  <c r="CA64" i="44"/>
  <c r="CE64" i="44"/>
  <c r="CI64" i="44"/>
  <c r="CM64" i="44"/>
  <c r="CQ64" i="44"/>
  <c r="CU64" i="44"/>
  <c r="CY64" i="44"/>
  <c r="DC64" i="44"/>
  <c r="DG64" i="44"/>
  <c r="DK64" i="44"/>
  <c r="DO64" i="44"/>
  <c r="DS64" i="44"/>
  <c r="DW64" i="44"/>
  <c r="EA64" i="44"/>
  <c r="EE64" i="44"/>
  <c r="EI64" i="44"/>
  <c r="EM64" i="44"/>
  <c r="EQ64" i="44"/>
  <c r="EU64" i="44"/>
  <c r="EY64" i="44"/>
  <c r="FC64" i="44"/>
  <c r="FG64" i="44"/>
  <c r="FK64" i="44"/>
  <c r="FO64" i="44"/>
  <c r="FS64" i="44"/>
  <c r="FW64" i="44"/>
  <c r="GA64" i="44"/>
  <c r="GE64" i="44"/>
  <c r="GI64" i="44"/>
  <c r="GQ64" i="44"/>
  <c r="GU64" i="44"/>
  <c r="HC64" i="44"/>
  <c r="HK64" i="44"/>
  <c r="HS64" i="44"/>
  <c r="IA64" i="44"/>
  <c r="IM64" i="44"/>
  <c r="GM64" i="44"/>
  <c r="GY64" i="44"/>
  <c r="HG64" i="44"/>
  <c r="HO64" i="44"/>
  <c r="HW64" i="44"/>
  <c r="IE64" i="44"/>
  <c r="II64" i="44"/>
  <c r="IQ64" i="44"/>
  <c r="W64" i="44"/>
  <c r="V90" i="44"/>
  <c r="V109" i="44"/>
  <c r="G82" i="44"/>
  <c r="M63" i="44"/>
  <c r="V63" i="44"/>
  <c r="G278" i="44"/>
  <c r="IE67" i="44" l="1"/>
  <c r="IE65" i="44"/>
  <c r="IE68" i="44"/>
  <c r="FW65" i="44"/>
  <c r="FW67" i="44"/>
  <c r="FW68" i="44"/>
  <c r="DK65" i="44"/>
  <c r="DK67" i="44"/>
  <c r="DK68" i="44"/>
  <c r="AY65" i="44"/>
  <c r="AY67" i="44"/>
  <c r="AY68" i="44"/>
  <c r="HH67" i="44"/>
  <c r="HH65" i="44"/>
  <c r="HH68" i="44"/>
  <c r="BX67" i="44"/>
  <c r="BX65" i="44"/>
  <c r="BX68" i="44"/>
  <c r="HD65" i="44"/>
  <c r="HD67" i="44"/>
  <c r="HD68" i="44"/>
  <c r="IL67" i="44"/>
  <c r="IL65" i="44"/>
  <c r="IL68" i="44"/>
  <c r="HQ67" i="44"/>
  <c r="HQ65" i="44"/>
  <c r="HQ68" i="44"/>
  <c r="DR67" i="44"/>
  <c r="DR65" i="44"/>
  <c r="DR68" i="44"/>
  <c r="BI67" i="44"/>
  <c r="BI65" i="44"/>
  <c r="BI68" i="44"/>
  <c r="FF65" i="44"/>
  <c r="FF68" i="44"/>
  <c r="FF67" i="44"/>
  <c r="CK67" i="44"/>
  <c r="CK65" i="44"/>
  <c r="CK68" i="44"/>
  <c r="EN67" i="44"/>
  <c r="EN65" i="44"/>
  <c r="EN68" i="44"/>
  <c r="EP65" i="44"/>
  <c r="EP67" i="44"/>
  <c r="EP68" i="44"/>
  <c r="BZ67" i="44"/>
  <c r="BZ68" i="44"/>
  <c r="BZ65" i="44"/>
  <c r="DY67" i="44"/>
  <c r="DY65" i="44"/>
  <c r="DY68" i="44"/>
  <c r="GJ67" i="44"/>
  <c r="GJ65" i="44"/>
  <c r="GJ68" i="44"/>
  <c r="W67" i="44"/>
  <c r="W65" i="44"/>
  <c r="W68" i="44"/>
  <c r="HK65" i="44"/>
  <c r="HK67" i="44"/>
  <c r="HK68" i="44"/>
  <c r="II65" i="44"/>
  <c r="II67" i="44"/>
  <c r="II68" i="44"/>
  <c r="HG65" i="44"/>
  <c r="HG67" i="44"/>
  <c r="HG68" i="44"/>
  <c r="IA65" i="44"/>
  <c r="IA67" i="44"/>
  <c r="IA68" i="44"/>
  <c r="GU65" i="44"/>
  <c r="GU67" i="44"/>
  <c r="GU68" i="44"/>
  <c r="GA65" i="44"/>
  <c r="GA67" i="44"/>
  <c r="GA68" i="44"/>
  <c r="FK65" i="44"/>
  <c r="FK67" i="44"/>
  <c r="FK68" i="44"/>
  <c r="EU65" i="44"/>
  <c r="EU67" i="44"/>
  <c r="EU68" i="44"/>
  <c r="EE67" i="44"/>
  <c r="EE65" i="44"/>
  <c r="EE68" i="44"/>
  <c r="DO65" i="44"/>
  <c r="DO67" i="44"/>
  <c r="DO68" i="44"/>
  <c r="CY65" i="44"/>
  <c r="CY67" i="44"/>
  <c r="CY68" i="44"/>
  <c r="CI67" i="44"/>
  <c r="CI65" i="44"/>
  <c r="CI68" i="44"/>
  <c r="BS67" i="44"/>
  <c r="BS65" i="44"/>
  <c r="BS68" i="44"/>
  <c r="BC67" i="44"/>
  <c r="BC68" i="44"/>
  <c r="BC65" i="44"/>
  <c r="AM65" i="44"/>
  <c r="AM67" i="44"/>
  <c r="AM68" i="44"/>
  <c r="BV65" i="44"/>
  <c r="BV68" i="44"/>
  <c r="BV67" i="44"/>
  <c r="HX67" i="44"/>
  <c r="HX65" i="44"/>
  <c r="HX68" i="44"/>
  <c r="FL68" i="44"/>
  <c r="FL65" i="44"/>
  <c r="FL67" i="44"/>
  <c r="DL67" i="44"/>
  <c r="DL65" i="44"/>
  <c r="DL68" i="44"/>
  <c r="CF67" i="44"/>
  <c r="CF65" i="44"/>
  <c r="CF68" i="44"/>
  <c r="AZ67" i="44"/>
  <c r="AZ65" i="44"/>
  <c r="AZ68" i="44"/>
  <c r="IC65" i="44"/>
  <c r="IC67" i="44"/>
  <c r="IC68" i="44"/>
  <c r="HT65" i="44"/>
  <c r="HT67" i="44"/>
  <c r="HT68" i="44"/>
  <c r="FH65" i="44"/>
  <c r="FH67" i="44"/>
  <c r="FH68" i="44"/>
  <c r="BB67" i="44"/>
  <c r="BB65" i="44"/>
  <c r="BB68" i="44"/>
  <c r="IP65" i="44"/>
  <c r="IP67" i="44"/>
  <c r="IP68" i="44"/>
  <c r="HN67" i="44"/>
  <c r="HN65" i="44"/>
  <c r="HN68" i="44"/>
  <c r="GH67" i="44"/>
  <c r="GH65" i="44"/>
  <c r="GH68" i="44"/>
  <c r="ED65" i="44"/>
  <c r="ED67" i="44"/>
  <c r="ED68" i="44"/>
  <c r="IO67" i="44"/>
  <c r="IO65" i="44"/>
  <c r="IO68" i="44"/>
  <c r="HL65" i="44"/>
  <c r="HL67" i="44"/>
  <c r="HL68" i="44"/>
  <c r="X67" i="44"/>
  <c r="X65" i="44"/>
  <c r="X68" i="44"/>
  <c r="GD65" i="44"/>
  <c r="GD67" i="44"/>
  <c r="GD68" i="44"/>
  <c r="FM67" i="44"/>
  <c r="FM68" i="44"/>
  <c r="FM65" i="44"/>
  <c r="DQ65" i="44"/>
  <c r="DQ67" i="44"/>
  <c r="DQ68" i="44"/>
  <c r="BU67" i="44"/>
  <c r="BU65" i="44"/>
  <c r="BU68" i="44"/>
  <c r="AC67" i="44"/>
  <c r="AC65" i="44"/>
  <c r="AC68" i="44"/>
  <c r="FT67" i="44"/>
  <c r="FT68" i="44"/>
  <c r="FT65" i="44"/>
  <c r="HZ65" i="44"/>
  <c r="HZ67" i="44"/>
  <c r="HZ68" i="44"/>
  <c r="HI67" i="44"/>
  <c r="HI65" i="44"/>
  <c r="HI68" i="44"/>
  <c r="ES65" i="44"/>
  <c r="ES67" i="44"/>
  <c r="ES68" i="44"/>
  <c r="CW67" i="44"/>
  <c r="CW65" i="44"/>
  <c r="CW68" i="44"/>
  <c r="BE67" i="44"/>
  <c r="BE65" i="44"/>
  <c r="BE68" i="44"/>
  <c r="DV67" i="44"/>
  <c r="DV65" i="44"/>
  <c r="DV68" i="44"/>
  <c r="FD67" i="44"/>
  <c r="FD68" i="44"/>
  <c r="FD65" i="44"/>
  <c r="BT67" i="44"/>
  <c r="BT65" i="44"/>
  <c r="BT68" i="44"/>
  <c r="GX67" i="44"/>
  <c r="GX68" i="44"/>
  <c r="GX65" i="44"/>
  <c r="EX65" i="44"/>
  <c r="EX67" i="44"/>
  <c r="EX68" i="44"/>
  <c r="CT67" i="44"/>
  <c r="CT65" i="44"/>
  <c r="CT68" i="44"/>
  <c r="BF67" i="44"/>
  <c r="BF65" i="44"/>
  <c r="BF68" i="44"/>
  <c r="EH65" i="44"/>
  <c r="EH67" i="44"/>
  <c r="EH68" i="44"/>
  <c r="HA67" i="44"/>
  <c r="HA65" i="44"/>
  <c r="HA68" i="44"/>
  <c r="EK65" i="44"/>
  <c r="EK67" i="44"/>
  <c r="EK68" i="44"/>
  <c r="CO67" i="44"/>
  <c r="CO65" i="44"/>
  <c r="CO68" i="44"/>
  <c r="AK67" i="44"/>
  <c r="AK65" i="44"/>
  <c r="AK68" i="44"/>
  <c r="IF67" i="44"/>
  <c r="IF65" i="44"/>
  <c r="IF68" i="44"/>
  <c r="CZ67" i="44"/>
  <c r="CZ65" i="44"/>
  <c r="CZ68" i="44"/>
  <c r="AV67" i="44"/>
  <c r="AV68" i="44"/>
  <c r="AV65" i="44"/>
  <c r="IR109" i="44"/>
  <c r="IR90" i="44"/>
  <c r="BO67" i="44"/>
  <c r="BO68" i="44"/>
  <c r="BO65" i="44"/>
  <c r="AD67" i="44"/>
  <c r="AD65" i="44"/>
  <c r="AD68" i="44"/>
  <c r="G86" i="44"/>
  <c r="G76" i="44"/>
  <c r="H74" i="44" s="1"/>
  <c r="H81" i="44" s="1"/>
  <c r="G106" i="44"/>
  <c r="GY65" i="44"/>
  <c r="GY67" i="44"/>
  <c r="GY68" i="44"/>
  <c r="GQ65" i="44"/>
  <c r="GQ67" i="44"/>
  <c r="GQ68" i="44"/>
  <c r="EQ65" i="44"/>
  <c r="EQ67" i="44"/>
  <c r="EQ68" i="44"/>
  <c r="CU67" i="44"/>
  <c r="CU65" i="44"/>
  <c r="CU68" i="44"/>
  <c r="AI67" i="44"/>
  <c r="AI65" i="44"/>
  <c r="AI68" i="44"/>
  <c r="ER65" i="44"/>
  <c r="ER68" i="44"/>
  <c r="ER67" i="44"/>
  <c r="AR67" i="44"/>
  <c r="AR68" i="44"/>
  <c r="AR65" i="44"/>
  <c r="ET67" i="44"/>
  <c r="ET65" i="44"/>
  <c r="ET68" i="44"/>
  <c r="HF67" i="44"/>
  <c r="HF65" i="44"/>
  <c r="HF68" i="44"/>
  <c r="CX67" i="44"/>
  <c r="CX65" i="44"/>
  <c r="CX68" i="44"/>
  <c r="DF67" i="44"/>
  <c r="DF65" i="44"/>
  <c r="DF68" i="44"/>
  <c r="DE67" i="44"/>
  <c r="DE65" i="44"/>
  <c r="DE68" i="44"/>
  <c r="EF67" i="44"/>
  <c r="EF65" i="44"/>
  <c r="EF68" i="44"/>
  <c r="EG67" i="44"/>
  <c r="EG68" i="44"/>
  <c r="EG65" i="44"/>
  <c r="IH65" i="44"/>
  <c r="IH67" i="44"/>
  <c r="IH68" i="44"/>
  <c r="AP67" i="44"/>
  <c r="AP65" i="44"/>
  <c r="AP68" i="44"/>
  <c r="GM67" i="44"/>
  <c r="GM65" i="44"/>
  <c r="GM68" i="44"/>
  <c r="FS65" i="44"/>
  <c r="FS67" i="44"/>
  <c r="FS68" i="44"/>
  <c r="FC67" i="44"/>
  <c r="FC65" i="44"/>
  <c r="FC68" i="44"/>
  <c r="DW65" i="44"/>
  <c r="DW67" i="44"/>
  <c r="DW68" i="44"/>
  <c r="DG67" i="44"/>
  <c r="DG65" i="44"/>
  <c r="DG68" i="44"/>
  <c r="CA67" i="44"/>
  <c r="CA65" i="44"/>
  <c r="CA68" i="44"/>
  <c r="BK65" i="44"/>
  <c r="BK67" i="44"/>
  <c r="BK68" i="44"/>
  <c r="AU67" i="44"/>
  <c r="AU68" i="44"/>
  <c r="AU65" i="44"/>
  <c r="AE65" i="44"/>
  <c r="AE67" i="44"/>
  <c r="AE68" i="44"/>
  <c r="FU67" i="44"/>
  <c r="FU65" i="44"/>
  <c r="FU68" i="44"/>
  <c r="GR67" i="44"/>
  <c r="GR65" i="44"/>
  <c r="GR68" i="44"/>
  <c r="EB67" i="44"/>
  <c r="EB65" i="44"/>
  <c r="EB68" i="44"/>
  <c r="CV67" i="44"/>
  <c r="CV65" i="44"/>
  <c r="CV68" i="44"/>
  <c r="BP67" i="44"/>
  <c r="BP65" i="44"/>
  <c r="BP68" i="44"/>
  <c r="AJ67" i="44"/>
  <c r="AJ65" i="44"/>
  <c r="AJ68" i="44"/>
  <c r="GG65" i="44"/>
  <c r="GG68" i="44"/>
  <c r="GG67" i="44"/>
  <c r="GN65" i="44"/>
  <c r="GN67" i="44"/>
  <c r="GN68" i="44"/>
  <c r="DN65" i="44"/>
  <c r="DN67" i="44"/>
  <c r="DN68" i="44"/>
  <c r="AT67" i="44"/>
  <c r="AT65" i="44"/>
  <c r="AT68" i="44"/>
  <c r="ID67" i="44"/>
  <c r="ID65" i="44"/>
  <c r="ID68" i="44"/>
  <c r="GT65" i="44"/>
  <c r="GT67" i="44"/>
  <c r="GT68" i="44"/>
  <c r="FR67" i="44"/>
  <c r="FR65" i="44"/>
  <c r="FR68" i="44"/>
  <c r="BN68" i="44"/>
  <c r="BN65" i="44"/>
  <c r="BN67" i="44"/>
  <c r="GS67" i="44"/>
  <c r="GS68" i="44"/>
  <c r="GS65" i="44"/>
  <c r="GF65" i="44"/>
  <c r="GF67" i="44"/>
  <c r="GF68" i="44"/>
  <c r="HY67" i="44"/>
  <c r="HY68" i="44"/>
  <c r="HY65" i="44"/>
  <c r="HU65" i="44"/>
  <c r="HU67" i="44"/>
  <c r="HU68" i="44"/>
  <c r="EO67" i="44"/>
  <c r="EO65" i="44"/>
  <c r="EO68" i="44"/>
  <c r="CS67" i="44"/>
  <c r="CS65" i="44"/>
  <c r="CS68" i="44"/>
  <c r="AW67" i="44"/>
  <c r="AW65" i="44"/>
  <c r="AW68" i="44"/>
  <c r="HM65" i="44"/>
  <c r="HM68" i="44"/>
  <c r="HM67" i="44"/>
  <c r="DH67" i="44"/>
  <c r="DH68" i="44"/>
  <c r="DH65" i="44"/>
  <c r="DB65" i="44"/>
  <c r="DB67" i="44"/>
  <c r="DB68" i="44"/>
  <c r="FQ65" i="44"/>
  <c r="FQ67" i="44"/>
  <c r="FQ68" i="44"/>
  <c r="DU65" i="44"/>
  <c r="DU67" i="44"/>
  <c r="DU68" i="44"/>
  <c r="BY67" i="44"/>
  <c r="BY65" i="44"/>
  <c r="BY68" i="44"/>
  <c r="AG67" i="44"/>
  <c r="AG65" i="44"/>
  <c r="AG68" i="44"/>
  <c r="GK67" i="44"/>
  <c r="GK65" i="44"/>
  <c r="GK68" i="44"/>
  <c r="DP67" i="44"/>
  <c r="DP65" i="44"/>
  <c r="DP68" i="44"/>
  <c r="HV67" i="44"/>
  <c r="HV65" i="44"/>
  <c r="HV68" i="44"/>
  <c r="FV65" i="44"/>
  <c r="FV67" i="44"/>
  <c r="FV68" i="44"/>
  <c r="DZ67" i="44"/>
  <c r="DZ65" i="44"/>
  <c r="DZ68" i="44"/>
  <c r="CD67" i="44"/>
  <c r="CD65" i="44"/>
  <c r="CD68" i="44"/>
  <c r="AH67" i="44"/>
  <c r="AH65" i="44"/>
  <c r="AH68" i="44"/>
  <c r="Z67" i="44"/>
  <c r="Z65" i="44"/>
  <c r="Z68" i="44"/>
  <c r="FI65" i="44"/>
  <c r="FI67" i="44"/>
  <c r="FI68" i="44"/>
  <c r="DM67" i="44"/>
  <c r="DM65" i="44"/>
  <c r="DM68" i="44"/>
  <c r="BQ67" i="44"/>
  <c r="BQ65" i="44"/>
  <c r="BQ68" i="44"/>
  <c r="BJ67" i="44"/>
  <c r="BJ68" i="44"/>
  <c r="BJ65" i="44"/>
  <c r="EV67" i="44"/>
  <c r="EV68" i="44"/>
  <c r="EV65" i="44"/>
  <c r="BL67" i="44"/>
  <c r="BL65" i="44"/>
  <c r="BL68" i="44"/>
  <c r="AF67" i="44"/>
  <c r="AF65" i="44"/>
  <c r="AF68" i="44"/>
  <c r="HS67" i="44"/>
  <c r="HS65" i="44"/>
  <c r="HS68" i="44"/>
  <c r="FG67" i="44"/>
  <c r="FG65" i="44"/>
  <c r="FG68" i="44"/>
  <c r="EA65" i="44"/>
  <c r="EA67" i="44"/>
  <c r="EA68" i="44"/>
  <c r="CE65" i="44"/>
  <c r="CE67" i="44"/>
  <c r="CE68" i="44"/>
  <c r="GW65" i="44"/>
  <c r="GW67" i="44"/>
  <c r="GW68" i="44"/>
  <c r="DD67" i="44"/>
  <c r="DD68" i="44"/>
  <c r="DD65" i="44"/>
  <c r="HE65" i="44"/>
  <c r="HE67" i="44"/>
  <c r="HE68" i="44"/>
  <c r="EL67" i="44"/>
  <c r="EL65" i="44"/>
  <c r="EL68" i="44"/>
  <c r="FZ67" i="44"/>
  <c r="FZ65" i="44"/>
  <c r="FZ68" i="44"/>
  <c r="GV65" i="44"/>
  <c r="GV67" i="44"/>
  <c r="GV68" i="44"/>
  <c r="FA65" i="44"/>
  <c r="FA67" i="44"/>
  <c r="FA68" i="44"/>
  <c r="CP67" i="44"/>
  <c r="CP65" i="44"/>
  <c r="CP68" i="44"/>
  <c r="GO65" i="44"/>
  <c r="GO67" i="44"/>
  <c r="GO68" i="44"/>
  <c r="AS67" i="44"/>
  <c r="AS65" i="44"/>
  <c r="AS68" i="44"/>
  <c r="GL65" i="44"/>
  <c r="GL67" i="44"/>
  <c r="GL68" i="44"/>
  <c r="CL65" i="44"/>
  <c r="CL68" i="44"/>
  <c r="CL67" i="44"/>
  <c r="FY65" i="44"/>
  <c r="FY67" i="44"/>
  <c r="FY68" i="44"/>
  <c r="CC67" i="44"/>
  <c r="CC65" i="44"/>
  <c r="CC68" i="44"/>
  <c r="FB67" i="44"/>
  <c r="FB65" i="44"/>
  <c r="FB68" i="44"/>
  <c r="CJ67" i="44"/>
  <c r="CJ65" i="44"/>
  <c r="CJ68" i="44"/>
  <c r="AN67" i="44"/>
  <c r="AN65" i="44"/>
  <c r="AN68" i="44"/>
  <c r="HW65" i="44"/>
  <c r="HW67" i="44"/>
  <c r="HW68" i="44"/>
  <c r="GI65" i="44"/>
  <c r="GI67" i="44"/>
  <c r="GI68" i="44"/>
  <c r="EM67" i="44"/>
  <c r="EM65" i="44"/>
  <c r="EM68" i="44"/>
  <c r="CQ65" i="44"/>
  <c r="CQ67" i="44"/>
  <c r="CQ68" i="44"/>
  <c r="IQ65" i="44"/>
  <c r="IQ67" i="44"/>
  <c r="IQ68" i="44"/>
  <c r="HO67" i="44"/>
  <c r="HO65" i="44"/>
  <c r="HO68" i="44"/>
  <c r="IM65" i="44"/>
  <c r="IM67" i="44"/>
  <c r="IM68" i="44"/>
  <c r="HC65" i="44"/>
  <c r="HC67" i="44"/>
  <c r="HC68" i="44"/>
  <c r="GE65" i="44"/>
  <c r="GE67" i="44"/>
  <c r="GE68" i="44"/>
  <c r="FO65" i="44"/>
  <c r="FO67" i="44"/>
  <c r="FO68" i="44"/>
  <c r="EY65" i="44"/>
  <c r="EY67" i="44"/>
  <c r="EY68" i="44"/>
  <c r="EI65" i="44"/>
  <c r="EI67" i="44"/>
  <c r="EI68" i="44"/>
  <c r="DS65" i="44"/>
  <c r="DS67" i="44"/>
  <c r="DS68" i="44"/>
  <c r="DC65" i="44"/>
  <c r="DC67" i="44"/>
  <c r="DC68" i="44"/>
  <c r="CM65" i="44"/>
  <c r="CM67" i="44"/>
  <c r="CM68" i="44"/>
  <c r="BW65" i="44"/>
  <c r="BW67" i="44"/>
  <c r="BW68" i="44"/>
  <c r="BG65" i="44"/>
  <c r="BG67" i="44"/>
  <c r="BG68" i="44"/>
  <c r="AQ65" i="44"/>
  <c r="AQ67" i="44"/>
  <c r="AQ68" i="44"/>
  <c r="AA67" i="44"/>
  <c r="AA65" i="44"/>
  <c r="AA68" i="44"/>
  <c r="IN67" i="44"/>
  <c r="IN65" i="44"/>
  <c r="IN68" i="44"/>
  <c r="GB67" i="44"/>
  <c r="GB65" i="44"/>
  <c r="GB68" i="44"/>
  <c r="DT67" i="44"/>
  <c r="DT68" i="44"/>
  <c r="DT65" i="44"/>
  <c r="CN67" i="44"/>
  <c r="CN65" i="44"/>
  <c r="CN68" i="44"/>
  <c r="BH67" i="44"/>
  <c r="BH65" i="44"/>
  <c r="BH68" i="44"/>
  <c r="AB67" i="44"/>
  <c r="AB65" i="44"/>
  <c r="AB68" i="44"/>
  <c r="IJ65" i="44"/>
  <c r="IJ67" i="44"/>
  <c r="IJ68" i="44"/>
  <c r="FX65" i="44"/>
  <c r="FX67" i="44"/>
  <c r="FX68" i="44"/>
  <c r="CH67" i="44"/>
  <c r="CH68" i="44"/>
  <c r="CH65" i="44"/>
  <c r="EZ65" i="44"/>
  <c r="EZ67" i="44"/>
  <c r="EZ68" i="44"/>
  <c r="HR65" i="44"/>
  <c r="HR67" i="44"/>
  <c r="HR68" i="44"/>
  <c r="GP67" i="44"/>
  <c r="GP65" i="44"/>
  <c r="GP68" i="44"/>
  <c r="FJ67" i="44"/>
  <c r="FJ65" i="44"/>
  <c r="FJ68" i="44"/>
  <c r="AL67" i="44"/>
  <c r="AL65" i="44"/>
  <c r="AL68" i="44"/>
  <c r="IB65" i="44"/>
  <c r="IB67" i="44"/>
  <c r="IB68" i="44"/>
  <c r="FP65" i="44"/>
  <c r="FP67" i="44"/>
  <c r="FP68" i="44"/>
  <c r="EJ65" i="44"/>
  <c r="EJ68" i="44"/>
  <c r="EJ67" i="44"/>
  <c r="GC67" i="44"/>
  <c r="GC65" i="44"/>
  <c r="GC68" i="44"/>
  <c r="EC67" i="44"/>
  <c r="EC65" i="44"/>
  <c r="EC68" i="44"/>
  <c r="CG67" i="44"/>
  <c r="CG65" i="44"/>
  <c r="CG68" i="44"/>
  <c r="AO67" i="44"/>
  <c r="AO65" i="44"/>
  <c r="AO68" i="44"/>
  <c r="HP67" i="44"/>
  <c r="HP65" i="44"/>
  <c r="HP68" i="44"/>
  <c r="CB67" i="44"/>
  <c r="CB65" i="44"/>
  <c r="CB68" i="44"/>
  <c r="AX67" i="44"/>
  <c r="AX65" i="44"/>
  <c r="AX68" i="44"/>
  <c r="FE67" i="44"/>
  <c r="FE65" i="44"/>
  <c r="FE68" i="44"/>
  <c r="DI67" i="44"/>
  <c r="DI65" i="44"/>
  <c r="DI68" i="44"/>
  <c r="BM67" i="44"/>
  <c r="BM65" i="44"/>
  <c r="BM68" i="44"/>
  <c r="Y67" i="44"/>
  <c r="Y65" i="44"/>
  <c r="Y68" i="44"/>
  <c r="GZ67" i="44"/>
  <c r="GZ65" i="44"/>
  <c r="GZ68" i="44"/>
  <c r="CR67" i="44"/>
  <c r="CR65" i="44"/>
  <c r="CR68" i="44"/>
  <c r="HJ65" i="44"/>
  <c r="HJ67" i="44"/>
  <c r="HJ68" i="44"/>
  <c r="FN65" i="44"/>
  <c r="FN67" i="44"/>
  <c r="FN68" i="44"/>
  <c r="DJ67" i="44"/>
  <c r="DJ65" i="44"/>
  <c r="DJ68" i="44"/>
  <c r="BR67" i="44"/>
  <c r="BR65" i="44"/>
  <c r="BR68" i="44"/>
  <c r="HB65" i="44"/>
  <c r="HB67" i="44"/>
  <c r="HB68" i="44"/>
  <c r="IK65" i="44"/>
  <c r="IK67" i="44"/>
  <c r="IK68" i="44"/>
  <c r="EW67" i="44"/>
  <c r="EW65" i="44"/>
  <c r="EW68" i="44"/>
  <c r="DA67" i="44"/>
  <c r="DA65" i="44"/>
  <c r="DA68" i="44"/>
  <c r="BA67" i="44"/>
  <c r="BA65" i="44"/>
  <c r="BA68" i="44"/>
  <c r="IG67" i="44"/>
  <c r="IG65" i="44"/>
  <c r="IG68" i="44"/>
  <c r="DX67" i="44"/>
  <c r="DX68" i="44"/>
  <c r="DX65" i="44"/>
  <c r="BD67" i="44"/>
  <c r="BD65" i="44"/>
  <c r="BD68" i="44"/>
  <c r="H282" i="44"/>
  <c r="H280" i="44"/>
  <c r="IG63" i="44" l="1"/>
  <c r="Y63" i="44"/>
  <c r="AX63" i="44"/>
  <c r="CG63" i="44"/>
  <c r="GP63" i="44"/>
  <c r="CN63" i="44"/>
  <c r="AA63" i="44"/>
  <c r="EM63" i="44"/>
  <c r="CJ63" i="44"/>
  <c r="CP63" i="44"/>
  <c r="EL63" i="44"/>
  <c r="AF63" i="44"/>
  <c r="BQ63" i="44"/>
  <c r="AH63" i="44"/>
  <c r="HV63" i="44"/>
  <c r="BY63" i="44"/>
  <c r="AK63" i="44"/>
  <c r="EO63" i="44"/>
  <c r="BE63" i="44"/>
  <c r="ID63" i="44"/>
  <c r="HN63" i="44"/>
  <c r="DL63" i="44"/>
  <c r="EB63" i="44"/>
  <c r="AP63" i="44"/>
  <c r="DX63" i="44"/>
  <c r="CH63" i="44"/>
  <c r="HB63" i="44"/>
  <c r="HJ63" i="44"/>
  <c r="IB63" i="44"/>
  <c r="HR63" i="44"/>
  <c r="IJ63" i="44"/>
  <c r="AQ63" i="44"/>
  <c r="DC63" i="44"/>
  <c r="FO63" i="44"/>
  <c r="GI63" i="44"/>
  <c r="GL63" i="44"/>
  <c r="FA63" i="44"/>
  <c r="HE63" i="44"/>
  <c r="EA63" i="44"/>
  <c r="DU63" i="44"/>
  <c r="IP63" i="44"/>
  <c r="IC63" i="44"/>
  <c r="DO63" i="44"/>
  <c r="DE63" i="44"/>
  <c r="BW63" i="44"/>
  <c r="EI63" i="44"/>
  <c r="HC63" i="44"/>
  <c r="CQ63" i="44"/>
  <c r="FY63" i="44"/>
  <c r="GO63" i="44"/>
  <c r="GW63" i="44"/>
  <c r="FV63" i="44"/>
  <c r="DB63" i="44"/>
  <c r="GF63" i="44"/>
  <c r="GT63" i="44"/>
  <c r="GN63" i="44"/>
  <c r="ET63" i="44"/>
  <c r="GY63" i="44"/>
  <c r="FH63" i="44"/>
  <c r="EU63" i="44"/>
  <c r="EP63" i="44"/>
  <c r="HD63" i="44"/>
  <c r="DI63" i="44"/>
  <c r="HP63" i="44"/>
  <c r="GC63" i="44"/>
  <c r="AB63" i="44"/>
  <c r="GB63" i="44"/>
  <c r="CC63" i="44"/>
  <c r="AS63" i="44"/>
  <c r="FG63" i="44"/>
  <c r="DZ63" i="44"/>
  <c r="GK63" i="44"/>
  <c r="AW63" i="44"/>
  <c r="HU63" i="44"/>
  <c r="FR63" i="44"/>
  <c r="BP63" i="44"/>
  <c r="FU63" i="44"/>
  <c r="BK63" i="44"/>
  <c r="CX63" i="44"/>
  <c r="CT63" i="44"/>
  <c r="AC63" i="44"/>
  <c r="BB63" i="44"/>
  <c r="AZ63" i="44"/>
  <c r="HX63" i="44"/>
  <c r="BS63" i="44"/>
  <c r="BR63" i="44"/>
  <c r="CR63" i="44"/>
  <c r="AL63" i="44"/>
  <c r="EE63" i="44"/>
  <c r="GA63" i="44"/>
  <c r="DK63" i="44"/>
  <c r="DA63" i="44"/>
  <c r="BD63" i="44"/>
  <c r="CU63" i="44"/>
  <c r="DH63" i="44"/>
  <c r="GS63" i="44"/>
  <c r="AU63" i="44"/>
  <c r="ER63" i="44"/>
  <c r="FF63" i="44"/>
  <c r="BJ63" i="44"/>
  <c r="HM63" i="44"/>
  <c r="GX63" i="44"/>
  <c r="GJ63" i="44"/>
  <c r="EN63" i="44"/>
  <c r="DR63" i="44"/>
  <c r="BX63" i="44"/>
  <c r="II63" i="44"/>
  <c r="CV63" i="44"/>
  <c r="DG63" i="44"/>
  <c r="GM63" i="44"/>
  <c r="EF63" i="44"/>
  <c r="HF63" i="44"/>
  <c r="AI63" i="44"/>
  <c r="IF63" i="44"/>
  <c r="HA63" i="44"/>
  <c r="DV63" i="44"/>
  <c r="HI63" i="44"/>
  <c r="BU63" i="44"/>
  <c r="X63" i="44"/>
  <c r="CA63" i="44"/>
  <c r="IH63" i="44"/>
  <c r="EQ63" i="44"/>
  <c r="CZ63" i="44"/>
  <c r="IL63" i="44"/>
  <c r="EJ63" i="44"/>
  <c r="AD63" i="44"/>
  <c r="BR109" i="44"/>
  <c r="BR90" i="44"/>
  <c r="HP90" i="44"/>
  <c r="HP109" i="44"/>
  <c r="GC90" i="44"/>
  <c r="GC109" i="44"/>
  <c r="AL90" i="44"/>
  <c r="AL109" i="44"/>
  <c r="EZ90" i="44"/>
  <c r="EZ109" i="44"/>
  <c r="AB90" i="44"/>
  <c r="AB109" i="44"/>
  <c r="DS109" i="44"/>
  <c r="DS90" i="44"/>
  <c r="HW109" i="44"/>
  <c r="HW90" i="44"/>
  <c r="HM109" i="44"/>
  <c r="HM90" i="44"/>
  <c r="CX90" i="44"/>
  <c r="CX109" i="44"/>
  <c r="AR109" i="44"/>
  <c r="AR90" i="44"/>
  <c r="BA109" i="44"/>
  <c r="BA90" i="44"/>
  <c r="EW63" i="44"/>
  <c r="IK63" i="44"/>
  <c r="DJ63" i="44"/>
  <c r="FN63" i="44"/>
  <c r="HJ90" i="44"/>
  <c r="HJ109" i="44"/>
  <c r="GZ63" i="44"/>
  <c r="BM90" i="44"/>
  <c r="BM109" i="44"/>
  <c r="FE63" i="44"/>
  <c r="CB109" i="44"/>
  <c r="CB90" i="44"/>
  <c r="AO63" i="44"/>
  <c r="EC109" i="44"/>
  <c r="EC90" i="44"/>
  <c r="FP63" i="44"/>
  <c r="IB109" i="44"/>
  <c r="IB90" i="44"/>
  <c r="FJ63" i="44"/>
  <c r="FX63" i="44"/>
  <c r="IJ90" i="44"/>
  <c r="IJ109" i="44"/>
  <c r="BH63" i="44"/>
  <c r="IN63" i="44"/>
  <c r="AQ109" i="44"/>
  <c r="AQ90" i="44"/>
  <c r="CM63" i="44"/>
  <c r="DC109" i="44"/>
  <c r="DC90" i="44"/>
  <c r="EY63" i="44"/>
  <c r="FO109" i="44"/>
  <c r="FO90" i="44"/>
  <c r="IM63" i="44"/>
  <c r="HO109" i="44"/>
  <c r="HO90" i="44"/>
  <c r="GI90" i="44"/>
  <c r="GI109" i="44"/>
  <c r="AN63" i="44"/>
  <c r="FB90" i="44"/>
  <c r="FB109" i="44"/>
  <c r="CL90" i="44"/>
  <c r="CL109" i="44"/>
  <c r="FA109" i="44"/>
  <c r="FA90" i="44"/>
  <c r="FZ63" i="44"/>
  <c r="HE109" i="44"/>
  <c r="HE90" i="44"/>
  <c r="CE63" i="44"/>
  <c r="EA90" i="44"/>
  <c r="EA109" i="44"/>
  <c r="HS63" i="44"/>
  <c r="BL109" i="44"/>
  <c r="BL90" i="44"/>
  <c r="DM109" i="44"/>
  <c r="DM90" i="44"/>
  <c r="Z63" i="44"/>
  <c r="CD109" i="44"/>
  <c r="CD90" i="44"/>
  <c r="DZ90" i="44"/>
  <c r="DZ109" i="44"/>
  <c r="DP90" i="44"/>
  <c r="DP109" i="44"/>
  <c r="AG63" i="44"/>
  <c r="DU109" i="44"/>
  <c r="DU90" i="44"/>
  <c r="DH109" i="44"/>
  <c r="DH90" i="44"/>
  <c r="CS63" i="44"/>
  <c r="HU109" i="44"/>
  <c r="HU90" i="44"/>
  <c r="GS90" i="44"/>
  <c r="GS109" i="44"/>
  <c r="BN63" i="44"/>
  <c r="AT109" i="44"/>
  <c r="AT90" i="44"/>
  <c r="GG109" i="44"/>
  <c r="GG90" i="44"/>
  <c r="AJ90" i="44"/>
  <c r="AJ109" i="44"/>
  <c r="GR109" i="44"/>
  <c r="GR90" i="44"/>
  <c r="AU90" i="44"/>
  <c r="AU109" i="44"/>
  <c r="BK109" i="44"/>
  <c r="BK90" i="44"/>
  <c r="DW63" i="44"/>
  <c r="FC90" i="44"/>
  <c r="FC109" i="44"/>
  <c r="DF90" i="44"/>
  <c r="DF109" i="44"/>
  <c r="EQ109" i="44"/>
  <c r="EQ90" i="44"/>
  <c r="G129" i="44"/>
  <c r="G87" i="44"/>
  <c r="CO109" i="44"/>
  <c r="CO90" i="44"/>
  <c r="EH63" i="44"/>
  <c r="BF109" i="44"/>
  <c r="BF90" i="44"/>
  <c r="CT90" i="44"/>
  <c r="CT109" i="44"/>
  <c r="GX90" i="44"/>
  <c r="GX109" i="44"/>
  <c r="BT109" i="44"/>
  <c r="BT90" i="44"/>
  <c r="CW109" i="44"/>
  <c r="CW90" i="44"/>
  <c r="HZ63" i="44"/>
  <c r="DQ63" i="44"/>
  <c r="HL63" i="44"/>
  <c r="IO90" i="44"/>
  <c r="IO109" i="44"/>
  <c r="GH63" i="44"/>
  <c r="IP90" i="44"/>
  <c r="IP109" i="44"/>
  <c r="HT63" i="44"/>
  <c r="IC109" i="44"/>
  <c r="IC90" i="44"/>
  <c r="CF63" i="44"/>
  <c r="FL63" i="44"/>
  <c r="AM63" i="44"/>
  <c r="CI63" i="44"/>
  <c r="CY63" i="44"/>
  <c r="DO109" i="44"/>
  <c r="DO90" i="44"/>
  <c r="FK63" i="44"/>
  <c r="GA109" i="44"/>
  <c r="GA90" i="44"/>
  <c r="HG63" i="44"/>
  <c r="II109" i="44"/>
  <c r="II90" i="44"/>
  <c r="DY109" i="44"/>
  <c r="DY90" i="44"/>
  <c r="CK90" i="44"/>
  <c r="CK109" i="44"/>
  <c r="BI63" i="44"/>
  <c r="HQ109" i="44"/>
  <c r="HQ90" i="44"/>
  <c r="HH109" i="44"/>
  <c r="HH90" i="44"/>
  <c r="FW63" i="44"/>
  <c r="IE109" i="44"/>
  <c r="IE90" i="44"/>
  <c r="BD109" i="44"/>
  <c r="BD90" i="44"/>
  <c r="CR109" i="44"/>
  <c r="CR90" i="44"/>
  <c r="DT109" i="44"/>
  <c r="DT90" i="44"/>
  <c r="GE109" i="44"/>
  <c r="GE90" i="44"/>
  <c r="FI109" i="44"/>
  <c r="FI90" i="44"/>
  <c r="FV90" i="44"/>
  <c r="FV109" i="44"/>
  <c r="GK109" i="44"/>
  <c r="GK90" i="44"/>
  <c r="AW109" i="44"/>
  <c r="AW90" i="44"/>
  <c r="BP109" i="44"/>
  <c r="BP90" i="44"/>
  <c r="FS90" i="44"/>
  <c r="FS109" i="44"/>
  <c r="BO109" i="44"/>
  <c r="BO90" i="44"/>
  <c r="AV109" i="44"/>
  <c r="AV90" i="44"/>
  <c r="CZ90" i="44"/>
  <c r="CZ109" i="44"/>
  <c r="EK109" i="44"/>
  <c r="EK90" i="44"/>
  <c r="ES109" i="44"/>
  <c r="ES90" i="44"/>
  <c r="FT90" i="44"/>
  <c r="FT109" i="44"/>
  <c r="AC109" i="44"/>
  <c r="AC90" i="44"/>
  <c r="FM90" i="44"/>
  <c r="FM109" i="44"/>
  <c r="GD90" i="44"/>
  <c r="GD109" i="44"/>
  <c r="BB90" i="44"/>
  <c r="BB109" i="44"/>
  <c r="AZ109" i="44"/>
  <c r="AZ90" i="44"/>
  <c r="HX90" i="44"/>
  <c r="HX109" i="44"/>
  <c r="BC109" i="44"/>
  <c r="BC90" i="44"/>
  <c r="BS109" i="44"/>
  <c r="BS90" i="44"/>
  <c r="EE109" i="44"/>
  <c r="EE90" i="44"/>
  <c r="GU109" i="44"/>
  <c r="GU90" i="44"/>
  <c r="HK90" i="44"/>
  <c r="HK109" i="44"/>
  <c r="W90" i="44"/>
  <c r="W109" i="44"/>
  <c r="EP90" i="44"/>
  <c r="EP109" i="44"/>
  <c r="FF90" i="44"/>
  <c r="FF109" i="44"/>
  <c r="IL90" i="44"/>
  <c r="IL109" i="44"/>
  <c r="AY109" i="44"/>
  <c r="AY90" i="44"/>
  <c r="BA63" i="44"/>
  <c r="EW90" i="44"/>
  <c r="EW109" i="44"/>
  <c r="GZ90" i="44"/>
  <c r="GZ109" i="44"/>
  <c r="BM63" i="44"/>
  <c r="FE109" i="44"/>
  <c r="FE90" i="44"/>
  <c r="CB63" i="44"/>
  <c r="AO109" i="44"/>
  <c r="AO90" i="44"/>
  <c r="EC63" i="44"/>
  <c r="FJ90" i="44"/>
  <c r="FJ109" i="44"/>
  <c r="EZ63" i="44"/>
  <c r="BH109" i="44"/>
  <c r="BH90" i="44"/>
  <c r="DT63" i="44"/>
  <c r="IN90" i="44"/>
  <c r="IN109" i="44"/>
  <c r="BG63" i="44"/>
  <c r="BW109" i="44"/>
  <c r="BW90" i="44"/>
  <c r="DS63" i="44"/>
  <c r="EI109" i="44"/>
  <c r="EI90" i="44"/>
  <c r="GE63" i="44"/>
  <c r="HC109" i="44"/>
  <c r="HC90" i="44"/>
  <c r="HO63" i="44"/>
  <c r="IQ63" i="44"/>
  <c r="CQ109" i="44"/>
  <c r="CQ90" i="44"/>
  <c r="HW63" i="44"/>
  <c r="AN109" i="44"/>
  <c r="AN90" i="44"/>
  <c r="FB63" i="44"/>
  <c r="FY109" i="44"/>
  <c r="FY90" i="44"/>
  <c r="GO109" i="44"/>
  <c r="GO90" i="44"/>
  <c r="GV63" i="44"/>
  <c r="FZ90" i="44"/>
  <c r="FZ109" i="44"/>
  <c r="DD109" i="44"/>
  <c r="DD90" i="44"/>
  <c r="GW109" i="44"/>
  <c r="GW90" i="44"/>
  <c r="HS109" i="44"/>
  <c r="HS90" i="44"/>
  <c r="BL63" i="44"/>
  <c r="EV109" i="44"/>
  <c r="EV90" i="44"/>
  <c r="DM63" i="44"/>
  <c r="FI63" i="44"/>
  <c r="Z109" i="44"/>
  <c r="Z90" i="44"/>
  <c r="CD63" i="44"/>
  <c r="DP63" i="44"/>
  <c r="AG109" i="44"/>
  <c r="AG90" i="44"/>
  <c r="FQ63" i="44"/>
  <c r="DB90" i="44"/>
  <c r="DB109" i="44"/>
  <c r="CS109" i="44"/>
  <c r="CS90" i="44"/>
  <c r="HY90" i="44"/>
  <c r="HY109" i="44"/>
  <c r="GF90" i="44"/>
  <c r="GF109" i="44"/>
  <c r="BN90" i="44"/>
  <c r="BN109" i="44"/>
  <c r="GT90" i="44"/>
  <c r="GT109" i="44"/>
  <c r="AT63" i="44"/>
  <c r="DN63" i="44"/>
  <c r="GN109" i="44"/>
  <c r="GN90" i="44"/>
  <c r="AJ63" i="44"/>
  <c r="CV90" i="44"/>
  <c r="CV109" i="44"/>
  <c r="GR63" i="44"/>
  <c r="AE109" i="44"/>
  <c r="AE90" i="44"/>
  <c r="DG109" i="44"/>
  <c r="DG90" i="44"/>
  <c r="FC63" i="44"/>
  <c r="FS63" i="44"/>
  <c r="GM109" i="44"/>
  <c r="GM90" i="44"/>
  <c r="EG90" i="44"/>
  <c r="EG109" i="44"/>
  <c r="EF109" i="44"/>
  <c r="EF90" i="44"/>
  <c r="DF63" i="44"/>
  <c r="HF90" i="44"/>
  <c r="HF109" i="44"/>
  <c r="AR63" i="44"/>
  <c r="ER109" i="44"/>
  <c r="ER90" i="44"/>
  <c r="AI109" i="44"/>
  <c r="AI90" i="44"/>
  <c r="GQ63" i="44"/>
  <c r="GY109" i="44"/>
  <c r="GY90" i="44"/>
  <c r="H83" i="44"/>
  <c r="H84" i="44"/>
  <c r="BO63" i="44"/>
  <c r="AV63" i="44"/>
  <c r="IF109" i="44"/>
  <c r="IF90" i="44"/>
  <c r="CO63" i="44"/>
  <c r="EK63" i="44"/>
  <c r="HA109" i="44"/>
  <c r="HA90" i="44"/>
  <c r="BF63" i="44"/>
  <c r="EX90" i="44"/>
  <c r="EX109" i="44"/>
  <c r="BT63" i="44"/>
  <c r="FD90" i="44"/>
  <c r="FD109" i="44"/>
  <c r="DV90" i="44"/>
  <c r="DV109" i="44"/>
  <c r="CW63" i="44"/>
  <c r="ES63" i="44"/>
  <c r="HI90" i="44"/>
  <c r="HI109" i="44"/>
  <c r="FT63" i="44"/>
  <c r="BU90" i="44"/>
  <c r="BU109" i="44"/>
  <c r="FM63" i="44"/>
  <c r="GD63" i="44"/>
  <c r="X109" i="44"/>
  <c r="X90" i="44"/>
  <c r="IO63" i="44"/>
  <c r="ED63" i="44"/>
  <c r="GH90" i="44"/>
  <c r="GH109" i="44"/>
  <c r="FH109" i="44"/>
  <c r="FH90" i="44"/>
  <c r="CF109" i="44"/>
  <c r="CF90" i="44"/>
  <c r="FL109" i="44"/>
  <c r="FL90" i="44"/>
  <c r="BV63" i="44"/>
  <c r="BC63" i="44"/>
  <c r="CI90" i="44"/>
  <c r="CI109" i="44"/>
  <c r="EU109" i="44"/>
  <c r="EU90" i="44"/>
  <c r="GU63" i="44"/>
  <c r="IA90" i="44"/>
  <c r="IA109" i="44"/>
  <c r="HK63" i="44"/>
  <c r="DY63" i="44"/>
  <c r="BZ90" i="44"/>
  <c r="BZ109" i="44"/>
  <c r="CK63" i="44"/>
  <c r="BI109" i="44"/>
  <c r="BI90" i="44"/>
  <c r="HQ63" i="44"/>
  <c r="HD109" i="44"/>
  <c r="HD90" i="44"/>
  <c r="HH63" i="44"/>
  <c r="AY63" i="44"/>
  <c r="DK109" i="44"/>
  <c r="DK90" i="44"/>
  <c r="IE63" i="44"/>
  <c r="DA109" i="44"/>
  <c r="DA90" i="44"/>
  <c r="DJ90" i="44"/>
  <c r="DJ109" i="44"/>
  <c r="DI109" i="44"/>
  <c r="DI90" i="44"/>
  <c r="GB90" i="44"/>
  <c r="GB109" i="44"/>
  <c r="BG109" i="44"/>
  <c r="BG90" i="44"/>
  <c r="IQ90" i="44"/>
  <c r="IQ109" i="44"/>
  <c r="CC90" i="44"/>
  <c r="CC109" i="44"/>
  <c r="AS109" i="44"/>
  <c r="AS90" i="44"/>
  <c r="GV90" i="44"/>
  <c r="GV109" i="44"/>
  <c r="FG109" i="44"/>
  <c r="FG90" i="44"/>
  <c r="FQ109" i="44"/>
  <c r="FQ90" i="44"/>
  <c r="FR90" i="44"/>
  <c r="FR109" i="44"/>
  <c r="DN90" i="44"/>
  <c r="DN109" i="44"/>
  <c r="FU109" i="44"/>
  <c r="FU90" i="44"/>
  <c r="CA90" i="44"/>
  <c r="CA109" i="44"/>
  <c r="GQ109" i="44"/>
  <c r="GQ90" i="44"/>
  <c r="ED90" i="44"/>
  <c r="ED109" i="44"/>
  <c r="DX109" i="44"/>
  <c r="DX90" i="44"/>
  <c r="IG109" i="44"/>
  <c r="IG90" i="44"/>
  <c r="IK109" i="44"/>
  <c r="IK90" i="44"/>
  <c r="HB90" i="44"/>
  <c r="HB109" i="44"/>
  <c r="FN90" i="44"/>
  <c r="FN109" i="44"/>
  <c r="Y109" i="44"/>
  <c r="Y90" i="44"/>
  <c r="AX90" i="44"/>
  <c r="AX109" i="44"/>
  <c r="CG109" i="44"/>
  <c r="CG90" i="44"/>
  <c r="EJ90" i="44"/>
  <c r="EJ109" i="44"/>
  <c r="FP109" i="44"/>
  <c r="FP90" i="44"/>
  <c r="GP90" i="44"/>
  <c r="GP109" i="44"/>
  <c r="HR90" i="44"/>
  <c r="HR109" i="44"/>
  <c r="CH109" i="44"/>
  <c r="CH90" i="44"/>
  <c r="FX90" i="44"/>
  <c r="FX109" i="44"/>
  <c r="CN109" i="44"/>
  <c r="CN90" i="44"/>
  <c r="AA109" i="44"/>
  <c r="AA90" i="44"/>
  <c r="CM109" i="44"/>
  <c r="CM90" i="44"/>
  <c r="EY109" i="44"/>
  <c r="EY90" i="44"/>
  <c r="IM109" i="44"/>
  <c r="IM90" i="44"/>
  <c r="EM90" i="44"/>
  <c r="EM109" i="44"/>
  <c r="CJ109" i="44"/>
  <c r="CJ90" i="44"/>
  <c r="CL63" i="44"/>
  <c r="GL90" i="44"/>
  <c r="GL109" i="44"/>
  <c r="CP90" i="44"/>
  <c r="CP109" i="44"/>
  <c r="EL90" i="44"/>
  <c r="EL109" i="44"/>
  <c r="DD63" i="44"/>
  <c r="CE109" i="44"/>
  <c r="CE90" i="44"/>
  <c r="AF109" i="44"/>
  <c r="AF90" i="44"/>
  <c r="EV63" i="44"/>
  <c r="BJ109" i="44"/>
  <c r="BJ90" i="44"/>
  <c r="BQ109" i="44"/>
  <c r="BQ90" i="44"/>
  <c r="AH90" i="44"/>
  <c r="AH109" i="44"/>
  <c r="HV90" i="44"/>
  <c r="HV109" i="44"/>
  <c r="BY109" i="44"/>
  <c r="BY90" i="44"/>
  <c r="EO109" i="44"/>
  <c r="EO90" i="44"/>
  <c r="HY63" i="44"/>
  <c r="ID90" i="44"/>
  <c r="ID109" i="44"/>
  <c r="GG63" i="44"/>
  <c r="EB90" i="44"/>
  <c r="EB109" i="44"/>
  <c r="AE63" i="44"/>
  <c r="DW109" i="44"/>
  <c r="DW90" i="44"/>
  <c r="AP109" i="44"/>
  <c r="AP90" i="44"/>
  <c r="IH90" i="44"/>
  <c r="IH109" i="44"/>
  <c r="EG63" i="44"/>
  <c r="DE109" i="44"/>
  <c r="DE90" i="44"/>
  <c r="ET90" i="44"/>
  <c r="ET109" i="44"/>
  <c r="CU109" i="44"/>
  <c r="CU90" i="44"/>
  <c r="AD109" i="44"/>
  <c r="AD90" i="44"/>
  <c r="AK109" i="44"/>
  <c r="AK90" i="44"/>
  <c r="EH90" i="44"/>
  <c r="EH109" i="44"/>
  <c r="EX63" i="44"/>
  <c r="FD63" i="44"/>
  <c r="BE109" i="44"/>
  <c r="BE90" i="44"/>
  <c r="HZ90" i="44"/>
  <c r="HZ109" i="44"/>
  <c r="DQ109" i="44"/>
  <c r="DQ90" i="44"/>
  <c r="HL90" i="44"/>
  <c r="HL109" i="44"/>
  <c r="HN90" i="44"/>
  <c r="HN109" i="44"/>
  <c r="HT90" i="44"/>
  <c r="HT109" i="44"/>
  <c r="DL90" i="44"/>
  <c r="DL109" i="44"/>
  <c r="BV90" i="44"/>
  <c r="BV109" i="44"/>
  <c r="AM90" i="44"/>
  <c r="AM109" i="44"/>
  <c r="CY109" i="44"/>
  <c r="CY90" i="44"/>
  <c r="FK109" i="44"/>
  <c r="FK90" i="44"/>
  <c r="IA63" i="44"/>
  <c r="HG109" i="44"/>
  <c r="HG90" i="44"/>
  <c r="W63" i="44"/>
  <c r="GJ90" i="44"/>
  <c r="GJ109" i="44"/>
  <c r="BZ63" i="44"/>
  <c r="EN90" i="44"/>
  <c r="EN109" i="44"/>
  <c r="DR90" i="44"/>
  <c r="DR109" i="44"/>
  <c r="BX90" i="44"/>
  <c r="BX109" i="44"/>
  <c r="FW109" i="44"/>
  <c r="FW90" i="44"/>
  <c r="H278" i="44"/>
  <c r="L3" i="44" l="1"/>
  <c r="C108" i="44" s="1"/>
  <c r="C115" i="44" s="1"/>
  <c r="H85" i="44"/>
  <c r="H82" i="44"/>
  <c r="H130" i="44"/>
  <c r="H86" i="44" l="1"/>
  <c r="H76" i="44"/>
  <c r="I74" i="44" s="1"/>
  <c r="I81" i="44" s="1"/>
  <c r="H106" i="44"/>
  <c r="I83" i="44" l="1"/>
  <c r="I84" i="44"/>
  <c r="I85" i="44" s="1"/>
  <c r="H87" i="44"/>
  <c r="H129" i="44"/>
  <c r="I130" i="44" l="1"/>
  <c r="I82" i="44"/>
  <c r="I86" i="44" l="1"/>
  <c r="I76" i="44"/>
  <c r="J74" i="44" s="1"/>
  <c r="J81" i="44" s="1"/>
  <c r="I106" i="44"/>
  <c r="J83" i="44" l="1"/>
  <c r="J84" i="44"/>
  <c r="J85" i="44" s="1"/>
  <c r="I129" i="44"/>
  <c r="I87" i="44"/>
  <c r="J130" i="44" l="1"/>
  <c r="J82" i="44"/>
  <c r="J86" i="44" l="1"/>
  <c r="J76" i="44"/>
  <c r="K74" i="44" s="1"/>
  <c r="K81" i="44" s="1"/>
  <c r="J106" i="44"/>
  <c r="K83" i="44" l="1"/>
  <c r="K84" i="44"/>
  <c r="K85" i="44" s="1"/>
  <c r="J87" i="44"/>
  <c r="J129" i="44"/>
  <c r="K82" i="44" l="1"/>
  <c r="K130" i="44"/>
  <c r="K86" i="44" l="1"/>
  <c r="K76" i="44"/>
  <c r="L74" i="44" s="1"/>
  <c r="L81" i="44" s="1"/>
  <c r="K106" i="44"/>
  <c r="L83" i="44" l="1"/>
  <c r="L84" i="44"/>
  <c r="L85" i="44" s="1"/>
  <c r="K87" i="44"/>
  <c r="K129" i="44"/>
  <c r="L130" i="44" l="1"/>
  <c r="L82" i="44"/>
  <c r="L86" i="44" l="1"/>
  <c r="L76" i="44"/>
  <c r="M74" i="44" s="1"/>
  <c r="M81" i="44" s="1"/>
  <c r="L106" i="44"/>
  <c r="M83" i="44" l="1"/>
  <c r="M84" i="44"/>
  <c r="M85" i="44" s="1"/>
  <c r="L87" i="44"/>
  <c r="L129" i="44"/>
  <c r="M82" i="44" l="1"/>
  <c r="M86" i="44" s="1"/>
  <c r="M130" i="44"/>
  <c r="M106" i="44" l="1"/>
  <c r="M76" i="44"/>
  <c r="N74" i="44" s="1"/>
  <c r="N81" i="44" s="1"/>
  <c r="N83" i="44" s="1"/>
  <c r="M87" i="44"/>
  <c r="M129" i="44"/>
  <c r="N84" i="44" l="1"/>
  <c r="N85" i="44" s="1"/>
  <c r="N130" i="44"/>
  <c r="N82" i="44" l="1"/>
  <c r="N86" i="44" s="1"/>
  <c r="N87" i="44" s="1"/>
  <c r="N129" i="44" l="1"/>
  <c r="N76" i="44"/>
  <c r="O74" i="44" s="1"/>
  <c r="O81" i="44" s="1"/>
  <c r="O83" i="44" s="1"/>
  <c r="O130" i="44" s="1"/>
  <c r="N106" i="44"/>
  <c r="O84" i="44" l="1"/>
  <c r="O82" i="44" s="1"/>
  <c r="O76" i="44" s="1"/>
  <c r="P74" i="44" s="1"/>
  <c r="P81" i="44" s="1"/>
  <c r="O86" i="44" l="1"/>
  <c r="O87" i="44" s="1"/>
  <c r="O106" i="44"/>
  <c r="O85" i="44"/>
  <c r="P83" i="44"/>
  <c r="P84" i="44"/>
  <c r="P85" i="44" s="1"/>
  <c r="O129" i="44" l="1"/>
  <c r="P130" i="44"/>
  <c r="P82" i="44"/>
  <c r="P86" i="44" l="1"/>
  <c r="P76" i="44"/>
  <c r="Q74" i="44" s="1"/>
  <c r="Q81" i="44" s="1"/>
  <c r="P106" i="44"/>
  <c r="Q83" i="44" l="1"/>
  <c r="Q84" i="44"/>
  <c r="Q85" i="44" s="1"/>
  <c r="P129" i="44"/>
  <c r="P87" i="44"/>
  <c r="Q82" i="44" l="1"/>
  <c r="Q130" i="44"/>
  <c r="Q86" i="44" l="1"/>
  <c r="Q76" i="44"/>
  <c r="R74" i="44" s="1"/>
  <c r="R81" i="44" s="1"/>
  <c r="Q106" i="44"/>
  <c r="R83" i="44" l="1"/>
  <c r="R84" i="44"/>
  <c r="R85" i="44" s="1"/>
  <c r="Q87" i="44"/>
  <c r="Q129" i="44"/>
  <c r="R82" i="44" l="1"/>
  <c r="R130" i="44"/>
  <c r="R86" i="44" l="1"/>
  <c r="R76" i="44"/>
  <c r="S74" i="44" s="1"/>
  <c r="S81" i="44" s="1"/>
  <c r="R106" i="44"/>
  <c r="S83" i="44" l="1"/>
  <c r="S84" i="44"/>
  <c r="S85" i="44" s="1"/>
  <c r="R87" i="44"/>
  <c r="R129" i="44"/>
  <c r="S82" i="44" l="1"/>
  <c r="S86" i="44" s="1"/>
  <c r="S130" i="44"/>
  <c r="S106" i="44" l="1"/>
  <c r="S76" i="44"/>
  <c r="T74" i="44" s="1"/>
  <c r="T81" i="44" s="1"/>
  <c r="T83" i="44" s="1"/>
  <c r="S129" i="44"/>
  <c r="S87" i="44"/>
  <c r="T84" i="44" l="1"/>
  <c r="T85" i="44" s="1"/>
  <c r="T130" i="44"/>
  <c r="T82" i="44" l="1"/>
  <c r="T86" i="44" s="1"/>
  <c r="T106" i="44" l="1"/>
  <c r="T76" i="44"/>
  <c r="U74" i="44" s="1"/>
  <c r="U81" i="44" s="1"/>
  <c r="U83" i="44" s="1"/>
  <c r="U84" i="44"/>
  <c r="U85" i="44" s="1"/>
  <c r="T129" i="44"/>
  <c r="T87" i="44"/>
  <c r="U82" i="44" l="1"/>
  <c r="U86" i="44" s="1"/>
  <c r="U130" i="44"/>
  <c r="U106" i="44" l="1"/>
  <c r="U76" i="44"/>
  <c r="V74" i="44" s="1"/>
  <c r="V81" i="44" s="1"/>
  <c r="V83" i="44" s="1"/>
  <c r="U87" i="44"/>
  <c r="U129" i="44"/>
  <c r="G298" i="44"/>
  <c r="V84" i="44" l="1"/>
  <c r="V85" i="44" s="1"/>
  <c r="V130" i="44"/>
  <c r="G300" i="44"/>
  <c r="V82" i="44" l="1"/>
  <c r="V86" i="44" s="1"/>
  <c r="V129" i="44" s="1"/>
  <c r="V87" i="44" l="1"/>
  <c r="V76" i="44"/>
  <c r="W74" i="44" s="1"/>
  <c r="W81" i="44" s="1"/>
  <c r="W83" i="44" s="1"/>
  <c r="W130" i="44" s="1"/>
  <c r="V106" i="44"/>
  <c r="G302" i="44"/>
  <c r="W84" i="44" l="1"/>
  <c r="W85" i="44" s="1"/>
  <c r="W82" i="44" l="1"/>
  <c r="W106" i="44" s="1"/>
  <c r="W76" i="44" l="1"/>
  <c r="X74" i="44" s="1"/>
  <c r="X81" i="44" s="1"/>
  <c r="X83" i="44" s="1"/>
  <c r="X130" i="44" s="1"/>
  <c r="W86" i="44"/>
  <c r="W129" i="44"/>
  <c r="W87" i="44"/>
  <c r="X84" i="44" l="1"/>
  <c r="X85" i="44" s="1"/>
  <c r="X82" i="44" l="1"/>
  <c r="X86" i="44" s="1"/>
  <c r="X76" i="44" l="1"/>
  <c r="Y74" i="44" s="1"/>
  <c r="Y81" i="44" s="1"/>
  <c r="Y83" i="44" s="1"/>
  <c r="Y130" i="44" s="1"/>
  <c r="X106" i="44"/>
  <c r="X87" i="44"/>
  <c r="X129" i="44"/>
  <c r="Y84" i="44"/>
  <c r="Y85" i="44" s="1"/>
  <c r="Y82" i="44" l="1"/>
  <c r="Y76" i="44" s="1"/>
  <c r="Z74" i="44" s="1"/>
  <c r="Z81" i="44" s="1"/>
  <c r="Y106" i="44" l="1"/>
  <c r="Y86" i="44"/>
  <c r="Y87" i="44" s="1"/>
  <c r="Z83" i="44"/>
  <c r="Z130" i="44" s="1"/>
  <c r="Z84" i="44"/>
  <c r="Z85" i="44" s="1"/>
  <c r="Y129" i="44" l="1"/>
  <c r="Z82" i="44"/>
  <c r="Z86" i="44" s="1"/>
  <c r="Z87" i="44" s="1"/>
  <c r="Z76" i="44"/>
  <c r="AA74" i="44" s="1"/>
  <c r="AA81" i="44" s="1"/>
  <c r="AA83" i="44" s="1"/>
  <c r="Z106" i="44" l="1"/>
  <c r="Z129" i="44"/>
  <c r="AA84" i="44"/>
  <c r="AA85" i="44" s="1"/>
  <c r="AA130" i="44"/>
  <c r="AA82" i="44" l="1"/>
  <c r="AA86" i="44" s="1"/>
  <c r="AA106" i="44" l="1"/>
  <c r="AA76" i="44"/>
  <c r="AB74" i="44" s="1"/>
  <c r="AB81" i="44" s="1"/>
  <c r="AB83" i="44" s="1"/>
  <c r="AA129" i="44"/>
  <c r="AA87" i="44"/>
  <c r="AB84" i="44" l="1"/>
  <c r="AB85" i="44" s="1"/>
  <c r="AB130" i="44"/>
  <c r="AB82" i="44" l="1"/>
  <c r="AB86" i="44" s="1"/>
  <c r="AB87" i="44" s="1"/>
  <c r="AB129" i="44" l="1"/>
  <c r="AB76" i="44"/>
  <c r="AC74" i="44" s="1"/>
  <c r="AC81" i="44" s="1"/>
  <c r="AC83" i="44" s="1"/>
  <c r="AC130" i="44" s="1"/>
  <c r="AB106" i="44"/>
  <c r="AC84" i="44" l="1"/>
  <c r="AC85" i="44" s="1"/>
  <c r="AC82" i="44" l="1"/>
  <c r="AC106" i="44" s="1"/>
  <c r="AC86" i="44" l="1"/>
  <c r="AC76" i="44"/>
  <c r="AD74" i="44" s="1"/>
  <c r="AD81" i="44" s="1"/>
  <c r="AD83" i="44" l="1"/>
  <c r="AD130" i="44" s="1"/>
  <c r="AD84" i="44"/>
  <c r="AD85" i="44" s="1"/>
  <c r="AC129" i="44"/>
  <c r="AC87" i="44"/>
  <c r="AD82" i="44" l="1"/>
  <c r="AD106" i="44" l="1"/>
  <c r="AD76" i="44"/>
  <c r="AE74" i="44" s="1"/>
  <c r="AE81" i="44" s="1"/>
  <c r="AD86" i="44"/>
  <c r="AE84" i="44" l="1"/>
  <c r="AE85" i="44" s="1"/>
  <c r="AE83" i="44"/>
  <c r="AE130" i="44" s="1"/>
  <c r="AD129" i="44"/>
  <c r="AD87" i="44"/>
  <c r="AE82" i="44" l="1"/>
  <c r="AE86" i="44" l="1"/>
  <c r="AE76" i="44"/>
  <c r="AF74" i="44" s="1"/>
  <c r="AF81" i="44" s="1"/>
  <c r="AE106" i="44"/>
  <c r="AE129" i="44" l="1"/>
  <c r="AE87" i="44"/>
  <c r="AF83" i="44"/>
  <c r="AF130" i="44" s="1"/>
  <c r="AF84" i="44"/>
  <c r="AF85" i="44" l="1"/>
  <c r="AF82" i="44"/>
  <c r="AF86" i="44" l="1"/>
  <c r="AF76" i="44"/>
  <c r="AG74" i="44" s="1"/>
  <c r="AG81" i="44" s="1"/>
  <c r="AF106" i="44"/>
  <c r="AF87" i="44" l="1"/>
  <c r="AF129" i="44"/>
  <c r="AG84" i="44"/>
  <c r="AG85" i="44" s="1"/>
  <c r="AG83" i="44"/>
  <c r="AG130" i="44" s="1"/>
  <c r="AG82" i="44" l="1"/>
  <c r="AG86" i="44" s="1"/>
  <c r="AG106" i="44" l="1"/>
  <c r="AG76" i="44"/>
  <c r="AH74" i="44" s="1"/>
  <c r="AH81" i="44" s="1"/>
  <c r="AH84" i="44" s="1"/>
  <c r="AG87" i="44"/>
  <c r="AG129" i="44"/>
  <c r="AH83" i="44" l="1"/>
  <c r="AH130" i="44" s="1"/>
  <c r="AH85" i="44"/>
  <c r="AH82" i="44"/>
  <c r="AH86" i="44" l="1"/>
  <c r="AH76" i="44"/>
  <c r="AI74" i="44" s="1"/>
  <c r="AI81" i="44" s="1"/>
  <c r="AH106" i="44"/>
  <c r="AH87" i="44" l="1"/>
  <c r="AH129" i="44"/>
  <c r="AI83" i="44"/>
  <c r="AI130" i="44" s="1"/>
  <c r="AI84" i="44"/>
  <c r="AI85" i="44" l="1"/>
  <c r="AI82" i="44"/>
  <c r="AI76" i="44" l="1"/>
  <c r="AJ74" i="44" s="1"/>
  <c r="AJ81" i="44" s="1"/>
  <c r="AI106" i="44"/>
  <c r="AI86" i="44"/>
  <c r="AJ83" i="44" l="1"/>
  <c r="AJ130" i="44" s="1"/>
  <c r="AJ84" i="44"/>
  <c r="AJ85" i="44" s="1"/>
  <c r="AI129" i="44"/>
  <c r="AI87" i="44"/>
  <c r="AJ82" i="44" l="1"/>
  <c r="AJ76" i="44" s="1"/>
  <c r="AK74" i="44" s="1"/>
  <c r="AK81" i="44" s="1"/>
  <c r="AJ106" i="44" l="1"/>
  <c r="AJ86" i="44"/>
  <c r="AJ129" i="44" s="1"/>
  <c r="AK84" i="44"/>
  <c r="AK85" i="44" s="1"/>
  <c r="AK83" i="44"/>
  <c r="AK130" i="44" s="1"/>
  <c r="AJ87" i="44" l="1"/>
  <c r="AK82" i="44"/>
  <c r="AK86" i="44" s="1"/>
  <c r="AK129" i="44" s="1"/>
  <c r="AK87" i="44" l="1"/>
  <c r="AK76" i="44"/>
  <c r="AL74" i="44" s="1"/>
  <c r="AL81" i="44" s="1"/>
  <c r="AK106" i="44"/>
  <c r="AL84" i="44" l="1"/>
  <c r="AL83" i="44"/>
  <c r="AL130" i="44" s="1"/>
  <c r="AL85" i="44" l="1"/>
  <c r="AL82" i="44"/>
  <c r="AL76" i="44" l="1"/>
  <c r="AM74" i="44" s="1"/>
  <c r="AM81" i="44" s="1"/>
  <c r="AL86" i="44"/>
  <c r="AL106" i="44"/>
  <c r="AL129" i="44" l="1"/>
  <c r="AL87" i="44"/>
  <c r="AM83" i="44"/>
  <c r="AM130" i="44" s="1"/>
  <c r="AM84" i="44"/>
  <c r="AM82" i="44" l="1"/>
  <c r="AM85" i="44"/>
  <c r="AM76" i="44" l="1"/>
  <c r="AN74" i="44" s="1"/>
  <c r="AN81" i="44" s="1"/>
  <c r="AM106" i="44"/>
  <c r="AM86" i="44"/>
  <c r="AM129" i="44" l="1"/>
  <c r="AM87" i="44"/>
  <c r="AN83" i="44"/>
  <c r="AN130" i="44" s="1"/>
  <c r="AN84" i="44"/>
  <c r="AN82" i="44" l="1"/>
  <c r="AN85" i="44"/>
  <c r="AN86" i="44" l="1"/>
  <c r="AN76" i="44"/>
  <c r="AO74" i="44" s="1"/>
  <c r="AO81" i="44" s="1"/>
  <c r="AN106" i="44"/>
  <c r="AO83" i="44" l="1"/>
  <c r="AO130" i="44" s="1"/>
  <c r="AO84" i="44"/>
  <c r="AO85" i="44" s="1"/>
  <c r="AN129" i="44"/>
  <c r="AN87" i="44"/>
  <c r="AO82" i="44" l="1"/>
  <c r="AO86" i="44" l="1"/>
  <c r="AO76" i="44"/>
  <c r="AP74" i="44" s="1"/>
  <c r="AP81" i="44" s="1"/>
  <c r="AO106" i="44"/>
  <c r="AP84" i="44" l="1"/>
  <c r="AP83" i="44"/>
  <c r="AP130" i="44" s="1"/>
  <c r="AO129" i="44"/>
  <c r="AO87" i="44"/>
  <c r="AP85" i="44" l="1"/>
  <c r="AP82" i="44"/>
  <c r="AP86" i="44" l="1"/>
  <c r="AP76" i="44"/>
  <c r="AQ74" i="44" s="1"/>
  <c r="AQ81" i="44" s="1"/>
  <c r="AP106" i="44"/>
  <c r="AQ83" i="44" l="1"/>
  <c r="AQ130" i="44" s="1"/>
  <c r="AQ84" i="44"/>
  <c r="AP87" i="44"/>
  <c r="AP129" i="44"/>
  <c r="AQ85" i="44" l="1"/>
  <c r="AQ82" i="44"/>
  <c r="AQ76" i="44" l="1"/>
  <c r="AR74" i="44" s="1"/>
  <c r="AR81" i="44" s="1"/>
  <c r="AQ86" i="44"/>
  <c r="AQ106" i="44"/>
  <c r="AQ129" i="44" l="1"/>
  <c r="AQ87" i="44"/>
  <c r="AR83" i="44"/>
  <c r="AR130" i="44" s="1"/>
  <c r="AR84" i="44"/>
  <c r="AR85" i="44" l="1"/>
  <c r="AR82" i="44"/>
  <c r="AR76" i="44" l="1"/>
  <c r="AS74" i="44" s="1"/>
  <c r="AS81" i="44" s="1"/>
  <c r="AR86" i="44"/>
  <c r="AR106" i="44"/>
  <c r="AR87" i="44" l="1"/>
  <c r="AR129" i="44"/>
  <c r="AS83" i="44"/>
  <c r="AS130" i="44" s="1"/>
  <c r="AS84" i="44"/>
  <c r="AS85" i="44" l="1"/>
  <c r="AS82" i="44"/>
  <c r="AS76" i="44" l="1"/>
  <c r="AT74" i="44" s="1"/>
  <c r="AT81" i="44" s="1"/>
  <c r="AS86" i="44"/>
  <c r="AS106" i="44"/>
  <c r="AS129" i="44" l="1"/>
  <c r="AS87" i="44"/>
  <c r="AT83" i="44"/>
  <c r="AT130" i="44" s="1"/>
  <c r="AT84" i="44"/>
  <c r="AT85" i="44" l="1"/>
  <c r="AT82" i="44"/>
  <c r="AT86" i="44" l="1"/>
  <c r="AT76" i="44"/>
  <c r="AU74" i="44" s="1"/>
  <c r="AU81" i="44" s="1"/>
  <c r="AT106" i="44"/>
  <c r="AU83" i="44" l="1"/>
  <c r="AU130" i="44" s="1"/>
  <c r="AU84" i="44"/>
  <c r="AT87" i="44"/>
  <c r="AT129" i="44"/>
  <c r="AU85" i="44" l="1"/>
  <c r="AU82" i="44"/>
  <c r="AU86" i="44" l="1"/>
  <c r="AU76" i="44"/>
  <c r="AV74" i="44" s="1"/>
  <c r="AV81" i="44" s="1"/>
  <c r="AU106" i="44"/>
  <c r="AV84" i="44" l="1"/>
  <c r="AV83" i="44"/>
  <c r="AV130" i="44" s="1"/>
  <c r="AU129" i="44"/>
  <c r="AU87" i="44"/>
  <c r="AV85" i="44" l="1"/>
  <c r="AV82" i="44"/>
  <c r="AV86" i="44" l="1"/>
  <c r="AV76" i="44"/>
  <c r="AW74" i="44" s="1"/>
  <c r="AW81" i="44" s="1"/>
  <c r="AV106" i="44"/>
  <c r="AW83" i="44" l="1"/>
  <c r="AW130" i="44" s="1"/>
  <c r="AW84" i="44"/>
  <c r="AV87" i="44"/>
  <c r="AV129" i="44"/>
  <c r="AW85" i="44" l="1"/>
  <c r="AW82" i="44"/>
  <c r="AW86" i="44" l="1"/>
  <c r="AW76" i="44"/>
  <c r="AX74" i="44" s="1"/>
  <c r="AX81" i="44" s="1"/>
  <c r="AW106" i="44"/>
  <c r="AX83" i="44" l="1"/>
  <c r="AX130" i="44" s="1"/>
  <c r="AX84" i="44"/>
  <c r="AW87" i="44"/>
  <c r="AW129" i="44"/>
  <c r="AX85" i="44" l="1"/>
  <c r="AX82" i="44"/>
  <c r="AX86" i="44" l="1"/>
  <c r="AX76" i="44"/>
  <c r="AY74" i="44" s="1"/>
  <c r="AY81" i="44" s="1"/>
  <c r="AX106" i="44"/>
  <c r="AY83" i="44" l="1"/>
  <c r="AY130" i="44" s="1"/>
  <c r="AY84" i="44"/>
  <c r="AX87" i="44"/>
  <c r="AX129" i="44"/>
  <c r="AY85" i="44" l="1"/>
  <c r="AY82" i="44"/>
  <c r="AY86" i="44" l="1"/>
  <c r="AY76" i="44"/>
  <c r="AZ74" i="44" s="1"/>
  <c r="AZ81" i="44" s="1"/>
  <c r="AY106" i="44"/>
  <c r="AZ83" i="44" l="1"/>
  <c r="AZ130" i="44" s="1"/>
  <c r="AZ84" i="44"/>
  <c r="AY87" i="44"/>
  <c r="AY129" i="44"/>
  <c r="AZ85" i="44" l="1"/>
  <c r="AZ82" i="44"/>
  <c r="AZ86" i="44" l="1"/>
  <c r="AZ76" i="44"/>
  <c r="BA74" i="44" s="1"/>
  <c r="BA81" i="44" s="1"/>
  <c r="AZ106" i="44"/>
  <c r="BA83" i="44" l="1"/>
  <c r="BA130" i="44" s="1"/>
  <c r="BA84" i="44"/>
  <c r="AZ129" i="44"/>
  <c r="AZ87" i="44"/>
  <c r="BA85" i="44" l="1"/>
  <c r="BA82" i="44"/>
  <c r="BA86" i="44" l="1"/>
  <c r="BA76" i="44"/>
  <c r="BB74" i="44" s="1"/>
  <c r="BB81" i="44" s="1"/>
  <c r="BA106" i="44"/>
  <c r="BB83" i="44" l="1"/>
  <c r="BB130" i="44" s="1"/>
  <c r="BB84" i="44"/>
  <c r="BA129" i="44"/>
  <c r="BA87" i="44"/>
  <c r="BB85" i="44" l="1"/>
  <c r="BB82" i="44"/>
  <c r="BB86" i="44" l="1"/>
  <c r="BB76" i="44"/>
  <c r="BC74" i="44" s="1"/>
  <c r="BC81" i="44" s="1"/>
  <c r="BB106" i="44"/>
  <c r="BC83" i="44" l="1"/>
  <c r="BC130" i="44" s="1"/>
  <c r="BC84" i="44"/>
  <c r="BB87" i="44"/>
  <c r="BB129" i="44"/>
  <c r="BC85" i="44" l="1"/>
  <c r="BC82" i="44"/>
  <c r="BC86" i="44" l="1"/>
  <c r="BC76" i="44"/>
  <c r="BD74" i="44" s="1"/>
  <c r="BD81" i="44" s="1"/>
  <c r="BC106" i="44"/>
  <c r="BD83" i="44" l="1"/>
  <c r="BD130" i="44" s="1"/>
  <c r="BD84" i="44"/>
  <c r="BC129" i="44"/>
  <c r="BC87" i="44"/>
  <c r="BD85" i="44" l="1"/>
  <c r="BD82" i="44"/>
  <c r="BD86" i="44" l="1"/>
  <c r="BD76" i="44"/>
  <c r="BE74" i="44" s="1"/>
  <c r="BE81" i="44" s="1"/>
  <c r="BD106" i="44"/>
  <c r="BE83" i="44" l="1"/>
  <c r="BE130" i="44" s="1"/>
  <c r="BE84" i="44"/>
  <c r="BD129" i="44"/>
  <c r="BD87" i="44"/>
  <c r="BE85" i="44" l="1"/>
  <c r="BE82" i="44"/>
  <c r="BE106" i="44" l="1"/>
  <c r="BE76" i="44"/>
  <c r="BF74" i="44" s="1"/>
  <c r="BF81" i="44" s="1"/>
  <c r="BE86" i="44"/>
  <c r="BE87" i="44" l="1"/>
  <c r="BE129" i="44"/>
  <c r="BF84" i="44"/>
  <c r="BF83" i="44"/>
  <c r="BF130" i="44" s="1"/>
  <c r="BF85" i="44" l="1"/>
  <c r="BF82" i="44"/>
  <c r="BF76" i="44" l="1"/>
  <c r="BG74" i="44" s="1"/>
  <c r="BG81" i="44" s="1"/>
  <c r="BF86" i="44"/>
  <c r="BF106" i="44"/>
  <c r="BF87" i="44" l="1"/>
  <c r="BF129" i="44"/>
  <c r="BG83" i="44"/>
  <c r="BG130" i="44" s="1"/>
  <c r="BG84" i="44"/>
  <c r="BG85" i="44" l="1"/>
  <c r="BG82" i="44"/>
  <c r="BG86" i="44" l="1"/>
  <c r="BG76" i="44"/>
  <c r="BH74" i="44" s="1"/>
  <c r="BH81" i="44" s="1"/>
  <c r="BG106" i="44"/>
  <c r="BH84" i="44" l="1"/>
  <c r="BH83" i="44"/>
  <c r="BH130" i="44" s="1"/>
  <c r="BG129" i="44"/>
  <c r="BG87" i="44"/>
  <c r="BH85" i="44" l="1"/>
  <c r="BH82" i="44"/>
  <c r="BH86" i="44" l="1"/>
  <c r="BH76" i="44"/>
  <c r="BI74" i="44" s="1"/>
  <c r="BI81" i="44" s="1"/>
  <c r="BH106" i="44"/>
  <c r="BI83" i="44" l="1"/>
  <c r="BI130" i="44" s="1"/>
  <c r="BI84" i="44"/>
  <c r="BH87" i="44"/>
  <c r="BH129" i="44"/>
  <c r="BI85" i="44" l="1"/>
  <c r="BI82" i="44"/>
  <c r="BI86" i="44" l="1"/>
  <c r="BI76" i="44"/>
  <c r="BJ74" i="44" s="1"/>
  <c r="BJ81" i="44" s="1"/>
  <c r="BI106" i="44"/>
  <c r="BJ83" i="44" l="1"/>
  <c r="BJ130" i="44" s="1"/>
  <c r="BJ84" i="44"/>
  <c r="BI87" i="44"/>
  <c r="BI129" i="44"/>
  <c r="BJ85" i="44" l="1"/>
  <c r="BJ82" i="44"/>
  <c r="BJ86" i="44" l="1"/>
  <c r="BJ76" i="44"/>
  <c r="BK74" i="44" s="1"/>
  <c r="BK81" i="44" s="1"/>
  <c r="BJ106" i="44"/>
  <c r="BK83" i="44" l="1"/>
  <c r="BK130" i="44" s="1"/>
  <c r="BK84" i="44"/>
  <c r="BJ87" i="44"/>
  <c r="BJ129" i="44"/>
  <c r="BK85" i="44" l="1"/>
  <c r="BK82" i="44"/>
  <c r="BK86" i="44" l="1"/>
  <c r="BK76" i="44"/>
  <c r="BL74" i="44" s="1"/>
  <c r="BL81" i="44" s="1"/>
  <c r="BK106" i="44"/>
  <c r="BL83" i="44" l="1"/>
  <c r="BL130" i="44" s="1"/>
  <c r="BL84" i="44"/>
  <c r="BK129" i="44"/>
  <c r="BK87" i="44"/>
  <c r="BL85" i="44" l="1"/>
  <c r="BL82" i="44"/>
  <c r="BL86" i="44" l="1"/>
  <c r="BL76" i="44"/>
  <c r="BM74" i="44" s="1"/>
  <c r="BM81" i="44" s="1"/>
  <c r="BL106" i="44"/>
  <c r="BM83" i="44" l="1"/>
  <c r="BM130" i="44" s="1"/>
  <c r="BM84" i="44"/>
  <c r="BL129" i="44"/>
  <c r="BL87" i="44"/>
  <c r="BM85" i="44" l="1"/>
  <c r="BM82" i="44"/>
  <c r="BM86" i="44" l="1"/>
  <c r="BM76" i="44"/>
  <c r="BN74" i="44" s="1"/>
  <c r="BN81" i="44" s="1"/>
  <c r="BM106" i="44"/>
  <c r="BN83" i="44" l="1"/>
  <c r="BN130" i="44" s="1"/>
  <c r="BN84" i="44"/>
  <c r="BM129" i="44"/>
  <c r="BM87" i="44"/>
  <c r="BN85" i="44" l="1"/>
  <c r="BN82" i="44"/>
  <c r="BN86" i="44" l="1"/>
  <c r="BN76" i="44"/>
  <c r="BO74" i="44" s="1"/>
  <c r="BO81" i="44" s="1"/>
  <c r="BN106" i="44"/>
  <c r="BO83" i="44" l="1"/>
  <c r="BO130" i="44" s="1"/>
  <c r="BO84" i="44"/>
  <c r="BO85" i="44" s="1"/>
  <c r="BN129" i="44"/>
  <c r="BN87" i="44"/>
  <c r="BO82" i="44" l="1"/>
  <c r="BO86" i="44" l="1"/>
  <c r="BO76" i="44"/>
  <c r="BP74" i="44" s="1"/>
  <c r="BP81" i="44" s="1"/>
  <c r="BO106" i="44"/>
  <c r="BP83" i="44" l="1"/>
  <c r="BP130" i="44" s="1"/>
  <c r="BP84" i="44"/>
  <c r="BP85" i="44" s="1"/>
  <c r="BO87" i="44"/>
  <c r="BO129" i="44"/>
  <c r="BP82" i="44" l="1"/>
  <c r="BP86" i="44" l="1"/>
  <c r="BP76" i="44"/>
  <c r="BQ74" i="44" s="1"/>
  <c r="BQ81" i="44" s="1"/>
  <c r="BP106" i="44"/>
  <c r="BQ83" i="44" l="1"/>
  <c r="BQ130" i="44" s="1"/>
  <c r="BQ84" i="44"/>
  <c r="BP87" i="44"/>
  <c r="BP129" i="44"/>
  <c r="BQ85" i="44" l="1"/>
  <c r="BQ82" i="44"/>
  <c r="BQ86" i="44" l="1"/>
  <c r="BQ76" i="44"/>
  <c r="BR74" i="44" s="1"/>
  <c r="BR81" i="44" s="1"/>
  <c r="BQ106" i="44"/>
  <c r="BR83" i="44" l="1"/>
  <c r="BR130" i="44" s="1"/>
  <c r="BR84" i="44"/>
  <c r="BQ87" i="44"/>
  <c r="BQ129" i="44"/>
  <c r="BR85" i="44" l="1"/>
  <c r="BR82" i="44"/>
  <c r="BR86" i="44" l="1"/>
  <c r="BR76" i="44"/>
  <c r="BS74" i="44" s="1"/>
  <c r="BS81" i="44" s="1"/>
  <c r="BR106" i="44"/>
  <c r="BS83" i="44" l="1"/>
  <c r="BS130" i="44" s="1"/>
  <c r="BS84" i="44"/>
  <c r="BR129" i="44"/>
  <c r="BR87" i="44"/>
  <c r="BS85" i="44" l="1"/>
  <c r="BS82" i="44"/>
  <c r="BS86" i="44" l="1"/>
  <c r="BS76" i="44"/>
  <c r="BT74" i="44" s="1"/>
  <c r="BT81" i="44" s="1"/>
  <c r="BS106" i="44"/>
  <c r="BT83" i="44" l="1"/>
  <c r="BT130" i="44" s="1"/>
  <c r="BT84" i="44"/>
  <c r="BS129" i="44"/>
  <c r="BS87" i="44"/>
  <c r="BT85" i="44" l="1"/>
  <c r="BT82" i="44"/>
  <c r="BT86" i="44" l="1"/>
  <c r="BT76" i="44"/>
  <c r="BU74" i="44" s="1"/>
  <c r="BU81" i="44" s="1"/>
  <c r="BT106" i="44"/>
  <c r="BU83" i="44" l="1"/>
  <c r="BU130" i="44" s="1"/>
  <c r="BU84" i="44"/>
  <c r="BT129" i="44"/>
  <c r="BT87" i="44"/>
  <c r="BU85" i="44" l="1"/>
  <c r="BU82" i="44"/>
  <c r="BU86" i="44" l="1"/>
  <c r="BU76" i="44"/>
  <c r="BV74" i="44" s="1"/>
  <c r="BV81" i="44" s="1"/>
  <c r="BU106" i="44"/>
  <c r="BV83" i="44" l="1"/>
  <c r="BV130" i="44" s="1"/>
  <c r="BV84" i="44"/>
  <c r="BU87" i="44"/>
  <c r="BU129" i="44"/>
  <c r="BV85" i="44" l="1"/>
  <c r="BV82" i="44"/>
  <c r="BV86" i="44" l="1"/>
  <c r="BV76" i="44"/>
  <c r="BW74" i="44" s="1"/>
  <c r="BW81" i="44" s="1"/>
  <c r="BV106" i="44"/>
  <c r="BW83" i="44" l="1"/>
  <c r="BW130" i="44" s="1"/>
  <c r="BW84" i="44"/>
  <c r="BV129" i="44"/>
  <c r="BV87" i="44"/>
  <c r="BW85" i="44" l="1"/>
  <c r="BW82" i="44"/>
  <c r="BW86" i="44" l="1"/>
  <c r="BW76" i="44"/>
  <c r="BX74" i="44" s="1"/>
  <c r="BX81" i="44" s="1"/>
  <c r="BW106" i="44"/>
  <c r="BX83" i="44" l="1"/>
  <c r="BX130" i="44" s="1"/>
  <c r="BX84" i="44"/>
  <c r="BW129" i="44"/>
  <c r="BW87" i="44"/>
  <c r="BX85" i="44" l="1"/>
  <c r="BX82" i="44"/>
  <c r="BX86" i="44" l="1"/>
  <c r="BX76" i="44"/>
  <c r="BY74" i="44" s="1"/>
  <c r="BY81" i="44" s="1"/>
  <c r="BX106" i="44"/>
  <c r="BY83" i="44" l="1"/>
  <c r="BY130" i="44" s="1"/>
  <c r="BY84" i="44"/>
  <c r="BX129" i="44"/>
  <c r="BX87" i="44"/>
  <c r="BY85" i="44" l="1"/>
  <c r="BY82" i="44"/>
  <c r="BY86" i="44" l="1"/>
  <c r="BY76" i="44"/>
  <c r="BZ74" i="44" s="1"/>
  <c r="BZ81" i="44" s="1"/>
  <c r="BY106" i="44"/>
  <c r="BZ83" i="44" l="1"/>
  <c r="BZ130" i="44" s="1"/>
  <c r="BZ84" i="44"/>
  <c r="BY129" i="44"/>
  <c r="BY87" i="44"/>
  <c r="BZ85" i="44" l="1"/>
  <c r="BZ82" i="44"/>
  <c r="BZ86" i="44" l="1"/>
  <c r="BZ76" i="44"/>
  <c r="CA74" i="44" s="1"/>
  <c r="CA81" i="44" s="1"/>
  <c r="BZ106" i="44"/>
  <c r="CA83" i="44" l="1"/>
  <c r="CA130" i="44" s="1"/>
  <c r="CA84" i="44"/>
  <c r="BZ87" i="44"/>
  <c r="BZ129" i="44"/>
  <c r="CA85" i="44" l="1"/>
  <c r="CA82" i="44"/>
  <c r="CA86" i="44" l="1"/>
  <c r="CA76" i="44"/>
  <c r="CB74" i="44" s="1"/>
  <c r="CB81" i="44" s="1"/>
  <c r="CA106" i="44"/>
  <c r="CB83" i="44" l="1"/>
  <c r="CB130" i="44" s="1"/>
  <c r="CB84" i="44"/>
  <c r="CA129" i="44"/>
  <c r="CA87" i="44"/>
  <c r="CB85" i="44" l="1"/>
  <c r="CB82" i="44"/>
  <c r="CB86" i="44" l="1"/>
  <c r="CB76" i="44"/>
  <c r="CC74" i="44" s="1"/>
  <c r="CC81" i="44" s="1"/>
  <c r="CB106" i="44"/>
  <c r="CC83" i="44" l="1"/>
  <c r="CC130" i="44" s="1"/>
  <c r="CC84" i="44"/>
  <c r="CC85" i="44" s="1"/>
  <c r="CB129" i="44"/>
  <c r="CB87" i="44"/>
  <c r="CC82" i="44" l="1"/>
  <c r="CC86" i="44" l="1"/>
  <c r="CC76" i="44"/>
  <c r="CD74" i="44" s="1"/>
  <c r="CD81" i="44" s="1"/>
  <c r="CC106" i="44"/>
  <c r="CD83" i="44" l="1"/>
  <c r="CD130" i="44" s="1"/>
  <c r="CD84" i="44"/>
  <c r="CC129" i="44"/>
  <c r="CC87" i="44"/>
  <c r="CD85" i="44" l="1"/>
  <c r="CD82" i="44"/>
  <c r="CD86" i="44" l="1"/>
  <c r="CD76" i="44"/>
  <c r="CE74" i="44" s="1"/>
  <c r="CE81" i="44" s="1"/>
  <c r="CD106" i="44"/>
  <c r="CE83" i="44" l="1"/>
  <c r="CE130" i="44" s="1"/>
  <c r="CE84" i="44"/>
  <c r="CD87" i="44"/>
  <c r="CD129" i="44"/>
  <c r="CE85" i="44" l="1"/>
  <c r="CE82" i="44"/>
  <c r="CE86" i="44" l="1"/>
  <c r="CE76" i="44"/>
  <c r="CF74" i="44" s="1"/>
  <c r="CF81" i="44" s="1"/>
  <c r="CE106" i="44"/>
  <c r="CE129" i="44" l="1"/>
  <c r="CE87" i="44"/>
  <c r="CF83" i="44"/>
  <c r="CF130" i="44" s="1"/>
  <c r="CF84" i="44"/>
  <c r="CF85" i="44" s="1"/>
  <c r="CF82" i="44" l="1"/>
  <c r="CF86" i="44" l="1"/>
  <c r="CF76" i="44"/>
  <c r="CG74" i="44" s="1"/>
  <c r="CG81" i="44" s="1"/>
  <c r="CF106" i="44"/>
  <c r="CG83" i="44" l="1"/>
  <c r="CG130" i="44" s="1"/>
  <c r="CG84" i="44"/>
  <c r="CF129" i="44"/>
  <c r="CF87" i="44"/>
  <c r="CG85" i="44" l="1"/>
  <c r="CG82" i="44"/>
  <c r="CG86" i="44" l="1"/>
  <c r="CG76" i="44"/>
  <c r="CH74" i="44" s="1"/>
  <c r="CH81" i="44" s="1"/>
  <c r="CG106" i="44"/>
  <c r="CG129" i="44" l="1"/>
  <c r="CG87" i="44"/>
  <c r="CH83" i="44"/>
  <c r="CH130" i="44" s="1"/>
  <c r="CH84" i="44"/>
  <c r="CH85" i="44" l="1"/>
  <c r="CH82" i="44"/>
  <c r="CH86" i="44" l="1"/>
  <c r="CH76" i="44"/>
  <c r="CI74" i="44" s="1"/>
  <c r="CI81" i="44" s="1"/>
  <c r="CH106" i="44"/>
  <c r="CH129" i="44" l="1"/>
  <c r="CH87" i="44"/>
  <c r="CI83" i="44"/>
  <c r="CI130" i="44" s="1"/>
  <c r="CI84" i="44"/>
  <c r="CI85" i="44" l="1"/>
  <c r="CI82" i="44"/>
  <c r="CI76" i="44" l="1"/>
  <c r="CJ74" i="44" s="1"/>
  <c r="CJ81" i="44" s="1"/>
  <c r="CI86" i="44"/>
  <c r="CI106" i="44"/>
  <c r="CJ83" i="44" l="1"/>
  <c r="CJ130" i="44" s="1"/>
  <c r="CJ84" i="44"/>
  <c r="CJ85" i="44" s="1"/>
  <c r="CI129" i="44"/>
  <c r="CI87" i="44"/>
  <c r="CJ82" i="44" l="1"/>
  <c r="CJ86" i="44" s="1"/>
  <c r="CJ106" i="44" l="1"/>
  <c r="CJ76" i="44"/>
  <c r="CK74" i="44" s="1"/>
  <c r="CK81" i="44" s="1"/>
  <c r="CJ87" i="44"/>
  <c r="CJ129" i="44"/>
  <c r="CK83" i="44"/>
  <c r="CK130" i="44" s="1"/>
  <c r="CK84" i="44"/>
  <c r="CK85" i="44" l="1"/>
  <c r="CK82" i="44"/>
  <c r="CK76" i="44" l="1"/>
  <c r="CL74" i="44" s="1"/>
  <c r="CL81" i="44" s="1"/>
  <c r="CK86" i="44"/>
  <c r="CK106" i="44"/>
  <c r="CL83" i="44" l="1"/>
  <c r="CL130" i="44" s="1"/>
  <c r="CL84" i="44"/>
  <c r="CL85" i="44" s="1"/>
  <c r="CL82" i="44"/>
  <c r="CK129" i="44"/>
  <c r="CK87" i="44"/>
  <c r="CL76" i="44" l="1"/>
  <c r="CM74" i="44" s="1"/>
  <c r="CM81" i="44" s="1"/>
  <c r="CL86" i="44"/>
  <c r="CL106" i="44"/>
  <c r="CM83" i="44" l="1"/>
  <c r="CM130" i="44" s="1"/>
  <c r="CM84" i="44"/>
  <c r="CM85" i="44" s="1"/>
  <c r="CL87" i="44"/>
  <c r="CL129" i="44"/>
  <c r="CM82" i="44" l="1"/>
  <c r="CM86" i="44" s="1"/>
  <c r="CM106" i="44" l="1"/>
  <c r="CM76" i="44"/>
  <c r="CN74" i="44" s="1"/>
  <c r="CN81" i="44" s="1"/>
  <c r="CM129" i="44"/>
  <c r="CM87" i="44"/>
  <c r="CN83" i="44"/>
  <c r="CN130" i="44" s="1"/>
  <c r="CN84" i="44"/>
  <c r="CN85" i="44" l="1"/>
  <c r="CN82" i="44"/>
  <c r="CN76" i="44" l="1"/>
  <c r="CO74" i="44" s="1"/>
  <c r="CO81" i="44" s="1"/>
  <c r="CN86" i="44"/>
  <c r="CN106" i="44"/>
  <c r="CO83" i="44" l="1"/>
  <c r="CO130" i="44" s="1"/>
  <c r="CO84" i="44"/>
  <c r="CO85" i="44" s="1"/>
  <c r="CN129" i="44"/>
  <c r="CN87" i="44"/>
  <c r="CO82" i="44" l="1"/>
  <c r="CO76" i="44" s="1"/>
  <c r="CP74" i="44" s="1"/>
  <c r="CP81" i="44" s="1"/>
  <c r="CO106" i="44" l="1"/>
  <c r="CO86" i="44"/>
  <c r="CO129" i="44" s="1"/>
  <c r="CP84" i="44"/>
  <c r="CP85" i="44" s="1"/>
  <c r="CP83" i="44"/>
  <c r="CP130" i="44" s="1"/>
  <c r="CO87" i="44" l="1"/>
  <c r="CP82" i="44"/>
  <c r="CP86" i="44" l="1"/>
  <c r="CP76" i="44"/>
  <c r="CQ74" i="44" s="1"/>
  <c r="CQ81" i="44" s="1"/>
  <c r="CP106" i="44"/>
  <c r="CP87" i="44" l="1"/>
  <c r="CP129" i="44"/>
  <c r="CQ84" i="44"/>
  <c r="CQ83" i="44"/>
  <c r="CQ130" i="44" s="1"/>
  <c r="CQ85" i="44" l="1"/>
  <c r="CQ82" i="44"/>
  <c r="CQ86" i="44" l="1"/>
  <c r="CQ76" i="44"/>
  <c r="CR74" i="44" s="1"/>
  <c r="CR81" i="44" s="1"/>
  <c r="CQ106" i="44"/>
  <c r="CQ129" i="44" l="1"/>
  <c r="CQ87" i="44"/>
  <c r="CR83" i="44"/>
  <c r="CR130" i="44" s="1"/>
  <c r="CR84" i="44"/>
  <c r="CR85" i="44" l="1"/>
  <c r="CR82" i="44"/>
  <c r="CR86" i="44" l="1"/>
  <c r="CR76" i="44"/>
  <c r="CS74" i="44" s="1"/>
  <c r="CS81" i="44" s="1"/>
  <c r="CR106" i="44"/>
  <c r="CR87" i="44" l="1"/>
  <c r="CR129" i="44"/>
  <c r="CS83" i="44"/>
  <c r="CS130" i="44" s="1"/>
  <c r="CS84" i="44"/>
  <c r="CS85" i="44" l="1"/>
  <c r="CS82" i="44"/>
  <c r="CS86" i="44" l="1"/>
  <c r="CS76" i="44"/>
  <c r="CT74" i="44" s="1"/>
  <c r="CT81" i="44" s="1"/>
  <c r="CS106" i="44"/>
  <c r="CS87" i="44" l="1"/>
  <c r="CS129" i="44"/>
  <c r="CT83" i="44"/>
  <c r="CT130" i="44" s="1"/>
  <c r="CT84" i="44"/>
  <c r="CT85" i="44" l="1"/>
  <c r="CT82" i="44"/>
  <c r="CT86" i="44" l="1"/>
  <c r="CT76" i="44"/>
  <c r="CU74" i="44" s="1"/>
  <c r="CU81" i="44" s="1"/>
  <c r="CT106" i="44"/>
  <c r="CT129" i="44" l="1"/>
  <c r="CT87" i="44"/>
  <c r="CU83" i="44"/>
  <c r="CU130" i="44" s="1"/>
  <c r="CU84" i="44"/>
  <c r="CU85" i="44" l="1"/>
  <c r="CU82" i="44"/>
  <c r="CU106" i="44" l="1"/>
  <c r="CU76" i="44"/>
  <c r="CV74" i="44" s="1"/>
  <c r="CV81" i="44" s="1"/>
  <c r="CU86" i="44"/>
  <c r="CU87" i="44" l="1"/>
  <c r="CU129" i="44"/>
  <c r="CV84" i="44"/>
  <c r="CV83" i="44"/>
  <c r="CV130" i="44" s="1"/>
  <c r="CV85" i="44" l="1"/>
  <c r="CV82" i="44"/>
  <c r="CV106" i="44" l="1"/>
  <c r="CV86" i="44"/>
  <c r="CV76" i="44"/>
  <c r="CW74" i="44" s="1"/>
  <c r="CW81" i="44" s="1"/>
  <c r="CW84" i="44" l="1"/>
  <c r="CW83" i="44"/>
  <c r="CW130" i="44" s="1"/>
  <c r="CV87" i="44"/>
  <c r="CV129" i="44"/>
  <c r="CW85" i="44" l="1"/>
  <c r="CW82" i="44"/>
  <c r="CW106" i="44" l="1"/>
  <c r="CW76" i="44"/>
  <c r="CX74" i="44" s="1"/>
  <c r="CX81" i="44" s="1"/>
  <c r="CW86" i="44"/>
  <c r="CW87" i="44" l="1"/>
  <c r="CW129" i="44"/>
  <c r="CX83" i="44"/>
  <c r="CX130" i="44" s="1"/>
  <c r="CX84" i="44"/>
  <c r="CX85" i="44" l="1"/>
  <c r="CX82" i="44"/>
  <c r="CX86" i="44" l="1"/>
  <c r="CX76" i="44"/>
  <c r="CY74" i="44" s="1"/>
  <c r="CY81" i="44" s="1"/>
  <c r="CX106" i="44"/>
  <c r="CX129" i="44" l="1"/>
  <c r="CX87" i="44"/>
  <c r="CY84" i="44"/>
  <c r="CY83" i="44"/>
  <c r="CY130" i="44" s="1"/>
  <c r="CY85" i="44" l="1"/>
  <c r="CY82" i="44"/>
  <c r="CY86" i="44" l="1"/>
  <c r="CY76" i="44"/>
  <c r="CZ74" i="44" s="1"/>
  <c r="CZ81" i="44" s="1"/>
  <c r="CY106" i="44"/>
  <c r="CY87" i="44" l="1"/>
  <c r="CY129" i="44"/>
  <c r="CZ83" i="44"/>
  <c r="CZ130" i="44" s="1"/>
  <c r="CZ84" i="44"/>
  <c r="CZ85" i="44" l="1"/>
  <c r="CZ82" i="44"/>
  <c r="CZ86" i="44" l="1"/>
  <c r="CZ76" i="44"/>
  <c r="DA74" i="44" s="1"/>
  <c r="DA81" i="44" s="1"/>
  <c r="CZ106" i="44"/>
  <c r="CZ129" i="44" l="1"/>
  <c r="CZ87" i="44"/>
  <c r="DA83" i="44"/>
  <c r="DA84" i="44"/>
  <c r="DA85" i="44" l="1"/>
  <c r="DA82" i="44"/>
  <c r="DA130" i="44"/>
  <c r="DA76" i="44" l="1"/>
  <c r="DB74" i="44" s="1"/>
  <c r="DB81" i="44" s="1"/>
  <c r="DA86" i="44"/>
  <c r="DA106" i="44"/>
  <c r="DB84" i="44" l="1"/>
  <c r="DB85" i="44" s="1"/>
  <c r="DB83" i="44"/>
  <c r="DA87" i="44"/>
  <c r="DA129" i="44"/>
  <c r="DB82" i="44" l="1"/>
  <c r="DB130" i="44"/>
  <c r="DB76" i="44" l="1"/>
  <c r="DC74" i="44" s="1"/>
  <c r="DC81" i="44" s="1"/>
  <c r="DB86" i="44"/>
  <c r="DB106" i="44"/>
  <c r="DC83" i="44" l="1"/>
  <c r="DC84" i="44"/>
  <c r="DC85" i="44" s="1"/>
  <c r="DB129" i="44"/>
  <c r="DB87" i="44"/>
  <c r="DC82" i="44" l="1"/>
  <c r="DC86" i="44" s="1"/>
  <c r="DC130" i="44"/>
  <c r="DC106" i="44" l="1"/>
  <c r="DC76" i="44"/>
  <c r="DD74" i="44" s="1"/>
  <c r="DD81" i="44" s="1"/>
  <c r="DD83" i="44" s="1"/>
  <c r="DC87" i="44"/>
  <c r="DC129" i="44"/>
  <c r="DD84" i="44" l="1"/>
  <c r="DD85" i="44" s="1"/>
  <c r="DD130" i="44"/>
  <c r="DD82" i="44" l="1"/>
  <c r="DD106" i="44" s="1"/>
  <c r="DD76" i="44" l="1"/>
  <c r="DE74" i="44" s="1"/>
  <c r="DE81" i="44" s="1"/>
  <c r="DE83" i="44" s="1"/>
  <c r="DD86" i="44"/>
  <c r="DD87" i="44" s="1"/>
  <c r="DD129" i="44" l="1"/>
  <c r="DE84" i="44"/>
  <c r="DE85" i="44" s="1"/>
  <c r="DE130" i="44"/>
  <c r="C139" i="44"/>
  <c r="D139" i="44" s="1"/>
  <c r="E139" i="44" s="1"/>
  <c r="DE82" i="44" l="1"/>
  <c r="DE86" i="44" s="1"/>
  <c r="D144" i="44"/>
  <c r="D142" i="44"/>
  <c r="DE76" i="44" l="1"/>
  <c r="DF74" i="44" s="1"/>
  <c r="DF81" i="44" s="1"/>
  <c r="DF84" i="44" s="1"/>
  <c r="DE106" i="44"/>
  <c r="DE129" i="44"/>
  <c r="DE87" i="44"/>
  <c r="DF83" i="44" l="1"/>
  <c r="DF130" i="44" s="1"/>
  <c r="DF85" i="44"/>
  <c r="DF82" i="44"/>
  <c r="DF86" i="44" l="1"/>
  <c r="DF76" i="44"/>
  <c r="DG74" i="44" s="1"/>
  <c r="DG81" i="44" s="1"/>
  <c r="DF106" i="44"/>
  <c r="DF87" i="44" l="1"/>
  <c r="DF129" i="44"/>
  <c r="DG83" i="44"/>
  <c r="DG130" i="44" s="1"/>
  <c r="DG84" i="44"/>
  <c r="DG85" i="44" l="1"/>
  <c r="DG82" i="44"/>
  <c r="DG106" i="44" l="1"/>
  <c r="DG76" i="44"/>
  <c r="DH74" i="44" s="1"/>
  <c r="DH81" i="44" s="1"/>
  <c r="DG86" i="44"/>
  <c r="DG129" i="44" l="1"/>
  <c r="DG87" i="44"/>
  <c r="DH83" i="44"/>
  <c r="DH130" i="44" s="1"/>
  <c r="DH84" i="44"/>
  <c r="DH85" i="44" l="1"/>
  <c r="DH82" i="44"/>
  <c r="DH76" i="44" l="1"/>
  <c r="DI74" i="44" s="1"/>
  <c r="DI81" i="44" s="1"/>
  <c r="DH86" i="44"/>
  <c r="DH106" i="44"/>
  <c r="DI83" i="44" l="1"/>
  <c r="DI130" i="44" s="1"/>
  <c r="DI84" i="44"/>
  <c r="DI85" i="44" s="1"/>
  <c r="DH87" i="44"/>
  <c r="DH129" i="44"/>
  <c r="DI82" i="44" l="1"/>
  <c r="DI106" i="44" s="1"/>
  <c r="DI76" i="44" l="1"/>
  <c r="DJ74" i="44" s="1"/>
  <c r="DJ81" i="44" s="1"/>
  <c r="DJ84" i="44" s="1"/>
  <c r="DI86" i="44"/>
  <c r="DI129" i="44" s="1"/>
  <c r="DI87" i="44" l="1"/>
  <c r="DJ83" i="44"/>
  <c r="DJ130" i="44" s="1"/>
  <c r="DJ85" i="44"/>
  <c r="DJ82" i="44"/>
  <c r="DJ76" i="44" l="1"/>
  <c r="DK74" i="44" s="1"/>
  <c r="DK81" i="44" s="1"/>
  <c r="DJ86" i="44"/>
  <c r="DJ106" i="44"/>
  <c r="DK83" i="44" l="1"/>
  <c r="DK130" i="44" s="1"/>
  <c r="DK84" i="44"/>
  <c r="DK85" i="44" s="1"/>
  <c r="DJ129" i="44"/>
  <c r="DJ87" i="44"/>
  <c r="DK82" i="44" l="1"/>
  <c r="DK86" i="44" s="1"/>
  <c r="DK106" i="44" l="1"/>
  <c r="DK76" i="44"/>
  <c r="DL74" i="44" s="1"/>
  <c r="DL81" i="44" s="1"/>
  <c r="DL83" i="44" s="1"/>
  <c r="DL130" i="44" s="1"/>
  <c r="DK87" i="44"/>
  <c r="DK129" i="44"/>
  <c r="DL84" i="44" l="1"/>
  <c r="DL85" i="44" s="1"/>
  <c r="DL82" i="44" l="1"/>
  <c r="DL86" i="44" s="1"/>
  <c r="DL106" i="44" l="1"/>
  <c r="DL76" i="44"/>
  <c r="DM74" i="44" s="1"/>
  <c r="DM81" i="44" s="1"/>
  <c r="DM83" i="44" s="1"/>
  <c r="DM130" i="44" s="1"/>
  <c r="DL87" i="44"/>
  <c r="DL129" i="44"/>
  <c r="DM84" i="44"/>
  <c r="DM85" i="44" l="1"/>
  <c r="DM82" i="44"/>
  <c r="DM86" i="44" l="1"/>
  <c r="DM76" i="44"/>
  <c r="DN74" i="44" s="1"/>
  <c r="DN81" i="44" s="1"/>
  <c r="DM106" i="44"/>
  <c r="DM129" i="44" l="1"/>
  <c r="DM87" i="44"/>
  <c r="DN84" i="44"/>
  <c r="DN83" i="44"/>
  <c r="DN130" i="44" s="1"/>
  <c r="DN85" i="44" l="1"/>
  <c r="DN82" i="44"/>
  <c r="DN106" i="44" l="1"/>
  <c r="DN76" i="44"/>
  <c r="DO74" i="44" s="1"/>
  <c r="DO81" i="44" s="1"/>
  <c r="DN86" i="44"/>
  <c r="DN129" i="44" l="1"/>
  <c r="DN87" i="44"/>
  <c r="DO83" i="44"/>
  <c r="DO130" i="44" s="1"/>
  <c r="DO84" i="44"/>
  <c r="DO85" i="44" l="1"/>
  <c r="DO82" i="44"/>
  <c r="DO76" i="44" l="1"/>
  <c r="DP74" i="44" s="1"/>
  <c r="DP81" i="44" s="1"/>
  <c r="DO86" i="44"/>
  <c r="DO106" i="44"/>
  <c r="DP84" i="44" l="1"/>
  <c r="DP85" i="44" s="1"/>
  <c r="DP83" i="44"/>
  <c r="DP130" i="44" s="1"/>
  <c r="DO129" i="44"/>
  <c r="DO87" i="44"/>
  <c r="DP82" i="44" l="1"/>
  <c r="DP86" i="44" l="1"/>
  <c r="DP76" i="44"/>
  <c r="DQ74" i="44" s="1"/>
  <c r="DQ81" i="44" s="1"/>
  <c r="DP106" i="44"/>
  <c r="DP87" i="44" l="1"/>
  <c r="DP129" i="44"/>
  <c r="DQ83" i="44"/>
  <c r="DQ130" i="44" s="1"/>
  <c r="DQ84" i="44"/>
  <c r="DQ85" i="44" l="1"/>
  <c r="DQ82" i="44"/>
  <c r="DQ86" i="44" l="1"/>
  <c r="DQ76" i="44"/>
  <c r="DR74" i="44" s="1"/>
  <c r="DR81" i="44" s="1"/>
  <c r="DQ106" i="44"/>
  <c r="DQ129" i="44" l="1"/>
  <c r="DQ87" i="44"/>
  <c r="DR83" i="44"/>
  <c r="DR130" i="44" s="1"/>
  <c r="DR84" i="44"/>
  <c r="DR85" i="44" l="1"/>
  <c r="DR82" i="44"/>
  <c r="DR86" i="44" l="1"/>
  <c r="DR76" i="44"/>
  <c r="DS74" i="44" s="1"/>
  <c r="DS81" i="44" s="1"/>
  <c r="DR106" i="44"/>
  <c r="DR87" i="44" l="1"/>
  <c r="DR129" i="44"/>
  <c r="DS84" i="44"/>
  <c r="DS83" i="44"/>
  <c r="DS130" i="44" s="1"/>
  <c r="DS85" i="44" l="1"/>
  <c r="DS82" i="44"/>
  <c r="DS106" i="44" l="1"/>
  <c r="DS76" i="44"/>
  <c r="DT74" i="44" s="1"/>
  <c r="DT81" i="44" s="1"/>
  <c r="DS86" i="44"/>
  <c r="DS129" i="44" l="1"/>
  <c r="DS87" i="44"/>
  <c r="DT84" i="44"/>
  <c r="DT83" i="44"/>
  <c r="DT130" i="44" s="1"/>
  <c r="DT85" i="44" l="1"/>
  <c r="DT82" i="44"/>
  <c r="DT86" i="44" l="1"/>
  <c r="DT76" i="44"/>
  <c r="DU74" i="44" s="1"/>
  <c r="DU81" i="44" s="1"/>
  <c r="DT106" i="44"/>
  <c r="DT129" i="44" l="1"/>
  <c r="DT87" i="44"/>
  <c r="DU83" i="44"/>
  <c r="DU130" i="44" s="1"/>
  <c r="DU84" i="44"/>
  <c r="DU85" i="44" l="1"/>
  <c r="DU82" i="44"/>
  <c r="DU86" i="44" l="1"/>
  <c r="DU76" i="44"/>
  <c r="DV74" i="44" s="1"/>
  <c r="DV81" i="44" s="1"/>
  <c r="DU106" i="44"/>
  <c r="DU129" i="44" l="1"/>
  <c r="DU87" i="44"/>
  <c r="DV83" i="44"/>
  <c r="DV130" i="44" s="1"/>
  <c r="DV84" i="44"/>
  <c r="DV85" i="44" l="1"/>
  <c r="DV82" i="44"/>
  <c r="DV86" i="44" l="1"/>
  <c r="DV76" i="44"/>
  <c r="DW74" i="44" s="1"/>
  <c r="DW81" i="44" s="1"/>
  <c r="DV106" i="44"/>
  <c r="DV87" i="44" l="1"/>
  <c r="DV129" i="44"/>
  <c r="DW83" i="44"/>
  <c r="DW130" i="44" s="1"/>
  <c r="DW84" i="44"/>
  <c r="DW85" i="44" l="1"/>
  <c r="DW82" i="44"/>
  <c r="DW86" i="44" l="1"/>
  <c r="DW76" i="44"/>
  <c r="DX74" i="44" s="1"/>
  <c r="DX81" i="44" s="1"/>
  <c r="DW106" i="44"/>
  <c r="DW129" i="44" l="1"/>
  <c r="DW87" i="44"/>
  <c r="DX84" i="44"/>
  <c r="DX83" i="44"/>
  <c r="DX130" i="44" s="1"/>
  <c r="DX85" i="44" l="1"/>
  <c r="DX82" i="44"/>
  <c r="DX86" i="44" l="1"/>
  <c r="DX76" i="44"/>
  <c r="DY74" i="44" s="1"/>
  <c r="DY81" i="44" s="1"/>
  <c r="DX106" i="44"/>
  <c r="DX129" i="44" l="1"/>
  <c r="DX87" i="44"/>
  <c r="DY83" i="44"/>
  <c r="DY130" i="44" s="1"/>
  <c r="DY84" i="44"/>
  <c r="DY85" i="44" l="1"/>
  <c r="DY82" i="44"/>
  <c r="DY76" i="44" l="1"/>
  <c r="DZ74" i="44" s="1"/>
  <c r="DZ81" i="44" s="1"/>
  <c r="DY86" i="44"/>
  <c r="DY106" i="44"/>
  <c r="DZ83" i="44" l="1"/>
  <c r="DZ130" i="44" s="1"/>
  <c r="DZ84" i="44"/>
  <c r="DZ85" i="44" s="1"/>
  <c r="DY129" i="44"/>
  <c r="DY87" i="44"/>
  <c r="DZ82" i="44" l="1"/>
  <c r="DZ86" i="44" s="1"/>
  <c r="DZ106" i="44" l="1"/>
  <c r="DZ76" i="44"/>
  <c r="EA74" i="44" s="1"/>
  <c r="EA81" i="44" s="1"/>
  <c r="EA83" i="44" s="1"/>
  <c r="EA130" i="44" s="1"/>
  <c r="DZ129" i="44"/>
  <c r="DZ87" i="44"/>
  <c r="EA84" i="44"/>
  <c r="EA85" i="44" l="1"/>
  <c r="EA82" i="44"/>
  <c r="EA86" i="44" l="1"/>
  <c r="EA76" i="44"/>
  <c r="EB74" i="44" s="1"/>
  <c r="EB81" i="44" s="1"/>
  <c r="EA106" i="44"/>
  <c r="EA87" i="44" l="1"/>
  <c r="EA129" i="44"/>
  <c r="EB83" i="44"/>
  <c r="EB130" i="44" s="1"/>
  <c r="EB84" i="44"/>
  <c r="EB85" i="44" l="1"/>
  <c r="EB82" i="44"/>
  <c r="EB86" i="44" l="1"/>
  <c r="EB76" i="44"/>
  <c r="EC74" i="44" s="1"/>
  <c r="EC81" i="44" s="1"/>
  <c r="EB106" i="44"/>
  <c r="EB129" i="44" l="1"/>
  <c r="EB87" i="44"/>
  <c r="EC83" i="44"/>
  <c r="EC130" i="44" s="1"/>
  <c r="EC84" i="44"/>
  <c r="EC85" i="44" l="1"/>
  <c r="EC82" i="44"/>
  <c r="EC86" i="44" l="1"/>
  <c r="EC76" i="44"/>
  <c r="ED74" i="44" s="1"/>
  <c r="ED81" i="44" s="1"/>
  <c r="EC106" i="44"/>
  <c r="EC87" i="44" l="1"/>
  <c r="EC129" i="44"/>
  <c r="ED84" i="44"/>
  <c r="ED83" i="44"/>
  <c r="ED130" i="44" s="1"/>
  <c r="ED85" i="44" l="1"/>
  <c r="ED82" i="44"/>
  <c r="ED106" i="44" l="1"/>
  <c r="ED76" i="44"/>
  <c r="EE74" i="44" s="1"/>
  <c r="EE81" i="44" s="1"/>
  <c r="ED86" i="44"/>
  <c r="ED87" i="44" l="1"/>
  <c r="ED129" i="44"/>
  <c r="EE83" i="44"/>
  <c r="EE130" i="44" s="1"/>
  <c r="EE84" i="44"/>
  <c r="EE85" i="44" l="1"/>
  <c r="EE82" i="44"/>
  <c r="EE86" i="44" l="1"/>
  <c r="EE76" i="44"/>
  <c r="EF74" i="44" s="1"/>
  <c r="EF81" i="44" s="1"/>
  <c r="EE106" i="44"/>
  <c r="EE129" i="44" l="1"/>
  <c r="EE87" i="44"/>
  <c r="EF83" i="44"/>
  <c r="EF130" i="44" s="1"/>
  <c r="EF84" i="44"/>
  <c r="EF85" i="44" l="1"/>
  <c r="EF82" i="44"/>
  <c r="EF76" i="44" l="1"/>
  <c r="EG74" i="44" s="1"/>
  <c r="EG81" i="44" s="1"/>
  <c r="EF86" i="44"/>
  <c r="EF106" i="44"/>
  <c r="EG83" i="44" l="1"/>
  <c r="EG130" i="44" s="1"/>
  <c r="EG84" i="44"/>
  <c r="EG85" i="44" s="1"/>
  <c r="EF87" i="44"/>
  <c r="EF129" i="44"/>
  <c r="EG82" i="44" l="1"/>
  <c r="EG76" i="44" s="1"/>
  <c r="EH74" i="44" s="1"/>
  <c r="EH81" i="44" s="1"/>
  <c r="EG106" i="44" l="1"/>
  <c r="EG86" i="44"/>
  <c r="EG87" i="44" s="1"/>
  <c r="EH84" i="44"/>
  <c r="EH85" i="44" s="1"/>
  <c r="EH83" i="44"/>
  <c r="EH130" i="44" s="1"/>
  <c r="EG129" i="44" l="1"/>
  <c r="EH82" i="44"/>
  <c r="EH86" i="44" l="1"/>
  <c r="EH76" i="44"/>
  <c r="EI74" i="44" s="1"/>
  <c r="EI81" i="44" s="1"/>
  <c r="EH106" i="44"/>
  <c r="EH87" i="44" l="1"/>
  <c r="EH129" i="44"/>
  <c r="EI83" i="44"/>
  <c r="EI130" i="44" s="1"/>
  <c r="EI84" i="44"/>
  <c r="EI85" i="44" l="1"/>
  <c r="EI82" i="44"/>
  <c r="EI86" i="44" l="1"/>
  <c r="EI76" i="44"/>
  <c r="EJ74" i="44" s="1"/>
  <c r="EJ81" i="44" s="1"/>
  <c r="EI106" i="44"/>
  <c r="EJ83" i="44" l="1"/>
  <c r="EJ130" i="44" s="1"/>
  <c r="EJ84" i="44"/>
  <c r="EJ85" i="44" s="1"/>
  <c r="EI87" i="44"/>
  <c r="EI129" i="44"/>
  <c r="EJ82" i="44" l="1"/>
  <c r="EJ106" i="44" s="1"/>
  <c r="EJ76" i="44" l="1"/>
  <c r="EK74" i="44" s="1"/>
  <c r="EK81" i="44" s="1"/>
  <c r="EK83" i="44" s="1"/>
  <c r="EK130" i="44" s="1"/>
  <c r="EJ86" i="44"/>
  <c r="EJ129" i="44" s="1"/>
  <c r="EJ87" i="44"/>
  <c r="EK84" i="44" l="1"/>
  <c r="EK85" i="44" s="1"/>
  <c r="EK82" i="44" l="1"/>
  <c r="EK86" i="44" s="1"/>
  <c r="EK129" i="44" s="1"/>
  <c r="EK87" i="44" l="1"/>
  <c r="EK106" i="44"/>
  <c r="EK76" i="44"/>
  <c r="EL74" i="44" s="1"/>
  <c r="EL81" i="44" s="1"/>
  <c r="EL84" i="44" s="1"/>
  <c r="EL85" i="44" s="1"/>
  <c r="EL83" i="44" l="1"/>
  <c r="EL130" i="44" s="1"/>
  <c r="EL82" i="44"/>
  <c r="EL106" i="44" s="1"/>
  <c r="EL86" i="44"/>
  <c r="EL76" i="44"/>
  <c r="EM74" i="44" s="1"/>
  <c r="EM81" i="44" s="1"/>
  <c r="EL129" i="44" l="1"/>
  <c r="EL87" i="44"/>
  <c r="EM83" i="44"/>
  <c r="EM130" i="44" s="1"/>
  <c r="EM84" i="44"/>
  <c r="EM85" i="44" l="1"/>
  <c r="EM82" i="44"/>
  <c r="EM86" i="44" l="1"/>
  <c r="EM76" i="44"/>
  <c r="EN74" i="44" s="1"/>
  <c r="EN81" i="44" s="1"/>
  <c r="EM106" i="44"/>
  <c r="EM87" i="44" l="1"/>
  <c r="EM129" i="44"/>
  <c r="EN83" i="44"/>
  <c r="EN130" i="44" s="1"/>
  <c r="EN84" i="44"/>
  <c r="EN85" i="44" l="1"/>
  <c r="EN82" i="44"/>
  <c r="EN86" i="44" l="1"/>
  <c r="EN76" i="44"/>
  <c r="EO74" i="44" s="1"/>
  <c r="EO81" i="44" s="1"/>
  <c r="EN106" i="44"/>
  <c r="EN129" i="44" l="1"/>
  <c r="EN87" i="44"/>
  <c r="EO83" i="44"/>
  <c r="EO130" i="44" s="1"/>
  <c r="EO84" i="44"/>
  <c r="EO85" i="44" l="1"/>
  <c r="EO82" i="44"/>
  <c r="EO86" i="44" l="1"/>
  <c r="EO76" i="44"/>
  <c r="EP74" i="44" s="1"/>
  <c r="EP81" i="44" s="1"/>
  <c r="EO106" i="44"/>
  <c r="EO129" i="44" l="1"/>
  <c r="EO87" i="44"/>
  <c r="EP83" i="44"/>
  <c r="EP130" i="44" s="1"/>
  <c r="EP84" i="44"/>
  <c r="EP85" i="44" l="1"/>
  <c r="EP82" i="44"/>
  <c r="EP86" i="44" l="1"/>
  <c r="EP76" i="44"/>
  <c r="EQ74" i="44" s="1"/>
  <c r="EQ81" i="44" s="1"/>
  <c r="EP106" i="44"/>
  <c r="EP129" i="44" l="1"/>
  <c r="EP87" i="44"/>
  <c r="EQ83" i="44"/>
  <c r="EQ130" i="44" s="1"/>
  <c r="EQ84" i="44"/>
  <c r="EQ85" i="44" l="1"/>
  <c r="EQ82" i="44"/>
  <c r="EQ86" i="44" l="1"/>
  <c r="EQ76" i="44"/>
  <c r="ER74" i="44" s="1"/>
  <c r="ER81" i="44" s="1"/>
  <c r="EQ106" i="44"/>
  <c r="EQ87" i="44" l="1"/>
  <c r="EQ129" i="44"/>
  <c r="ER83" i="44"/>
  <c r="ER130" i="44" s="1"/>
  <c r="ER84" i="44"/>
  <c r="ER85" i="44" l="1"/>
  <c r="ER82" i="44"/>
  <c r="ER76" i="44" l="1"/>
  <c r="ES74" i="44" s="1"/>
  <c r="ES81" i="44" s="1"/>
  <c r="ER86" i="44"/>
  <c r="ER106" i="44"/>
  <c r="ES84" i="44" l="1"/>
  <c r="ES85" i="44" s="1"/>
  <c r="ES83" i="44"/>
  <c r="ES130" i="44" s="1"/>
  <c r="ER129" i="44"/>
  <c r="ER87" i="44"/>
  <c r="ES82" i="44" l="1"/>
  <c r="ES76" i="44" l="1"/>
  <c r="ET74" i="44" s="1"/>
  <c r="ET81" i="44" s="1"/>
  <c r="ES86" i="44"/>
  <c r="ES106" i="44"/>
  <c r="ES87" i="44" l="1"/>
  <c r="ES129" i="44"/>
  <c r="ET84" i="44"/>
  <c r="ET83" i="44"/>
  <c r="ET130" i="44" s="1"/>
  <c r="ET85" i="44" l="1"/>
  <c r="ET82" i="44"/>
  <c r="ET86" i="44" l="1"/>
  <c r="ET76" i="44"/>
  <c r="EU74" i="44" s="1"/>
  <c r="EU81" i="44" s="1"/>
  <c r="ET106" i="44"/>
  <c r="EU84" i="44" l="1"/>
  <c r="EU83" i="44"/>
  <c r="EU130" i="44" s="1"/>
  <c r="ET129" i="44"/>
  <c r="ET87" i="44"/>
  <c r="EU85" i="44" l="1"/>
  <c r="EU82" i="44"/>
  <c r="EU86" i="44" l="1"/>
  <c r="EU76" i="44"/>
  <c r="EV74" i="44" s="1"/>
  <c r="EV81" i="44" s="1"/>
  <c r="EU106" i="44"/>
  <c r="EV84" i="44" l="1"/>
  <c r="EV83" i="44"/>
  <c r="EV130" i="44" s="1"/>
  <c r="EU87" i="44"/>
  <c r="EU129" i="44"/>
  <c r="EV85" i="44" l="1"/>
  <c r="EV82" i="44"/>
  <c r="EV86" i="44" l="1"/>
  <c r="EV76" i="44"/>
  <c r="EW74" i="44" s="1"/>
  <c r="EW81" i="44" s="1"/>
  <c r="EV106" i="44"/>
  <c r="EV87" i="44" l="1"/>
  <c r="EV129" i="44"/>
  <c r="EW84" i="44"/>
  <c r="EW83" i="44"/>
  <c r="EW130" i="44" s="1"/>
  <c r="EW85" i="44" l="1"/>
  <c r="EW82" i="44"/>
  <c r="EW86" i="44" l="1"/>
  <c r="EW76" i="44"/>
  <c r="EX74" i="44" s="1"/>
  <c r="EX81" i="44" s="1"/>
  <c r="EW106" i="44"/>
  <c r="EW129" i="44" l="1"/>
  <c r="EW87" i="44"/>
  <c r="EX84" i="44"/>
  <c r="EX83" i="44"/>
  <c r="EX130" i="44" s="1"/>
  <c r="EX85" i="44" l="1"/>
  <c r="EX82" i="44"/>
  <c r="EX86" i="44" l="1"/>
  <c r="EX76" i="44"/>
  <c r="EY74" i="44" s="1"/>
  <c r="EY81" i="44" s="1"/>
  <c r="EX106" i="44"/>
  <c r="EX129" i="44" l="1"/>
  <c r="EX87" i="44"/>
  <c r="EY83" i="44"/>
  <c r="EY130" i="44" s="1"/>
  <c r="EY84" i="44"/>
  <c r="EY85" i="44" l="1"/>
  <c r="EY82" i="44"/>
  <c r="EY76" i="44" l="1"/>
  <c r="EZ74" i="44" s="1"/>
  <c r="EZ81" i="44" s="1"/>
  <c r="EY86" i="44"/>
  <c r="EY106" i="44"/>
  <c r="EZ83" i="44" l="1"/>
  <c r="EZ130" i="44" s="1"/>
  <c r="EZ84" i="44"/>
  <c r="EZ85" i="44" s="1"/>
  <c r="EY87" i="44"/>
  <c r="EY129" i="44"/>
  <c r="EZ82" i="44" l="1"/>
  <c r="EZ86" i="44" s="1"/>
  <c r="EZ106" i="44" l="1"/>
  <c r="EZ76" i="44"/>
  <c r="FA74" i="44" s="1"/>
  <c r="FA81" i="44" s="1"/>
  <c r="FA83" i="44" s="1"/>
  <c r="FA130" i="44" s="1"/>
  <c r="EZ87" i="44"/>
  <c r="EZ129" i="44"/>
  <c r="FA84" i="44" l="1"/>
  <c r="FA85" i="44" s="1"/>
  <c r="FA82" i="44" l="1"/>
  <c r="FA86" i="44" s="1"/>
  <c r="FA106" i="44" l="1"/>
  <c r="FA76" i="44"/>
  <c r="FB74" i="44" s="1"/>
  <c r="FB81" i="44" s="1"/>
  <c r="FB83" i="44" s="1"/>
  <c r="FB130" i="44" s="1"/>
  <c r="FA129" i="44"/>
  <c r="FA87" i="44"/>
  <c r="FB84" i="44" l="1"/>
  <c r="FB85" i="44" s="1"/>
  <c r="FB82" i="44" l="1"/>
  <c r="FB86" i="44" s="1"/>
  <c r="FB106" i="44" l="1"/>
  <c r="FB76" i="44"/>
  <c r="FC74" i="44" s="1"/>
  <c r="FC81" i="44" s="1"/>
  <c r="FB87" i="44"/>
  <c r="FB129" i="44"/>
  <c r="FC84" i="44"/>
  <c r="FC83" i="44"/>
  <c r="FC130" i="44" s="1"/>
  <c r="FC85" i="44" l="1"/>
  <c r="FC82" i="44"/>
  <c r="FC86" i="44" l="1"/>
  <c r="FC76" i="44"/>
  <c r="FD74" i="44" s="1"/>
  <c r="FD81" i="44" s="1"/>
  <c r="FC106" i="44"/>
  <c r="FC87" i="44" l="1"/>
  <c r="FC129" i="44"/>
  <c r="FD83" i="44"/>
  <c r="FD130" i="44" s="1"/>
  <c r="FD84" i="44"/>
  <c r="FD85" i="44" l="1"/>
  <c r="FD82" i="44"/>
  <c r="FD86" i="44" l="1"/>
  <c r="FD76" i="44"/>
  <c r="FE74" i="44" s="1"/>
  <c r="FE81" i="44" s="1"/>
  <c r="FD106" i="44"/>
  <c r="FD129" i="44" l="1"/>
  <c r="FD87" i="44"/>
  <c r="FE83" i="44"/>
  <c r="FE130" i="44" s="1"/>
  <c r="FE84" i="44"/>
  <c r="FE85" i="44" l="1"/>
  <c r="FE82" i="44"/>
  <c r="FE86" i="44" l="1"/>
  <c r="FE76" i="44"/>
  <c r="FF74" i="44" s="1"/>
  <c r="FF81" i="44" s="1"/>
  <c r="FE106" i="44"/>
  <c r="FE129" i="44" l="1"/>
  <c r="FE87" i="44"/>
  <c r="FF83" i="44"/>
  <c r="FF130" i="44" s="1"/>
  <c r="FF84" i="44"/>
  <c r="FF85" i="44" l="1"/>
  <c r="FF82" i="44"/>
  <c r="FF86" i="44" l="1"/>
  <c r="FF76" i="44"/>
  <c r="FG74" i="44" s="1"/>
  <c r="FG81" i="44" s="1"/>
  <c r="FF106" i="44"/>
  <c r="FF129" i="44" l="1"/>
  <c r="FF87" i="44"/>
  <c r="FG84" i="44"/>
  <c r="FG83" i="44"/>
  <c r="FG130" i="44" s="1"/>
  <c r="FG85" i="44" l="1"/>
  <c r="FG82" i="44"/>
  <c r="FG86" i="44" l="1"/>
  <c r="FG76" i="44"/>
  <c r="FH74" i="44" s="1"/>
  <c r="FH81" i="44" s="1"/>
  <c r="FG106" i="44"/>
  <c r="FG87" i="44" l="1"/>
  <c r="FG129" i="44"/>
  <c r="FH84" i="44"/>
  <c r="FH83" i="44"/>
  <c r="FH130" i="44" s="1"/>
  <c r="FH85" i="44" l="1"/>
  <c r="FH82" i="44"/>
  <c r="FH86" i="44" l="1"/>
  <c r="FH76" i="44"/>
  <c r="FI74" i="44" s="1"/>
  <c r="FI81" i="44" s="1"/>
  <c r="FH106" i="44"/>
  <c r="FH87" i="44" l="1"/>
  <c r="FH129" i="44"/>
  <c r="FI84" i="44"/>
  <c r="FI83" i="44"/>
  <c r="FI130" i="44" s="1"/>
  <c r="FI85" i="44" l="1"/>
  <c r="FI82" i="44"/>
  <c r="FI86" i="44" l="1"/>
  <c r="FI76" i="44"/>
  <c r="FJ74" i="44" s="1"/>
  <c r="FJ81" i="44" s="1"/>
  <c r="FI106" i="44"/>
  <c r="FI129" i="44" l="1"/>
  <c r="FI87" i="44"/>
  <c r="FJ84" i="44"/>
  <c r="FJ83" i="44"/>
  <c r="FJ130" i="44" s="1"/>
  <c r="FJ85" i="44" l="1"/>
  <c r="FJ82" i="44"/>
  <c r="FJ106" i="44" l="1"/>
  <c r="FJ76" i="44"/>
  <c r="FK74" i="44" s="1"/>
  <c r="FK81" i="44" s="1"/>
  <c r="FJ86" i="44"/>
  <c r="FJ87" i="44" l="1"/>
  <c r="FJ129" i="44"/>
  <c r="FK83" i="44"/>
  <c r="FK130" i="44" s="1"/>
  <c r="FK84" i="44"/>
  <c r="FK85" i="44" l="1"/>
  <c r="FK82" i="44"/>
  <c r="FK86" i="44" l="1"/>
  <c r="FK76" i="44"/>
  <c r="FL74" i="44" s="1"/>
  <c r="FL81" i="44" s="1"/>
  <c r="FK106" i="44"/>
  <c r="FK87" i="44" l="1"/>
  <c r="FK129" i="44"/>
  <c r="FL83" i="44"/>
  <c r="FL130" i="44" s="1"/>
  <c r="FL84" i="44"/>
  <c r="FL85" i="44" l="1"/>
  <c r="FL82" i="44"/>
  <c r="FL86" i="44" l="1"/>
  <c r="FL76" i="44"/>
  <c r="FM74" i="44" s="1"/>
  <c r="FM81" i="44" s="1"/>
  <c r="FL106" i="44"/>
  <c r="FL87" i="44" l="1"/>
  <c r="FL129" i="44"/>
  <c r="FM83" i="44"/>
  <c r="FM130" i="44" s="1"/>
  <c r="FM84" i="44"/>
  <c r="FM85" i="44" l="1"/>
  <c r="FM82" i="44"/>
  <c r="FM86" i="44" l="1"/>
  <c r="FM76" i="44"/>
  <c r="FN74" i="44" s="1"/>
  <c r="FN81" i="44" s="1"/>
  <c r="FM106" i="44"/>
  <c r="FM129" i="44" l="1"/>
  <c r="FM87" i="44"/>
  <c r="FN83" i="44"/>
  <c r="FN130" i="44" s="1"/>
  <c r="FN84" i="44"/>
  <c r="FN85" i="44" s="1"/>
  <c r="FN82" i="44" l="1"/>
  <c r="FN86" i="44" l="1"/>
  <c r="FN76" i="44"/>
  <c r="FO74" i="44" s="1"/>
  <c r="FO81" i="44" s="1"/>
  <c r="FN106" i="44"/>
  <c r="FN87" i="44" l="1"/>
  <c r="FN129" i="44"/>
  <c r="FO83" i="44"/>
  <c r="FO130" i="44" s="1"/>
  <c r="FO84" i="44"/>
  <c r="FO85" i="44" l="1"/>
  <c r="FO82" i="44"/>
  <c r="FO86" i="44" l="1"/>
  <c r="FO76" i="44"/>
  <c r="FP74" i="44" s="1"/>
  <c r="FP81" i="44" s="1"/>
  <c r="FO106" i="44"/>
  <c r="FO129" i="44" l="1"/>
  <c r="FO87" i="44"/>
  <c r="FP83" i="44"/>
  <c r="FP130" i="44" s="1"/>
  <c r="FP84" i="44"/>
  <c r="FP85" i="44" l="1"/>
  <c r="FP82" i="44"/>
  <c r="FP76" i="44" l="1"/>
  <c r="FQ74" i="44" s="1"/>
  <c r="FQ81" i="44" s="1"/>
  <c r="FP86" i="44"/>
  <c r="FP106" i="44"/>
  <c r="FQ83" i="44" l="1"/>
  <c r="FQ130" i="44" s="1"/>
  <c r="FQ84" i="44"/>
  <c r="FQ85" i="44" s="1"/>
  <c r="FP87" i="44"/>
  <c r="FP129" i="44"/>
  <c r="FQ82" i="44" l="1"/>
  <c r="FQ76" i="44" s="1"/>
  <c r="FR74" i="44" s="1"/>
  <c r="FR81" i="44" s="1"/>
  <c r="FQ106" i="44" l="1"/>
  <c r="FQ86" i="44"/>
  <c r="FQ129" i="44" s="1"/>
  <c r="FR83" i="44"/>
  <c r="FR130" i="44" s="1"/>
  <c r="FR84" i="44"/>
  <c r="FR85" i="44" s="1"/>
  <c r="FQ87" i="44" l="1"/>
  <c r="FR82" i="44"/>
  <c r="FR76" i="44" s="1"/>
  <c r="FS74" i="44" s="1"/>
  <c r="FS81" i="44" s="1"/>
  <c r="FR106" i="44" l="1"/>
  <c r="FR86" i="44"/>
  <c r="FR87" i="44" s="1"/>
  <c r="FS83" i="44"/>
  <c r="FS130" i="44" s="1"/>
  <c r="FS84" i="44"/>
  <c r="FS85" i="44" s="1"/>
  <c r="FR129" i="44" l="1"/>
  <c r="FS82" i="44"/>
  <c r="FS76" i="44" s="1"/>
  <c r="FT74" i="44" s="1"/>
  <c r="FT81" i="44" s="1"/>
  <c r="FS106" i="44" l="1"/>
  <c r="FS86" i="44"/>
  <c r="FS129" i="44"/>
  <c r="FS87" i="44"/>
  <c r="FT84" i="44"/>
  <c r="FT83" i="44"/>
  <c r="FT130" i="44" s="1"/>
  <c r="FT85" i="44" l="1"/>
  <c r="FT82" i="44"/>
  <c r="FT86" i="44" l="1"/>
  <c r="FT76" i="44"/>
  <c r="FU74" i="44" s="1"/>
  <c r="FU81" i="44" s="1"/>
  <c r="FT106" i="44"/>
  <c r="FT87" i="44" l="1"/>
  <c r="FT129" i="44"/>
  <c r="FU83" i="44"/>
  <c r="FU130" i="44" s="1"/>
  <c r="FU84" i="44"/>
  <c r="FU85" i="44" l="1"/>
  <c r="FU82" i="44"/>
  <c r="FU86" i="44" l="1"/>
  <c r="FU76" i="44"/>
  <c r="FV74" i="44" s="1"/>
  <c r="FV81" i="44" s="1"/>
  <c r="FU106" i="44"/>
  <c r="FU87" i="44" l="1"/>
  <c r="FU129" i="44"/>
  <c r="FV83" i="44"/>
  <c r="FV130" i="44" s="1"/>
  <c r="FV84" i="44"/>
  <c r="FV85" i="44" l="1"/>
  <c r="FV82" i="44"/>
  <c r="FV86" i="44" l="1"/>
  <c r="FV76" i="44"/>
  <c r="FW74" i="44" s="1"/>
  <c r="FW81" i="44" s="1"/>
  <c r="FV106" i="44"/>
  <c r="FV87" i="44" l="1"/>
  <c r="FV129" i="44"/>
  <c r="FW83" i="44"/>
  <c r="FW130" i="44" s="1"/>
  <c r="FW84" i="44"/>
  <c r="FW85" i="44" l="1"/>
  <c r="FW82" i="44"/>
  <c r="FW86" i="44" l="1"/>
  <c r="FW76" i="44"/>
  <c r="FX74" i="44" s="1"/>
  <c r="FX81" i="44" s="1"/>
  <c r="FW106" i="44"/>
  <c r="FW87" i="44" l="1"/>
  <c r="FW129" i="44"/>
  <c r="FX84" i="44"/>
  <c r="FX83" i="44"/>
  <c r="FX130" i="44" s="1"/>
  <c r="FX85" i="44" l="1"/>
  <c r="FX82" i="44"/>
  <c r="FX76" i="44" l="1"/>
  <c r="FY74" i="44" s="1"/>
  <c r="FY81" i="44" s="1"/>
  <c r="FX86" i="44"/>
  <c r="FX106" i="44"/>
  <c r="FY83" i="44" l="1"/>
  <c r="FY130" i="44" s="1"/>
  <c r="FY84" i="44"/>
  <c r="FY85" i="44" s="1"/>
  <c r="FX129" i="44"/>
  <c r="FX87" i="44"/>
  <c r="FY82" i="44" l="1"/>
  <c r="FY76" i="44" s="1"/>
  <c r="FZ74" i="44" s="1"/>
  <c r="FZ81" i="44" s="1"/>
  <c r="FY106" i="44" l="1"/>
  <c r="FY86" i="44"/>
  <c r="FY129" i="44" s="1"/>
  <c r="FZ84" i="44"/>
  <c r="FZ85" i="44" s="1"/>
  <c r="FZ83" i="44"/>
  <c r="FZ130" i="44" s="1"/>
  <c r="FY87" i="44" l="1"/>
  <c r="FZ82" i="44"/>
  <c r="FZ86" i="44" l="1"/>
  <c r="FZ76" i="44"/>
  <c r="GA74" i="44" s="1"/>
  <c r="GA81" i="44" s="1"/>
  <c r="FZ106" i="44"/>
  <c r="FZ129" i="44" l="1"/>
  <c r="FZ87" i="44"/>
  <c r="GA83" i="44"/>
  <c r="GA130" i="44" s="1"/>
  <c r="GA84" i="44"/>
  <c r="GA85" i="44" l="1"/>
  <c r="GA82" i="44"/>
  <c r="GA106" i="44" l="1"/>
  <c r="GA76" i="44"/>
  <c r="GB74" i="44" s="1"/>
  <c r="GB81" i="44" s="1"/>
  <c r="GA86" i="44"/>
  <c r="GA87" i="44" l="1"/>
  <c r="GA129" i="44"/>
  <c r="GB84" i="44"/>
  <c r="GB83" i="44"/>
  <c r="GB130" i="44" s="1"/>
  <c r="GB85" i="44" l="1"/>
  <c r="GB82" i="44"/>
  <c r="GB86" i="44" l="1"/>
  <c r="GB76" i="44"/>
  <c r="GC74" i="44" s="1"/>
  <c r="GC81" i="44" s="1"/>
  <c r="GB106" i="44"/>
  <c r="GB87" i="44" l="1"/>
  <c r="GB129" i="44"/>
  <c r="GC83" i="44"/>
  <c r="GC130" i="44" s="1"/>
  <c r="GC84" i="44"/>
  <c r="GC85" i="44" l="1"/>
  <c r="GC82" i="44"/>
  <c r="GC86" i="44" l="1"/>
  <c r="GC76" i="44"/>
  <c r="GD74" i="44" s="1"/>
  <c r="GD81" i="44" s="1"/>
  <c r="GC106" i="44"/>
  <c r="GC129" i="44" l="1"/>
  <c r="GC87" i="44"/>
  <c r="GD84" i="44"/>
  <c r="GD83" i="44"/>
  <c r="GD130" i="44" s="1"/>
  <c r="GD85" i="44" l="1"/>
  <c r="GD82" i="44"/>
  <c r="GD86" i="44" l="1"/>
  <c r="GD76" i="44"/>
  <c r="GE74" i="44" s="1"/>
  <c r="GE81" i="44" s="1"/>
  <c r="GD106" i="44"/>
  <c r="GD87" i="44" l="1"/>
  <c r="GD129" i="44"/>
  <c r="GE84" i="44"/>
  <c r="GE83" i="44"/>
  <c r="GE130" i="44" s="1"/>
  <c r="GE85" i="44" l="1"/>
  <c r="GE82" i="44"/>
  <c r="GE86" i="44" l="1"/>
  <c r="GE76" i="44"/>
  <c r="GF74" i="44" s="1"/>
  <c r="GF81" i="44" s="1"/>
  <c r="GE106" i="44"/>
  <c r="GE129" i="44" l="1"/>
  <c r="GE87" i="44"/>
  <c r="GF84" i="44"/>
  <c r="GF83" i="44"/>
  <c r="GF130" i="44" s="1"/>
  <c r="GF85" i="44" l="1"/>
  <c r="GF82" i="44"/>
  <c r="GF86" i="44" l="1"/>
  <c r="GF76" i="44"/>
  <c r="GG74" i="44" s="1"/>
  <c r="GG81" i="44" s="1"/>
  <c r="GF106" i="44"/>
  <c r="GF87" i="44" l="1"/>
  <c r="GF129" i="44"/>
  <c r="GG83" i="44"/>
  <c r="GG130" i="44" s="1"/>
  <c r="GG84" i="44"/>
  <c r="GG85" i="44" l="1"/>
  <c r="GG82" i="44"/>
  <c r="GG86" i="44" l="1"/>
  <c r="GG76" i="44"/>
  <c r="GH74" i="44" s="1"/>
  <c r="GH81" i="44" s="1"/>
  <c r="GG106" i="44"/>
  <c r="GG129" i="44" l="1"/>
  <c r="GG87" i="44"/>
  <c r="GH83" i="44"/>
  <c r="GH130" i="44" s="1"/>
  <c r="GH84" i="44"/>
  <c r="GH85" i="44" l="1"/>
  <c r="GH82" i="44"/>
  <c r="GH86" i="44" l="1"/>
  <c r="GH76" i="44"/>
  <c r="GI74" i="44" s="1"/>
  <c r="GI81" i="44" s="1"/>
  <c r="GH106" i="44"/>
  <c r="GH87" i="44" l="1"/>
  <c r="GH129" i="44"/>
  <c r="GI83" i="44"/>
  <c r="GI130" i="44" s="1"/>
  <c r="GI84" i="44"/>
  <c r="GI85" i="44" l="1"/>
  <c r="GI82" i="44"/>
  <c r="GI86" i="44" l="1"/>
  <c r="GI76" i="44"/>
  <c r="GJ74" i="44" s="1"/>
  <c r="GJ81" i="44" s="1"/>
  <c r="GI106" i="44"/>
  <c r="GI87" i="44" l="1"/>
  <c r="GI129" i="44"/>
  <c r="GJ83" i="44"/>
  <c r="GJ130" i="44" s="1"/>
  <c r="GJ84" i="44"/>
  <c r="GJ85" i="44" l="1"/>
  <c r="GJ82" i="44"/>
  <c r="GJ86" i="44" l="1"/>
  <c r="GJ76" i="44"/>
  <c r="GK74" i="44" s="1"/>
  <c r="GK81" i="44" s="1"/>
  <c r="GJ106" i="44"/>
  <c r="GJ87" i="44" l="1"/>
  <c r="GJ129" i="44"/>
  <c r="GK83" i="44"/>
  <c r="GK130" i="44" s="1"/>
  <c r="GK84" i="44"/>
  <c r="GK85" i="44" l="1"/>
  <c r="GK82" i="44"/>
  <c r="GK76" i="44" l="1"/>
  <c r="GL74" i="44" s="1"/>
  <c r="GL81" i="44" s="1"/>
  <c r="GK86" i="44"/>
  <c r="GK106" i="44"/>
  <c r="GL83" i="44" l="1"/>
  <c r="GL130" i="44" s="1"/>
  <c r="GL84" i="44"/>
  <c r="GL85" i="44" s="1"/>
  <c r="GK87" i="44"/>
  <c r="GK129" i="44"/>
  <c r="GL82" i="44" l="1"/>
  <c r="GL86" i="44" s="1"/>
  <c r="GL106" i="44" l="1"/>
  <c r="GL76" i="44"/>
  <c r="GM74" i="44" s="1"/>
  <c r="GM81" i="44" s="1"/>
  <c r="GM83" i="44" s="1"/>
  <c r="GM130" i="44" s="1"/>
  <c r="GL87" i="44"/>
  <c r="GL129" i="44"/>
  <c r="GM84" i="44" l="1"/>
  <c r="GM85" i="44" s="1"/>
  <c r="GM82" i="44" l="1"/>
  <c r="GM86" i="44" s="1"/>
  <c r="GM106" i="44" l="1"/>
  <c r="GM76" i="44"/>
  <c r="GN74" i="44" s="1"/>
  <c r="GN81" i="44" s="1"/>
  <c r="GN83" i="44" s="1"/>
  <c r="GN130" i="44" s="1"/>
  <c r="GM87" i="44"/>
  <c r="GM129" i="44"/>
  <c r="GN84" i="44" l="1"/>
  <c r="GN85" i="44" s="1"/>
  <c r="GN82" i="44" l="1"/>
  <c r="GN86" i="44" s="1"/>
  <c r="GN106" i="44" l="1"/>
  <c r="GN76" i="44"/>
  <c r="GO74" i="44" s="1"/>
  <c r="GO81" i="44" s="1"/>
  <c r="GO83" i="44" s="1"/>
  <c r="GO130" i="44" s="1"/>
  <c r="GN129" i="44"/>
  <c r="GN87" i="44"/>
  <c r="GO84" i="44"/>
  <c r="GO85" i="44" l="1"/>
  <c r="GO82" i="44"/>
  <c r="GO86" i="44" l="1"/>
  <c r="GO76" i="44"/>
  <c r="GP74" i="44" s="1"/>
  <c r="GP81" i="44" s="1"/>
  <c r="GO106" i="44"/>
  <c r="GO87" i="44" l="1"/>
  <c r="GO129" i="44"/>
  <c r="GP83" i="44"/>
  <c r="GP130" i="44" s="1"/>
  <c r="GP84" i="44"/>
  <c r="GP85" i="44" l="1"/>
  <c r="GP82" i="44"/>
  <c r="GP76" i="44" l="1"/>
  <c r="GQ74" i="44" s="1"/>
  <c r="GQ81" i="44" s="1"/>
  <c r="GP86" i="44"/>
  <c r="GP106" i="44"/>
  <c r="GQ83" i="44" l="1"/>
  <c r="GQ130" i="44" s="1"/>
  <c r="GQ84" i="44"/>
  <c r="GQ85" i="44" s="1"/>
  <c r="GP87" i="44"/>
  <c r="GP129" i="44"/>
  <c r="GQ82" i="44" l="1"/>
  <c r="GQ86" i="44" s="1"/>
  <c r="GQ106" i="44" l="1"/>
  <c r="GQ76" i="44"/>
  <c r="GR74" i="44" s="1"/>
  <c r="GR81" i="44" s="1"/>
  <c r="GR84" i="44" s="1"/>
  <c r="GQ87" i="44"/>
  <c r="GQ129" i="44"/>
  <c r="GR83" i="44" l="1"/>
  <c r="GR130" i="44" s="1"/>
  <c r="GR85" i="44"/>
  <c r="GR82" i="44"/>
  <c r="GR86" i="44" l="1"/>
  <c r="GR76" i="44"/>
  <c r="GS74" i="44" s="1"/>
  <c r="GS81" i="44" s="1"/>
  <c r="GR106" i="44"/>
  <c r="GR129" i="44" l="1"/>
  <c r="GR87" i="44"/>
  <c r="GS84" i="44"/>
  <c r="GS83" i="44"/>
  <c r="GS130" i="44" s="1"/>
  <c r="GS85" i="44" l="1"/>
  <c r="GS82" i="44"/>
  <c r="GS86" i="44" l="1"/>
  <c r="GS76" i="44"/>
  <c r="GT74" i="44" s="1"/>
  <c r="GT81" i="44" s="1"/>
  <c r="GS106" i="44"/>
  <c r="GS87" i="44" l="1"/>
  <c r="GS129" i="44"/>
  <c r="GT83" i="44"/>
  <c r="GT130" i="44" s="1"/>
  <c r="GT84" i="44"/>
  <c r="GT85" i="44" l="1"/>
  <c r="GT82" i="44"/>
  <c r="GT86" i="44" l="1"/>
  <c r="GT76" i="44"/>
  <c r="GU74" i="44" s="1"/>
  <c r="GU81" i="44" s="1"/>
  <c r="GT106" i="44"/>
  <c r="GT87" i="44" l="1"/>
  <c r="GT129" i="44"/>
  <c r="GU84" i="44"/>
  <c r="GU83" i="44"/>
  <c r="GU130" i="44" s="1"/>
  <c r="GU85" i="44" l="1"/>
  <c r="GU82" i="44"/>
  <c r="GU86" i="44" l="1"/>
  <c r="GU76" i="44"/>
  <c r="GV74" i="44" s="1"/>
  <c r="GV81" i="44" s="1"/>
  <c r="GU106" i="44"/>
  <c r="GU129" i="44" l="1"/>
  <c r="GU87" i="44"/>
  <c r="GV83" i="44"/>
  <c r="GV130" i="44" s="1"/>
  <c r="GV84" i="44"/>
  <c r="GV85" i="44" l="1"/>
  <c r="GV82" i="44"/>
  <c r="GV86" i="44" l="1"/>
  <c r="GV76" i="44"/>
  <c r="GW74" i="44" s="1"/>
  <c r="GW81" i="44" s="1"/>
  <c r="GV106" i="44"/>
  <c r="GV129" i="44" l="1"/>
  <c r="GV87" i="44"/>
  <c r="GW83" i="44"/>
  <c r="GW130" i="44" s="1"/>
  <c r="GW84" i="44"/>
  <c r="GW85" i="44" l="1"/>
  <c r="GW82" i="44"/>
  <c r="GW86" i="44" l="1"/>
  <c r="GW76" i="44"/>
  <c r="GX74" i="44" s="1"/>
  <c r="GX81" i="44" s="1"/>
  <c r="GW106" i="44"/>
  <c r="GW87" i="44" l="1"/>
  <c r="GW129" i="44"/>
  <c r="GX84" i="44"/>
  <c r="GX83" i="44"/>
  <c r="GX130" i="44" s="1"/>
  <c r="GX85" i="44" l="1"/>
  <c r="GX82" i="44"/>
  <c r="GX106" i="44" l="1"/>
  <c r="GX76" i="44"/>
  <c r="GY74" i="44" s="1"/>
  <c r="GY81" i="44" s="1"/>
  <c r="GX86" i="44"/>
  <c r="GX87" i="44" l="1"/>
  <c r="GX129" i="44"/>
  <c r="GY83" i="44"/>
  <c r="GY130" i="44" s="1"/>
  <c r="GY84" i="44"/>
  <c r="GY85" i="44" l="1"/>
  <c r="GY82" i="44"/>
  <c r="GY86" i="44" l="1"/>
  <c r="GY76" i="44"/>
  <c r="GZ74" i="44" s="1"/>
  <c r="GZ81" i="44" s="1"/>
  <c r="GY106" i="44"/>
  <c r="GY129" i="44" l="1"/>
  <c r="GY87" i="44"/>
  <c r="GZ83" i="44"/>
  <c r="GZ130" i="44" s="1"/>
  <c r="GZ84" i="44"/>
  <c r="GZ85" i="44" l="1"/>
  <c r="GZ82" i="44"/>
  <c r="GZ86" i="44" l="1"/>
  <c r="GZ76" i="44"/>
  <c r="HA74" i="44" s="1"/>
  <c r="HA81" i="44" s="1"/>
  <c r="GZ106" i="44"/>
  <c r="GZ129" i="44" l="1"/>
  <c r="GZ87" i="44"/>
  <c r="HA83" i="44"/>
  <c r="HA130" i="44" s="1"/>
  <c r="HA84" i="44"/>
  <c r="HA85" i="44" l="1"/>
  <c r="HA82" i="44"/>
  <c r="HA86" i="44" l="1"/>
  <c r="HA76" i="44"/>
  <c r="HB74" i="44" s="1"/>
  <c r="HB81" i="44" s="1"/>
  <c r="HA106" i="44"/>
  <c r="HA129" i="44" l="1"/>
  <c r="HA87" i="44"/>
  <c r="HB83" i="44"/>
  <c r="HB130" i="44" s="1"/>
  <c r="HB84" i="44"/>
  <c r="HB85" i="44" l="1"/>
  <c r="HB82" i="44"/>
  <c r="HB86" i="44" l="1"/>
  <c r="HB76" i="44"/>
  <c r="HC74" i="44" s="1"/>
  <c r="HC81" i="44" s="1"/>
  <c r="HB106" i="44"/>
  <c r="HB129" i="44" l="1"/>
  <c r="HB87" i="44"/>
  <c r="HC84" i="44"/>
  <c r="HC83" i="44"/>
  <c r="HC130" i="44" s="1"/>
  <c r="HC85" i="44" l="1"/>
  <c r="HC82" i="44"/>
  <c r="HC86" i="44" l="1"/>
  <c r="HC76" i="44"/>
  <c r="HD74" i="44" s="1"/>
  <c r="HD81" i="44" s="1"/>
  <c r="HC106" i="44"/>
  <c r="HC129" i="44" l="1"/>
  <c r="HC87" i="44"/>
  <c r="HD84" i="44"/>
  <c r="HD83" i="44"/>
  <c r="HD130" i="44" s="1"/>
  <c r="HD85" i="44" l="1"/>
  <c r="HD82" i="44"/>
  <c r="HD86" i="44" l="1"/>
  <c r="HD76" i="44"/>
  <c r="HE74" i="44" s="1"/>
  <c r="HE81" i="44" s="1"/>
  <c r="HD106" i="44"/>
  <c r="HD129" i="44" l="1"/>
  <c r="HD87" i="44"/>
  <c r="HE84" i="44"/>
  <c r="HE83" i="44"/>
  <c r="HE130" i="44" s="1"/>
  <c r="HE85" i="44" l="1"/>
  <c r="HE82" i="44"/>
  <c r="HE86" i="44" l="1"/>
  <c r="HE76" i="44"/>
  <c r="HF74" i="44" s="1"/>
  <c r="HF81" i="44" s="1"/>
  <c r="HE106" i="44"/>
  <c r="HE129" i="44" l="1"/>
  <c r="HE87" i="44"/>
  <c r="HF84" i="44"/>
  <c r="HF83" i="44"/>
  <c r="HF130" i="44" s="1"/>
  <c r="HF85" i="44" l="1"/>
  <c r="HF82" i="44"/>
  <c r="HF76" i="44" l="1"/>
  <c r="HG74" i="44" s="1"/>
  <c r="HG81" i="44" s="1"/>
  <c r="HF86" i="44"/>
  <c r="HF106" i="44"/>
  <c r="HG83" i="44" l="1"/>
  <c r="HG130" i="44" s="1"/>
  <c r="HG84" i="44"/>
  <c r="HG85" i="44" s="1"/>
  <c r="HF87" i="44"/>
  <c r="HF129" i="44"/>
  <c r="HG82" i="44" l="1"/>
  <c r="HG106" i="44" s="1"/>
  <c r="HG76" i="44" l="1"/>
  <c r="HH74" i="44" s="1"/>
  <c r="HH81" i="44" s="1"/>
  <c r="HH83" i="44" s="1"/>
  <c r="HH130" i="44" s="1"/>
  <c r="HG86" i="44"/>
  <c r="HG87" i="44"/>
  <c r="HG129" i="44"/>
  <c r="HH84" i="44" l="1"/>
  <c r="HH85" i="44" s="1"/>
  <c r="HH82" i="44" l="1"/>
  <c r="HH86" i="44" s="1"/>
  <c r="HH106" i="44" l="1"/>
  <c r="HH76" i="44"/>
  <c r="HI74" i="44" s="1"/>
  <c r="HI81" i="44" s="1"/>
  <c r="HI83" i="44" s="1"/>
  <c r="HI130" i="44" s="1"/>
  <c r="HH129" i="44"/>
  <c r="HH87" i="44"/>
  <c r="HI84" i="44" l="1"/>
  <c r="HI85" i="44" s="1"/>
  <c r="HI82" i="44" l="1"/>
  <c r="HI86" i="44" s="1"/>
  <c r="HI106" i="44" l="1"/>
  <c r="HI76" i="44"/>
  <c r="HJ74" i="44" s="1"/>
  <c r="HJ81" i="44" s="1"/>
  <c r="HJ83" i="44" s="1"/>
  <c r="HJ130" i="44" s="1"/>
  <c r="HI129" i="44"/>
  <c r="HI87" i="44"/>
  <c r="HJ84" i="44" l="1"/>
  <c r="HJ85" i="44" s="1"/>
  <c r="HJ82" i="44" l="1"/>
  <c r="HJ76" i="44" s="1"/>
  <c r="HK74" i="44" s="1"/>
  <c r="HK81" i="44" s="1"/>
  <c r="HJ106" i="44" l="1"/>
  <c r="HJ86" i="44"/>
  <c r="HK83" i="44"/>
  <c r="HK130" i="44" s="1"/>
  <c r="HK84" i="44"/>
  <c r="HK85" i="44" s="1"/>
  <c r="HJ129" i="44"/>
  <c r="HJ87" i="44"/>
  <c r="HK82" i="44" l="1"/>
  <c r="HK86" i="44" s="1"/>
  <c r="HK106" i="44" l="1"/>
  <c r="HK76" i="44"/>
  <c r="HL74" i="44" s="1"/>
  <c r="HL81" i="44" s="1"/>
  <c r="HK87" i="44"/>
  <c r="HK129" i="44"/>
  <c r="HL83" i="44"/>
  <c r="HL130" i="44" s="1"/>
  <c r="HL84" i="44"/>
  <c r="HL85" i="44" l="1"/>
  <c r="HL82" i="44"/>
  <c r="HL86" i="44" l="1"/>
  <c r="HL76" i="44"/>
  <c r="HM74" i="44" s="1"/>
  <c r="HM81" i="44" s="1"/>
  <c r="HL106" i="44"/>
  <c r="HL87" i="44" l="1"/>
  <c r="HL129" i="44"/>
  <c r="HM83" i="44"/>
  <c r="HM130" i="44" s="1"/>
  <c r="HM84" i="44"/>
  <c r="HM85" i="44" l="1"/>
  <c r="HM82" i="44"/>
  <c r="HM86" i="44" l="1"/>
  <c r="HM76" i="44"/>
  <c r="HN74" i="44" s="1"/>
  <c r="HN81" i="44" s="1"/>
  <c r="HM106" i="44"/>
  <c r="HM129" i="44" l="1"/>
  <c r="HM87" i="44"/>
  <c r="HN83" i="44"/>
  <c r="HN130" i="44" s="1"/>
  <c r="HN84" i="44"/>
  <c r="HN85" i="44" l="1"/>
  <c r="HN82" i="44"/>
  <c r="HN106" i="44" l="1"/>
  <c r="HN86" i="44"/>
  <c r="HN76" i="44"/>
  <c r="HO74" i="44" s="1"/>
  <c r="HO81" i="44" s="1"/>
  <c r="HO84" i="44" l="1"/>
  <c r="HO83" i="44"/>
  <c r="HO130" i="44" s="1"/>
  <c r="HN87" i="44"/>
  <c r="HN129" i="44"/>
  <c r="HO85" i="44" l="1"/>
  <c r="HO82" i="44"/>
  <c r="HO76" i="44" l="1"/>
  <c r="HP74" i="44" s="1"/>
  <c r="HP81" i="44" s="1"/>
  <c r="HO86" i="44"/>
  <c r="HO106" i="44"/>
  <c r="HP83" i="44" l="1"/>
  <c r="HP130" i="44" s="1"/>
  <c r="HP84" i="44"/>
  <c r="HP85" i="44" s="1"/>
  <c r="HO129" i="44"/>
  <c r="HO87" i="44"/>
  <c r="HP82" i="44" l="1"/>
  <c r="HP106" i="44" s="1"/>
  <c r="HP76" i="44" l="1"/>
  <c r="HQ74" i="44" s="1"/>
  <c r="HQ81" i="44" s="1"/>
  <c r="HQ84" i="44" s="1"/>
  <c r="HP86" i="44"/>
  <c r="HP87" i="44"/>
  <c r="HP129" i="44"/>
  <c r="HQ83" i="44" l="1"/>
  <c r="HQ130" i="44" s="1"/>
  <c r="HQ85" i="44"/>
  <c r="HQ82" i="44"/>
  <c r="HQ76" i="44" l="1"/>
  <c r="HR74" i="44" s="1"/>
  <c r="HR81" i="44" s="1"/>
  <c r="HQ86" i="44"/>
  <c r="HQ106" i="44"/>
  <c r="HR83" i="44" l="1"/>
  <c r="HR130" i="44" s="1"/>
  <c r="HR84" i="44"/>
  <c r="HR85" i="44" s="1"/>
  <c r="HQ87" i="44"/>
  <c r="HQ129" i="44"/>
  <c r="HR82" i="44" l="1"/>
  <c r="HR76" i="44" s="1"/>
  <c r="HS74" i="44" s="1"/>
  <c r="HS81" i="44" s="1"/>
  <c r="HR106" i="44" l="1"/>
  <c r="HR86" i="44"/>
  <c r="HR87" i="44" s="1"/>
  <c r="HS83" i="44"/>
  <c r="HS130" i="44" s="1"/>
  <c r="HS84" i="44"/>
  <c r="HS85" i="44" s="1"/>
  <c r="HR129" i="44" l="1"/>
  <c r="HS82" i="44"/>
  <c r="HS76" i="44" s="1"/>
  <c r="HT74" i="44" s="1"/>
  <c r="HT81" i="44" s="1"/>
  <c r="HS106" i="44" l="1"/>
  <c r="HS86" i="44"/>
  <c r="HS87" i="44" s="1"/>
  <c r="HT84" i="44"/>
  <c r="HT85" i="44" s="1"/>
  <c r="HT83" i="44"/>
  <c r="HT130" i="44" s="1"/>
  <c r="HS129" i="44" l="1"/>
  <c r="HT82" i="44"/>
  <c r="HT86" i="44" l="1"/>
  <c r="HT76" i="44"/>
  <c r="HU74" i="44" s="1"/>
  <c r="HU81" i="44" s="1"/>
  <c r="HT106" i="44"/>
  <c r="HT87" i="44" l="1"/>
  <c r="HT129" i="44"/>
  <c r="HU83" i="44"/>
  <c r="HU130" i="44" s="1"/>
  <c r="HU84" i="44"/>
  <c r="HU85" i="44" l="1"/>
  <c r="HU82" i="44"/>
  <c r="HU76" i="44" l="1"/>
  <c r="HV74" i="44" s="1"/>
  <c r="HV81" i="44" s="1"/>
  <c r="HU86" i="44"/>
  <c r="HU106" i="44"/>
  <c r="HV83" i="44" l="1"/>
  <c r="HV130" i="44" s="1"/>
  <c r="HV84" i="44"/>
  <c r="HV85" i="44" s="1"/>
  <c r="HU87" i="44"/>
  <c r="HU129" i="44"/>
  <c r="HV82" i="44" l="1"/>
  <c r="HV106" i="44" s="1"/>
  <c r="HV76" i="44" l="1"/>
  <c r="HW74" i="44" s="1"/>
  <c r="HW81" i="44" s="1"/>
  <c r="HW83" i="44" s="1"/>
  <c r="HW130" i="44" s="1"/>
  <c r="HV86" i="44"/>
  <c r="HV87" i="44" s="1"/>
  <c r="HV129" i="44" l="1"/>
  <c r="HW84" i="44"/>
  <c r="HW85" i="44" s="1"/>
  <c r="HW82" i="44" l="1"/>
  <c r="HW76" i="44" s="1"/>
  <c r="HX74" i="44" s="1"/>
  <c r="HX81" i="44" s="1"/>
  <c r="HW106" i="44" l="1"/>
  <c r="HW86" i="44"/>
  <c r="HW129" i="44" s="1"/>
  <c r="HX83" i="44"/>
  <c r="HX130" i="44" s="1"/>
  <c r="HX84" i="44"/>
  <c r="HX85" i="44" s="1"/>
  <c r="HW87" i="44" l="1"/>
  <c r="HX82" i="44"/>
  <c r="HX106" i="44" s="1"/>
  <c r="HX86" i="44" l="1"/>
  <c r="HX129" i="44" s="1"/>
  <c r="HX76" i="44"/>
  <c r="HY74" i="44" s="1"/>
  <c r="HY81" i="44" s="1"/>
  <c r="HY83" i="44" s="1"/>
  <c r="HY130" i="44" s="1"/>
  <c r="HY84" i="44" l="1"/>
  <c r="HY85" i="44" s="1"/>
  <c r="HX87" i="44"/>
  <c r="HY82" i="44" l="1"/>
  <c r="HY106" i="44" s="1"/>
  <c r="HY86" i="44" l="1"/>
  <c r="HY87" i="44" s="1"/>
  <c r="HY76" i="44"/>
  <c r="HZ74" i="44" s="1"/>
  <c r="HZ81" i="44" s="1"/>
  <c r="HZ84" i="44" s="1"/>
  <c r="HZ83" i="44"/>
  <c r="HZ130" i="44" s="1"/>
  <c r="HZ85" i="44"/>
  <c r="HZ82" i="44"/>
  <c r="HY129" i="44" l="1"/>
  <c r="HZ86" i="44"/>
  <c r="HZ76" i="44"/>
  <c r="IA74" i="44" s="1"/>
  <c r="IA81" i="44" s="1"/>
  <c r="HZ106" i="44"/>
  <c r="HZ129" i="44" l="1"/>
  <c r="HZ87" i="44"/>
  <c r="IA84" i="44"/>
  <c r="IA83" i="44"/>
  <c r="IA130" i="44" s="1"/>
  <c r="IA85" i="44" l="1"/>
  <c r="IA82" i="44"/>
  <c r="IA86" i="44" l="1"/>
  <c r="IA76" i="44"/>
  <c r="IB74" i="44" s="1"/>
  <c r="IB81" i="44" s="1"/>
  <c r="IA106" i="44"/>
  <c r="IA87" i="44" l="1"/>
  <c r="IA129" i="44"/>
  <c r="IB83" i="44"/>
  <c r="IB130" i="44" s="1"/>
  <c r="IB84" i="44"/>
  <c r="IB85" i="44" l="1"/>
  <c r="IB82" i="44"/>
  <c r="IB86" i="44" l="1"/>
  <c r="IB76" i="44"/>
  <c r="IC74" i="44" s="1"/>
  <c r="IC81" i="44" s="1"/>
  <c r="IB106" i="44"/>
  <c r="IB129" i="44" l="1"/>
  <c r="IB87" i="44"/>
  <c r="IC84" i="44"/>
  <c r="IC83" i="44"/>
  <c r="IC130" i="44" s="1"/>
  <c r="IC85" i="44" l="1"/>
  <c r="IC82" i="44"/>
  <c r="IC86" i="44" l="1"/>
  <c r="IC76" i="44"/>
  <c r="ID74" i="44" s="1"/>
  <c r="ID81" i="44" s="1"/>
  <c r="IC106" i="44"/>
  <c r="IC87" i="44" l="1"/>
  <c r="IC129" i="44"/>
  <c r="ID84" i="44"/>
  <c r="ID83" i="44"/>
  <c r="ID130" i="44" l="1"/>
  <c r="ID85" i="44"/>
  <c r="ID82" i="44"/>
  <c r="ID76" i="44" l="1"/>
  <c r="IE74" i="44" s="1"/>
  <c r="IE81" i="44" s="1"/>
  <c r="ID86" i="44"/>
  <c r="ID106" i="44"/>
  <c r="IE83" i="44" l="1"/>
  <c r="IE84" i="44"/>
  <c r="IE85" i="44" s="1"/>
  <c r="ID129" i="44"/>
  <c r="ID87" i="44"/>
  <c r="IE82" i="44" l="1"/>
  <c r="IE106" i="44" s="1"/>
  <c r="IE130" i="44"/>
  <c r="IE76" i="44" l="1"/>
  <c r="IF74" i="44" s="1"/>
  <c r="IF81" i="44" s="1"/>
  <c r="IF83" i="44" s="1"/>
  <c r="IE86" i="44"/>
  <c r="IE129" i="44" s="1"/>
  <c r="IE87" i="44" l="1"/>
  <c r="IF84" i="44"/>
  <c r="IF85" i="44" s="1"/>
  <c r="IF130" i="44"/>
  <c r="IF82" i="44" l="1"/>
  <c r="IF86" i="44" l="1"/>
  <c r="IF106" i="44"/>
  <c r="IF76" i="44"/>
  <c r="IG74" i="44" s="1"/>
  <c r="IG81" i="44" s="1"/>
  <c r="IF129" i="44" l="1"/>
  <c r="IF87" i="44"/>
  <c r="IG83" i="44"/>
  <c r="IG130" i="44" s="1"/>
  <c r="IG84" i="44"/>
  <c r="IG85" i="44" l="1"/>
  <c r="IG82" i="44"/>
  <c r="IG76" i="44" l="1"/>
  <c r="IH74" i="44" s="1"/>
  <c r="IH81" i="44" s="1"/>
  <c r="IG86" i="44"/>
  <c r="IG106" i="44"/>
  <c r="IH84" i="44" l="1"/>
  <c r="IH85" i="44" s="1"/>
  <c r="IH83" i="44"/>
  <c r="IH130" i="44" s="1"/>
  <c r="IG87" i="44"/>
  <c r="IG129" i="44"/>
  <c r="IH82" i="44" l="1"/>
  <c r="IH76" i="44" s="1"/>
  <c r="II74" i="44" s="1"/>
  <c r="II81" i="44" s="1"/>
  <c r="II84" i="44" s="1"/>
  <c r="II83" i="44" l="1"/>
  <c r="II130" i="44" s="1"/>
  <c r="IH86" i="44"/>
  <c r="IH106" i="44"/>
  <c r="II85" i="44"/>
  <c r="II82" i="44"/>
  <c r="IH129" i="44" l="1"/>
  <c r="IH87" i="44"/>
  <c r="II76" i="44"/>
  <c r="IJ74" i="44" s="1"/>
  <c r="IJ81" i="44" s="1"/>
  <c r="II86" i="44"/>
  <c r="II106" i="44"/>
  <c r="II129" i="44" l="1"/>
  <c r="II87" i="44"/>
  <c r="IJ84" i="44"/>
  <c r="IJ83" i="44"/>
  <c r="IJ130" i="44" l="1"/>
  <c r="IJ85" i="44"/>
  <c r="IJ82" i="44"/>
  <c r="IJ86" i="44" l="1"/>
  <c r="IJ76" i="44"/>
  <c r="IK74" i="44" s="1"/>
  <c r="IK81" i="44" s="1"/>
  <c r="IJ106" i="44"/>
  <c r="IK84" i="44" l="1"/>
  <c r="IK85" i="44" s="1"/>
  <c r="IK83" i="44"/>
  <c r="IJ129" i="44"/>
  <c r="IJ87" i="44"/>
  <c r="IK82" i="44" l="1"/>
  <c r="IK76" i="44" s="1"/>
  <c r="IL74" i="44" s="1"/>
  <c r="IL81" i="44" s="1"/>
  <c r="IK130" i="44"/>
  <c r="IK106" i="44" l="1"/>
  <c r="IK86" i="44"/>
  <c r="IK129" i="44"/>
  <c r="IK87" i="44"/>
  <c r="IL83" i="44"/>
  <c r="IL84" i="44"/>
  <c r="IL85" i="44" l="1"/>
  <c r="IL82" i="44"/>
  <c r="IL130" i="44"/>
  <c r="IL76" i="44" l="1"/>
  <c r="IM74" i="44" s="1"/>
  <c r="IM81" i="44" s="1"/>
  <c r="IL86" i="44"/>
  <c r="IL106" i="44"/>
  <c r="IL129" i="44" l="1"/>
  <c r="IL87" i="44"/>
  <c r="IM83" i="44"/>
  <c r="IM84" i="44"/>
  <c r="IM85" i="44" l="1"/>
  <c r="IM82" i="44"/>
  <c r="IM130" i="44"/>
  <c r="IM76" i="44" l="1"/>
  <c r="IN74" i="44" s="1"/>
  <c r="IN81" i="44" s="1"/>
  <c r="IM86" i="44"/>
  <c r="IM106" i="44"/>
  <c r="IM87" i="44" l="1"/>
  <c r="IM129" i="44"/>
  <c r="IN84" i="44"/>
  <c r="IN83" i="44"/>
  <c r="IN130" i="44" l="1"/>
  <c r="IN85" i="44"/>
  <c r="IN82" i="44"/>
  <c r="IN76" i="44" l="1"/>
  <c r="IO74" i="44" s="1"/>
  <c r="IO81" i="44" s="1"/>
  <c r="IN86" i="44"/>
  <c r="IN106" i="44"/>
  <c r="IN87" i="44" l="1"/>
  <c r="IN129" i="44"/>
  <c r="IO83" i="44"/>
  <c r="IO84" i="44"/>
  <c r="IO85" i="44" l="1"/>
  <c r="IO82" i="44"/>
  <c r="IO130" i="44"/>
  <c r="IO86" i="44" l="1"/>
  <c r="IO76" i="44"/>
  <c r="IP74" i="44" s="1"/>
  <c r="IP81" i="44" s="1"/>
  <c r="IO106" i="44"/>
  <c r="IP84" i="44" l="1"/>
  <c r="IP85" i="44" s="1"/>
  <c r="IP83" i="44"/>
  <c r="IO87" i="44"/>
  <c r="IO129" i="44"/>
  <c r="IP130" i="44" l="1"/>
  <c r="IP82" i="44"/>
  <c r="IP86" i="44" l="1"/>
  <c r="IP76" i="44"/>
  <c r="IQ74" i="44" s="1"/>
  <c r="IQ81" i="44" s="1"/>
  <c r="IP106" i="44"/>
  <c r="IQ84" i="44" l="1"/>
  <c r="IQ85" i="44" s="1"/>
  <c r="IQ83" i="44"/>
  <c r="IP87" i="44"/>
  <c r="IP129" i="44"/>
  <c r="H298" i="44"/>
  <c r="IQ82" i="44" l="1"/>
  <c r="IQ106" i="44" s="1"/>
  <c r="IQ130" i="44"/>
  <c r="IQ76" i="44" l="1"/>
  <c r="IR74" i="44" s="1"/>
  <c r="IR81" i="44" s="1"/>
  <c r="IR84" i="44" s="1"/>
  <c r="IQ86" i="44"/>
  <c r="IQ87" i="44" s="1"/>
  <c r="IQ129" i="44" l="1"/>
  <c r="IR106" i="44"/>
  <c r="L2" i="44" s="1"/>
  <c r="C105" i="44" s="1"/>
  <c r="C113" i="44" s="1"/>
  <c r="IR85" i="44"/>
  <c r="IR86" i="44"/>
  <c r="H300" i="44"/>
  <c r="IR129" i="44" l="1"/>
  <c r="IR87" i="44"/>
  <c r="W32" i="44"/>
  <c r="W33" i="44" s="1"/>
  <c r="I32" i="44"/>
  <c r="H302" i="44"/>
  <c r="B90" i="44" l="1"/>
  <c r="L1" i="44" s="1"/>
  <c r="I18" i="44" s="1"/>
  <c r="I33" i="44"/>
  <c r="C33" i="44"/>
  <c r="C34" i="44" s="1"/>
  <c r="F70" i="44" l="1"/>
  <c r="S70" i="44"/>
  <c r="S71" i="44" s="1"/>
  <c r="L69" i="44"/>
  <c r="IC70" i="44"/>
  <c r="IC71" i="44" s="1"/>
  <c r="GR70" i="44"/>
  <c r="GR71" i="44" s="1"/>
  <c r="HO70" i="44"/>
  <c r="HO71" i="44" s="1"/>
  <c r="DZ70" i="44"/>
  <c r="DZ71" i="44" s="1"/>
  <c r="AM70" i="44"/>
  <c r="AM71" i="44" s="1"/>
  <c r="DW70" i="44"/>
  <c r="DW71" i="44" s="1"/>
  <c r="CP70" i="44"/>
  <c r="CP71" i="44" s="1"/>
  <c r="FN70" i="44"/>
  <c r="FN71" i="44" s="1"/>
  <c r="DV70" i="44"/>
  <c r="DV71" i="44" s="1"/>
  <c r="EW70" i="44"/>
  <c r="EW71" i="44" s="1"/>
  <c r="FD70" i="44"/>
  <c r="FD71" i="44" s="1"/>
  <c r="FQ70" i="44"/>
  <c r="FQ71" i="44" s="1"/>
  <c r="AB70" i="44"/>
  <c r="AB71" i="44" s="1"/>
  <c r="DG70" i="44"/>
  <c r="DG71" i="44" s="1"/>
  <c r="HO69" i="44"/>
  <c r="BD69" i="44"/>
  <c r="GF69" i="44"/>
  <c r="HB69" i="44"/>
  <c r="C70" i="44"/>
  <c r="Q70" i="44"/>
  <c r="Q71" i="44" s="1"/>
  <c r="K69" i="44"/>
  <c r="DO70" i="44"/>
  <c r="DO71" i="44" s="1"/>
  <c r="DF70" i="44"/>
  <c r="DF71" i="44" s="1"/>
  <c r="FA70" i="44"/>
  <c r="FA71" i="44" s="1"/>
  <c r="GT70" i="44"/>
  <c r="GT71" i="44" s="1"/>
  <c r="HG70" i="44"/>
  <c r="HG71" i="44" s="1"/>
  <c r="ET70" i="44"/>
  <c r="ET71" i="44" s="1"/>
  <c r="AF70" i="44"/>
  <c r="AF71" i="44" s="1"/>
  <c r="CG70" i="44"/>
  <c r="CG71" i="44" s="1"/>
  <c r="X70" i="44"/>
  <c r="X71" i="44" s="1"/>
  <c r="CH70" i="44"/>
  <c r="CH71" i="44" s="1"/>
  <c r="GD70" i="44"/>
  <c r="GD71" i="44" s="1"/>
  <c r="FR70" i="44"/>
  <c r="FR71" i="44" s="1"/>
  <c r="DS70" i="44"/>
  <c r="DS71" i="44" s="1"/>
  <c r="AI70" i="44"/>
  <c r="AI71" i="44" s="1"/>
  <c r="AL69" i="44"/>
  <c r="IO69" i="44"/>
  <c r="IN69" i="44"/>
  <c r="DN69" i="44"/>
  <c r="C69" i="44"/>
  <c r="I70" i="44"/>
  <c r="I71" i="44" s="1"/>
  <c r="U69" i="44"/>
  <c r="BC70" i="44"/>
  <c r="BC71" i="44" s="1"/>
  <c r="FC70" i="44"/>
  <c r="FC71" i="44" s="1"/>
  <c r="FB70" i="44"/>
  <c r="FB71" i="44" s="1"/>
  <c r="CS70" i="44"/>
  <c r="CS71" i="44" s="1"/>
  <c r="FK70" i="44"/>
  <c r="FK71" i="44" s="1"/>
  <c r="DE70" i="44"/>
  <c r="DE71" i="44" s="1"/>
  <c r="CE70" i="44"/>
  <c r="CE71" i="44" s="1"/>
  <c r="AX70" i="44"/>
  <c r="AX71" i="44" s="1"/>
  <c r="BU70" i="44"/>
  <c r="BU71" i="44" s="1"/>
  <c r="AO70" i="44"/>
  <c r="AO71" i="44" s="1"/>
  <c r="AC70" i="44"/>
  <c r="AC71" i="44" s="1"/>
  <c r="HY70" i="44"/>
  <c r="HY71" i="44" s="1"/>
  <c r="BG70" i="44"/>
  <c r="BG71" i="44" s="1"/>
  <c r="EF70" i="44"/>
  <c r="EF71" i="44" s="1"/>
  <c r="HW69" i="44"/>
  <c r="IC69" i="44"/>
  <c r="GO69" i="44"/>
  <c r="ED69" i="44"/>
  <c r="D69" i="44"/>
  <c r="D284" i="44" s="1"/>
  <c r="P70" i="44"/>
  <c r="P71" i="44" s="1"/>
  <c r="M70" i="44"/>
  <c r="M71" i="44" s="1"/>
  <c r="FL70" i="44"/>
  <c r="FL71" i="44" s="1"/>
  <c r="BK70" i="44"/>
  <c r="BK71" i="44" s="1"/>
  <c r="GI70" i="44"/>
  <c r="GI71" i="44" s="1"/>
  <c r="AG70" i="44"/>
  <c r="AG71" i="44" s="1"/>
  <c r="CY70" i="44"/>
  <c r="CY71" i="44" s="1"/>
  <c r="AP70" i="44"/>
  <c r="AP71" i="44" s="1"/>
  <c r="EL70" i="44"/>
  <c r="EL71" i="44" s="1"/>
  <c r="Y70" i="44"/>
  <c r="Y71" i="44" s="1"/>
  <c r="HI70" i="44"/>
  <c r="HI71" i="44" s="1"/>
  <c r="FE70" i="44"/>
  <c r="FE71" i="44" s="1"/>
  <c r="ES70" i="44"/>
  <c r="ES71" i="44" s="1"/>
  <c r="AW70" i="44"/>
  <c r="AW71" i="44" s="1"/>
  <c r="GB70" i="44"/>
  <c r="GB71" i="44" s="1"/>
  <c r="GM70" i="44"/>
  <c r="GM71" i="44" s="1"/>
  <c r="BA69" i="44"/>
  <c r="II69" i="44"/>
  <c r="Z69" i="44"/>
  <c r="IG69" i="44"/>
  <c r="E69" i="44"/>
  <c r="E284" i="44" s="1"/>
  <c r="O69" i="44"/>
  <c r="V69" i="44"/>
  <c r="FT70" i="44"/>
  <c r="FT71" i="44" s="1"/>
  <c r="HU70" i="44"/>
  <c r="HU71" i="44" s="1"/>
  <c r="DT70" i="44"/>
  <c r="DT71" i="44" s="1"/>
  <c r="FJ70" i="44"/>
  <c r="FJ71" i="44" s="1"/>
  <c r="HL70" i="44"/>
  <c r="HL71" i="44" s="1"/>
  <c r="ID70" i="44"/>
  <c r="ID71" i="44" s="1"/>
  <c r="IM70" i="44"/>
  <c r="IM71" i="44" s="1"/>
  <c r="DK70" i="44"/>
  <c r="DK71" i="44" s="1"/>
  <c r="IF70" i="44"/>
  <c r="IF71" i="44" s="1"/>
  <c r="W70" i="44"/>
  <c r="W71" i="44" s="1"/>
  <c r="ER70" i="44"/>
  <c r="ER71" i="44" s="1"/>
  <c r="FG70" i="44"/>
  <c r="FG71" i="44" s="1"/>
  <c r="HP70" i="44"/>
  <c r="HP71" i="44" s="1"/>
  <c r="DB70" i="44"/>
  <c r="DB71" i="44" s="1"/>
  <c r="EA69" i="44"/>
  <c r="EK69" i="44"/>
  <c r="IF69" i="44"/>
  <c r="AA69" i="44"/>
  <c r="D70" i="44"/>
  <c r="L70" i="44"/>
  <c r="L71" i="44" s="1"/>
  <c r="H69" i="44"/>
  <c r="IP70" i="44"/>
  <c r="IP71" i="44" s="1"/>
  <c r="AJ70" i="44"/>
  <c r="AJ71" i="44" s="1"/>
  <c r="FO70" i="44"/>
  <c r="FO71" i="44" s="1"/>
  <c r="GW70" i="44"/>
  <c r="GW71" i="44" s="1"/>
  <c r="DL70" i="44"/>
  <c r="DL71" i="44" s="1"/>
  <c r="AU70" i="44"/>
  <c r="AU71" i="44" s="1"/>
  <c r="CL70" i="44"/>
  <c r="CL71" i="44" s="1"/>
  <c r="DJ70" i="44"/>
  <c r="DJ71" i="44" s="1"/>
  <c r="EX70" i="44"/>
  <c r="EX71" i="44" s="1"/>
  <c r="AY70" i="44"/>
  <c r="AY71" i="44" s="1"/>
  <c r="EK70" i="44"/>
  <c r="EK71" i="44" s="1"/>
  <c r="GK70" i="44"/>
  <c r="GK71" i="44" s="1"/>
  <c r="EZ70" i="44"/>
  <c r="EZ71" i="44" s="1"/>
  <c r="AE70" i="44"/>
  <c r="AE71" i="44" s="1"/>
  <c r="GI69" i="44"/>
  <c r="FV69" i="44"/>
  <c r="GT69" i="44"/>
  <c r="CG69" i="44"/>
  <c r="E70" i="44"/>
  <c r="G69" i="44"/>
  <c r="IR70" i="44"/>
  <c r="IR71" i="44" s="1"/>
  <c r="IO70" i="44"/>
  <c r="IO71" i="44" s="1"/>
  <c r="AT70" i="44"/>
  <c r="AT71" i="44" s="1"/>
  <c r="DC70" i="44"/>
  <c r="DC71" i="44" s="1"/>
  <c r="EI70" i="44"/>
  <c r="EI71" i="44" s="1"/>
  <c r="HT70" i="44"/>
  <c r="HT71" i="44" s="1"/>
  <c r="EB70" i="44"/>
  <c r="EB71" i="44" s="1"/>
  <c r="CJ70" i="44"/>
  <c r="CJ71" i="44" s="1"/>
  <c r="IK70" i="44"/>
  <c r="IK71" i="44" s="1"/>
  <c r="CT70" i="44"/>
  <c r="CT71" i="44" s="1"/>
  <c r="IL70" i="44"/>
  <c r="IL71" i="44" s="1"/>
  <c r="CZ70" i="44"/>
  <c r="CZ71" i="44" s="1"/>
  <c r="FI70" i="44"/>
  <c r="FI71" i="44" s="1"/>
  <c r="AL70" i="44"/>
  <c r="AL71" i="44" s="1"/>
  <c r="CV70" i="44"/>
  <c r="CV71" i="44" s="1"/>
  <c r="FB69" i="44"/>
  <c r="FS69" i="44"/>
  <c r="AE69" i="44"/>
  <c r="FP69" i="44"/>
  <c r="F69" i="44"/>
  <c r="F284" i="44" s="1"/>
  <c r="Q69" i="44"/>
  <c r="R69" i="44"/>
  <c r="FM70" i="44"/>
  <c r="FM71" i="44" s="1"/>
  <c r="BN70" i="44"/>
  <c r="BN71" i="44" s="1"/>
  <c r="AQ70" i="44"/>
  <c r="AQ71" i="44" s="1"/>
  <c r="HR70" i="44"/>
  <c r="HR71" i="44" s="1"/>
  <c r="HN70" i="44"/>
  <c r="HN71" i="44" s="1"/>
  <c r="GG70" i="44"/>
  <c r="GG71" i="44" s="1"/>
  <c r="EM70" i="44"/>
  <c r="EM71" i="44" s="1"/>
  <c r="IG70" i="44"/>
  <c r="IG71" i="44" s="1"/>
  <c r="HA70" i="44"/>
  <c r="HA71" i="44" s="1"/>
  <c r="BZ70" i="44"/>
  <c r="BZ71" i="44" s="1"/>
  <c r="GQ70" i="44"/>
  <c r="GQ71" i="44" s="1"/>
  <c r="EV70" i="44"/>
  <c r="EV71" i="44" s="1"/>
  <c r="GC70" i="44"/>
  <c r="GC71" i="44" s="1"/>
  <c r="GF70" i="44"/>
  <c r="GF71" i="44" s="1"/>
  <c r="HE69" i="44"/>
  <c r="CZ69" i="44"/>
  <c r="DG69" i="44"/>
  <c r="J70" i="44"/>
  <c r="J71" i="44" s="1"/>
  <c r="T69" i="44"/>
  <c r="HQ70" i="44"/>
  <c r="HQ71" i="44" s="1"/>
  <c r="CO70" i="44"/>
  <c r="CO71" i="44" s="1"/>
  <c r="CD70" i="44"/>
  <c r="CD71" i="44" s="1"/>
  <c r="CB70" i="44"/>
  <c r="CB71" i="44" s="1"/>
  <c r="DR70" i="44"/>
  <c r="DR71" i="44" s="1"/>
  <c r="GX70" i="44"/>
  <c r="GX71" i="44" s="1"/>
  <c r="BY70" i="44"/>
  <c r="BY71" i="44" s="1"/>
  <c r="CN70" i="44"/>
  <c r="CN71" i="44" s="1"/>
  <c r="EU70" i="44"/>
  <c r="EU71" i="44" s="1"/>
  <c r="FZ70" i="44"/>
  <c r="FZ71" i="44" s="1"/>
  <c r="BS70" i="44"/>
  <c r="BS71" i="44" s="1"/>
  <c r="FS70" i="44"/>
  <c r="FS71" i="44" s="1"/>
  <c r="GL70" i="44"/>
  <c r="GL71" i="44" s="1"/>
  <c r="HB70" i="44"/>
  <c r="HB71" i="44" s="1"/>
  <c r="AN70" i="44"/>
  <c r="AN71" i="44" s="1"/>
  <c r="HU69" i="44"/>
  <c r="BC69" i="44"/>
  <c r="DI69" i="44"/>
  <c r="BJ69" i="44"/>
  <c r="U70" i="44"/>
  <c r="U71" i="44" s="1"/>
  <c r="P69" i="44"/>
  <c r="M69" i="44"/>
  <c r="CW70" i="44"/>
  <c r="CW71" i="44" s="1"/>
  <c r="HM70" i="44"/>
  <c r="HM71" i="44" s="1"/>
  <c r="IJ70" i="44"/>
  <c r="IJ71" i="44" s="1"/>
  <c r="GZ70" i="44"/>
  <c r="GZ71" i="44" s="1"/>
  <c r="DQ70" i="44"/>
  <c r="DQ71" i="44" s="1"/>
  <c r="GS70" i="44"/>
  <c r="GS71" i="44" s="1"/>
  <c r="EY70" i="44"/>
  <c r="EY71" i="44" s="1"/>
  <c r="HD70" i="44"/>
  <c r="HD71" i="44" s="1"/>
  <c r="IR69" i="44"/>
  <c r="HK70" i="44"/>
  <c r="HK71" i="44" s="1"/>
  <c r="CX70" i="44"/>
  <c r="CX71" i="44" s="1"/>
  <c r="DD70" i="44"/>
  <c r="DD71" i="44" s="1"/>
  <c r="DI70" i="44"/>
  <c r="DI71" i="44" s="1"/>
  <c r="Z70" i="44"/>
  <c r="Z71" i="44" s="1"/>
  <c r="DM69" i="44"/>
  <c r="FM69" i="44"/>
  <c r="FH69" i="44"/>
  <c r="EM69" i="44"/>
  <c r="T70" i="44"/>
  <c r="T71" i="44" s="1"/>
  <c r="J69" i="44"/>
  <c r="IE70" i="44"/>
  <c r="IE71" i="44" s="1"/>
  <c r="BT70" i="44"/>
  <c r="BT71" i="44" s="1"/>
  <c r="DU70" i="44"/>
  <c r="DU71" i="44" s="1"/>
  <c r="IB70" i="44"/>
  <c r="IB71" i="44" s="1"/>
  <c r="FW70" i="44"/>
  <c r="FW71" i="44" s="1"/>
  <c r="HZ70" i="44"/>
  <c r="HZ71" i="44" s="1"/>
  <c r="EO70" i="44"/>
  <c r="EO71" i="44" s="1"/>
  <c r="CM70" i="44"/>
  <c r="CM71" i="44" s="1"/>
  <c r="BI70" i="44"/>
  <c r="BI71" i="44" s="1"/>
  <c r="GN70" i="44"/>
  <c r="GN71" i="44" s="1"/>
  <c r="GU70" i="44"/>
  <c r="GU71" i="44" s="1"/>
  <c r="EG70" i="44"/>
  <c r="EG71" i="44" s="1"/>
  <c r="GV70" i="44"/>
  <c r="GV71" i="44" s="1"/>
  <c r="CR70" i="44"/>
  <c r="CR71" i="44" s="1"/>
  <c r="BJ70" i="44"/>
  <c r="BJ71" i="44" s="1"/>
  <c r="DZ69" i="44"/>
  <c r="GD69" i="44"/>
  <c r="EU69" i="44"/>
  <c r="CE69" i="44"/>
  <c r="G70" i="44"/>
  <c r="G71" i="44" s="1"/>
  <c r="V70" i="44"/>
  <c r="V71" i="44" s="1"/>
  <c r="HH70" i="44"/>
  <c r="HH71" i="44" s="1"/>
  <c r="BF70" i="44"/>
  <c r="BF71" i="44" s="1"/>
  <c r="DP70" i="44"/>
  <c r="DP71" i="44" s="1"/>
  <c r="EC70" i="44"/>
  <c r="EC71" i="44" s="1"/>
  <c r="BX70" i="44"/>
  <c r="BX71" i="44" s="1"/>
  <c r="BE70" i="44"/>
  <c r="BE71" i="44" s="1"/>
  <c r="DH70" i="44"/>
  <c r="DH71" i="44" s="1"/>
  <c r="AA70" i="44"/>
  <c r="AA71" i="44" s="1"/>
  <c r="IA70" i="44"/>
  <c r="IA71" i="44" s="1"/>
  <c r="HS70" i="44"/>
  <c r="HS71" i="44" s="1"/>
  <c r="EE70" i="44"/>
  <c r="EE71" i="44" s="1"/>
  <c r="IH70" i="44"/>
  <c r="IH71" i="44" s="1"/>
  <c r="AS70" i="44"/>
  <c r="AS71" i="44" s="1"/>
  <c r="BR70" i="44"/>
  <c r="BR71" i="44" s="1"/>
  <c r="C114" i="44"/>
  <c r="O70" i="44"/>
  <c r="O71" i="44" s="1"/>
  <c r="I69" i="44"/>
  <c r="GA70" i="44"/>
  <c r="GA71" i="44" s="1"/>
  <c r="AR70" i="44"/>
  <c r="AR71" i="44" s="1"/>
  <c r="HE70" i="44"/>
  <c r="HE71" i="44" s="1"/>
  <c r="HF70" i="44"/>
  <c r="HF71" i="44" s="1"/>
  <c r="GJ70" i="44"/>
  <c r="GJ71" i="44" s="1"/>
  <c r="CU70" i="44"/>
  <c r="CU71" i="44" s="1"/>
  <c r="BQ70" i="44"/>
  <c r="BQ71" i="44" s="1"/>
  <c r="EJ70" i="44"/>
  <c r="EJ71" i="44" s="1"/>
  <c r="FH70" i="44"/>
  <c r="FH71" i="44" s="1"/>
  <c r="BH70" i="44"/>
  <c r="BH71" i="44" s="1"/>
  <c r="ED70" i="44"/>
  <c r="ED71" i="44" s="1"/>
  <c r="DN70" i="44"/>
  <c r="DN71" i="44" s="1"/>
  <c r="GE70" i="44"/>
  <c r="GE71" i="44" s="1"/>
  <c r="GY70" i="44"/>
  <c r="GY71" i="44" s="1"/>
  <c r="GC69" i="44"/>
  <c r="EQ69" i="44"/>
  <c r="FE69" i="44"/>
  <c r="GV69" i="44"/>
  <c r="HZ69" i="44"/>
  <c r="N70" i="44"/>
  <c r="N71" i="44" s="1"/>
  <c r="N69" i="44"/>
  <c r="CK70" i="44"/>
  <c r="CK71" i="44" s="1"/>
  <c r="AV70" i="44"/>
  <c r="AV71" i="44" s="1"/>
  <c r="DM70" i="44"/>
  <c r="DM71" i="44" s="1"/>
  <c r="BM70" i="44"/>
  <c r="BM71" i="44" s="1"/>
  <c r="FF70" i="44"/>
  <c r="FF71" i="44" s="1"/>
  <c r="EH70" i="44"/>
  <c r="EH71" i="44" s="1"/>
  <c r="HV70" i="44"/>
  <c r="HV71" i="44" s="1"/>
  <c r="FX70" i="44"/>
  <c r="FX71" i="44" s="1"/>
  <c r="CI70" i="44"/>
  <c r="CI71" i="44" s="1"/>
  <c r="FY70" i="44"/>
  <c r="FY71" i="44" s="1"/>
  <c r="HX70" i="44"/>
  <c r="HX71" i="44" s="1"/>
  <c r="CA70" i="44"/>
  <c r="CA71" i="44" s="1"/>
  <c r="CC70" i="44"/>
  <c r="CC71" i="44" s="1"/>
  <c r="DA70" i="44"/>
  <c r="DA71" i="44" s="1"/>
  <c r="HC70" i="44"/>
  <c r="HC71" i="44" s="1"/>
  <c r="GS69" i="44"/>
  <c r="EE69" i="44"/>
  <c r="GB69" i="44"/>
  <c r="DE69" i="44"/>
  <c r="K70" i="44"/>
  <c r="K71" i="44" s="1"/>
  <c r="R70" i="44"/>
  <c r="R71" i="44" s="1"/>
  <c r="DY70" i="44"/>
  <c r="DY71" i="44" s="1"/>
  <c r="BO70" i="44"/>
  <c r="BO71" i="44" s="1"/>
  <c r="BL70" i="44"/>
  <c r="BL71" i="44" s="1"/>
  <c r="HJ70" i="44"/>
  <c r="HJ71" i="44" s="1"/>
  <c r="EN70" i="44"/>
  <c r="EN71" i="44" s="1"/>
  <c r="AK70" i="44"/>
  <c r="AK71" i="44" s="1"/>
  <c r="FV70" i="44"/>
  <c r="FV71" i="44" s="1"/>
  <c r="GP70" i="44"/>
  <c r="GP71" i="44" s="1"/>
  <c r="BV70" i="44"/>
  <c r="BV71" i="44" s="1"/>
  <c r="CQ70" i="44"/>
  <c r="CQ71" i="44" s="1"/>
  <c r="AZ70" i="44"/>
  <c r="AZ71" i="44" s="1"/>
  <c r="FU70" i="44"/>
  <c r="FU71" i="44" s="1"/>
  <c r="HW70" i="44"/>
  <c r="HW71" i="44" s="1"/>
  <c r="BD70" i="44"/>
  <c r="BD71" i="44" s="1"/>
  <c r="IN70" i="44"/>
  <c r="IN71" i="44" s="1"/>
  <c r="BK69" i="44"/>
  <c r="HK69" i="44"/>
  <c r="BG69" i="44"/>
  <c r="ET69" i="44"/>
  <c r="H70" i="44"/>
  <c r="H71" i="44" s="1"/>
  <c r="S69" i="44"/>
  <c r="II70" i="44"/>
  <c r="II71" i="44" s="1"/>
  <c r="EQ70" i="44"/>
  <c r="EQ71" i="44" s="1"/>
  <c r="EA70" i="44"/>
  <c r="EA71" i="44" s="1"/>
  <c r="BA70" i="44"/>
  <c r="BA71" i="44" s="1"/>
  <c r="EP70" i="44"/>
  <c r="EP71" i="44" s="1"/>
  <c r="AD70" i="44"/>
  <c r="AD71" i="44" s="1"/>
  <c r="AH70" i="44"/>
  <c r="AH71" i="44" s="1"/>
  <c r="FP70" i="44"/>
  <c r="FP71" i="44" s="1"/>
  <c r="CF70" i="44"/>
  <c r="CF71" i="44" s="1"/>
  <c r="BW70" i="44"/>
  <c r="BW71" i="44" s="1"/>
  <c r="BB70" i="44"/>
  <c r="BB71" i="44" s="1"/>
  <c r="BP70" i="44"/>
  <c r="BP71" i="44" s="1"/>
  <c r="IQ70" i="44"/>
  <c r="IQ71" i="44" s="1"/>
  <c r="GH70" i="44"/>
  <c r="GH71" i="44" s="1"/>
  <c r="DX70" i="44"/>
  <c r="DX71" i="44" s="1"/>
  <c r="DH69" i="44"/>
  <c r="DK69" i="44"/>
  <c r="EH69" i="44"/>
  <c r="CL69" i="44"/>
  <c r="HL69" i="44"/>
  <c r="HQ69" i="44"/>
  <c r="GY69" i="44"/>
  <c r="IM69" i="44"/>
  <c r="CF69" i="44"/>
  <c r="FI69" i="44"/>
  <c r="HD69" i="44"/>
  <c r="FW69" i="44"/>
  <c r="IA69" i="44"/>
  <c r="HP69" i="44"/>
  <c r="EN69" i="44"/>
  <c r="DO69" i="44"/>
  <c r="AO69" i="44"/>
  <c r="CM69" i="44"/>
  <c r="EO69" i="44"/>
  <c r="GZ69" i="44"/>
  <c r="IB69" i="44"/>
  <c r="GU69" i="44"/>
  <c r="BZ69" i="44"/>
  <c r="BL69" i="44"/>
  <c r="HJ69" i="44"/>
  <c r="BS69" i="44"/>
  <c r="HG69" i="44"/>
  <c r="IH69" i="44"/>
  <c r="AI69" i="44"/>
  <c r="CK69" i="44"/>
  <c r="CY69" i="44"/>
  <c r="CR69" i="44"/>
  <c r="EZ69" i="44"/>
  <c r="DT69" i="44"/>
  <c r="FD69" i="44"/>
  <c r="HV69" i="44"/>
  <c r="DA69" i="44"/>
  <c r="AV69" i="44"/>
  <c r="IQ69" i="44"/>
  <c r="AB69" i="44"/>
  <c r="BO69" i="44"/>
  <c r="FQ69" i="44"/>
  <c r="CQ69" i="44"/>
  <c r="AP69" i="44"/>
  <c r="FF69" i="44"/>
  <c r="GR69" i="44"/>
  <c r="BM69" i="44"/>
  <c r="CN69" i="44"/>
  <c r="AD69" i="44"/>
  <c r="DL69" i="44"/>
  <c r="AF69" i="44"/>
  <c r="BN69" i="44"/>
  <c r="BF69" i="44"/>
  <c r="EI69" i="44"/>
  <c r="DC69" i="44"/>
  <c r="BV69" i="44"/>
  <c r="IE69" i="44"/>
  <c r="CJ69" i="44"/>
  <c r="FN69" i="44"/>
  <c r="CP69" i="44"/>
  <c r="BY69" i="44"/>
  <c r="GP69" i="44"/>
  <c r="GA69" i="44"/>
  <c r="HN69" i="44"/>
  <c r="GE69" i="44"/>
  <c r="FC69" i="44"/>
  <c r="AS69" i="44"/>
  <c r="EL69" i="44"/>
  <c r="FT69" i="44"/>
  <c r="AR69" i="44"/>
  <c r="AC69" i="44"/>
  <c r="GH69" i="44"/>
  <c r="AM69" i="44"/>
  <c r="BX69" i="44"/>
  <c r="HX69" i="44"/>
  <c r="IK69" i="44"/>
  <c r="DU69" i="44"/>
  <c r="HT69" i="44"/>
  <c r="ES69" i="44"/>
  <c r="IJ69" i="44"/>
  <c r="HC69" i="44"/>
  <c r="CB69" i="44"/>
  <c r="HM69" i="44"/>
  <c r="BE69" i="44"/>
  <c r="HI69" i="44"/>
  <c r="FA69" i="44"/>
  <c r="EV69" i="44"/>
  <c r="FU69" i="44"/>
  <c r="EP69" i="44"/>
  <c r="GG69" i="44"/>
  <c r="GW69" i="44"/>
  <c r="CO69" i="44"/>
  <c r="BW69" i="44"/>
  <c r="DX69" i="44"/>
  <c r="GM69" i="44"/>
  <c r="EB69" i="44"/>
  <c r="FJ69" i="44"/>
  <c r="AQ69" i="44"/>
  <c r="FG69" i="44"/>
  <c r="W69" i="44"/>
  <c r="CW69" i="44"/>
  <c r="GQ69" i="44"/>
  <c r="FX69" i="44"/>
  <c r="HS69" i="44"/>
  <c r="CU69" i="44"/>
  <c r="FZ69" i="44"/>
  <c r="X69" i="44"/>
  <c r="BR69" i="44"/>
  <c r="BI69" i="44"/>
  <c r="AH69" i="44"/>
  <c r="FL69" i="44"/>
  <c r="EF69" i="44"/>
  <c r="EX69" i="44"/>
  <c r="DF69" i="44"/>
  <c r="AZ69" i="44"/>
  <c r="HR69" i="44"/>
  <c r="AK69" i="44"/>
  <c r="CS69" i="44"/>
  <c r="FO69" i="44"/>
  <c r="FY69" i="44"/>
  <c r="FR69" i="44"/>
  <c r="HH69" i="44"/>
  <c r="CD69" i="44"/>
  <c r="DD69" i="44"/>
  <c r="GL69" i="44"/>
  <c r="AW69" i="44"/>
  <c r="DJ69" i="44"/>
  <c r="CC69" i="44"/>
  <c r="EJ69" i="44"/>
  <c r="BU69" i="44"/>
  <c r="BB69" i="44"/>
  <c r="BH69" i="44"/>
  <c r="CX69" i="44"/>
  <c r="EY69" i="44"/>
  <c r="GX69" i="44"/>
  <c r="GN69" i="44"/>
  <c r="AX69" i="44"/>
  <c r="HY69" i="44"/>
  <c r="BT69" i="44"/>
  <c r="ER69" i="44"/>
  <c r="AN69" i="44"/>
  <c r="DS69" i="44"/>
  <c r="DY69" i="44"/>
  <c r="DR69" i="44"/>
  <c r="DQ69" i="44"/>
  <c r="CI69" i="44"/>
  <c r="DP69" i="44"/>
  <c r="AG69" i="44"/>
  <c r="CA69" i="44"/>
  <c r="EW69" i="44"/>
  <c r="AU69" i="44"/>
  <c r="CV69" i="44"/>
  <c r="ID69" i="44"/>
  <c r="AY69" i="44"/>
  <c r="AT69" i="44"/>
  <c r="DV69" i="44"/>
  <c r="DW69" i="44"/>
  <c r="GO70" i="44"/>
  <c r="GO71" i="44" s="1"/>
  <c r="IL69" i="44"/>
  <c r="FK69" i="44"/>
  <c r="AJ69" i="44"/>
  <c r="Y69" i="44"/>
  <c r="HF69" i="44"/>
  <c r="BQ69" i="44"/>
  <c r="CH69" i="44"/>
  <c r="CT69" i="44"/>
  <c r="HA69" i="44"/>
  <c r="BP69" i="44"/>
  <c r="GK69" i="44"/>
  <c r="EC69" i="44"/>
  <c r="IP69" i="44"/>
  <c r="EG69" i="44"/>
  <c r="GJ69" i="44"/>
  <c r="DB69" i="44"/>
  <c r="H286" i="44"/>
  <c r="G286" i="44"/>
  <c r="H284" i="44"/>
  <c r="G284" i="44"/>
  <c r="E71" i="44" l="1"/>
  <c r="E286" i="44" s="1"/>
  <c r="E285" i="44"/>
  <c r="C284" i="44"/>
  <c r="I27" i="44"/>
  <c r="I29" i="44" s="1"/>
  <c r="W27" i="44"/>
  <c r="W29" i="44" s="1"/>
  <c r="D71" i="44"/>
  <c r="D286" i="44" s="1"/>
  <c r="D285" i="44"/>
  <c r="C71" i="44"/>
  <c r="C285" i="44"/>
  <c r="F285" i="44"/>
  <c r="F71" i="44"/>
  <c r="F286" i="44" s="1"/>
  <c r="V22" i="44" l="1"/>
  <c r="M135" i="44" s="1"/>
  <c r="W13" i="44"/>
  <c r="W16" i="44" s="1"/>
  <c r="I13" i="44" s="1"/>
  <c r="C27" i="44"/>
  <c r="C29" i="44" s="1"/>
  <c r="C286" i="44"/>
  <c r="I14" i="44" l="1"/>
  <c r="I16" i="44" s="1"/>
  <c r="O133" i="44"/>
  <c r="N135" i="44"/>
  <c r="E135" i="44" s="1"/>
  <c r="N133" i="44" l="1"/>
  <c r="N134" i="44"/>
  <c r="E134" i="44" s="1"/>
  <c r="G135" i="44"/>
  <c r="I135" i="44"/>
  <c r="H135" i="44"/>
  <c r="G134" i="44" l="1"/>
  <c r="I134" i="44"/>
  <c r="H134" i="44"/>
  <c r="D133" i="44"/>
  <c r="F145" i="44"/>
  <c r="C134" i="44" l="1"/>
  <c r="C135" i="44" s="1"/>
  <c r="D136" i="44" s="1"/>
  <c r="F137" i="44" s="1"/>
  <c r="L136" i="44" l="1"/>
  <c r="K136" i="44"/>
  <c r="C137" i="44"/>
  <c r="J137" i="44"/>
</calcChain>
</file>

<file path=xl/comments1.xml><?xml version="1.0" encoding="utf-8"?>
<comments xmlns="http://schemas.openxmlformats.org/spreadsheetml/2006/main">
  <authors>
    <author>duol</author>
    <author>solejay</author>
  </authors>
  <commentList>
    <comment ref="A10" authorId="0">
      <text>
        <r>
          <rPr>
            <b/>
            <sz val="8"/>
            <color indexed="81"/>
            <rFont val="Tahoma"/>
            <family val="2"/>
          </rPr>
          <t xml:space="preserve">Other, D&amp;A, Miscellaneous Costs
</t>
        </r>
        <r>
          <rPr>
            <sz val="8"/>
            <color indexed="81"/>
            <rFont val="Tahoma"/>
            <family val="2"/>
          </rPr>
          <t xml:space="preserve">
</t>
        </r>
      </text>
    </comment>
    <comment ref="H49" authorId="1">
      <text>
        <r>
          <rPr>
            <b/>
            <sz val="8"/>
            <color indexed="81"/>
            <rFont val="Tahoma"/>
            <family val="2"/>
          </rPr>
          <t>solejay:</t>
        </r>
        <r>
          <rPr>
            <sz val="8"/>
            <color indexed="81"/>
            <rFont val="Tahoma"/>
            <family val="2"/>
          </rPr>
          <t xml:space="preserve">
=((C15*D29)-C17)/C22</t>
        </r>
      </text>
    </comment>
  </commentList>
</comments>
</file>

<file path=xl/comments2.xml><?xml version="1.0" encoding="utf-8"?>
<comments xmlns="http://schemas.openxmlformats.org/spreadsheetml/2006/main">
  <authors>
    <author>duol</author>
    <author>Duol</author>
    <author>solejay</author>
    <author>granaosc</author>
    <author>balskyh</author>
  </authors>
  <commentList>
    <comment ref="O5" authorId="0">
      <text>
        <r>
          <rPr>
            <b/>
            <sz val="8"/>
            <color indexed="81"/>
            <rFont val="Tahoma"/>
            <family val="2"/>
          </rPr>
          <t>From S1</t>
        </r>
        <r>
          <rPr>
            <sz val="8"/>
            <color indexed="81"/>
            <rFont val="Tahoma"/>
            <family val="2"/>
          </rPr>
          <t xml:space="preserve">
</t>
        </r>
      </text>
    </comment>
    <comment ref="P5" authorId="1">
      <text>
        <r>
          <rPr>
            <b/>
            <sz val="8"/>
            <color indexed="81"/>
            <rFont val="Tahoma"/>
            <family val="2"/>
          </rPr>
          <t>On a 52 week basis.
Excludes the 53rd week</t>
        </r>
        <r>
          <rPr>
            <sz val="8"/>
            <color indexed="81"/>
            <rFont val="Tahoma"/>
            <family val="2"/>
          </rPr>
          <t xml:space="preserve">
</t>
        </r>
      </text>
    </comment>
    <comment ref="A8" authorId="1">
      <text>
        <r>
          <rPr>
            <b/>
            <sz val="8"/>
            <color indexed="81"/>
            <rFont val="Tahoma"/>
            <family val="2"/>
          </rPr>
          <t>Total Sales (incl. Other Rev)</t>
        </r>
      </text>
    </comment>
    <comment ref="P8" authorId="1">
      <text>
        <r>
          <rPr>
            <b/>
            <sz val="8"/>
            <color indexed="81"/>
            <rFont val="Tahoma"/>
            <family val="2"/>
          </rPr>
          <t xml:space="preserve">
53rd week added ~$54M</t>
        </r>
        <r>
          <rPr>
            <sz val="8"/>
            <color indexed="81"/>
            <rFont val="Tahoma"/>
            <family val="2"/>
          </rPr>
          <t xml:space="preserve">
</t>
        </r>
      </text>
    </comment>
    <comment ref="P11" authorId="1">
      <text>
        <r>
          <rPr>
            <b/>
            <sz val="8"/>
            <color indexed="81"/>
            <rFont val="Tahoma"/>
            <family val="2"/>
          </rPr>
          <t xml:space="preserve">53rd week added +$32M </t>
        </r>
        <r>
          <rPr>
            <sz val="8"/>
            <color indexed="81"/>
            <rFont val="Tahoma"/>
            <family val="2"/>
          </rPr>
          <t xml:space="preserve">
</t>
        </r>
      </text>
    </comment>
    <comment ref="Q12" authorId="2">
      <text>
        <r>
          <rPr>
            <b/>
            <sz val="8"/>
            <color indexed="81"/>
            <rFont val="Tahoma"/>
            <family val="2"/>
          </rPr>
          <t>solejay:</t>
        </r>
        <r>
          <rPr>
            <sz val="8"/>
            <color indexed="81"/>
            <rFont val="Tahoma"/>
            <family val="2"/>
          </rPr>
          <t xml:space="preserve">
remove 12 bps to account for the reversal of the 53rd week</t>
        </r>
      </text>
    </comment>
    <comment ref="R12" authorId="2">
      <text>
        <r>
          <rPr>
            <b/>
            <sz val="8"/>
            <color indexed="81"/>
            <rFont val="Tahoma"/>
            <family val="2"/>
          </rPr>
          <t>solejay:</t>
        </r>
        <r>
          <rPr>
            <sz val="8"/>
            <color indexed="81"/>
            <rFont val="Tahoma"/>
            <family val="2"/>
          </rPr>
          <t xml:space="preserve">
remove 12 bps to account for the reversal of the 53rd week</t>
        </r>
      </text>
    </comment>
    <comment ref="S12" authorId="2">
      <text>
        <r>
          <rPr>
            <b/>
            <sz val="8"/>
            <color indexed="81"/>
            <rFont val="Tahoma"/>
            <family val="2"/>
          </rPr>
          <t>solejay:</t>
        </r>
        <r>
          <rPr>
            <sz val="8"/>
            <color indexed="81"/>
            <rFont val="Tahoma"/>
            <family val="2"/>
          </rPr>
          <t xml:space="preserve">
remove 12 bps to account for the reversal of the 53rd week</t>
        </r>
      </text>
    </comment>
    <comment ref="T12" authorId="3">
      <text>
        <r>
          <rPr>
            <b/>
            <sz val="8"/>
            <color indexed="81"/>
            <rFont val="Tahoma"/>
            <family val="2"/>
          </rPr>
          <t>granaosc:</t>
        </r>
        <r>
          <rPr>
            <sz val="8"/>
            <color indexed="81"/>
            <rFont val="Tahoma"/>
            <family val="2"/>
          </rPr>
          <t xml:space="preserve">
8/12/13: Expected GM: 39.8%</t>
        </r>
      </text>
    </comment>
    <comment ref="U12" authorId="3">
      <text>
        <r>
          <rPr>
            <b/>
            <sz val="8"/>
            <color indexed="81"/>
            <rFont val="Tahoma"/>
            <family val="2"/>
          </rPr>
          <t>granaosc:</t>
        </r>
        <r>
          <rPr>
            <sz val="8"/>
            <color indexed="81"/>
            <rFont val="Tahoma"/>
            <family val="2"/>
          </rPr>
          <t xml:space="preserve">
8/12/13: Expected GM: 39.9%</t>
        </r>
      </text>
    </comment>
    <comment ref="V12" authorId="3">
      <text>
        <r>
          <rPr>
            <b/>
            <sz val="8"/>
            <color indexed="81"/>
            <rFont val="Tahoma"/>
            <family val="2"/>
          </rPr>
          <t>granaosc:</t>
        </r>
        <r>
          <rPr>
            <sz val="8"/>
            <color indexed="81"/>
            <rFont val="Tahoma"/>
            <family val="2"/>
          </rPr>
          <t xml:space="preserve">
8/12/13: Expected GM: 39.9%</t>
        </r>
      </text>
    </comment>
    <comment ref="O14" authorId="0">
      <text>
        <r>
          <rPr>
            <b/>
            <sz val="8"/>
            <color indexed="81"/>
            <rFont val="Tahoma"/>
            <family val="2"/>
          </rPr>
          <t>-Advisory Fee 4.291
+Restructuring 2.999</t>
        </r>
        <r>
          <rPr>
            <sz val="8"/>
            <color indexed="81"/>
            <rFont val="Tahoma"/>
            <family val="2"/>
          </rPr>
          <t xml:space="preserve">
</t>
        </r>
      </text>
    </comment>
    <comment ref="P14" authorId="1">
      <text>
        <r>
          <rPr>
            <b/>
            <sz val="8"/>
            <color indexed="81"/>
            <rFont val="Tahoma"/>
            <family val="2"/>
          </rPr>
          <t>53rd week added +~27M</t>
        </r>
        <r>
          <rPr>
            <sz val="8"/>
            <color indexed="81"/>
            <rFont val="Tahoma"/>
            <family val="2"/>
          </rPr>
          <t xml:space="preserve">
</t>
        </r>
      </text>
    </comment>
    <comment ref="Q14" authorId="3">
      <text>
        <r>
          <rPr>
            <b/>
            <sz val="8"/>
            <color indexed="81"/>
            <rFont val="Tahoma"/>
            <family val="2"/>
          </rPr>
          <t>granaosc:</t>
        </r>
        <r>
          <rPr>
            <sz val="8"/>
            <color indexed="81"/>
            <rFont val="Tahoma"/>
            <family val="2"/>
          </rPr>
          <t xml:space="preserve">
12/8/13 SG&amp;A: $1402.7M</t>
        </r>
      </text>
    </comment>
    <comment ref="R14" authorId="3">
      <text>
        <r>
          <rPr>
            <b/>
            <sz val="8"/>
            <color indexed="81"/>
            <rFont val="Tahoma"/>
            <family val="2"/>
          </rPr>
          <t>granaosc:</t>
        </r>
        <r>
          <rPr>
            <sz val="8"/>
            <color indexed="81"/>
            <rFont val="Tahoma"/>
            <family val="2"/>
          </rPr>
          <t xml:space="preserve">
12/8/13 SG&amp;A: $1402.7M</t>
        </r>
      </text>
    </comment>
    <comment ref="S14" authorId="3">
      <text>
        <r>
          <rPr>
            <b/>
            <sz val="8"/>
            <color indexed="81"/>
            <rFont val="Tahoma"/>
            <family val="2"/>
          </rPr>
          <t>granaosc:</t>
        </r>
        <r>
          <rPr>
            <sz val="8"/>
            <color indexed="81"/>
            <rFont val="Tahoma"/>
            <family val="2"/>
          </rPr>
          <t xml:space="preserve">
12/8/13 SG&amp;A: $1402.7M</t>
        </r>
      </text>
    </comment>
    <comment ref="T14" authorId="3">
      <text>
        <r>
          <rPr>
            <b/>
            <sz val="8"/>
            <color indexed="81"/>
            <rFont val="Tahoma"/>
            <family val="2"/>
          </rPr>
          <t>granaosc:</t>
        </r>
        <r>
          <rPr>
            <sz val="8"/>
            <color indexed="81"/>
            <rFont val="Tahoma"/>
            <family val="2"/>
          </rPr>
          <t xml:space="preserve">
12/8/13 SG&amp;A: $1669.0M</t>
        </r>
      </text>
    </comment>
    <comment ref="U14" authorId="3">
      <text>
        <r>
          <rPr>
            <b/>
            <sz val="8"/>
            <color indexed="81"/>
            <rFont val="Tahoma"/>
            <family val="2"/>
          </rPr>
          <t>granaosc:</t>
        </r>
        <r>
          <rPr>
            <sz val="8"/>
            <color indexed="81"/>
            <rFont val="Tahoma"/>
            <family val="2"/>
          </rPr>
          <t xml:space="preserve">
12/8/13 SG&amp;A: $1767.0M</t>
        </r>
      </text>
    </comment>
    <comment ref="Q15" authorId="2">
      <text>
        <r>
          <rPr>
            <b/>
            <sz val="8"/>
            <color indexed="81"/>
            <rFont val="Tahoma"/>
            <family val="2"/>
          </rPr>
          <t>solejay:</t>
        </r>
        <r>
          <rPr>
            <sz val="8"/>
            <color indexed="81"/>
            <rFont val="Tahoma"/>
            <family val="2"/>
          </rPr>
          <t xml:space="preserve">
add 12 bps to account for the reversal of the 53rd week</t>
        </r>
      </text>
    </comment>
    <comment ref="R15" authorId="2">
      <text>
        <r>
          <rPr>
            <b/>
            <sz val="8"/>
            <color indexed="81"/>
            <rFont val="Tahoma"/>
            <family val="2"/>
          </rPr>
          <t>solejay:</t>
        </r>
        <r>
          <rPr>
            <sz val="8"/>
            <color indexed="81"/>
            <rFont val="Tahoma"/>
            <family val="2"/>
          </rPr>
          <t xml:space="preserve">
add 12 bps to account for the reversal of the 53rd week</t>
        </r>
      </text>
    </comment>
    <comment ref="S15" authorId="2">
      <text>
        <r>
          <rPr>
            <b/>
            <sz val="8"/>
            <color indexed="81"/>
            <rFont val="Tahoma"/>
            <family val="2"/>
          </rPr>
          <t>solejay:</t>
        </r>
        <r>
          <rPr>
            <sz val="8"/>
            <color indexed="81"/>
            <rFont val="Tahoma"/>
            <family val="2"/>
          </rPr>
          <t xml:space="preserve">
add 12 bps to account for the reversal of the 53rd week</t>
        </r>
      </text>
    </comment>
    <comment ref="U15" authorId="3">
      <text>
        <r>
          <rPr>
            <b/>
            <sz val="8"/>
            <color indexed="81"/>
            <rFont val="Tahoma"/>
            <family val="2"/>
          </rPr>
          <t xml:space="preserve">09/10/13: </t>
        </r>
        <r>
          <rPr>
            <sz val="8"/>
            <color indexed="81"/>
            <rFont val="Tahoma"/>
            <family val="2"/>
          </rPr>
          <t>Expects additional "Stock Compensation Expense" of 1.5M</t>
        </r>
        <r>
          <rPr>
            <b/>
            <sz val="8"/>
            <color indexed="81"/>
            <rFont val="Tahoma"/>
            <family val="2"/>
          </rPr>
          <t xml:space="preserve">
granaosc:</t>
        </r>
        <r>
          <rPr>
            <sz val="8"/>
            <color indexed="81"/>
            <rFont val="Tahoma"/>
            <family val="2"/>
          </rPr>
          <t xml:space="preserve">
8/12/13: SG&amp;A rate 31.3%</t>
        </r>
      </text>
    </comment>
    <comment ref="Q20" authorId="3">
      <text>
        <r>
          <rPr>
            <b/>
            <sz val="8"/>
            <color indexed="81"/>
            <rFont val="Tahoma"/>
            <family val="2"/>
          </rPr>
          <t>granaosc:</t>
        </r>
        <r>
          <rPr>
            <sz val="8"/>
            <color indexed="81"/>
            <rFont val="Tahoma"/>
            <family val="2"/>
          </rPr>
          <t xml:space="preserve">
8/12/13: Expected other revenue (expense): $43.8M</t>
        </r>
      </text>
    </comment>
    <comment ref="R20" authorId="3">
      <text>
        <r>
          <rPr>
            <b/>
            <sz val="8"/>
            <color indexed="81"/>
            <rFont val="Tahoma"/>
            <family val="2"/>
          </rPr>
          <t>granaosc:</t>
        </r>
        <r>
          <rPr>
            <sz val="8"/>
            <color indexed="81"/>
            <rFont val="Tahoma"/>
            <family val="2"/>
          </rPr>
          <t xml:space="preserve">
8/12/13: Expected other revenue (expense): $43.8M</t>
        </r>
      </text>
    </comment>
    <comment ref="S20" authorId="3">
      <text>
        <r>
          <rPr>
            <b/>
            <sz val="8"/>
            <color indexed="81"/>
            <rFont val="Tahoma"/>
            <family val="2"/>
          </rPr>
          <t>granaosc:</t>
        </r>
        <r>
          <rPr>
            <sz val="8"/>
            <color indexed="81"/>
            <rFont val="Tahoma"/>
            <family val="2"/>
          </rPr>
          <t xml:space="preserve">
8/12/13: Expected other revenue (expense): $43.8M</t>
        </r>
      </text>
    </comment>
    <comment ref="T20" authorId="3">
      <text>
        <r>
          <rPr>
            <b/>
            <sz val="8"/>
            <color indexed="81"/>
            <rFont val="Tahoma"/>
            <family val="2"/>
          </rPr>
          <t>granaosc:</t>
        </r>
        <r>
          <rPr>
            <sz val="8"/>
            <color indexed="81"/>
            <rFont val="Tahoma"/>
            <family val="2"/>
          </rPr>
          <t xml:space="preserve">
8/12/13: Expected other revenue (expense): $50.8M</t>
        </r>
      </text>
    </comment>
    <comment ref="U20" authorId="3">
      <text>
        <r>
          <rPr>
            <b/>
            <sz val="8"/>
            <color indexed="81"/>
            <rFont val="Tahoma"/>
            <family val="2"/>
          </rPr>
          <t>granaosc:</t>
        </r>
        <r>
          <rPr>
            <sz val="8"/>
            <color indexed="81"/>
            <rFont val="Tahoma"/>
            <family val="2"/>
          </rPr>
          <t xml:space="preserve">
8/12/13: Expected other revenue (expense): $53.8M</t>
        </r>
      </text>
    </comment>
    <comment ref="V20" authorId="3">
      <text>
        <r>
          <rPr>
            <b/>
            <sz val="8"/>
            <color indexed="81"/>
            <rFont val="Tahoma"/>
            <family val="2"/>
          </rPr>
          <t>granaosc:</t>
        </r>
        <r>
          <rPr>
            <sz val="8"/>
            <color indexed="81"/>
            <rFont val="Tahoma"/>
            <family val="2"/>
          </rPr>
          <t xml:space="preserve">
8/12/13: Expected other revenue (expense): $53.8M</t>
        </r>
      </text>
    </comment>
    <comment ref="Q26" authorId="3">
      <text>
        <r>
          <rPr>
            <b/>
            <sz val="8"/>
            <color indexed="81"/>
            <rFont val="Tahoma"/>
            <family val="2"/>
          </rPr>
          <t>granaosc:</t>
        </r>
        <r>
          <rPr>
            <sz val="8"/>
            <color indexed="81"/>
            <rFont val="Tahoma"/>
            <family val="2"/>
          </rPr>
          <t xml:space="preserve">
12/8/13 Depreciation and amortization incll. favorable lease amortization: $165.89M</t>
        </r>
      </text>
    </comment>
    <comment ref="R26" authorId="3">
      <text>
        <r>
          <rPr>
            <b/>
            <sz val="8"/>
            <color indexed="81"/>
            <rFont val="Tahoma"/>
            <family val="2"/>
          </rPr>
          <t>granaosc:</t>
        </r>
        <r>
          <rPr>
            <sz val="8"/>
            <color indexed="81"/>
            <rFont val="Tahoma"/>
            <family val="2"/>
          </rPr>
          <t xml:space="preserve">
12/8/13 Depreciation and amortization incll. favorable lease amortization: $165.89M</t>
        </r>
      </text>
    </comment>
    <comment ref="T26" authorId="0">
      <text>
        <r>
          <rPr>
            <b/>
            <sz val="8"/>
            <color indexed="81"/>
            <rFont val="Tahoma"/>
            <family val="2"/>
          </rPr>
          <t>GAAP D&amp;A: 173.1</t>
        </r>
        <r>
          <rPr>
            <sz val="8"/>
            <color indexed="81"/>
            <rFont val="Tahoma"/>
            <family val="2"/>
          </rPr>
          <t xml:space="preserve">
</t>
        </r>
      </text>
    </comment>
    <comment ref="U26" authorId="0">
      <text>
        <r>
          <rPr>
            <b/>
            <sz val="8"/>
            <color indexed="81"/>
            <rFont val="Tahoma"/>
            <family val="2"/>
          </rPr>
          <t>GAAP D&amp;A: 177.3</t>
        </r>
        <r>
          <rPr>
            <sz val="8"/>
            <color indexed="81"/>
            <rFont val="Tahoma"/>
            <family val="2"/>
          </rPr>
          <t xml:space="preserve">
</t>
        </r>
      </text>
    </comment>
    <comment ref="T27" authorId="3">
      <text>
        <r>
          <rPr>
            <b/>
            <sz val="8"/>
            <color indexed="81"/>
            <rFont val="Tahoma"/>
            <family val="2"/>
          </rPr>
          <t>-$24.5M Favorable Lease Amortization
granaosc:</t>
        </r>
        <r>
          <rPr>
            <sz val="8"/>
            <color indexed="81"/>
            <rFont val="Tahoma"/>
            <family val="2"/>
          </rPr>
          <t xml:space="preserve">
8/12/13 Implied depreciation and amortization rate: 3.25%</t>
        </r>
      </text>
    </comment>
    <comment ref="U27" authorId="3">
      <text>
        <r>
          <rPr>
            <b/>
            <sz val="8"/>
            <color indexed="81"/>
            <rFont val="Tahoma"/>
            <family val="2"/>
          </rPr>
          <t>-$24.0M Favorable Lease Amortization
granaosc:</t>
        </r>
        <r>
          <rPr>
            <sz val="8"/>
            <color indexed="81"/>
            <rFont val="Tahoma"/>
            <family val="2"/>
          </rPr>
          <t xml:space="preserve">
8/12/13 Implied depreciation and amortization rate: 3.14%</t>
        </r>
      </text>
    </comment>
    <comment ref="V27" authorId="3">
      <text>
        <r>
          <rPr>
            <b/>
            <sz val="8"/>
            <color indexed="81"/>
            <rFont val="Tahoma"/>
            <family val="2"/>
          </rPr>
          <t>-$24M (ESTIMATE) Favorable Lease Amortization
granaosc:</t>
        </r>
        <r>
          <rPr>
            <sz val="8"/>
            <color indexed="81"/>
            <rFont val="Tahoma"/>
            <family val="2"/>
          </rPr>
          <t xml:space="preserve">
8/12/13 Implied depreciation and amortization rate: 3.14%</t>
        </r>
      </text>
    </comment>
    <comment ref="O29" authorId="0">
      <text>
        <r>
          <rPr>
            <b/>
            <sz val="8"/>
            <color indexed="81"/>
            <rFont val="Tahoma"/>
            <family val="2"/>
          </rPr>
          <t>Costs related to Debt amendment 4.175
Advisory Fee 4.291
Impairment 11.539
Loss of Extinguishment of Debt 2.222</t>
        </r>
        <r>
          <rPr>
            <sz val="8"/>
            <color indexed="81"/>
            <rFont val="Tahoma"/>
            <family val="2"/>
          </rPr>
          <t xml:space="preserve">
</t>
        </r>
      </text>
    </comment>
    <comment ref="Q35" authorId="3">
      <text>
        <r>
          <rPr>
            <b/>
            <sz val="8"/>
            <color indexed="81"/>
            <rFont val="Tahoma"/>
            <family val="2"/>
          </rPr>
          <t>granaosc:</t>
        </r>
        <r>
          <rPr>
            <sz val="8"/>
            <color indexed="81"/>
            <rFont val="Tahoma"/>
            <family val="2"/>
          </rPr>
          <t xml:space="preserve">
12/8/13 Interest expense: $132.3M</t>
        </r>
      </text>
    </comment>
    <comment ref="R35" authorId="3">
      <text>
        <r>
          <rPr>
            <b/>
            <sz val="8"/>
            <color indexed="81"/>
            <rFont val="Tahoma"/>
            <family val="2"/>
          </rPr>
          <t>granaosc:</t>
        </r>
        <r>
          <rPr>
            <sz val="8"/>
            <color indexed="81"/>
            <rFont val="Tahoma"/>
            <family val="2"/>
          </rPr>
          <t xml:space="preserve">
12/8/13 Interest expense: $132.3M</t>
        </r>
      </text>
    </comment>
    <comment ref="S35" authorId="3">
      <text>
        <r>
          <rPr>
            <b/>
            <sz val="8"/>
            <color indexed="81"/>
            <rFont val="Tahoma"/>
            <family val="2"/>
          </rPr>
          <t>granaosc:</t>
        </r>
        <r>
          <rPr>
            <sz val="8"/>
            <color indexed="81"/>
            <rFont val="Tahoma"/>
            <family val="2"/>
          </rPr>
          <t xml:space="preserve">
12/8/13 Interest expense: $132.3M</t>
        </r>
      </text>
    </comment>
    <comment ref="T35" authorId="3">
      <text>
        <r>
          <rPr>
            <b/>
            <sz val="8"/>
            <color indexed="81"/>
            <rFont val="Tahoma"/>
            <family val="2"/>
          </rPr>
          <t>granaosc:</t>
        </r>
        <r>
          <rPr>
            <sz val="8"/>
            <color indexed="81"/>
            <rFont val="Tahoma"/>
            <family val="2"/>
          </rPr>
          <t xml:space="preserve">
12/8/13 Interest expense: $110.6M
</t>
        </r>
        <r>
          <rPr>
            <b/>
            <sz val="8"/>
            <color indexed="81"/>
            <rFont val="Tahoma"/>
            <family val="2"/>
          </rPr>
          <t xml:space="preserve">09/14/13: </t>
        </r>
        <r>
          <rPr>
            <sz val="8"/>
            <color indexed="81"/>
            <rFont val="Tahoma"/>
            <family val="2"/>
          </rPr>
          <t>Added $2.4M of additional interest expense</t>
        </r>
      </text>
    </comment>
    <comment ref="U35" authorId="3">
      <text>
        <r>
          <rPr>
            <b/>
            <sz val="8"/>
            <color indexed="81"/>
            <rFont val="Tahoma"/>
            <family val="2"/>
          </rPr>
          <t>granaosc:</t>
        </r>
        <r>
          <rPr>
            <sz val="8"/>
            <color indexed="81"/>
            <rFont val="Tahoma"/>
            <family val="2"/>
          </rPr>
          <t xml:space="preserve">
12/8/13 Interest expense: $99.9M
</t>
        </r>
        <r>
          <rPr>
            <b/>
            <sz val="8"/>
            <color indexed="81"/>
            <rFont val="Tahoma"/>
            <family val="2"/>
          </rPr>
          <t xml:space="preserve">09/14/13: </t>
        </r>
        <r>
          <rPr>
            <sz val="8"/>
            <color indexed="81"/>
            <rFont val="Tahoma"/>
            <family val="2"/>
          </rPr>
          <t>Added $2.4M of additional interest expense</t>
        </r>
      </text>
    </comment>
    <comment ref="V35" authorId="3">
      <text>
        <r>
          <rPr>
            <b/>
            <sz val="8"/>
            <color indexed="81"/>
            <rFont val="Tahoma"/>
            <family val="2"/>
          </rPr>
          <t xml:space="preserve">09/14/13: </t>
        </r>
        <r>
          <rPr>
            <sz val="8"/>
            <color indexed="81"/>
            <rFont val="Tahoma"/>
            <family val="2"/>
          </rPr>
          <t>Added $2.4M of additional interest expense</t>
        </r>
      </text>
    </comment>
    <comment ref="Q38" authorId="3">
      <text>
        <r>
          <rPr>
            <b/>
            <sz val="8"/>
            <color indexed="81"/>
            <rFont val="Tahoma"/>
            <family val="2"/>
          </rPr>
          <t>granaosc:</t>
        </r>
        <r>
          <rPr>
            <sz val="8"/>
            <color indexed="81"/>
            <rFont val="Tahoma"/>
            <family val="2"/>
          </rPr>
          <t xml:space="preserve">
12/8/13 Pretax Income: $48.9M</t>
        </r>
      </text>
    </comment>
    <comment ref="R38" authorId="3">
      <text>
        <r>
          <rPr>
            <b/>
            <sz val="8"/>
            <color indexed="81"/>
            <rFont val="Tahoma"/>
            <family val="2"/>
          </rPr>
          <t>granaosc:</t>
        </r>
        <r>
          <rPr>
            <sz val="8"/>
            <color indexed="81"/>
            <rFont val="Tahoma"/>
            <family val="2"/>
          </rPr>
          <t xml:space="preserve">
12/8/13 Pretax Income: $48.9M</t>
        </r>
      </text>
    </comment>
    <comment ref="S38" authorId="3">
      <text>
        <r>
          <rPr>
            <b/>
            <sz val="8"/>
            <color indexed="81"/>
            <rFont val="Tahoma"/>
            <family val="2"/>
          </rPr>
          <t>granaosc:</t>
        </r>
        <r>
          <rPr>
            <sz val="8"/>
            <color indexed="81"/>
            <rFont val="Tahoma"/>
            <family val="2"/>
          </rPr>
          <t xml:space="preserve">
12/8/13 Pretax Income: $48.9M</t>
        </r>
      </text>
    </comment>
    <comment ref="T38" authorId="3">
      <text>
        <r>
          <rPr>
            <b/>
            <sz val="8"/>
            <color indexed="81"/>
            <rFont val="Tahoma"/>
            <family val="2"/>
          </rPr>
          <t>granaosc:</t>
        </r>
        <r>
          <rPr>
            <sz val="8"/>
            <color indexed="81"/>
            <rFont val="Tahoma"/>
            <family val="2"/>
          </rPr>
          <t xml:space="preserve">
12/8/13 Pretax Income: $220.7M</t>
        </r>
      </text>
    </comment>
    <comment ref="U38" authorId="3">
      <text>
        <r>
          <rPr>
            <b/>
            <sz val="8"/>
            <color indexed="81"/>
            <rFont val="Tahoma"/>
            <family val="2"/>
          </rPr>
          <t>granaosc:</t>
        </r>
        <r>
          <rPr>
            <sz val="8"/>
            <color indexed="81"/>
            <rFont val="Tahoma"/>
            <family val="2"/>
          </rPr>
          <t xml:space="preserve">
12/8/13 Pretax Income: $265.5M</t>
        </r>
      </text>
    </comment>
    <comment ref="V38" authorId="3">
      <text>
        <r>
          <rPr>
            <b/>
            <sz val="8"/>
            <color indexed="81"/>
            <rFont val="Tahoma"/>
            <family val="2"/>
          </rPr>
          <t>granaosc:</t>
        </r>
        <r>
          <rPr>
            <sz val="8"/>
            <color indexed="81"/>
            <rFont val="Tahoma"/>
            <family val="2"/>
          </rPr>
          <t xml:space="preserve">
12/8/13 Pretax Income: $265.5M</t>
        </r>
      </text>
    </comment>
    <comment ref="G41" authorId="4">
      <text>
        <r>
          <rPr>
            <b/>
            <sz val="8"/>
            <color indexed="81"/>
            <rFont val="Tahoma"/>
            <family val="2"/>
          </rPr>
          <t>Note:</t>
        </r>
        <r>
          <rPr>
            <sz val="8"/>
            <color indexed="81"/>
            <rFont val="Tahoma"/>
            <family val="2"/>
          </rPr>
          <t xml:space="preserve"> Adjusts tax rate for 1-time items using the 35% statutory rate</t>
        </r>
      </text>
    </comment>
    <comment ref="I41" authorId="4">
      <text>
        <r>
          <rPr>
            <b/>
            <sz val="8"/>
            <color indexed="81"/>
            <rFont val="Tahoma"/>
            <family val="2"/>
          </rPr>
          <t>Note:</t>
        </r>
        <r>
          <rPr>
            <sz val="8"/>
            <color indexed="81"/>
            <rFont val="Tahoma"/>
            <family val="2"/>
          </rPr>
          <t xml:space="preserve"> Adjusts tax rate for 1-time items using the 35% statutory rate</t>
        </r>
      </text>
    </comment>
    <comment ref="J41" authorId="4">
      <text>
        <r>
          <rPr>
            <b/>
            <sz val="8"/>
            <color indexed="81"/>
            <rFont val="Tahoma"/>
            <family val="2"/>
          </rPr>
          <t>Note:</t>
        </r>
        <r>
          <rPr>
            <sz val="8"/>
            <color indexed="81"/>
            <rFont val="Tahoma"/>
            <family val="2"/>
          </rPr>
          <t xml:space="preserve"> Adjusts tax rate for 1-time items using the 35% statutory rate</t>
        </r>
      </text>
    </comment>
    <comment ref="K41" authorId="4">
      <text>
        <r>
          <rPr>
            <b/>
            <sz val="8"/>
            <color indexed="81"/>
            <rFont val="Tahoma"/>
            <family val="2"/>
          </rPr>
          <t>Note:</t>
        </r>
        <r>
          <rPr>
            <sz val="8"/>
            <color indexed="81"/>
            <rFont val="Tahoma"/>
            <family val="2"/>
          </rPr>
          <t xml:space="preserve"> Adjusts tax rate for 1-time items using the 35% statutory rate</t>
        </r>
      </text>
    </comment>
    <comment ref="Q41" authorId="3">
      <text>
        <r>
          <rPr>
            <b/>
            <sz val="8"/>
            <color indexed="81"/>
            <rFont val="Tahoma"/>
            <family val="2"/>
          </rPr>
          <t>granaosc:</t>
        </r>
        <r>
          <rPr>
            <sz val="8"/>
            <color indexed="81"/>
            <rFont val="Tahoma"/>
            <family val="2"/>
          </rPr>
          <t xml:space="preserve">
12/8/13 Tax provision: $19.4M</t>
        </r>
      </text>
    </comment>
    <comment ref="R41" authorId="3">
      <text>
        <r>
          <rPr>
            <b/>
            <sz val="8"/>
            <color indexed="81"/>
            <rFont val="Tahoma"/>
            <family val="2"/>
          </rPr>
          <t>granaosc:</t>
        </r>
        <r>
          <rPr>
            <sz val="8"/>
            <color indexed="81"/>
            <rFont val="Tahoma"/>
            <family val="2"/>
          </rPr>
          <t xml:space="preserve">
12/8/13 Tax provision: $19.4M</t>
        </r>
      </text>
    </comment>
    <comment ref="S41" authorId="3">
      <text>
        <r>
          <rPr>
            <b/>
            <sz val="8"/>
            <color indexed="81"/>
            <rFont val="Tahoma"/>
            <family val="2"/>
          </rPr>
          <t>granaosc:</t>
        </r>
        <r>
          <rPr>
            <sz val="8"/>
            <color indexed="81"/>
            <rFont val="Tahoma"/>
            <family val="2"/>
          </rPr>
          <t xml:space="preserve">
12/8/13 Tax provision: $19.4M</t>
        </r>
      </text>
    </comment>
    <comment ref="T41" authorId="3">
      <text>
        <r>
          <rPr>
            <b/>
            <sz val="8"/>
            <color indexed="81"/>
            <rFont val="Tahoma"/>
            <family val="2"/>
          </rPr>
          <t>granaosc:</t>
        </r>
        <r>
          <rPr>
            <sz val="8"/>
            <color indexed="81"/>
            <rFont val="Tahoma"/>
            <family val="2"/>
          </rPr>
          <t xml:space="preserve">
12/8/13 Tax provision: $86.1M</t>
        </r>
      </text>
    </comment>
    <comment ref="U41" authorId="3">
      <text>
        <r>
          <rPr>
            <b/>
            <sz val="8"/>
            <color indexed="81"/>
            <rFont val="Tahoma"/>
            <family val="2"/>
          </rPr>
          <t>granaosc:</t>
        </r>
        <r>
          <rPr>
            <sz val="8"/>
            <color indexed="81"/>
            <rFont val="Tahoma"/>
            <family val="2"/>
          </rPr>
          <t xml:space="preserve">
12/8/13 Tax provision: $103.6M</t>
        </r>
      </text>
    </comment>
    <comment ref="V41" authorId="3">
      <text>
        <r>
          <rPr>
            <b/>
            <sz val="8"/>
            <color indexed="81"/>
            <rFont val="Tahoma"/>
            <family val="2"/>
          </rPr>
          <t>granaosc:</t>
        </r>
        <r>
          <rPr>
            <sz val="8"/>
            <color indexed="81"/>
            <rFont val="Tahoma"/>
            <family val="2"/>
          </rPr>
          <t xml:space="preserve">
12/8/13 Tax provision: $103.6M</t>
        </r>
      </text>
    </comment>
    <comment ref="Q42" authorId="2">
      <text>
        <r>
          <rPr>
            <b/>
            <sz val="8"/>
            <color indexed="81"/>
            <rFont val="Tahoma"/>
            <family val="2"/>
          </rPr>
          <t>solejay:</t>
        </r>
        <r>
          <rPr>
            <sz val="8"/>
            <color indexed="81"/>
            <rFont val="Tahoma"/>
            <family val="2"/>
          </rPr>
          <t xml:space="preserve">
9/7/12: guidance - 30%</t>
        </r>
      </text>
    </comment>
    <comment ref="R42" authorId="2">
      <text>
        <r>
          <rPr>
            <b/>
            <sz val="8"/>
            <color indexed="81"/>
            <rFont val="Tahoma"/>
            <family val="2"/>
          </rPr>
          <t>solejay:</t>
        </r>
        <r>
          <rPr>
            <sz val="8"/>
            <color indexed="81"/>
            <rFont val="Tahoma"/>
            <family val="2"/>
          </rPr>
          <t xml:space="preserve">
9/7/12: guidance - 30%</t>
        </r>
      </text>
    </comment>
    <comment ref="S42" authorId="2">
      <text>
        <r>
          <rPr>
            <b/>
            <sz val="8"/>
            <color indexed="81"/>
            <rFont val="Tahoma"/>
            <family val="2"/>
          </rPr>
          <t>solejay:</t>
        </r>
        <r>
          <rPr>
            <sz val="8"/>
            <color indexed="81"/>
            <rFont val="Tahoma"/>
            <family val="2"/>
          </rPr>
          <t xml:space="preserve">
9/7/12: guidance - 30%</t>
        </r>
      </text>
    </comment>
    <comment ref="E50" authorId="4">
      <text>
        <r>
          <rPr>
            <b/>
            <sz val="8"/>
            <color indexed="81"/>
            <rFont val="Tahoma"/>
            <family val="2"/>
          </rPr>
          <t>Loss for discontinued operations</t>
        </r>
      </text>
    </comment>
    <comment ref="F50" authorId="4">
      <text>
        <r>
          <rPr>
            <b/>
            <sz val="8"/>
            <color indexed="81"/>
            <rFont val="Tahoma"/>
            <family val="2"/>
          </rPr>
          <t>Loss for discontinued operations</t>
        </r>
      </text>
    </comment>
    <comment ref="G50" authorId="4">
      <text>
        <r>
          <rPr>
            <b/>
            <sz val="8"/>
            <color indexed="81"/>
            <rFont val="Tahoma"/>
            <family val="2"/>
          </rPr>
          <t>Note:</t>
        </r>
        <r>
          <rPr>
            <sz val="8"/>
            <color indexed="81"/>
            <rFont val="Tahoma"/>
            <family val="2"/>
          </rPr>
          <t xml:space="preserve"> Items adjusted for taxes based on the 35% statutory rate</t>
        </r>
      </text>
    </comment>
    <comment ref="I50" authorId="4">
      <text>
        <r>
          <rPr>
            <b/>
            <sz val="8"/>
            <color indexed="81"/>
            <rFont val="Tahoma"/>
            <family val="2"/>
          </rPr>
          <t>Note:</t>
        </r>
        <r>
          <rPr>
            <sz val="8"/>
            <color indexed="81"/>
            <rFont val="Tahoma"/>
            <family val="2"/>
          </rPr>
          <t xml:space="preserve"> Items adjusted for taxes based on the 35% statutory rate</t>
        </r>
      </text>
    </comment>
    <comment ref="J50" authorId="4">
      <text>
        <r>
          <rPr>
            <b/>
            <sz val="8"/>
            <color indexed="81"/>
            <rFont val="Tahoma"/>
            <family val="2"/>
          </rPr>
          <t>Note:</t>
        </r>
        <r>
          <rPr>
            <sz val="8"/>
            <color indexed="81"/>
            <rFont val="Tahoma"/>
            <family val="2"/>
          </rPr>
          <t xml:space="preserve"> Items adjusted for taxes based on the 35% statutory rate</t>
        </r>
      </text>
    </comment>
    <comment ref="K50" authorId="4">
      <text>
        <r>
          <rPr>
            <b/>
            <sz val="8"/>
            <color indexed="81"/>
            <rFont val="Tahoma"/>
            <family val="2"/>
          </rPr>
          <t>Note:</t>
        </r>
        <r>
          <rPr>
            <sz val="8"/>
            <color indexed="81"/>
            <rFont val="Tahoma"/>
            <family val="2"/>
          </rPr>
          <t xml:space="preserve"> Items adjusted for taxes based on the 35% statutory rate</t>
        </r>
      </text>
    </comment>
    <comment ref="T50" authorId="3">
      <text>
        <r>
          <rPr>
            <b/>
            <sz val="8"/>
            <color indexed="81"/>
            <rFont val="Tahoma"/>
            <family val="2"/>
          </rPr>
          <t xml:space="preserve">3/17/15: </t>
        </r>
        <r>
          <rPr>
            <sz val="8"/>
            <color indexed="81"/>
            <rFont val="Tahoma"/>
            <family val="2"/>
          </rPr>
          <t>assumes favorable lease amortizationt of $24M</t>
        </r>
        <r>
          <rPr>
            <b/>
            <sz val="8"/>
            <color indexed="81"/>
            <rFont val="Tahoma"/>
            <family val="2"/>
          </rPr>
          <t xml:space="preserve">
9/10/13: </t>
        </r>
        <r>
          <rPr>
            <sz val="8"/>
            <color indexed="81"/>
            <rFont val="Tahoma"/>
            <family val="2"/>
          </rPr>
          <t>Expects additional "Stock Option Modification Exp" of 1.0M</t>
        </r>
        <r>
          <rPr>
            <b/>
            <sz val="8"/>
            <color indexed="81"/>
            <rFont val="Tahoma"/>
            <family val="2"/>
          </rPr>
          <t xml:space="preserve">
granaosc:</t>
        </r>
        <r>
          <rPr>
            <sz val="8"/>
            <color indexed="81"/>
            <rFont val="Tahoma"/>
            <family val="2"/>
          </rPr>
          <t xml:space="preserve">
12/8/13 Income adjustments: 24.5M (Favorable Lease Amortization)</t>
        </r>
      </text>
    </comment>
    <comment ref="U50" authorId="3">
      <text>
        <r>
          <rPr>
            <b/>
            <sz val="8"/>
            <color indexed="81"/>
            <rFont val="Tahoma"/>
            <family val="2"/>
          </rPr>
          <t xml:space="preserve">3/17/15: </t>
        </r>
        <r>
          <rPr>
            <sz val="8"/>
            <color indexed="81"/>
            <rFont val="Tahoma"/>
            <family val="2"/>
          </rPr>
          <t>assumes favorable lease amortizationt of $24M</t>
        </r>
        <r>
          <rPr>
            <b/>
            <sz val="8"/>
            <color indexed="81"/>
            <rFont val="Tahoma"/>
            <family val="2"/>
          </rPr>
          <t xml:space="preserve">
9/10/13: </t>
        </r>
        <r>
          <rPr>
            <sz val="8"/>
            <color indexed="81"/>
            <rFont val="Tahoma"/>
            <family val="2"/>
          </rPr>
          <t>Expects additional "Stock Option Modification Exp" of 1.0M</t>
        </r>
        <r>
          <rPr>
            <b/>
            <sz val="8"/>
            <color indexed="81"/>
            <rFont val="Tahoma"/>
            <family val="2"/>
          </rPr>
          <t xml:space="preserve">
granaosc:</t>
        </r>
        <r>
          <rPr>
            <sz val="8"/>
            <color indexed="81"/>
            <rFont val="Tahoma"/>
            <family val="2"/>
          </rPr>
          <t xml:space="preserve">
12/8/13 Income adjustments: 24.5M (Favorable Lease Amortization)</t>
        </r>
      </text>
    </comment>
    <comment ref="V50" authorId="3">
      <text>
        <r>
          <rPr>
            <b/>
            <sz val="8"/>
            <color indexed="81"/>
            <rFont val="Tahoma"/>
            <family val="2"/>
          </rPr>
          <t xml:space="preserve">3/17/15: </t>
        </r>
        <r>
          <rPr>
            <sz val="8"/>
            <color indexed="81"/>
            <rFont val="Tahoma"/>
            <family val="2"/>
          </rPr>
          <t>assumes favorable lease amortizationt of $24M</t>
        </r>
        <r>
          <rPr>
            <b/>
            <sz val="8"/>
            <color indexed="81"/>
            <rFont val="Tahoma"/>
            <family val="2"/>
          </rPr>
          <t xml:space="preserve">
9/10/13: </t>
        </r>
        <r>
          <rPr>
            <sz val="8"/>
            <color indexed="81"/>
            <rFont val="Tahoma"/>
            <family val="2"/>
          </rPr>
          <t>Expects additional "Stock Option Modification Exp" of 1.0M</t>
        </r>
        <r>
          <rPr>
            <b/>
            <sz val="8"/>
            <color indexed="81"/>
            <rFont val="Tahoma"/>
            <family val="2"/>
          </rPr>
          <t xml:space="preserve">
granaosc:</t>
        </r>
        <r>
          <rPr>
            <sz val="8"/>
            <color indexed="81"/>
            <rFont val="Tahoma"/>
            <family val="2"/>
          </rPr>
          <t xml:space="preserve">
12/8/13 Income adjustments: 24.5M (Favorable Lease Amortization)</t>
        </r>
      </text>
    </comment>
  </commentList>
</comments>
</file>

<file path=xl/comments3.xml><?xml version="1.0" encoding="utf-8"?>
<comments xmlns="http://schemas.openxmlformats.org/spreadsheetml/2006/main">
  <authors>
    <author>Duol</author>
    <author>balskyh</author>
    <author>duol</author>
    <author>DL</author>
    <author>Turley, Amber (Research)</author>
    <author>granaosc</author>
    <author>Mains, Spencer (Research)</author>
    <author>Baglione, Gregory  (Research)</author>
  </authors>
  <commentList>
    <comment ref="AV7" authorId="0">
      <text>
        <r>
          <rPr>
            <b/>
            <sz val="8"/>
            <color indexed="81"/>
            <rFont val="Tahoma"/>
            <family val="2"/>
          </rPr>
          <t>52 Weeks</t>
        </r>
        <r>
          <rPr>
            <sz val="8"/>
            <color indexed="81"/>
            <rFont val="Tahoma"/>
            <family val="2"/>
          </rPr>
          <t xml:space="preserve">
</t>
        </r>
      </text>
    </comment>
    <comment ref="C11" authorId="1">
      <text>
        <r>
          <rPr>
            <sz val="8"/>
            <color indexed="81"/>
            <rFont val="Tahoma"/>
            <family val="2"/>
          </rPr>
          <t>Qtr end Aug 31</t>
        </r>
      </text>
    </comment>
    <comment ref="G11" authorId="1">
      <text>
        <r>
          <rPr>
            <sz val="8"/>
            <color indexed="81"/>
            <rFont val="Tahoma"/>
            <family val="2"/>
          </rPr>
          <t>Qtr end Aug 31</t>
        </r>
      </text>
    </comment>
    <comment ref="K11" authorId="1">
      <text>
        <r>
          <rPr>
            <sz val="8"/>
            <color indexed="81"/>
            <rFont val="Tahoma"/>
            <family val="2"/>
          </rPr>
          <t>Qtr end Aug 31</t>
        </r>
      </text>
    </comment>
    <comment ref="O11" authorId="1">
      <text>
        <r>
          <rPr>
            <sz val="8"/>
            <color indexed="81"/>
            <rFont val="Tahoma"/>
            <family val="2"/>
          </rPr>
          <t>Qtr end Aug 31</t>
        </r>
      </text>
    </comment>
    <comment ref="S11" authorId="1">
      <text>
        <r>
          <rPr>
            <sz val="8"/>
            <color indexed="81"/>
            <rFont val="Tahoma"/>
            <family val="2"/>
          </rPr>
          <t>Qtr end Aug 31</t>
        </r>
      </text>
    </comment>
    <comment ref="W11" authorId="1">
      <text>
        <r>
          <rPr>
            <sz val="8"/>
            <color indexed="81"/>
            <rFont val="Tahoma"/>
            <family val="2"/>
          </rPr>
          <t>Qtr end Aug 31</t>
        </r>
      </text>
    </comment>
    <comment ref="AA11" authorId="1">
      <text>
        <r>
          <rPr>
            <sz val="8"/>
            <color indexed="81"/>
            <rFont val="Tahoma"/>
            <family val="2"/>
          </rPr>
          <t>Qtr end Aug 31</t>
        </r>
      </text>
    </comment>
    <comment ref="AE11" authorId="1">
      <text>
        <r>
          <rPr>
            <sz val="8"/>
            <color indexed="81"/>
            <rFont val="Tahoma"/>
            <family val="2"/>
          </rPr>
          <t>Qtr end Aug 31</t>
        </r>
      </text>
    </comment>
    <comment ref="AI11" authorId="2">
      <text>
        <r>
          <rPr>
            <sz val="8"/>
            <color indexed="81"/>
            <rFont val="Tahoma"/>
            <family val="2"/>
          </rPr>
          <t xml:space="preserve">Total Rev - Other Rev
837.1 - 7.1
</t>
        </r>
      </text>
    </comment>
    <comment ref="AK11" authorId="1">
      <text>
        <r>
          <rPr>
            <sz val="8"/>
            <color indexed="81"/>
            <rFont val="Tahoma"/>
            <family val="2"/>
          </rPr>
          <t>Source: analyst deck from mgmt</t>
        </r>
      </text>
    </comment>
    <comment ref="AM11" authorId="2">
      <text>
        <r>
          <rPr>
            <sz val="8"/>
            <color indexed="81"/>
            <rFont val="Tahoma"/>
            <family val="2"/>
          </rPr>
          <t xml:space="preserve">Total Rev - Other Rev
902.0 - 7.3
</t>
        </r>
      </text>
    </comment>
    <comment ref="AQ11" authorId="2">
      <text>
        <r>
          <rPr>
            <sz val="8"/>
            <color indexed="81"/>
            <rFont val="Tahoma"/>
            <family val="2"/>
          </rPr>
          <t xml:space="preserve">Total Rev - Other Rev
936.3 - 7.3
</t>
        </r>
      </text>
    </comment>
    <comment ref="AU11" authorId="0">
      <text>
        <r>
          <rPr>
            <sz val="8"/>
            <color indexed="81"/>
            <rFont val="Tahoma"/>
            <family val="2"/>
          </rPr>
          <t>From company model sent 8/7/13</t>
        </r>
        <r>
          <rPr>
            <sz val="8"/>
            <color indexed="81"/>
            <rFont val="Tahoma"/>
            <family val="2"/>
          </rPr>
          <t xml:space="preserve">
</t>
        </r>
      </text>
    </comment>
    <comment ref="BD11" authorId="3">
      <text>
        <r>
          <rPr>
            <b/>
            <sz val="9"/>
            <color indexed="81"/>
            <rFont val="Tahoma"/>
            <family val="2"/>
          </rPr>
          <t>3/20/14:</t>
        </r>
        <r>
          <rPr>
            <sz val="9"/>
            <color indexed="81"/>
            <rFont val="Tahoma"/>
            <family val="2"/>
          </rPr>
          <t xml:space="preserve"> guidance 5.4% - 6.4%
</t>
        </r>
      </text>
    </comment>
    <comment ref="BE11" authorId="3">
      <text>
        <r>
          <rPr>
            <b/>
            <sz val="9"/>
            <color indexed="81"/>
            <rFont val="Tahoma"/>
            <family val="2"/>
          </rPr>
          <t xml:space="preserve">Guidance: 2-3%
6/10/14: </t>
        </r>
        <r>
          <rPr>
            <sz val="9"/>
            <color indexed="81"/>
            <rFont val="Tahoma"/>
            <family val="2"/>
          </rPr>
          <t xml:space="preserve">traffic was comparable and both UPT/AUR were up.
</t>
        </r>
      </text>
    </comment>
    <comment ref="BI11" authorId="4">
      <text>
        <r>
          <rPr>
            <b/>
            <sz val="9"/>
            <color indexed="81"/>
            <rFont val="Tahoma"/>
            <family val="2"/>
          </rPr>
          <t>Turley, Amber (Research):</t>
        </r>
        <r>
          <rPr>
            <sz val="9"/>
            <color indexed="81"/>
            <rFont val="Tahoma"/>
            <family val="2"/>
          </rPr>
          <t xml:space="preserve">
3/17/15: Guidance 6-7%</t>
        </r>
      </text>
    </comment>
    <comment ref="BJ11" authorId="4">
      <text>
        <r>
          <rPr>
            <b/>
            <sz val="9"/>
            <color indexed="81"/>
            <rFont val="Tahoma"/>
            <family val="2"/>
          </rPr>
          <t>6/9/15:</t>
        </r>
        <r>
          <rPr>
            <sz val="9"/>
            <color indexed="81"/>
            <rFont val="Tahoma"/>
            <family val="2"/>
          </rPr>
          <t xml:space="preserve"> Driven by an increase in traffic and UPT.  Conversion and AUR both declined.  Negatively affected by timing of federal tax refunds (shifted sales from Feb to Jan), lower markdown sales as a result of much lower markdown inventory, increased store closures due to weather, and receipt flow issues in three key Easter businesses (ladies shoe, handbags ,and dresses and suits).  If we would have made plan in the three Easter businesses, would have been at the high end of guidance range.
3/17/15: Guidance 2-3%</t>
        </r>
      </text>
    </comment>
    <comment ref="C12" authorId="1">
      <text>
        <r>
          <rPr>
            <b/>
            <sz val="8"/>
            <color indexed="81"/>
            <rFont val="Tahoma"/>
            <family val="2"/>
          </rPr>
          <t>Qtr end Nov 30,</t>
        </r>
      </text>
    </comment>
    <comment ref="G12" authorId="1">
      <text>
        <r>
          <rPr>
            <b/>
            <sz val="8"/>
            <color indexed="81"/>
            <rFont val="Tahoma"/>
            <family val="2"/>
          </rPr>
          <t>Qtr end Nov 30,</t>
        </r>
      </text>
    </comment>
    <comment ref="K12" authorId="1">
      <text>
        <r>
          <rPr>
            <b/>
            <sz val="8"/>
            <color indexed="81"/>
            <rFont val="Tahoma"/>
            <family val="2"/>
          </rPr>
          <t>Qtr end Nov 30,</t>
        </r>
      </text>
    </comment>
    <comment ref="O12" authorId="1">
      <text>
        <r>
          <rPr>
            <b/>
            <sz val="8"/>
            <color indexed="81"/>
            <rFont val="Tahoma"/>
            <family val="2"/>
          </rPr>
          <t>Qtr end Nov 30,</t>
        </r>
      </text>
    </comment>
    <comment ref="S12" authorId="1">
      <text>
        <r>
          <rPr>
            <b/>
            <sz val="8"/>
            <color indexed="81"/>
            <rFont val="Tahoma"/>
            <family val="2"/>
          </rPr>
          <t>Qtr end Nov 30,</t>
        </r>
      </text>
    </comment>
    <comment ref="W12" authorId="1">
      <text>
        <r>
          <rPr>
            <b/>
            <sz val="8"/>
            <color indexed="81"/>
            <rFont val="Tahoma"/>
            <family val="2"/>
          </rPr>
          <t>Qtr end Nov 30,</t>
        </r>
      </text>
    </comment>
    <comment ref="AA12" authorId="1">
      <text>
        <r>
          <rPr>
            <b/>
            <sz val="8"/>
            <color indexed="81"/>
            <rFont val="Tahoma"/>
            <family val="2"/>
          </rPr>
          <t>Qtr end Nov 30,</t>
        </r>
      </text>
    </comment>
    <comment ref="AE12" authorId="1">
      <text>
        <r>
          <rPr>
            <b/>
            <sz val="8"/>
            <color indexed="81"/>
            <rFont val="Tahoma"/>
            <family val="2"/>
          </rPr>
          <t>Qtr end Nov 30,</t>
        </r>
      </text>
    </comment>
    <comment ref="AI12" authorId="2">
      <text>
        <r>
          <rPr>
            <sz val="8"/>
            <color indexed="81"/>
            <rFont val="Tahoma"/>
            <family val="2"/>
          </rPr>
          <t xml:space="preserve">Total Rev - Other Rev
707.7 - 6.7
</t>
        </r>
      </text>
    </comment>
    <comment ref="AK12" authorId="1">
      <text>
        <r>
          <rPr>
            <sz val="8"/>
            <color indexed="81"/>
            <rFont val="Tahoma"/>
            <family val="2"/>
          </rPr>
          <t>Source: analyst deck from mgmt</t>
        </r>
      </text>
    </comment>
    <comment ref="AM12" authorId="2">
      <text>
        <r>
          <rPr>
            <sz val="8"/>
            <color indexed="81"/>
            <rFont val="Tahoma"/>
            <family val="2"/>
          </rPr>
          <t xml:space="preserve">Total Rev - Other Rev
735.5 - 6.8
</t>
        </r>
      </text>
    </comment>
    <comment ref="AQ12" authorId="2">
      <text>
        <r>
          <rPr>
            <sz val="8"/>
            <color indexed="81"/>
            <rFont val="Tahoma"/>
            <family val="2"/>
          </rPr>
          <t xml:space="preserve">Total Rev - Other Rev
800.4 - 7.1
</t>
        </r>
      </text>
    </comment>
    <comment ref="BA12" authorId="5">
      <text>
        <r>
          <rPr>
            <b/>
            <sz val="8"/>
            <color indexed="81"/>
            <rFont val="Tahoma"/>
            <family val="2"/>
          </rPr>
          <t>granaosc:</t>
        </r>
        <r>
          <rPr>
            <sz val="8"/>
            <color indexed="81"/>
            <rFont val="Tahoma"/>
            <family val="2"/>
          </rPr>
          <t xml:space="preserve">
08/08/13: Expect +7.8 comps</t>
        </r>
      </text>
    </comment>
    <comment ref="BD12" authorId="3">
      <text>
        <r>
          <rPr>
            <b/>
            <sz val="9"/>
            <color indexed="81"/>
            <rFont val="Tahoma"/>
            <family val="2"/>
          </rPr>
          <t>6/10/14:</t>
        </r>
        <r>
          <rPr>
            <sz val="9"/>
            <color indexed="81"/>
            <rFont val="Tahoma"/>
            <family val="2"/>
          </rPr>
          <t xml:space="preserve"> Guidance 5-6%
</t>
        </r>
      </text>
    </comment>
    <comment ref="BE12" authorId="3">
      <text>
        <r>
          <rPr>
            <b/>
            <sz val="9"/>
            <color indexed="81"/>
            <rFont val="Tahoma"/>
            <family val="2"/>
          </rPr>
          <t xml:space="preserve">6/10/14: </t>
        </r>
        <r>
          <rPr>
            <sz val="9"/>
            <color indexed="81"/>
            <rFont val="Tahoma"/>
            <family val="2"/>
          </rPr>
          <t xml:space="preserve">Guidance 2-3%
</t>
        </r>
        <r>
          <rPr>
            <b/>
            <sz val="9"/>
            <color indexed="81"/>
            <rFont val="Tahoma"/>
            <family val="2"/>
          </rPr>
          <t>7/17/14:</t>
        </r>
        <r>
          <rPr>
            <sz val="9"/>
            <color indexed="81"/>
            <rFont val="Tahoma"/>
            <family val="2"/>
          </rPr>
          <t xml:space="preserve"> Raised guidance 3-4%</t>
        </r>
      </text>
    </comment>
    <comment ref="BI12" authorId="6">
      <text>
        <r>
          <rPr>
            <b/>
            <sz val="9"/>
            <color indexed="81"/>
            <rFont val="Tahoma"/>
            <family val="2"/>
          </rPr>
          <t>Mains, Spencer (Research):</t>
        </r>
        <r>
          <rPr>
            <sz val="9"/>
            <color indexed="81"/>
            <rFont val="Tahoma"/>
            <family val="2"/>
          </rPr>
          <t xml:space="preserve">
6/9/15: Guidance 7-8%</t>
        </r>
      </text>
    </comment>
    <comment ref="BJ12" authorId="6">
      <text>
        <r>
          <rPr>
            <b/>
            <sz val="9"/>
            <color indexed="81"/>
            <rFont val="Tahoma"/>
            <family val="2"/>
          </rPr>
          <t>Mains, Spencer (Research):</t>
        </r>
        <r>
          <rPr>
            <sz val="9"/>
            <color indexed="81"/>
            <rFont val="Tahoma"/>
            <family val="2"/>
          </rPr>
          <t xml:space="preserve">
8/27/15
Higher traffic, conversion, UPT, partially offset by lower AUR.
6/9/15: Guidance 3-4%, "I am optimistic about our business as comparable store sales have accelerated."
</t>
        </r>
      </text>
    </comment>
    <comment ref="C13" authorId="1">
      <text>
        <r>
          <rPr>
            <b/>
            <sz val="8"/>
            <color indexed="81"/>
            <rFont val="Tahoma"/>
            <family val="2"/>
          </rPr>
          <t>Qtr end Feb 28</t>
        </r>
      </text>
    </comment>
    <comment ref="G13" authorId="1">
      <text>
        <r>
          <rPr>
            <b/>
            <sz val="8"/>
            <color indexed="81"/>
            <rFont val="Tahoma"/>
            <family val="2"/>
          </rPr>
          <t>Qtr end Feb 28</t>
        </r>
      </text>
    </comment>
    <comment ref="K13" authorId="1">
      <text>
        <r>
          <rPr>
            <b/>
            <sz val="8"/>
            <color indexed="81"/>
            <rFont val="Tahoma"/>
            <family val="2"/>
          </rPr>
          <t>Qtr end Feb 28</t>
        </r>
      </text>
    </comment>
    <comment ref="O13" authorId="1">
      <text>
        <r>
          <rPr>
            <b/>
            <sz val="8"/>
            <color indexed="81"/>
            <rFont val="Tahoma"/>
            <family val="2"/>
          </rPr>
          <t>Qtr end Feb 28</t>
        </r>
      </text>
    </comment>
    <comment ref="S13" authorId="1">
      <text>
        <r>
          <rPr>
            <b/>
            <sz val="8"/>
            <color indexed="81"/>
            <rFont val="Tahoma"/>
            <family val="2"/>
          </rPr>
          <t>Qtr end Feb 28</t>
        </r>
      </text>
    </comment>
    <comment ref="W13" authorId="1">
      <text>
        <r>
          <rPr>
            <b/>
            <sz val="8"/>
            <color indexed="81"/>
            <rFont val="Tahoma"/>
            <family val="2"/>
          </rPr>
          <t>Qtr end Feb 28</t>
        </r>
      </text>
    </comment>
    <comment ref="AA13" authorId="1">
      <text>
        <r>
          <rPr>
            <b/>
            <sz val="8"/>
            <color indexed="81"/>
            <rFont val="Tahoma"/>
            <family val="2"/>
          </rPr>
          <t>Qtr end Feb 28</t>
        </r>
      </text>
    </comment>
    <comment ref="AE13" authorId="1">
      <text>
        <r>
          <rPr>
            <b/>
            <sz val="8"/>
            <color indexed="81"/>
            <rFont val="Tahoma"/>
            <family val="2"/>
          </rPr>
          <t>Qtr end Feb 28</t>
        </r>
      </text>
    </comment>
    <comment ref="AI13" authorId="2">
      <text>
        <r>
          <rPr>
            <sz val="8"/>
            <color indexed="81"/>
            <rFont val="Tahoma"/>
            <family val="2"/>
          </rPr>
          <t xml:space="preserve">Total Rev - Other
880.4 - 8.0
</t>
        </r>
      </text>
    </comment>
    <comment ref="AK13" authorId="1">
      <text>
        <r>
          <rPr>
            <sz val="8"/>
            <color indexed="81"/>
            <rFont val="Tahoma"/>
            <family val="2"/>
          </rPr>
          <t>Source: analyst deck from mgmt</t>
        </r>
      </text>
    </comment>
    <comment ref="AM13" authorId="2">
      <text>
        <r>
          <rPr>
            <sz val="8"/>
            <color indexed="81"/>
            <rFont val="Tahoma"/>
            <family val="2"/>
          </rPr>
          <t xml:space="preserve">Total Rev - Other Rev
866.0 - 7.9
</t>
        </r>
      </text>
    </comment>
    <comment ref="AQ13" authorId="2">
      <text>
        <r>
          <rPr>
            <sz val="8"/>
            <color indexed="81"/>
            <rFont val="Tahoma"/>
            <family val="2"/>
          </rPr>
          <t xml:space="preserve">Total Rev - Other Rev
906.8 - 8.1
</t>
        </r>
      </text>
    </comment>
    <comment ref="BA13" authorId="5">
      <text>
        <r>
          <rPr>
            <b/>
            <sz val="8"/>
            <color indexed="81"/>
            <rFont val="Tahoma"/>
            <family val="2"/>
          </rPr>
          <t xml:space="preserve">12/9/13: </t>
        </r>
        <r>
          <rPr>
            <sz val="8"/>
            <color indexed="81"/>
            <rFont val="Tahoma"/>
            <family val="2"/>
          </rPr>
          <t>traffic is slightly up, AUR is slightly down. Conversion is up more than traffic, avg basket is up comparable to conversion.</t>
        </r>
        <r>
          <rPr>
            <b/>
            <sz val="8"/>
            <color indexed="81"/>
            <rFont val="Tahoma"/>
            <family val="2"/>
          </rPr>
          <t xml:space="preserve">
granaosc:</t>
        </r>
        <r>
          <rPr>
            <sz val="8"/>
            <color indexed="81"/>
            <rFont val="Tahoma"/>
            <family val="2"/>
          </rPr>
          <t xml:space="preserve">
08/08/13: Expect +2.5 comps</t>
        </r>
      </text>
    </comment>
    <comment ref="BD13" authorId="3">
      <text>
        <r>
          <rPr>
            <b/>
            <sz val="9"/>
            <color indexed="81"/>
            <rFont val="Tahoma"/>
            <family val="2"/>
          </rPr>
          <t xml:space="preserve">9/8/14: </t>
        </r>
        <r>
          <rPr>
            <sz val="9"/>
            <color indexed="81"/>
            <rFont val="Tahoma"/>
            <family val="2"/>
          </rPr>
          <t xml:space="preserve">Guidance 6.4%-7.4%
</t>
        </r>
      </text>
    </comment>
    <comment ref="BE13" authorId="3">
      <text>
        <r>
          <rPr>
            <b/>
            <sz val="9"/>
            <color indexed="81"/>
            <rFont val="Tahoma"/>
            <family val="2"/>
          </rPr>
          <t xml:space="preserve">9/8/14: </t>
        </r>
        <r>
          <rPr>
            <sz val="9"/>
            <color indexed="81"/>
            <rFont val="Tahoma"/>
            <family val="2"/>
          </rPr>
          <t xml:space="preserve">guidance 3-4%
</t>
        </r>
      </text>
    </comment>
    <comment ref="BI13" authorId="7">
      <text>
        <r>
          <rPr>
            <b/>
            <sz val="9"/>
            <color indexed="81"/>
            <rFont val="Tahoma"/>
            <family val="2"/>
          </rPr>
          <t>Baglione, Gregory  (Research):</t>
        </r>
        <r>
          <rPr>
            <sz val="9"/>
            <color indexed="81"/>
            <rFont val="Tahoma"/>
            <family val="2"/>
          </rPr>
          <t xml:space="preserve">
8/27/15:
Guidance sales +6-7%, Comps +2-3%</t>
        </r>
      </text>
    </comment>
    <comment ref="BJ13" authorId="7">
      <text>
        <r>
          <rPr>
            <b/>
            <sz val="9"/>
            <color indexed="81"/>
            <rFont val="Tahoma"/>
            <family val="2"/>
          </rPr>
          <t>Baglione, Gregory  (Research):</t>
        </r>
        <r>
          <rPr>
            <sz val="9"/>
            <color indexed="81"/>
            <rFont val="Tahoma"/>
            <family val="2"/>
          </rPr>
          <t xml:space="preserve">
8/27/15:
Guidance sales +6-7%, Comps +2-3%</t>
        </r>
      </text>
    </comment>
    <comment ref="AI14" authorId="2">
      <text>
        <r>
          <rPr>
            <sz val="8"/>
            <color indexed="81"/>
            <rFont val="Tahoma"/>
            <family val="2"/>
          </rPr>
          <t xml:space="preserve">Total Rev - Other Rev
1128.6 - 9.1
</t>
        </r>
      </text>
    </comment>
    <comment ref="AK14" authorId="1">
      <text>
        <r>
          <rPr>
            <sz val="8"/>
            <color indexed="81"/>
            <rFont val="Tahoma"/>
            <family val="2"/>
          </rPr>
          <t>Source: analyst deck from mgmt</t>
        </r>
      </text>
    </comment>
    <comment ref="AM14" authorId="2">
      <text>
        <r>
          <rPr>
            <sz val="8"/>
            <color indexed="81"/>
            <rFont val="Tahoma"/>
            <family val="2"/>
          </rPr>
          <t xml:space="preserve">Total Rev - Other Rev
1197.6 - 9.6
</t>
        </r>
      </text>
    </comment>
    <comment ref="AQ14" authorId="2">
      <text>
        <r>
          <rPr>
            <sz val="8"/>
            <color indexed="81"/>
            <rFont val="Tahoma"/>
            <family val="2"/>
          </rPr>
          <t xml:space="preserve">Total Rev - Other Rev
1244 - 10.9
</t>
        </r>
      </text>
    </comment>
    <comment ref="AU14" authorId="1">
      <text>
        <r>
          <rPr>
            <b/>
            <sz val="8"/>
            <color indexed="81"/>
            <rFont val="Tahoma"/>
            <family val="2"/>
          </rPr>
          <t>Note:</t>
        </r>
        <r>
          <rPr>
            <sz val="8"/>
            <color indexed="81"/>
            <rFont val="Tahoma"/>
            <family val="2"/>
          </rPr>
          <t xml:space="preserve"> 53rd week added ~$54M in sales</t>
        </r>
      </text>
    </comment>
    <comment ref="BA14" authorId="5">
      <text>
        <r>
          <rPr>
            <b/>
            <sz val="8"/>
            <color indexed="81"/>
            <rFont val="Tahoma"/>
            <family val="2"/>
          </rPr>
          <t xml:space="preserve">12/9/13: </t>
        </r>
        <r>
          <rPr>
            <sz val="8"/>
            <color indexed="81"/>
            <rFont val="Tahoma"/>
            <family val="2"/>
          </rPr>
          <t>guidance 2-3%</t>
        </r>
        <r>
          <rPr>
            <b/>
            <sz val="8"/>
            <color indexed="81"/>
            <rFont val="Tahoma"/>
            <family val="2"/>
          </rPr>
          <t xml:space="preserve">
granaosc:</t>
        </r>
        <r>
          <rPr>
            <sz val="8"/>
            <color indexed="81"/>
            <rFont val="Tahoma"/>
            <family val="2"/>
          </rPr>
          <t xml:space="preserve">
08/08/13: Expect +2.5 comps</t>
        </r>
      </text>
    </comment>
    <comment ref="BD14" authorId="4">
      <text>
        <r>
          <rPr>
            <b/>
            <sz val="9"/>
            <color indexed="81"/>
            <rFont val="Tahoma"/>
            <family val="2"/>
          </rPr>
          <t>Turley, Amber (Research):</t>
        </r>
        <r>
          <rPr>
            <sz val="9"/>
            <color indexed="81"/>
            <rFont val="Tahoma"/>
            <family val="2"/>
          </rPr>
          <t xml:space="preserve">
1/9/15: Raised guidance to 9.6%-10.1%
12/9/14: Guidance 7.2-8.2%</t>
        </r>
      </text>
    </comment>
    <comment ref="BE14" authorId="3">
      <text>
        <r>
          <rPr>
            <b/>
            <sz val="9"/>
            <color indexed="81"/>
            <rFont val="Tahoma"/>
            <family val="2"/>
          </rPr>
          <t xml:space="preserve">3/17/15: </t>
        </r>
        <r>
          <rPr>
            <sz val="9"/>
            <color indexed="81"/>
            <rFont val="Tahoma"/>
            <family val="2"/>
          </rPr>
          <t xml:space="preserve">Comp driven by +transactions and +avg basket. Transactions fully driven by traffic (conversion flat) and avg basket driven by +UPT (AUR slightly negative relates to mix) . Strong performance in missy sportswear, Ws shoes and accessories. Mens apparel and home outperformed the average. </t>
        </r>
        <r>
          <rPr>
            <b/>
            <sz val="9"/>
            <color indexed="81"/>
            <rFont val="Tahoma"/>
            <family val="2"/>
          </rPr>
          <t xml:space="preserve">
1/9/15: </t>
        </r>
        <r>
          <rPr>
            <sz val="9"/>
            <color indexed="81"/>
            <rFont val="Tahoma"/>
            <family val="2"/>
          </rPr>
          <t>Raised guidance to 5-5.5%</t>
        </r>
        <r>
          <rPr>
            <b/>
            <sz val="9"/>
            <color indexed="81"/>
            <rFont val="Tahoma"/>
            <family val="2"/>
          </rPr>
          <t xml:space="preserve">
12/9/14:</t>
        </r>
        <r>
          <rPr>
            <sz val="9"/>
            <color indexed="81"/>
            <rFont val="Tahoma"/>
            <family val="2"/>
          </rPr>
          <t xml:space="preserve"> guidance 3-4%</t>
        </r>
        <r>
          <rPr>
            <b/>
            <sz val="9"/>
            <color indexed="81"/>
            <rFont val="Tahoma"/>
            <family val="2"/>
          </rPr>
          <t xml:space="preserve">
9/8/14: </t>
        </r>
        <r>
          <rPr>
            <sz val="9"/>
            <color indexed="81"/>
            <rFont val="Tahoma"/>
            <family val="2"/>
          </rPr>
          <t xml:space="preserve">guidance 2-3%
</t>
        </r>
      </text>
    </comment>
    <comment ref="BI14" authorId="7">
      <text>
        <r>
          <rPr>
            <b/>
            <sz val="9"/>
            <color indexed="81"/>
            <rFont val="Tahoma"/>
            <family val="2"/>
          </rPr>
          <t>Baglione, Gregory  (Research):</t>
        </r>
        <r>
          <rPr>
            <sz val="9"/>
            <color indexed="81"/>
            <rFont val="Tahoma"/>
            <family val="2"/>
          </rPr>
          <t xml:space="preserve">
8/27/15
FY sales guidance +6.5-7%, comps +2.5-3.0%</t>
        </r>
      </text>
    </comment>
    <comment ref="BJ14" authorId="7">
      <text>
        <r>
          <rPr>
            <b/>
            <sz val="9"/>
            <color indexed="81"/>
            <rFont val="Tahoma"/>
            <family val="2"/>
          </rPr>
          <t>Baglione, Gregory  (Research):</t>
        </r>
        <r>
          <rPr>
            <sz val="9"/>
            <color indexed="81"/>
            <rFont val="Tahoma"/>
            <family val="2"/>
          </rPr>
          <t xml:space="preserve">
8/27/15
FY sales guidance +6.5-7%, comps +2.5-3.0%</t>
        </r>
      </text>
    </comment>
    <comment ref="AI15" authorId="2">
      <text>
        <r>
          <rPr>
            <sz val="8"/>
            <color indexed="81"/>
            <rFont val="Tahoma"/>
            <family val="2"/>
          </rPr>
          <t xml:space="preserve">Total Rev - Other Rev
3553.8 - 30.8
</t>
        </r>
      </text>
    </comment>
    <comment ref="AK15" authorId="1">
      <text>
        <r>
          <rPr>
            <sz val="8"/>
            <color indexed="81"/>
            <rFont val="Tahoma"/>
            <family val="2"/>
          </rPr>
          <t>Source: analyst deck from mgmt</t>
        </r>
      </text>
    </comment>
    <comment ref="AM15" authorId="2">
      <text>
        <r>
          <rPr>
            <sz val="8"/>
            <color indexed="81"/>
            <rFont val="Tahoma"/>
            <family val="2"/>
          </rPr>
          <t xml:space="preserve">Total Rev - Other Rev
3701.1 - 31.5
</t>
        </r>
      </text>
    </comment>
    <comment ref="AQ15" authorId="2">
      <text>
        <r>
          <rPr>
            <sz val="8"/>
            <color indexed="81"/>
            <rFont val="Tahoma"/>
            <family val="2"/>
          </rPr>
          <t xml:space="preserve">Total Rev - Other Rev
3887.5 - 33.4
</t>
        </r>
      </text>
    </comment>
    <comment ref="AU15" authorId="1">
      <text>
        <r>
          <rPr>
            <b/>
            <sz val="8"/>
            <color indexed="81"/>
            <rFont val="Tahoma"/>
            <family val="2"/>
          </rPr>
          <t>Note:</t>
        </r>
        <r>
          <rPr>
            <sz val="8"/>
            <color indexed="81"/>
            <rFont val="Tahoma"/>
            <family val="2"/>
          </rPr>
          <t xml:space="preserve"> 53rd week added ~$54M in sales</t>
        </r>
      </text>
    </comment>
    <comment ref="BA15" authorId="5">
      <text>
        <r>
          <rPr>
            <b/>
            <sz val="8"/>
            <color indexed="81"/>
            <rFont val="Tahoma"/>
            <family val="2"/>
          </rPr>
          <t>granaosc:</t>
        </r>
        <r>
          <rPr>
            <sz val="8"/>
            <color indexed="81"/>
            <rFont val="Tahoma"/>
            <family val="2"/>
          </rPr>
          <t xml:space="preserve">
08/08/13: Expect +3.9 comps</t>
        </r>
      </text>
    </comment>
    <comment ref="BD15" authorId="3">
      <text>
        <r>
          <rPr>
            <b/>
            <sz val="9"/>
            <color indexed="81"/>
            <rFont val="Tahoma"/>
            <family val="2"/>
          </rPr>
          <t xml:space="preserve">3/20/14: </t>
        </r>
        <r>
          <rPr>
            <sz val="9"/>
            <color indexed="81"/>
            <rFont val="Tahoma"/>
            <family val="2"/>
          </rPr>
          <t xml:space="preserve">guidance 5.8% - 6.8%
</t>
        </r>
        <r>
          <rPr>
            <b/>
            <sz val="9"/>
            <color indexed="81"/>
            <rFont val="Tahoma"/>
            <family val="2"/>
          </rPr>
          <t>6/10/14:</t>
        </r>
        <r>
          <rPr>
            <sz val="9"/>
            <color indexed="81"/>
            <rFont val="Tahoma"/>
            <family val="2"/>
          </rPr>
          <t xml:space="preserve"> guidance 5.8% - 6.8%
</t>
        </r>
        <r>
          <rPr>
            <b/>
            <sz val="9"/>
            <color indexed="81"/>
            <rFont val="Tahoma"/>
            <family val="2"/>
          </rPr>
          <t>9/8/14:</t>
        </r>
        <r>
          <rPr>
            <sz val="9"/>
            <color indexed="81"/>
            <rFont val="Tahoma"/>
            <family val="2"/>
          </rPr>
          <t xml:space="preserve"> guidance 6.5% - 7.2%
</t>
        </r>
        <r>
          <rPr>
            <b/>
            <sz val="9"/>
            <color indexed="81"/>
            <rFont val="Tahoma"/>
            <family val="2"/>
          </rPr>
          <t>12/9/14:</t>
        </r>
        <r>
          <rPr>
            <sz val="9"/>
            <color indexed="81"/>
            <rFont val="Tahoma"/>
            <family val="2"/>
          </rPr>
          <t xml:space="preserve"> Guidance 7.5-7.8%
</t>
        </r>
        <r>
          <rPr>
            <b/>
            <sz val="9"/>
            <color indexed="81"/>
            <rFont val="Tahoma"/>
            <family val="2"/>
          </rPr>
          <t>1/9/15:</t>
        </r>
        <r>
          <rPr>
            <sz val="9"/>
            <color indexed="81"/>
            <rFont val="Tahoma"/>
            <family val="2"/>
          </rPr>
          <t xml:space="preserve"> Raised guidance to 8.2-8.4%</t>
        </r>
      </text>
    </comment>
    <comment ref="BE15" authorId="3">
      <text>
        <r>
          <rPr>
            <b/>
            <sz val="9"/>
            <color indexed="81"/>
            <rFont val="Tahoma"/>
            <family val="2"/>
          </rPr>
          <t xml:space="preserve">3/20/14: </t>
        </r>
        <r>
          <rPr>
            <sz val="9"/>
            <color indexed="81"/>
            <rFont val="Tahoma"/>
            <family val="2"/>
          </rPr>
          <t xml:space="preserve">guidance 2% - 3%
</t>
        </r>
        <r>
          <rPr>
            <b/>
            <sz val="9"/>
            <color indexed="81"/>
            <rFont val="Tahoma"/>
            <family val="2"/>
          </rPr>
          <t>6/10/14:</t>
        </r>
        <r>
          <rPr>
            <sz val="9"/>
            <color indexed="81"/>
            <rFont val="Tahoma"/>
            <family val="2"/>
          </rPr>
          <t xml:space="preserve"> guidance 2% - 3%
</t>
        </r>
        <r>
          <rPr>
            <b/>
            <sz val="9"/>
            <color indexed="81"/>
            <rFont val="Tahoma"/>
            <family val="2"/>
          </rPr>
          <t xml:space="preserve">9/8/14: </t>
        </r>
        <r>
          <rPr>
            <sz val="9"/>
            <color indexed="81"/>
            <rFont val="Tahoma"/>
            <family val="2"/>
          </rPr>
          <t xml:space="preserve">guidance 3%
</t>
        </r>
        <r>
          <rPr>
            <b/>
            <sz val="9"/>
            <color indexed="81"/>
            <rFont val="Tahoma"/>
            <family val="2"/>
          </rPr>
          <t>12/9/14:</t>
        </r>
        <r>
          <rPr>
            <sz val="9"/>
            <color indexed="81"/>
            <rFont val="Tahoma"/>
            <family val="2"/>
          </rPr>
          <t xml:space="preserve"> Guidance 4%
</t>
        </r>
        <r>
          <rPr>
            <b/>
            <sz val="9"/>
            <color indexed="81"/>
            <rFont val="Tahoma"/>
            <family val="2"/>
          </rPr>
          <t>1/9/15</t>
        </r>
        <r>
          <rPr>
            <sz val="9"/>
            <color indexed="81"/>
            <rFont val="Tahoma"/>
            <family val="2"/>
          </rPr>
          <t>: Raised guidance to ~4.5%</t>
        </r>
      </text>
    </comment>
    <comment ref="BI15" authorId="4">
      <text>
        <r>
          <rPr>
            <sz val="9"/>
            <color indexed="81"/>
            <rFont val="Tahoma"/>
            <family val="2"/>
          </rPr>
          <t>8/27/15
FY sales guidance +6.5-7%, comps +2.5-3.0%
6/9/15: Guidance reiterated 6-7%
3/17/15: Guidance 6-7%</t>
        </r>
      </text>
    </comment>
    <comment ref="BJ15" authorId="4">
      <text>
        <r>
          <rPr>
            <sz val="9"/>
            <color indexed="81"/>
            <rFont val="Tahoma"/>
            <family val="2"/>
          </rPr>
          <t xml:space="preserve">8/27/15
FY sales guidance +6.5-7%, comps +2.5-3.0%
6/9/15: Reiterated guidance 2-3%
3/17/15: Guidance 2-3%
</t>
        </r>
      </text>
    </comment>
    <comment ref="BE21" authorId="5">
      <text>
        <r>
          <rPr>
            <b/>
            <sz val="8"/>
            <color indexed="81"/>
            <rFont val="Tahoma"/>
            <family val="2"/>
          </rPr>
          <t xml:space="preserve">06/10/14: </t>
        </r>
        <r>
          <rPr>
            <sz val="8"/>
            <color indexed="81"/>
            <rFont val="Tahoma"/>
            <family val="2"/>
          </rPr>
          <t>Gross margin expanded by 80 basis points to 38.1% from 37.3% last year, primarily due to improved execution. This more than offset an approximate 30 basis point increase in product sourcing costs that are included in selling and administrative expenses</t>
        </r>
        <r>
          <rPr>
            <sz val="8"/>
            <color indexed="81"/>
            <rFont val="Tahoma"/>
            <family val="2"/>
          </rPr>
          <t xml:space="preserve">
</t>
        </r>
      </text>
    </comment>
    <comment ref="BI21" authorId="6">
      <text>
        <r>
          <rPr>
            <b/>
            <sz val="9"/>
            <color indexed="81"/>
            <rFont val="Tahoma"/>
            <family val="2"/>
          </rPr>
          <t>Mains, Spencer (Research):</t>
        </r>
        <r>
          <rPr>
            <sz val="9"/>
            <color indexed="81"/>
            <rFont val="Tahoma"/>
            <family val="2"/>
          </rPr>
          <t xml:space="preserve">
6/9/15: Fewer markdowns, driven by the lower level of aged inventory, was the primary driver of the margin increase.</t>
        </r>
      </text>
    </comment>
    <comment ref="BD22" authorId="5">
      <text>
        <r>
          <rPr>
            <b/>
            <sz val="8"/>
            <color indexed="81"/>
            <rFont val="Tahoma"/>
            <family val="2"/>
          </rPr>
          <t xml:space="preserve">06/10/14: </t>
        </r>
        <r>
          <rPr>
            <sz val="8"/>
            <color indexed="81"/>
            <rFont val="Tahoma"/>
            <family val="2"/>
          </rPr>
          <t>guidance +20 to +40 bps</t>
        </r>
      </text>
    </comment>
    <comment ref="BE22" authorId="3">
      <text>
        <r>
          <rPr>
            <b/>
            <sz val="9"/>
            <color indexed="81"/>
            <rFont val="Tahoma"/>
            <family val="2"/>
          </rPr>
          <t xml:space="preserve">9/8/14: </t>
        </r>
        <r>
          <rPr>
            <sz val="9"/>
            <color indexed="81"/>
            <rFont val="Tahoma"/>
            <family val="2"/>
          </rPr>
          <t xml:space="preserve">Gross margin expanded by 50 basis points to 38.2% from 37.7% in the second quarter of Fiscal 2013. This more than offset an approximate 40 basis point increase in product sourcing costs that are included in selling, general and administrative expenses (SG&amp;A). 
</t>
        </r>
      </text>
    </comment>
    <comment ref="BI22" authorId="7">
      <text>
        <r>
          <rPr>
            <b/>
            <sz val="9"/>
            <color indexed="81"/>
            <rFont val="Tahoma"/>
            <family val="2"/>
          </rPr>
          <t>Baglione, Gregory  (Research):
8/27/15</t>
        </r>
        <r>
          <rPr>
            <sz val="9"/>
            <color indexed="81"/>
            <rFont val="Tahoma"/>
            <family val="2"/>
          </rPr>
          <t xml:space="preserve">
100 bps improvement more than offset 50 bps of sourcing cost presure (in SG&amp;A), GM benefitted from lower inventory levels and a lower markdown rate. Markdown dollars were in-line w/ plan, but stronger comp boosted rate improvement
GM also benefitted from reduced freight from product mix, lower pounds per unit and lower fuel costs.</t>
        </r>
      </text>
    </comment>
    <comment ref="BI23" authorId="7">
      <text>
        <r>
          <rPr>
            <b/>
            <sz val="9"/>
            <color indexed="81"/>
            <rFont val="Tahoma"/>
            <family val="2"/>
          </rPr>
          <t>Baglione, Gregory  (Research):</t>
        </r>
        <r>
          <rPr>
            <sz val="9"/>
            <color indexed="81"/>
            <rFont val="Tahoma"/>
            <family val="2"/>
          </rPr>
          <t xml:space="preserve">
8/27/15:
Guidance for 2H margin improvement vs. last year to slightly outpace product sourcing cost increases vs. last year</t>
        </r>
      </text>
    </comment>
    <comment ref="AZ24" authorId="5">
      <text>
        <r>
          <rPr>
            <b/>
            <sz val="8"/>
            <color indexed="81"/>
            <rFont val="Tahoma"/>
            <family val="2"/>
          </rPr>
          <t xml:space="preserve">3/20/14: </t>
        </r>
        <r>
          <rPr>
            <sz val="8"/>
            <color indexed="81"/>
            <rFont val="Tahoma"/>
            <family val="2"/>
          </rPr>
          <t xml:space="preserve">Gross margin expanded by 30 basis points primarily due to improved merchandising margins.Costs to process goods through the Company’s supply chain and buying costs, which are included in selling and administrative expenses, rose by a similar rate, as expected.
</t>
        </r>
        <r>
          <rPr>
            <b/>
            <sz val="8"/>
            <color indexed="81"/>
            <rFont val="Tahoma"/>
            <family val="2"/>
          </rPr>
          <t xml:space="preserve">12/9/13: </t>
        </r>
        <r>
          <rPr>
            <sz val="8"/>
            <color indexed="81"/>
            <rFont val="Tahoma"/>
            <family val="2"/>
          </rPr>
          <t>expect very slight GM expansion yoy</t>
        </r>
        <r>
          <rPr>
            <b/>
            <sz val="8"/>
            <color indexed="81"/>
            <rFont val="Tahoma"/>
            <family val="2"/>
          </rPr>
          <t xml:space="preserve">
</t>
        </r>
      </text>
    </comment>
    <comment ref="BI24" authorId="7">
      <text>
        <r>
          <rPr>
            <b/>
            <sz val="9"/>
            <color indexed="81"/>
            <rFont val="Tahoma"/>
            <family val="2"/>
          </rPr>
          <t>Baglione, Gregory  (Research):</t>
        </r>
        <r>
          <rPr>
            <sz val="9"/>
            <color indexed="81"/>
            <rFont val="Tahoma"/>
            <family val="2"/>
          </rPr>
          <t xml:space="preserve">
8/27/15:
Guidance for 2H margin improvement vs. last year to slightly outpace product sourcing cost increases vs. last year</t>
        </r>
      </text>
    </comment>
    <comment ref="BD25" authorId="4">
      <text>
        <r>
          <rPr>
            <b/>
            <sz val="9"/>
            <color indexed="81"/>
            <rFont val="Tahoma"/>
            <family val="2"/>
          </rPr>
          <t>Turley, Amber (Research):</t>
        </r>
        <r>
          <rPr>
            <sz val="9"/>
            <color indexed="81"/>
            <rFont val="Tahoma"/>
            <family val="2"/>
          </rPr>
          <t xml:space="preserve">
6/10/14: expect GM improvement of 40-50 bps</t>
        </r>
      </text>
    </comment>
    <comment ref="BI25" authorId="7">
      <text>
        <r>
          <rPr>
            <b/>
            <sz val="9"/>
            <color indexed="81"/>
            <rFont val="Tahoma"/>
            <family val="2"/>
          </rPr>
          <t>Baglione, Gregory  (Research):</t>
        </r>
        <r>
          <rPr>
            <sz val="9"/>
            <color indexed="81"/>
            <rFont val="Tahoma"/>
            <family val="2"/>
          </rPr>
          <t xml:space="preserve">
8/27/15:
Guidance for 2H margin improvement vs. last year to slightly outpace product sourcing cost increases vs. last year</t>
        </r>
      </text>
    </comment>
    <comment ref="AY31" authorId="2">
      <text>
        <r>
          <rPr>
            <b/>
            <sz val="8"/>
            <color indexed="81"/>
            <rFont val="Tahoma"/>
            <family val="2"/>
          </rPr>
          <t xml:space="preserve">09/10/13: </t>
        </r>
        <r>
          <rPr>
            <sz val="8"/>
            <color indexed="81"/>
            <rFont val="Tahoma"/>
            <family val="2"/>
          </rPr>
          <t>Expects additional "Stock Compensation Expense" of 0.0M</t>
        </r>
        <r>
          <rPr>
            <sz val="8"/>
            <color indexed="81"/>
            <rFont val="Tahoma"/>
            <family val="2"/>
          </rPr>
          <t xml:space="preserve">
</t>
        </r>
      </text>
    </comment>
    <comment ref="BD31" authorId="5">
      <text>
        <r>
          <rPr>
            <b/>
            <sz val="8"/>
            <color indexed="81"/>
            <rFont val="Tahoma"/>
            <family val="2"/>
          </rPr>
          <t xml:space="preserve">06/10/14: </t>
        </r>
        <r>
          <rPr>
            <sz val="8"/>
            <color indexed="81"/>
            <rFont val="Tahoma"/>
            <family val="2"/>
          </rPr>
          <t>the Company experienced increased product sourcing expenses included in SG&amp;A to process goods through its supply chain, as well as buying costs. This was offset by positive leverage from other expenses, primarily store payroll.</t>
        </r>
        <r>
          <rPr>
            <b/>
            <sz val="8"/>
            <color indexed="81"/>
            <rFont val="Tahoma"/>
            <family val="2"/>
          </rPr>
          <t xml:space="preserve"> The quarter also benefited from 15 to 20 basis points in expenses that will shift to the second quarter</t>
        </r>
      </text>
    </comment>
    <comment ref="BI31" authorId="6">
      <text>
        <r>
          <rPr>
            <b/>
            <sz val="9"/>
            <color indexed="81"/>
            <rFont val="Tahoma"/>
            <family val="2"/>
          </rPr>
          <t>Mains, Spencer (Research):</t>
        </r>
        <r>
          <rPr>
            <sz val="9"/>
            <color indexed="81"/>
            <rFont val="Tahoma"/>
            <family val="2"/>
          </rPr>
          <t xml:space="preserve">
6/9/15: Increase due to deleveraging of occupancy and market costs, increases in severance and stock-based comp expense.</t>
        </r>
      </text>
    </comment>
    <comment ref="AY32" authorId="2">
      <text>
        <r>
          <rPr>
            <b/>
            <sz val="8"/>
            <color indexed="81"/>
            <rFont val="Tahoma"/>
            <family val="2"/>
          </rPr>
          <t xml:space="preserve">09/10/13: </t>
        </r>
        <r>
          <rPr>
            <sz val="8"/>
            <color indexed="81"/>
            <rFont val="Tahoma"/>
            <family val="2"/>
          </rPr>
          <t>Expects additional "Stock Compensation Expense" of 1.0M</t>
        </r>
        <r>
          <rPr>
            <sz val="8"/>
            <color indexed="81"/>
            <rFont val="Tahoma"/>
            <family val="2"/>
          </rPr>
          <t xml:space="preserve">
</t>
        </r>
      </text>
    </comment>
    <comment ref="BD32" authorId="3">
      <text>
        <r>
          <rPr>
            <b/>
            <sz val="9"/>
            <color indexed="81"/>
            <rFont val="Tahoma"/>
            <family val="2"/>
          </rPr>
          <t xml:space="preserve">9/8/14: </t>
        </r>
        <r>
          <rPr>
            <sz val="9"/>
            <color indexed="81"/>
            <rFont val="Tahoma"/>
            <family val="2"/>
          </rPr>
          <t xml:space="preserve">SG&amp;A, less product sourcing costs and advisory fees, as a percentage of net sales was 29.0% vs. 29.7% in the second quarter of Fiscal 2013 driven by improved leverage in store payroll, store expenses and other SG&amp;A.
The improvement in leverage included a 20 basis point benefit from a shift in time and expenses to the third quarter. This was offset by 30 basis point impact of an unanticipated increase in legal reserves.
</t>
        </r>
      </text>
    </comment>
    <comment ref="BI32" authorId="7">
      <text>
        <r>
          <rPr>
            <b/>
            <sz val="9"/>
            <color indexed="81"/>
            <rFont val="Tahoma"/>
            <family val="2"/>
          </rPr>
          <t>Baglione, Gregory  (Research):</t>
        </r>
        <r>
          <rPr>
            <sz val="9"/>
            <color indexed="81"/>
            <rFont val="Tahoma"/>
            <family val="2"/>
          </rPr>
          <t xml:space="preserve">
SG&amp;A improvement was driven by improved leverage in store payroll and occupancy. Slightly offset by increased SBC.
</t>
        </r>
      </text>
    </comment>
    <comment ref="AY33" authorId="2">
      <text>
        <r>
          <rPr>
            <b/>
            <sz val="8"/>
            <color indexed="81"/>
            <rFont val="Tahoma"/>
            <family val="2"/>
          </rPr>
          <t>12/9/13: -0.7M Advisory fees</t>
        </r>
        <r>
          <rPr>
            <sz val="8"/>
            <color indexed="81"/>
            <rFont val="Tahoma"/>
            <family val="2"/>
          </rPr>
          <t xml:space="preserve">
</t>
        </r>
      </text>
    </comment>
    <comment ref="BD33" authorId="4">
      <text>
        <r>
          <rPr>
            <b/>
            <sz val="9"/>
            <color indexed="81"/>
            <rFont val="Tahoma"/>
            <family val="2"/>
          </rPr>
          <t>Turley, Amber (Research):</t>
        </r>
        <r>
          <rPr>
            <sz val="9"/>
            <color indexed="81"/>
            <rFont val="Tahoma"/>
            <family val="2"/>
          </rPr>
          <t xml:space="preserve">
12/10/14: 70 bps increase in product sourcing costs. 
But otherwise improved SG&amp;A leverage ex product sourcing costs and advisory fees driven primarily by improved leverage in store payroll, advertising, offset somewhat by higher incentive compensation accruals. </t>
        </r>
      </text>
    </comment>
    <comment ref="BI33" authorId="7">
      <text>
        <r>
          <rPr>
            <b/>
            <sz val="9"/>
            <color indexed="81"/>
            <rFont val="Tahoma"/>
            <family val="2"/>
          </rPr>
          <t>Baglione, Gregory  (Research):</t>
        </r>
        <r>
          <rPr>
            <sz val="9"/>
            <color indexed="81"/>
            <rFont val="Tahoma"/>
            <family val="2"/>
          </rPr>
          <t xml:space="preserve">
</t>
        </r>
      </text>
    </comment>
    <comment ref="AY34" authorId="3">
      <text>
        <r>
          <rPr>
            <b/>
            <sz val="9"/>
            <color indexed="81"/>
            <rFont val="Tahoma"/>
            <family val="2"/>
          </rPr>
          <t>-advisory fee</t>
        </r>
        <r>
          <rPr>
            <sz val="9"/>
            <color indexed="81"/>
            <rFont val="Tahoma"/>
            <family val="2"/>
          </rPr>
          <t xml:space="preserve">
</t>
        </r>
      </text>
    </comment>
    <comment ref="AZ34" authorId="5">
      <text>
        <r>
          <rPr>
            <b/>
            <sz val="8"/>
            <color indexed="81"/>
            <rFont val="Tahoma"/>
            <family val="2"/>
          </rPr>
          <t xml:space="preserve">3/20/14: </t>
        </r>
        <r>
          <rPr>
            <sz val="8"/>
            <color indexed="81"/>
            <rFont val="Tahoma"/>
            <family val="2"/>
          </rPr>
          <t>Selling and administrative expenses, exclusive of advisory fees, as a percentage of net sales were 28.0% vs. 27.8% last year. The fourth quarter last year was positively impacted by the reversal of incentive compensation accruals while the fourth quarter this year includes incentive compensation expense associated with performance better than plan. The incentive compensation expense difference resulted in an 80 basis point increase in expense quarter over quarter, which was partially offset by improved leverage on store payroll of 40 basis points and occupancy and other store expenses of 30 basis points, as well as leverage on corporate expenses.</t>
        </r>
        <r>
          <rPr>
            <b/>
            <sz val="8"/>
            <color indexed="81"/>
            <rFont val="Tahoma"/>
            <family val="2"/>
          </rPr>
          <t xml:space="preserve">
12/9/13: </t>
        </r>
        <r>
          <rPr>
            <sz val="8"/>
            <color indexed="81"/>
            <rFont val="Tahoma"/>
            <family val="2"/>
          </rPr>
          <t xml:space="preserve">no explicit guidance but investment in payroll and investment in marketing.
</t>
        </r>
      </text>
    </comment>
    <comment ref="BC34" authorId="4">
      <text>
        <r>
          <rPr>
            <b/>
            <sz val="9"/>
            <color indexed="81"/>
            <rFont val="Tahoma"/>
            <family val="2"/>
          </rPr>
          <t>Turley, Amber (Research):</t>
        </r>
        <r>
          <rPr>
            <sz val="9"/>
            <color indexed="81"/>
            <rFont val="Tahoma"/>
            <family val="2"/>
          </rPr>
          <t xml:space="preserve">
SG&amp;A less product sourcing costs, non-recurring legal charge and advisory fees was 24.3% of sales ($360.95M) vs. 24.6% LY driven by reductions in store payroll and advertising, partially offset by higher incentive compensation accruals. </t>
        </r>
      </text>
    </comment>
    <comment ref="BD34" authorId="4">
      <text>
        <r>
          <rPr>
            <b/>
            <sz val="9"/>
            <color indexed="81"/>
            <rFont val="Tahoma"/>
            <family val="2"/>
          </rPr>
          <t>Turley, Amber (Research):</t>
        </r>
        <r>
          <rPr>
            <sz val="9"/>
            <color indexed="81"/>
            <rFont val="Tahoma"/>
            <family val="2"/>
          </rPr>
          <t xml:space="preserve">
12/9/14: </t>
        </r>
      </text>
    </comment>
    <comment ref="AM35" authorId="2">
      <text>
        <r>
          <rPr>
            <b/>
            <sz val="8"/>
            <color indexed="81"/>
            <rFont val="Tahoma"/>
            <family val="2"/>
          </rPr>
          <t>-Advisory fee (4.289)
+Restructuring (2.2)</t>
        </r>
        <r>
          <rPr>
            <sz val="8"/>
            <color indexed="81"/>
            <rFont val="Tahoma"/>
            <family val="2"/>
          </rPr>
          <t xml:space="preserve">
</t>
        </r>
      </text>
    </comment>
    <comment ref="AQ35" authorId="2">
      <text>
        <r>
          <rPr>
            <b/>
            <sz val="8"/>
            <color indexed="81"/>
            <rFont val="Tahoma"/>
            <family val="2"/>
          </rPr>
          <t>-Advisory fee (4.285)
+Restructuring (7.438)</t>
        </r>
        <r>
          <rPr>
            <sz val="8"/>
            <color indexed="81"/>
            <rFont val="Tahoma"/>
            <family val="2"/>
          </rPr>
          <t xml:space="preserve">
</t>
        </r>
      </text>
    </comment>
    <comment ref="AY35" authorId="3">
      <text>
        <r>
          <rPr>
            <b/>
            <sz val="9"/>
            <color indexed="81"/>
            <rFont val="Tahoma"/>
            <family val="2"/>
          </rPr>
          <t>-advisory fee</t>
        </r>
        <r>
          <rPr>
            <sz val="9"/>
            <color indexed="81"/>
            <rFont val="Tahoma"/>
            <family val="2"/>
          </rPr>
          <t xml:space="preserve">
</t>
        </r>
      </text>
    </comment>
    <comment ref="AZ35" authorId="2">
      <text>
        <r>
          <rPr>
            <b/>
            <sz val="8"/>
            <color indexed="81"/>
            <rFont val="Tahoma"/>
            <family val="2"/>
          </rPr>
          <t>3/20/14:</t>
        </r>
        <r>
          <rPr>
            <sz val="8"/>
            <color indexed="81"/>
            <rFont val="Tahoma"/>
            <family val="2"/>
          </rPr>
          <t xml:space="preserve"> Selling and administrative expenses, exclusive of advisory fees, as a percentage of net sales improved to 31.4% from 31.7% last year. The 30 basis point improvement was driven by leverage of store and marketing expenses, of 100 basis points and 20 basis points, respectively. This was partially offset by a 50 basis point increase in incentive compensation expense and a 30 basis point rise in supply chain, merchandising and product costs.
</t>
        </r>
        <r>
          <rPr>
            <b/>
            <sz val="8"/>
            <color indexed="81"/>
            <rFont val="Tahoma"/>
            <family val="2"/>
          </rPr>
          <t xml:space="preserve">
09/10/13: </t>
        </r>
        <r>
          <rPr>
            <sz val="8"/>
            <color indexed="81"/>
            <rFont val="Tahoma"/>
            <family val="2"/>
          </rPr>
          <t>Expects additional "Stock Compensation Expense" of 2.2M</t>
        </r>
        <r>
          <rPr>
            <sz val="8"/>
            <color indexed="81"/>
            <rFont val="Tahoma"/>
            <family val="2"/>
          </rPr>
          <t xml:space="preserve">
</t>
        </r>
      </text>
    </comment>
    <comment ref="BD35" authorId="2">
      <text>
        <r>
          <rPr>
            <b/>
            <sz val="8"/>
            <color indexed="81"/>
            <rFont val="Tahoma"/>
            <family val="2"/>
          </rPr>
          <t xml:space="preserve">06/10/14: </t>
        </r>
        <r>
          <rPr>
            <sz val="8"/>
            <color indexed="81"/>
            <rFont val="Tahoma"/>
            <family val="2"/>
          </rPr>
          <t>Expects slight SG&amp;A deleverage (de-leverage from product sourcing 25-35 bps)</t>
        </r>
      </text>
    </comment>
    <comment ref="BG35" authorId="6">
      <text>
        <r>
          <rPr>
            <b/>
            <sz val="9"/>
            <color indexed="81"/>
            <rFont val="Tahoma"/>
            <family val="2"/>
          </rPr>
          <t>Mains, Spencer (Research):</t>
        </r>
        <r>
          <rPr>
            <sz val="9"/>
            <color indexed="81"/>
            <rFont val="Tahoma"/>
            <family val="2"/>
          </rPr>
          <t xml:space="preserve">
6/9/15: Raising minimum hourly wage for full and part time associates to $9/hr, effective July 1. Incremental $5mm in 2015 completely offset by SG&amp;A reductions across the company.  Also have $9.4mm of incremental expenses from higher stock based comp and building costs.</t>
        </r>
      </text>
    </comment>
    <comment ref="AY41" authorId="2">
      <text>
        <r>
          <rPr>
            <b/>
            <sz val="8"/>
            <color indexed="81"/>
            <rFont val="Tahoma"/>
            <family val="2"/>
          </rPr>
          <t xml:space="preserve">09/10/13: </t>
        </r>
        <r>
          <rPr>
            <sz val="8"/>
            <color indexed="81"/>
            <rFont val="Tahoma"/>
            <family val="2"/>
          </rPr>
          <t>Expects additional "Stock Compensation Expense" of 0.0M</t>
        </r>
        <r>
          <rPr>
            <sz val="8"/>
            <color indexed="81"/>
            <rFont val="Tahoma"/>
            <family val="2"/>
          </rPr>
          <t xml:space="preserve">
</t>
        </r>
      </text>
    </comment>
    <comment ref="BD41" authorId="5">
      <text>
        <r>
          <rPr>
            <b/>
            <sz val="8"/>
            <color indexed="81"/>
            <rFont val="Tahoma"/>
            <family val="2"/>
          </rPr>
          <t xml:space="preserve">06/10/14: </t>
        </r>
        <r>
          <rPr>
            <sz val="8"/>
            <color indexed="81"/>
            <rFont val="Tahoma"/>
            <family val="2"/>
          </rPr>
          <t>the Company experienced increased product sourcing expenses included in SG&amp;A to process goods through its supply chain, as well as buying costs. This was offset by positive leverage from other expenses, primarily store payroll.</t>
        </r>
        <r>
          <rPr>
            <b/>
            <sz val="8"/>
            <color indexed="81"/>
            <rFont val="Tahoma"/>
            <family val="2"/>
          </rPr>
          <t xml:space="preserve"> The quarter also benefited from 15 to 20 basis points in expenses that will shift to the second quarter</t>
        </r>
      </text>
    </comment>
    <comment ref="AY42" authorId="2">
      <text>
        <r>
          <rPr>
            <b/>
            <sz val="8"/>
            <color indexed="81"/>
            <rFont val="Tahoma"/>
            <family val="2"/>
          </rPr>
          <t xml:space="preserve">09/10/13: </t>
        </r>
        <r>
          <rPr>
            <sz val="8"/>
            <color indexed="81"/>
            <rFont val="Tahoma"/>
            <family val="2"/>
          </rPr>
          <t>Expects additional "Stock Compensation Expense" of 1.0M</t>
        </r>
        <r>
          <rPr>
            <sz val="8"/>
            <color indexed="81"/>
            <rFont val="Tahoma"/>
            <family val="2"/>
          </rPr>
          <t xml:space="preserve">
</t>
        </r>
      </text>
    </comment>
    <comment ref="BD42" authorId="3">
      <text>
        <r>
          <rPr>
            <b/>
            <sz val="9"/>
            <color indexed="81"/>
            <rFont val="Tahoma"/>
            <family val="2"/>
          </rPr>
          <t xml:space="preserve">9/8/14: </t>
        </r>
        <r>
          <rPr>
            <sz val="9"/>
            <color indexed="81"/>
            <rFont val="Tahoma"/>
            <family val="2"/>
          </rPr>
          <t xml:space="preserve">SG&amp;A, less product sourcing costs and advisory fees, as a percentage of net sales was 29.0% vs. 29.7% in the second quarter of Fiscal 2013 driven by improved leverage in store payroll, store expenses and other SG&amp;A.
The improvement in leverage included a 20 basis point benefit from a shift in time and expenses to the third quarter. This was offset by 30 basis point impact of an unanticipated increase in legal reserves.
</t>
        </r>
      </text>
    </comment>
    <comment ref="AY43" authorId="2">
      <text>
        <r>
          <rPr>
            <b/>
            <sz val="8"/>
            <color indexed="81"/>
            <rFont val="Tahoma"/>
            <family val="2"/>
          </rPr>
          <t>12/9/13: -0.7M Advisory fees</t>
        </r>
        <r>
          <rPr>
            <sz val="8"/>
            <color indexed="81"/>
            <rFont val="Tahoma"/>
            <family val="2"/>
          </rPr>
          <t xml:space="preserve">
</t>
        </r>
      </text>
    </comment>
    <comment ref="BD43" authorId="4">
      <text>
        <r>
          <rPr>
            <b/>
            <sz val="9"/>
            <color indexed="81"/>
            <rFont val="Tahoma"/>
            <family val="2"/>
          </rPr>
          <t>Turley, Amber (Research):</t>
        </r>
        <r>
          <rPr>
            <sz val="9"/>
            <color indexed="81"/>
            <rFont val="Tahoma"/>
            <family val="2"/>
          </rPr>
          <t xml:space="preserve">
12/10/14: 70 bps increase in product sourcing costs. 
But otherwise improved SG&amp;A leverage ex product sourcing costs and advisory fees driven primarily by improved leverage in store payroll, advertising, offset somewhat by higher incentive compensation accruals. </t>
        </r>
      </text>
    </comment>
    <comment ref="AY44" authorId="3">
      <text>
        <r>
          <rPr>
            <b/>
            <sz val="9"/>
            <color indexed="81"/>
            <rFont val="Tahoma"/>
            <family val="2"/>
          </rPr>
          <t>-advisory fee</t>
        </r>
        <r>
          <rPr>
            <sz val="9"/>
            <color indexed="81"/>
            <rFont val="Tahoma"/>
            <family val="2"/>
          </rPr>
          <t xml:space="preserve">
</t>
        </r>
      </text>
    </comment>
    <comment ref="AZ44" authorId="5">
      <text>
        <r>
          <rPr>
            <b/>
            <sz val="8"/>
            <color indexed="81"/>
            <rFont val="Tahoma"/>
            <family val="2"/>
          </rPr>
          <t xml:space="preserve">3/20/14: </t>
        </r>
        <r>
          <rPr>
            <sz val="8"/>
            <color indexed="81"/>
            <rFont val="Tahoma"/>
            <family val="2"/>
          </rPr>
          <t>Selling and administrative expenses, exclusive of advisory fees, as a percentage of net sales were 28.0% vs. 27.8% last year. The fourth quarter last year was positively impacted by the reversal of incentive compensation accruals while the fourth quarter this year includes incentive compensation expense associated with performance better than plan. The incentive compensation expense difference resulted in an 80 basis point increase in expense quarter over quarter, which was partially offset by improved leverage on store payroll of 40 basis points and occupancy and other store expenses of 30 basis points, as well as leverage on corporate expenses.</t>
        </r>
        <r>
          <rPr>
            <b/>
            <sz val="8"/>
            <color indexed="81"/>
            <rFont val="Tahoma"/>
            <family val="2"/>
          </rPr>
          <t xml:space="preserve">
12/9/13: </t>
        </r>
        <r>
          <rPr>
            <sz val="8"/>
            <color indexed="81"/>
            <rFont val="Tahoma"/>
            <family val="2"/>
          </rPr>
          <t xml:space="preserve">no explicit guidance but investment in payroll and investment in marketing.
</t>
        </r>
      </text>
    </comment>
    <comment ref="BC44" authorId="4">
      <text>
        <r>
          <rPr>
            <b/>
            <sz val="9"/>
            <color indexed="81"/>
            <rFont val="Tahoma"/>
            <family val="2"/>
          </rPr>
          <t>Turley, Amber (Research):</t>
        </r>
        <r>
          <rPr>
            <sz val="9"/>
            <color indexed="81"/>
            <rFont val="Tahoma"/>
            <family val="2"/>
          </rPr>
          <t xml:space="preserve">
SG&amp;A less product sourcing costs, non-recurring legal charge and advisory fees was 24.3% of sales ($360.95M) vs. 24.6% LY driven by reductions in store payroll and advertising, partially offset by higher incentive compensation accruals. </t>
        </r>
      </text>
    </comment>
    <comment ref="BD44" authorId="4">
      <text>
        <r>
          <rPr>
            <b/>
            <sz val="9"/>
            <color indexed="81"/>
            <rFont val="Tahoma"/>
            <family val="2"/>
          </rPr>
          <t>Turley, Amber (Research):</t>
        </r>
        <r>
          <rPr>
            <sz val="9"/>
            <color indexed="81"/>
            <rFont val="Tahoma"/>
            <family val="2"/>
          </rPr>
          <t xml:space="preserve">
12/9/14: </t>
        </r>
      </text>
    </comment>
    <comment ref="AM45" authorId="2">
      <text>
        <r>
          <rPr>
            <b/>
            <sz val="8"/>
            <color indexed="81"/>
            <rFont val="Tahoma"/>
            <family val="2"/>
          </rPr>
          <t>-Advisory fee (4.289)
+Restructuring (2.2)</t>
        </r>
        <r>
          <rPr>
            <sz val="8"/>
            <color indexed="81"/>
            <rFont val="Tahoma"/>
            <family val="2"/>
          </rPr>
          <t xml:space="preserve">
</t>
        </r>
      </text>
    </comment>
    <comment ref="AQ45" authorId="2">
      <text>
        <r>
          <rPr>
            <b/>
            <sz val="8"/>
            <color indexed="81"/>
            <rFont val="Tahoma"/>
            <family val="2"/>
          </rPr>
          <t>-Advisory fee (4.285)
+Restructuring (7.438)</t>
        </r>
        <r>
          <rPr>
            <sz val="8"/>
            <color indexed="81"/>
            <rFont val="Tahoma"/>
            <family val="2"/>
          </rPr>
          <t xml:space="preserve">
</t>
        </r>
      </text>
    </comment>
    <comment ref="AY45" authorId="3">
      <text>
        <r>
          <rPr>
            <b/>
            <sz val="9"/>
            <color indexed="81"/>
            <rFont val="Tahoma"/>
            <family val="2"/>
          </rPr>
          <t>-advisory fee</t>
        </r>
        <r>
          <rPr>
            <sz val="9"/>
            <color indexed="81"/>
            <rFont val="Tahoma"/>
            <family val="2"/>
          </rPr>
          <t xml:space="preserve">
</t>
        </r>
      </text>
    </comment>
    <comment ref="AZ45" authorId="2">
      <text>
        <r>
          <rPr>
            <b/>
            <sz val="8"/>
            <color indexed="81"/>
            <rFont val="Tahoma"/>
            <family val="2"/>
          </rPr>
          <t>3/20/14:</t>
        </r>
        <r>
          <rPr>
            <sz val="8"/>
            <color indexed="81"/>
            <rFont val="Tahoma"/>
            <family val="2"/>
          </rPr>
          <t xml:space="preserve"> Selling and administrative expenses, exclusive of advisory fees, as a percentage of net sales improved to 31.4% from 31.7% last year. The 30 basis point improvement was driven by leverage of store and marketing expenses, of 100 basis points and 20 basis points, respectively. This was partially offset by a 50 basis point increase in incentive compensation expense and a 30 basis point rise in supply chain, merchandising and product costs.
</t>
        </r>
        <r>
          <rPr>
            <b/>
            <sz val="8"/>
            <color indexed="81"/>
            <rFont val="Tahoma"/>
            <family val="2"/>
          </rPr>
          <t xml:space="preserve">
09/10/13: </t>
        </r>
        <r>
          <rPr>
            <sz val="8"/>
            <color indexed="81"/>
            <rFont val="Tahoma"/>
            <family val="2"/>
          </rPr>
          <t>Expects additional "Stock Compensation Expense" of 2.2M</t>
        </r>
        <r>
          <rPr>
            <sz val="8"/>
            <color indexed="81"/>
            <rFont val="Tahoma"/>
            <family val="2"/>
          </rPr>
          <t xml:space="preserve">
</t>
        </r>
      </text>
    </comment>
    <comment ref="BD45" authorId="2">
      <text>
        <r>
          <rPr>
            <b/>
            <sz val="8"/>
            <color indexed="81"/>
            <rFont val="Tahoma"/>
            <family val="2"/>
          </rPr>
          <t xml:space="preserve">06/10/14: </t>
        </r>
        <r>
          <rPr>
            <sz val="8"/>
            <color indexed="81"/>
            <rFont val="Tahoma"/>
            <family val="2"/>
          </rPr>
          <t>Expects slight SG&amp;A deleverage (de-leverage from product sourcing 25-35 bps)</t>
        </r>
      </text>
    </comment>
    <comment ref="AI53" authorId="2">
      <text>
        <r>
          <rPr>
            <b/>
            <sz val="8"/>
            <color indexed="81"/>
            <rFont val="Tahoma"/>
            <family val="2"/>
          </rPr>
          <t xml:space="preserve">Other Revenue + Other Income
</t>
        </r>
        <r>
          <rPr>
            <sz val="8"/>
            <color indexed="81"/>
            <rFont val="Tahoma"/>
            <family val="2"/>
          </rPr>
          <t xml:space="preserve">
</t>
        </r>
      </text>
    </comment>
    <comment ref="AM53" authorId="2">
      <text>
        <r>
          <rPr>
            <b/>
            <sz val="8"/>
            <color indexed="81"/>
            <rFont val="Tahoma"/>
            <family val="2"/>
          </rPr>
          <t xml:space="preserve">Other Revenue + Other Income
</t>
        </r>
        <r>
          <rPr>
            <sz val="8"/>
            <color indexed="81"/>
            <rFont val="Tahoma"/>
            <family val="2"/>
          </rPr>
          <t xml:space="preserve">
</t>
        </r>
      </text>
    </comment>
    <comment ref="AQ53" authorId="2">
      <text>
        <r>
          <rPr>
            <b/>
            <sz val="8"/>
            <color indexed="81"/>
            <rFont val="Tahoma"/>
            <family val="2"/>
          </rPr>
          <t xml:space="preserve">Other Revenue + Other Income
</t>
        </r>
        <r>
          <rPr>
            <sz val="8"/>
            <color indexed="81"/>
            <rFont val="Tahoma"/>
            <family val="2"/>
          </rPr>
          <t xml:space="preserve">
</t>
        </r>
      </text>
    </comment>
    <comment ref="BC53" authorId="3">
      <text>
        <r>
          <rPr>
            <b/>
            <sz val="9"/>
            <color indexed="81"/>
            <rFont val="Tahoma"/>
            <family val="2"/>
          </rPr>
          <t xml:space="preserve">6/10/14: </t>
        </r>
        <r>
          <rPr>
            <sz val="9"/>
            <color indexed="81"/>
            <rFont val="Tahoma"/>
            <family val="2"/>
          </rPr>
          <t xml:space="preserve">Other Revenue 7.589 
Other Income 1.896
</t>
        </r>
      </text>
    </comment>
    <comment ref="BG53" authorId="6">
      <text>
        <r>
          <rPr>
            <b/>
            <sz val="9"/>
            <color indexed="81"/>
            <rFont val="Tahoma"/>
            <family val="2"/>
          </rPr>
          <t>Mains, Spencer (Research):</t>
        </r>
        <r>
          <rPr>
            <sz val="9"/>
            <color indexed="81"/>
            <rFont val="Tahoma"/>
            <family val="2"/>
          </rPr>
          <t xml:space="preserve">
6/9/15: Other revenue 7.860
Other income 1.072</t>
        </r>
      </text>
    </comment>
    <comment ref="AI54" authorId="2">
      <text>
        <r>
          <rPr>
            <b/>
            <sz val="8"/>
            <color indexed="81"/>
            <rFont val="Tahoma"/>
            <family val="2"/>
          </rPr>
          <t xml:space="preserve">Other Revenue + Other Income
</t>
        </r>
        <r>
          <rPr>
            <sz val="8"/>
            <color indexed="81"/>
            <rFont val="Tahoma"/>
            <family val="2"/>
          </rPr>
          <t xml:space="preserve">
</t>
        </r>
      </text>
    </comment>
    <comment ref="AM54" authorId="2">
      <text>
        <r>
          <rPr>
            <b/>
            <sz val="8"/>
            <color indexed="81"/>
            <rFont val="Tahoma"/>
            <family val="2"/>
          </rPr>
          <t xml:space="preserve">Other Revenue + Other Income
</t>
        </r>
        <r>
          <rPr>
            <sz val="8"/>
            <color indexed="81"/>
            <rFont val="Tahoma"/>
            <family val="2"/>
          </rPr>
          <t xml:space="preserve">
</t>
        </r>
      </text>
    </comment>
    <comment ref="AQ54" authorId="2">
      <text>
        <r>
          <rPr>
            <b/>
            <sz val="8"/>
            <color indexed="81"/>
            <rFont val="Tahoma"/>
            <family val="2"/>
          </rPr>
          <t xml:space="preserve">Other Revenue + Other Income
</t>
        </r>
        <r>
          <rPr>
            <sz val="8"/>
            <color indexed="81"/>
            <rFont val="Tahoma"/>
            <family val="2"/>
          </rPr>
          <t xml:space="preserve">
</t>
        </r>
      </text>
    </comment>
    <comment ref="BC54" authorId="3">
      <text>
        <r>
          <rPr>
            <b/>
            <sz val="9"/>
            <color indexed="81"/>
            <rFont val="Tahoma"/>
            <family val="2"/>
          </rPr>
          <t xml:space="preserve">9/8/14: </t>
        </r>
        <r>
          <rPr>
            <sz val="9"/>
            <color indexed="81"/>
            <rFont val="Tahoma"/>
            <family val="2"/>
          </rPr>
          <t xml:space="preserve">Other Revenue 7.545
Other Income 1.968
</t>
        </r>
      </text>
    </comment>
    <comment ref="BG54" authorId="7">
      <text>
        <r>
          <rPr>
            <b/>
            <sz val="9"/>
            <color indexed="81"/>
            <rFont val="Tahoma"/>
            <family val="2"/>
          </rPr>
          <t>Baglione, Gregory  (Research):</t>
        </r>
        <r>
          <rPr>
            <sz val="9"/>
            <color indexed="81"/>
            <rFont val="Tahoma"/>
            <family val="2"/>
          </rPr>
          <t xml:space="preserve">
8/27/15
$7.35M in other revenue, -1.389 in other income</t>
        </r>
      </text>
    </comment>
    <comment ref="AI55" authorId="2">
      <text>
        <r>
          <rPr>
            <b/>
            <sz val="8"/>
            <color indexed="81"/>
            <rFont val="Tahoma"/>
            <family val="2"/>
          </rPr>
          <t xml:space="preserve">Other Revenue + Other Income
</t>
        </r>
        <r>
          <rPr>
            <sz val="8"/>
            <color indexed="81"/>
            <rFont val="Tahoma"/>
            <family val="2"/>
          </rPr>
          <t xml:space="preserve">
</t>
        </r>
      </text>
    </comment>
    <comment ref="AM55" authorId="2">
      <text>
        <r>
          <rPr>
            <b/>
            <sz val="8"/>
            <color indexed="81"/>
            <rFont val="Tahoma"/>
            <family val="2"/>
          </rPr>
          <t xml:space="preserve">Other Revenue + Other Income
</t>
        </r>
        <r>
          <rPr>
            <sz val="8"/>
            <color indexed="81"/>
            <rFont val="Tahoma"/>
            <family val="2"/>
          </rPr>
          <t xml:space="preserve">
</t>
        </r>
      </text>
    </comment>
    <comment ref="AQ55" authorId="2">
      <text>
        <r>
          <rPr>
            <b/>
            <sz val="8"/>
            <color indexed="81"/>
            <rFont val="Tahoma"/>
            <family val="2"/>
          </rPr>
          <t xml:space="preserve">Other Revenue + Other Income
</t>
        </r>
        <r>
          <rPr>
            <sz val="8"/>
            <color indexed="81"/>
            <rFont val="Tahoma"/>
            <family val="2"/>
          </rPr>
          <t xml:space="preserve">
</t>
        </r>
      </text>
    </comment>
    <comment ref="AY55" authorId="2">
      <text>
        <r>
          <rPr>
            <b/>
            <sz val="8"/>
            <color indexed="81"/>
            <rFont val="Tahoma"/>
            <family val="2"/>
          </rPr>
          <t xml:space="preserve">Other Rev: 8.353M
Other Income: 1.703M
</t>
        </r>
        <r>
          <rPr>
            <sz val="8"/>
            <color indexed="81"/>
            <rFont val="Tahoma"/>
            <family val="2"/>
          </rPr>
          <t xml:space="preserve">
</t>
        </r>
      </text>
    </comment>
    <comment ref="BC55" authorId="4">
      <text>
        <r>
          <rPr>
            <b/>
            <sz val="9"/>
            <color indexed="81"/>
            <rFont val="Tahoma"/>
            <family val="2"/>
          </rPr>
          <t>Turley, Amber (Research):</t>
        </r>
        <r>
          <rPr>
            <sz val="9"/>
            <color indexed="81"/>
            <rFont val="Tahoma"/>
            <family val="2"/>
          </rPr>
          <t xml:space="preserve">
12/9/14: Other Revenue: $8.816
Other Income: $1.705</t>
        </r>
      </text>
    </comment>
    <comment ref="AI56" authorId="2">
      <text>
        <r>
          <rPr>
            <b/>
            <sz val="8"/>
            <color indexed="81"/>
            <rFont val="Tahoma"/>
            <family val="2"/>
          </rPr>
          <t xml:space="preserve">Other Revenue + Other Income
</t>
        </r>
        <r>
          <rPr>
            <sz val="8"/>
            <color indexed="81"/>
            <rFont val="Tahoma"/>
            <family val="2"/>
          </rPr>
          <t xml:space="preserve">
</t>
        </r>
      </text>
    </comment>
    <comment ref="AM56" authorId="2">
      <text>
        <r>
          <rPr>
            <b/>
            <sz val="8"/>
            <color indexed="81"/>
            <rFont val="Tahoma"/>
            <family val="2"/>
          </rPr>
          <t xml:space="preserve">Other Revenue + Other Income
</t>
        </r>
        <r>
          <rPr>
            <sz val="8"/>
            <color indexed="81"/>
            <rFont val="Tahoma"/>
            <family val="2"/>
          </rPr>
          <t xml:space="preserve">
</t>
        </r>
      </text>
    </comment>
    <comment ref="AQ56" authorId="2">
      <text>
        <r>
          <rPr>
            <b/>
            <sz val="8"/>
            <color indexed="81"/>
            <rFont val="Tahoma"/>
            <family val="2"/>
          </rPr>
          <t xml:space="preserve">Other Revenue + Other Income
</t>
        </r>
        <r>
          <rPr>
            <sz val="8"/>
            <color indexed="81"/>
            <rFont val="Tahoma"/>
            <family val="2"/>
          </rPr>
          <t xml:space="preserve">
</t>
        </r>
      </text>
    </comment>
    <comment ref="AY56" authorId="2">
      <text>
        <r>
          <rPr>
            <b/>
            <sz val="8"/>
            <color indexed="81"/>
            <rFont val="Tahoma"/>
            <family val="2"/>
          </rPr>
          <t xml:space="preserve">Other Rev: 10.386M
Other Income: 2.631M
</t>
        </r>
        <r>
          <rPr>
            <sz val="8"/>
            <color indexed="81"/>
            <rFont val="Tahoma"/>
            <family val="2"/>
          </rPr>
          <t xml:space="preserve">
</t>
        </r>
      </text>
    </comment>
    <comment ref="BC56" authorId="4">
      <text>
        <r>
          <rPr>
            <b/>
            <sz val="9"/>
            <color indexed="81"/>
            <rFont val="Tahoma"/>
            <family val="2"/>
          </rPr>
          <t>Turley, Amber (Research):</t>
        </r>
        <r>
          <rPr>
            <sz val="9"/>
            <color indexed="81"/>
            <rFont val="Tahoma"/>
            <family val="2"/>
          </rPr>
          <t xml:space="preserve">
Other Rev: 11.180
Other Income: 5.184
Other revenue/income increased $3.3 million reflecting a $3.2 million
settlement of a class action lawsuit relating to credit card interchange fees.</t>
        </r>
      </text>
    </comment>
    <comment ref="AI57" authorId="2">
      <text>
        <r>
          <rPr>
            <b/>
            <sz val="8"/>
            <color indexed="81"/>
            <rFont val="Tahoma"/>
            <family val="2"/>
          </rPr>
          <t xml:space="preserve">Other Revenue + Other Income
</t>
        </r>
        <r>
          <rPr>
            <sz val="8"/>
            <color indexed="81"/>
            <rFont val="Tahoma"/>
            <family val="2"/>
          </rPr>
          <t xml:space="preserve">
</t>
        </r>
      </text>
    </comment>
    <comment ref="AM57" authorId="2">
      <text>
        <r>
          <rPr>
            <b/>
            <sz val="8"/>
            <color indexed="81"/>
            <rFont val="Tahoma"/>
            <family val="2"/>
          </rPr>
          <t xml:space="preserve">Other Revenue + Other Income
</t>
        </r>
        <r>
          <rPr>
            <sz val="8"/>
            <color indexed="81"/>
            <rFont val="Tahoma"/>
            <family val="2"/>
          </rPr>
          <t xml:space="preserve">
</t>
        </r>
      </text>
    </comment>
    <comment ref="AQ57" authorId="2">
      <text>
        <r>
          <rPr>
            <b/>
            <sz val="8"/>
            <color indexed="81"/>
            <rFont val="Tahoma"/>
            <family val="2"/>
          </rPr>
          <t xml:space="preserve">Other Revenue + Other Income
</t>
        </r>
        <r>
          <rPr>
            <sz val="8"/>
            <color indexed="81"/>
            <rFont val="Tahoma"/>
            <family val="2"/>
          </rPr>
          <t xml:space="preserve">
</t>
        </r>
      </text>
    </comment>
    <comment ref="AY57" authorId="2">
      <text>
        <r>
          <rPr>
            <b/>
            <sz val="8"/>
            <color indexed="81"/>
            <rFont val="Tahoma"/>
            <family val="2"/>
          </rPr>
          <t xml:space="preserve">Other Rev: 34.484M
Other Income: 8.939M
</t>
        </r>
        <r>
          <rPr>
            <sz val="8"/>
            <color indexed="81"/>
            <rFont val="Tahoma"/>
            <family val="2"/>
          </rPr>
          <t xml:space="preserve">
</t>
        </r>
      </text>
    </comment>
    <comment ref="BD63" authorId="3">
      <text>
        <r>
          <rPr>
            <b/>
            <sz val="9"/>
            <color indexed="81"/>
            <rFont val="Tahoma"/>
            <family val="2"/>
          </rPr>
          <t xml:space="preserve">6/10/14: </t>
        </r>
        <r>
          <rPr>
            <sz val="9"/>
            <color indexed="81"/>
            <rFont val="Tahoma"/>
            <family val="2"/>
          </rPr>
          <t xml:space="preserve">guidance -10 to -20 bps
</t>
        </r>
        <r>
          <rPr>
            <b/>
            <sz val="9"/>
            <color indexed="81"/>
            <rFont val="Tahoma"/>
            <family val="2"/>
          </rPr>
          <t xml:space="preserve">9/8/14: </t>
        </r>
        <r>
          <rPr>
            <sz val="9"/>
            <color indexed="81"/>
            <rFont val="Tahoma"/>
            <family val="2"/>
          </rPr>
          <t xml:space="preserve">Sales growth, SG&amp;A leverage and gross margin expansion led to a 70 basis point expansion in Adjusted EBITDA as a percentage of net sales, as compared to the second quarter of Fiscal 2013. </t>
        </r>
      </text>
    </comment>
    <comment ref="AZ65" authorId="2">
      <text>
        <r>
          <rPr>
            <b/>
            <sz val="8"/>
            <color indexed="81"/>
            <rFont val="Tahoma"/>
            <family val="2"/>
          </rPr>
          <t>12/9/13: implies -110 to -160 bps</t>
        </r>
        <r>
          <rPr>
            <sz val="8"/>
            <color indexed="81"/>
            <rFont val="Tahoma"/>
            <family val="2"/>
          </rPr>
          <t xml:space="preserve">
</t>
        </r>
      </text>
    </comment>
    <comment ref="AZ66" authorId="2">
      <text>
        <r>
          <rPr>
            <b/>
            <sz val="8"/>
            <color indexed="81"/>
            <rFont val="Tahoma"/>
            <family val="2"/>
          </rPr>
          <t xml:space="preserve">12/9/13: guidance </t>
        </r>
        <r>
          <rPr>
            <sz val="8"/>
            <color indexed="81"/>
            <rFont val="Tahoma"/>
            <family val="2"/>
          </rPr>
          <t>+30-40 bps</t>
        </r>
        <r>
          <rPr>
            <sz val="8"/>
            <color indexed="81"/>
            <rFont val="Tahoma"/>
            <family val="2"/>
          </rPr>
          <t xml:space="preserve">
</t>
        </r>
      </text>
    </comment>
    <comment ref="BD66" authorId="3">
      <text>
        <r>
          <rPr>
            <b/>
            <sz val="9"/>
            <color indexed="81"/>
            <rFont val="Tahoma"/>
            <family val="2"/>
          </rPr>
          <t xml:space="preserve">3/20/14 guidance: </t>
        </r>
        <r>
          <rPr>
            <sz val="9"/>
            <color indexed="81"/>
            <rFont val="Tahoma"/>
            <family val="2"/>
          </rPr>
          <t xml:space="preserve">10-20 bps expansion
</t>
        </r>
        <r>
          <rPr>
            <b/>
            <sz val="9"/>
            <color indexed="81"/>
            <rFont val="Tahoma"/>
            <family val="2"/>
          </rPr>
          <t>6/10/14 guidance</t>
        </r>
        <r>
          <rPr>
            <sz val="9"/>
            <color indexed="81"/>
            <rFont val="Tahoma"/>
            <family val="2"/>
          </rPr>
          <t xml:space="preserve">: 10-20 bps expansion
</t>
        </r>
        <r>
          <rPr>
            <b/>
            <sz val="9"/>
            <color indexed="81"/>
            <rFont val="Tahoma"/>
            <family val="2"/>
          </rPr>
          <t>9/8/14 guidance:</t>
        </r>
        <r>
          <rPr>
            <sz val="9"/>
            <color indexed="81"/>
            <rFont val="Tahoma"/>
            <family val="2"/>
          </rPr>
          <t xml:space="preserve"> 20-30 bps expansion
</t>
        </r>
        <r>
          <rPr>
            <b/>
            <sz val="9"/>
            <color indexed="81"/>
            <rFont val="Tahoma"/>
            <family val="2"/>
          </rPr>
          <t>12/9/14: guidance:</t>
        </r>
        <r>
          <rPr>
            <sz val="9"/>
            <color indexed="81"/>
            <rFont val="Tahoma"/>
            <family val="2"/>
          </rPr>
          <t xml:space="preserve"> 45 bps expansion</t>
        </r>
      </text>
    </comment>
    <comment ref="BI66" authorId="4">
      <text>
        <r>
          <rPr>
            <sz val="9"/>
            <color indexed="81"/>
            <rFont val="Tahoma"/>
            <family val="2"/>
          </rPr>
          <t>8/27/15: FY Adj EBITDA expansion 30-40 bps
6/9/15: Reiterated guidance of +10-20 bps
3/17/15: +10-20 bps</t>
        </r>
      </text>
    </comment>
    <comment ref="AU73" authorId="0">
      <text>
        <r>
          <rPr>
            <sz val="8"/>
            <color indexed="81"/>
            <rFont val="Tahoma"/>
            <family val="2"/>
          </rPr>
          <t xml:space="preserve">
</t>
        </r>
        <r>
          <rPr>
            <b/>
            <sz val="8"/>
            <color indexed="81"/>
            <rFont val="Tahoma"/>
            <family val="2"/>
          </rPr>
          <t>GAAP D&amp;A: 39.9</t>
        </r>
      </text>
    </comment>
    <comment ref="AY73" authorId="0">
      <text>
        <r>
          <rPr>
            <sz val="8"/>
            <color indexed="81"/>
            <rFont val="Tahoma"/>
            <family val="2"/>
          </rPr>
          <t xml:space="preserve">-Impairment 
</t>
        </r>
        <r>
          <rPr>
            <b/>
            <sz val="8"/>
            <color indexed="81"/>
            <rFont val="Tahoma"/>
            <family val="2"/>
          </rPr>
          <t>GAAP D&amp;A: 44.0</t>
        </r>
      </text>
    </comment>
    <comment ref="BC73" authorId="5">
      <text>
        <r>
          <rPr>
            <b/>
            <sz val="8"/>
            <color indexed="81"/>
            <rFont val="Tahoma"/>
            <family val="2"/>
          </rPr>
          <t>6/10/14</t>
        </r>
        <r>
          <rPr>
            <sz val="8"/>
            <color indexed="81"/>
            <rFont val="Tahoma"/>
            <family val="2"/>
          </rPr>
          <t>: Depreciation and amortization expense, exclusive of net favorable lease amortization, decreased $0.5 million to $34.6 million
Net FLA = $6.571M</t>
        </r>
      </text>
    </comment>
    <comment ref="BG73" authorId="6">
      <text>
        <r>
          <rPr>
            <b/>
            <sz val="9"/>
            <color indexed="81"/>
            <rFont val="Tahoma"/>
            <family val="2"/>
          </rPr>
          <t>Mains, Spencer (Research):</t>
        </r>
        <r>
          <rPr>
            <sz val="9"/>
            <color indexed="81"/>
            <rFont val="Tahoma"/>
            <family val="2"/>
          </rPr>
          <t xml:space="preserve">
6/9/15: D&amp;A exclusive of net favorable lease amortization increased by $1.5M to $36M
Net FLA: $6.057</t>
        </r>
      </text>
    </comment>
    <comment ref="AU74" authorId="0">
      <text>
        <r>
          <rPr>
            <sz val="8"/>
            <color indexed="81"/>
            <rFont val="Tahoma"/>
            <family val="2"/>
          </rPr>
          <t xml:space="preserve">-Impairment 
</t>
        </r>
        <r>
          <rPr>
            <b/>
            <sz val="8"/>
            <color indexed="81"/>
            <rFont val="Tahoma"/>
            <family val="2"/>
          </rPr>
          <t>GAAP D&amp;A: 40.1</t>
        </r>
      </text>
    </comment>
    <comment ref="AY74" authorId="0">
      <text>
        <r>
          <rPr>
            <sz val="8"/>
            <color indexed="81"/>
            <rFont val="Tahoma"/>
            <family val="2"/>
          </rPr>
          <t xml:space="preserve">-Impairment 
</t>
        </r>
        <r>
          <rPr>
            <b/>
            <sz val="8"/>
            <color indexed="81"/>
            <rFont val="Tahoma"/>
            <family val="2"/>
          </rPr>
          <t>GAAP D&amp;A: 40.9</t>
        </r>
      </text>
    </comment>
    <comment ref="BC74" authorId="5">
      <text>
        <r>
          <rPr>
            <b/>
            <sz val="8"/>
            <color indexed="81"/>
            <rFont val="Tahoma"/>
            <family val="2"/>
          </rPr>
          <t>9/8/14:</t>
        </r>
        <r>
          <rPr>
            <sz val="8"/>
            <color indexed="81"/>
            <rFont val="Tahoma"/>
            <family val="2"/>
          </rPr>
          <t xml:space="preserve"> Depreciation and amortization expense, exclusive of net favorable lease amortization, decreased $0.4 million to $34.0 million.
Net FLA = 6.535</t>
        </r>
      </text>
    </comment>
    <comment ref="BG74" authorId="7">
      <text>
        <r>
          <rPr>
            <b/>
            <sz val="9"/>
            <color indexed="81"/>
            <rFont val="Tahoma"/>
            <family val="2"/>
          </rPr>
          <t>Baglione, Gregory  (Research):</t>
        </r>
        <r>
          <rPr>
            <sz val="9"/>
            <color indexed="81"/>
            <rFont val="Tahoma"/>
            <family val="2"/>
          </rPr>
          <t xml:space="preserve">
8/27/15
Depreciation and amortization expense, exclusive of net favorable lease amortization, increased $1.7 million to $35.8 million.</t>
        </r>
      </text>
    </comment>
    <comment ref="AU75" authorId="0">
      <text>
        <r>
          <rPr>
            <sz val="8"/>
            <color indexed="81"/>
            <rFont val="Tahoma"/>
            <family val="2"/>
          </rPr>
          <t xml:space="preserve">-Impairment 
</t>
        </r>
        <r>
          <rPr>
            <b/>
            <sz val="8"/>
            <color indexed="81"/>
            <rFont val="Tahoma"/>
            <family val="2"/>
          </rPr>
          <t>GAAP D&amp;A: 41.9</t>
        </r>
      </text>
    </comment>
    <comment ref="AY75" authorId="0">
      <text>
        <r>
          <rPr>
            <sz val="8"/>
            <color indexed="81"/>
            <rFont val="Tahoma"/>
            <family val="2"/>
          </rPr>
          <t xml:space="preserve">
</t>
        </r>
        <r>
          <rPr>
            <b/>
            <sz val="8"/>
            <color indexed="81"/>
            <rFont val="Tahoma"/>
            <family val="2"/>
          </rPr>
          <t>GAAP D&amp;A: 40.3</t>
        </r>
      </text>
    </comment>
    <comment ref="BC75" authorId="5">
      <text>
        <r>
          <rPr>
            <sz val="8"/>
            <color indexed="81"/>
            <rFont val="Tahoma"/>
            <family val="2"/>
          </rPr>
          <t>12/10/14: Depreciation and amortization expense, exclusive of net favorable lease
amortization, increased $1.9 million to $36.1 million.</t>
        </r>
      </text>
    </comment>
    <comment ref="AU76" authorId="2">
      <text>
        <r>
          <rPr>
            <b/>
            <sz val="8"/>
            <color indexed="81"/>
            <rFont val="Tahoma"/>
            <family val="2"/>
          </rPr>
          <t>GAAP D&amp;A: 53.5
-Impairment 10.4</t>
        </r>
      </text>
    </comment>
    <comment ref="AY76" authorId="2">
      <text>
        <r>
          <rPr>
            <b/>
            <sz val="8"/>
            <color indexed="81"/>
            <rFont val="Tahoma"/>
            <family val="2"/>
          </rPr>
          <t>GAAP D&amp;A: 40.6</t>
        </r>
        <r>
          <rPr>
            <sz val="8"/>
            <color indexed="81"/>
            <rFont val="Tahoma"/>
            <family val="2"/>
          </rPr>
          <t xml:space="preserve">
</t>
        </r>
      </text>
    </comment>
    <comment ref="BC76" authorId="5">
      <text>
        <r>
          <rPr>
            <sz val="8"/>
            <color indexed="81"/>
            <rFont val="Tahoma"/>
            <family val="2"/>
          </rPr>
          <t xml:space="preserve">
</t>
        </r>
        <r>
          <rPr>
            <b/>
            <sz val="8"/>
            <color indexed="81"/>
            <rFont val="Tahoma"/>
            <family val="2"/>
          </rPr>
          <t>GAAP D&amp;A: 42.3</t>
        </r>
      </text>
    </comment>
    <comment ref="AU77" authorId="0">
      <text>
        <r>
          <rPr>
            <sz val="8"/>
            <color indexed="81"/>
            <rFont val="Tahoma"/>
            <family val="2"/>
          </rPr>
          <t xml:space="preserve">-Impairment 
</t>
        </r>
        <r>
          <rPr>
            <b/>
            <sz val="8"/>
            <color indexed="81"/>
            <rFont val="Tahoma"/>
            <family val="2"/>
          </rPr>
          <t>GAAP D&amp;A 175.3</t>
        </r>
      </text>
    </comment>
    <comment ref="AY77" authorId="0">
      <text>
        <r>
          <rPr>
            <sz val="8"/>
            <color indexed="81"/>
            <rFont val="Tahoma"/>
            <family val="2"/>
          </rPr>
          <t xml:space="preserve">-Impairment 
</t>
        </r>
        <r>
          <rPr>
            <b/>
            <sz val="8"/>
            <color indexed="81"/>
            <rFont val="Tahoma"/>
            <family val="2"/>
          </rPr>
          <t>GAAP D&amp;A: 165.9</t>
        </r>
      </text>
    </comment>
    <comment ref="BC77" authorId="2">
      <text>
        <r>
          <rPr>
            <b/>
            <sz val="8"/>
            <color indexed="81"/>
            <rFont val="Tahoma"/>
            <family val="2"/>
          </rPr>
          <t>GAAP D&amp;A: 169.2</t>
        </r>
      </text>
    </comment>
    <comment ref="BG77" authorId="4">
      <text>
        <r>
          <rPr>
            <sz val="9"/>
            <color indexed="81"/>
            <rFont val="Tahoma"/>
            <family val="2"/>
          </rPr>
          <t>6/9/15: Reiterated guidance of ~150M
3/17/15: Guidance Expect ~$150M</t>
        </r>
      </text>
    </comment>
    <comment ref="AU83" authorId="0">
      <text>
        <r>
          <rPr>
            <sz val="8"/>
            <color indexed="81"/>
            <rFont val="Tahoma"/>
            <family val="2"/>
          </rPr>
          <t>BCP fee</t>
        </r>
      </text>
    </comment>
    <comment ref="AY83" authorId="0">
      <text>
        <r>
          <rPr>
            <sz val="8"/>
            <color indexed="81"/>
            <rFont val="Tahoma"/>
            <family val="2"/>
          </rPr>
          <t xml:space="preserve">BCP fees + Trans. Cost + Stock Op Modif Exp+Impairment
</t>
        </r>
      </text>
    </comment>
    <comment ref="BC83" authorId="5">
      <text>
        <r>
          <rPr>
            <sz val="8"/>
            <color indexed="81"/>
            <rFont val="Tahoma"/>
            <family val="2"/>
          </rPr>
          <t xml:space="preserve">Stock Option Modification Exp 0.828
Debt amendments and secondary offering 0.424
Restructuring and separation costs 0
Impairment charges - long lived asset 0.019
Loss on extinguishment of debt 3.681
</t>
        </r>
      </text>
    </comment>
    <comment ref="BG83" authorId="6">
      <text>
        <r>
          <rPr>
            <b/>
            <sz val="9"/>
            <color indexed="81"/>
            <rFont val="Tahoma"/>
            <family val="2"/>
          </rPr>
          <t>Mains, Spencer (Research):</t>
        </r>
        <r>
          <rPr>
            <sz val="9"/>
            <color indexed="81"/>
            <rFont val="Tahoma"/>
            <family val="2"/>
          </rPr>
          <t xml:space="preserve">
6/9/15:
costs related to debt amendments, secondary offerings, and other: .259
stock option modification expense: .460
impairment charges: 1.715
loss on extinguishment of debt: .649</t>
        </r>
      </text>
    </comment>
    <comment ref="AU84" authorId="0">
      <text>
        <r>
          <rPr>
            <sz val="8"/>
            <color indexed="81"/>
            <rFont val="Tahoma"/>
            <family val="2"/>
          </rPr>
          <t xml:space="preserve">BCP fee+Trans. Cost+Impairment
</t>
        </r>
      </text>
    </comment>
    <comment ref="AY84" authorId="0">
      <text>
        <r>
          <rPr>
            <sz val="8"/>
            <color indexed="81"/>
            <rFont val="Tahoma"/>
            <family val="2"/>
          </rPr>
          <t>BCP fees + Trans. Cost + Stock Op Modif Exp+Impairment</t>
        </r>
      </text>
    </comment>
    <comment ref="BC84" authorId="5">
      <text>
        <r>
          <rPr>
            <sz val="8"/>
            <color indexed="81"/>
            <rFont val="Tahoma"/>
            <family val="2"/>
          </rPr>
          <t xml:space="preserve">Stock Option Modification Exp 0.963
Debt amendments and secondary offering 0.917
Impairment charges - long lived asset 0.829
</t>
        </r>
      </text>
    </comment>
    <comment ref="BG84" authorId="7">
      <text>
        <r>
          <rPr>
            <b/>
            <sz val="9"/>
            <color indexed="81"/>
            <rFont val="Tahoma"/>
            <family val="2"/>
          </rPr>
          <t>Baglione, Gregory  (Research):</t>
        </r>
        <r>
          <rPr>
            <sz val="9"/>
            <color indexed="81"/>
            <rFont val="Tahoma"/>
            <family val="2"/>
          </rPr>
          <t xml:space="preserve">
8/27/15
Costs related to debt amendments, secondary offerings and other :           -0.012M
Stock option modification expense: 0.335
Impairment charges-long lived assets:0.188</t>
        </r>
      </text>
    </comment>
    <comment ref="AU85" authorId="0">
      <text>
        <r>
          <rPr>
            <sz val="8"/>
            <color indexed="81"/>
            <rFont val="Tahoma"/>
            <family val="2"/>
          </rPr>
          <t>BCP fee + Trans. Cost+Impairment</t>
        </r>
      </text>
    </comment>
    <comment ref="AY85" authorId="0">
      <text>
        <r>
          <rPr>
            <sz val="8"/>
            <color indexed="81"/>
            <rFont val="Tahoma"/>
            <family val="2"/>
          </rPr>
          <t xml:space="preserve">Debt amendments/IPO 10.506
Stock Op Modif Exp 1.768
Impairment- long lived assets 0.243
Advisory fees 0.7
</t>
        </r>
      </text>
    </comment>
    <comment ref="BC85" authorId="5">
      <text>
        <r>
          <rPr>
            <sz val="8"/>
            <color indexed="81"/>
            <rFont val="Tahoma"/>
            <family val="2"/>
          </rPr>
          <t>Costs related to debt amendments, secondary offerings, termination of advisory agreement and other: .589
stock option modification expense .628
Impairment charges Long liver assets .006
Loss on extinguishment of debt 70.302</t>
        </r>
      </text>
    </comment>
    <comment ref="AY86" authorId="0">
      <text>
        <r>
          <rPr>
            <sz val="8"/>
            <color indexed="81"/>
            <rFont val="Tahoma"/>
            <family val="2"/>
          </rPr>
          <t xml:space="preserve">Debt amendments/IPO 1.063
Stock Op Modif Exp 1.386
Restructuring -0.007
Impairment- long lived assets 2.799
Loss on extinguishment of debt 15.476
Advisory fees 0.035
</t>
        </r>
      </text>
    </comment>
    <comment ref="BC86" authorId="5">
      <text>
        <r>
          <rPr>
            <sz val="8"/>
            <color indexed="81"/>
            <rFont val="Tahoma"/>
            <family val="2"/>
          </rPr>
          <t xml:space="preserve">Costs related to Debt amendments, secondary offerings $0.482M
Stock option modification expense $0.521M
Impairment charges $1.726M
Loss of extinguishment of debt $0.364M
</t>
        </r>
      </text>
    </comment>
    <comment ref="AI87" authorId="2">
      <text>
        <r>
          <rPr>
            <sz val="8"/>
            <color indexed="81"/>
            <rFont val="Tahoma"/>
            <family val="2"/>
          </rPr>
          <t xml:space="preserve">restructuring and sepration cost (7.452), Impairtment - Long-lived assets (56.141), Impairtment - Tradenames (15.25), </t>
        </r>
        <r>
          <rPr>
            <sz val="8"/>
            <color indexed="81"/>
            <rFont val="Tahoma"/>
            <family val="2"/>
          </rPr>
          <t xml:space="preserve">
</t>
        </r>
      </text>
    </comment>
    <comment ref="AM87" authorId="2">
      <text>
        <r>
          <rPr>
            <sz val="8"/>
            <color indexed="81"/>
            <rFont val="Tahoma"/>
            <family val="2"/>
          </rPr>
          <t xml:space="preserve">Impairment charge (2.08), Advisory fees (4.289), costs related to debt amendment (3.04)
</t>
        </r>
      </text>
    </comment>
    <comment ref="AQ87" authorId="2">
      <text>
        <r>
          <rPr>
            <sz val="8"/>
            <color indexed="81"/>
            <rFont val="Tahoma"/>
            <family val="2"/>
          </rPr>
          <t xml:space="preserve">Loss on Extinguishment of Debt (37.764), Impairment - Long-lived asset(1.735), advisory fee (4.285), costs related to debt amendment -0.473
</t>
        </r>
        <r>
          <rPr>
            <sz val="8"/>
            <color indexed="81"/>
            <rFont val="Tahoma"/>
            <family val="2"/>
          </rPr>
          <t xml:space="preserve">
</t>
        </r>
      </text>
    </comment>
    <comment ref="AU87" authorId="0">
      <text>
        <r>
          <rPr>
            <sz val="8"/>
            <color indexed="81"/>
            <rFont val="Tahoma"/>
            <family val="2"/>
          </rPr>
          <t>BCP fees + Trans. Cost+Impairment</t>
        </r>
      </text>
    </comment>
    <comment ref="AY87" authorId="0">
      <text>
        <r>
          <rPr>
            <sz val="8"/>
            <color indexed="81"/>
            <rFont val="Tahoma"/>
            <family val="2"/>
          </rPr>
          <t xml:space="preserve">Debt amendments/IPO 23.026
Stock Op Modif Exp 10.418
Restructuring 2.171
Impairment- long lived assets 3.180
Loss on extinguishment of debt 16.094
Advisory fees 2.909
</t>
        </r>
      </text>
    </comment>
    <comment ref="BC87" authorId="5">
      <text>
        <r>
          <rPr>
            <sz val="8"/>
            <color indexed="81"/>
            <rFont val="Tahoma"/>
            <family val="2"/>
          </rPr>
          <t xml:space="preserve">Stock Option Modification Exp
</t>
        </r>
      </text>
    </comment>
    <comment ref="BC113" authorId="3">
      <text>
        <r>
          <rPr>
            <b/>
            <sz val="9"/>
            <color indexed="81"/>
            <rFont val="Tahoma"/>
            <family val="2"/>
          </rPr>
          <t xml:space="preserve">6/10/14: </t>
        </r>
        <r>
          <rPr>
            <sz val="9"/>
            <color indexed="81"/>
            <rFont val="Tahoma"/>
            <family val="2"/>
          </rPr>
          <t xml:space="preserve">Interest Expense decreased $7.8 million to $26.6 million from last year, driven by interest savings related to the principal payments over the last twelve months on the Company’s Holdco Notes and Term Loan. In addition, the Company realized savings as a result of the 2013 Term Loan refinancing
</t>
        </r>
      </text>
    </comment>
    <comment ref="BG113" authorId="6">
      <text>
        <r>
          <rPr>
            <b/>
            <sz val="9"/>
            <color indexed="81"/>
            <rFont val="Tahoma"/>
            <family val="2"/>
          </rPr>
          <t>Mains, Spencer (Research):</t>
        </r>
        <r>
          <rPr>
            <sz val="9"/>
            <color indexed="81"/>
            <rFont val="Tahoma"/>
            <family val="2"/>
          </rPr>
          <t xml:space="preserve">
6/9/15: decreased $12M driven by interest savings related to the debt refinancing in August 2014 and principal payments made during fiscal 2014</t>
        </r>
      </text>
    </comment>
    <comment ref="BD11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BG114" authorId="7">
      <text>
        <r>
          <rPr>
            <b/>
            <sz val="9"/>
            <color indexed="81"/>
            <rFont val="Tahoma"/>
            <family val="2"/>
          </rPr>
          <t>Baglione, Gregory  (Research):</t>
        </r>
        <r>
          <rPr>
            <sz val="9"/>
            <color indexed="81"/>
            <rFont val="Tahoma"/>
            <family val="2"/>
          </rPr>
          <t xml:space="preserve">
8/27/15
Interest Expense decreased $10.9 million to $14.6 million from last year, driven by interest savings realized as a result of the 2014 term loan refinancing as well as savings related to principal payments made over the last twelve months on the Company`s term loan credit facility</t>
        </r>
      </text>
    </comment>
    <comment ref="AY115" authorId="0">
      <text>
        <r>
          <rPr>
            <sz val="8"/>
            <color indexed="81"/>
            <rFont val="Tahoma"/>
            <family val="2"/>
          </rPr>
          <t>Interest Savings (Yr of IPO)</t>
        </r>
        <r>
          <rPr>
            <sz val="8"/>
            <color indexed="81"/>
            <rFont val="Tahoma"/>
            <family val="2"/>
          </rPr>
          <t xml:space="preserve">
</t>
        </r>
        <r>
          <rPr>
            <b/>
            <sz val="8"/>
            <color indexed="81"/>
            <rFont val="Tahoma"/>
            <family val="2"/>
          </rPr>
          <t>09/14/13:</t>
        </r>
        <r>
          <rPr>
            <sz val="8"/>
            <color indexed="81"/>
            <rFont val="Tahoma"/>
            <family val="2"/>
          </rPr>
          <t xml:space="preserve"> Added $0.2M of additional interest expense</t>
        </r>
      </text>
    </comment>
    <comment ref="BC115" authorId="3">
      <text>
        <r>
          <rPr>
            <b/>
            <sz val="9"/>
            <color indexed="81"/>
            <rFont val="Tahoma"/>
            <family val="2"/>
          </rPr>
          <t xml:space="preserve">9/8/14: </t>
        </r>
        <r>
          <rPr>
            <sz val="9"/>
            <color indexed="81"/>
            <rFont val="Tahoma"/>
            <family val="2"/>
          </rPr>
          <t xml:space="preserve">guidance $17M
</t>
        </r>
      </text>
    </comment>
    <comment ref="BC116" authorId="4">
      <text>
        <r>
          <rPr>
            <b/>
            <sz val="9"/>
            <color indexed="81"/>
            <rFont val="Tahoma"/>
            <family val="2"/>
          </rPr>
          <t>Turley, Amber (Research):</t>
        </r>
        <r>
          <rPr>
            <sz val="9"/>
            <color indexed="81"/>
            <rFont val="Tahoma"/>
            <family val="2"/>
          </rPr>
          <t xml:space="preserve">
12/9/14: Guidance $15.1M</t>
        </r>
      </text>
    </comment>
    <comment ref="BC117" authorId="3">
      <text>
        <r>
          <rPr>
            <b/>
            <sz val="9"/>
            <color indexed="81"/>
            <rFont val="Tahoma"/>
            <family val="2"/>
          </rPr>
          <t xml:space="preserve">3/20/14: </t>
        </r>
        <r>
          <rPr>
            <sz val="9"/>
            <color indexed="81"/>
            <rFont val="Tahoma"/>
            <family val="2"/>
          </rPr>
          <t xml:space="preserve">guidance 103M
</t>
        </r>
        <r>
          <rPr>
            <b/>
            <sz val="9"/>
            <color indexed="81"/>
            <rFont val="Tahoma"/>
            <family val="2"/>
          </rPr>
          <t>6/10/14:</t>
        </r>
        <r>
          <rPr>
            <sz val="9"/>
            <color indexed="81"/>
            <rFont val="Tahoma"/>
            <family val="2"/>
          </rPr>
          <t xml:space="preserve"> guidance 103M
</t>
        </r>
        <r>
          <rPr>
            <b/>
            <sz val="9"/>
            <color indexed="81"/>
            <rFont val="Tahoma"/>
            <family val="2"/>
          </rPr>
          <t xml:space="preserve">7/17/14: </t>
        </r>
        <r>
          <rPr>
            <sz val="9"/>
            <color indexed="81"/>
            <rFont val="Tahoma"/>
            <family val="2"/>
          </rPr>
          <t xml:space="preserve">For the second half of fiscal 2014 this transaction will reduce interest expense by $16 million to $18 million and increase fully diluted adjusted earnings per share by 13 cents to 14 cents, net of potential hedging costs. 
</t>
        </r>
        <r>
          <rPr>
            <b/>
            <sz val="9"/>
            <color indexed="81"/>
            <rFont val="Tahoma"/>
            <family val="2"/>
          </rPr>
          <t>9/8/14:</t>
        </r>
        <r>
          <rPr>
            <sz val="9"/>
            <color indexed="81"/>
            <rFont val="Tahoma"/>
            <family val="2"/>
          </rPr>
          <t xml:space="preserve"> Guidance $85M
</t>
        </r>
        <r>
          <rPr>
            <b/>
            <sz val="9"/>
            <color indexed="81"/>
            <rFont val="Tahoma"/>
            <family val="2"/>
          </rPr>
          <t>12/9/14</t>
        </r>
        <r>
          <rPr>
            <sz val="9"/>
            <color indexed="81"/>
            <rFont val="Tahoma"/>
            <family val="2"/>
          </rPr>
          <t>: Guidance ~$84M</t>
        </r>
      </text>
    </comment>
    <comment ref="BG117" authorId="4">
      <text>
        <r>
          <rPr>
            <sz val="9"/>
            <color indexed="81"/>
            <rFont val="Tahoma"/>
            <family val="2"/>
          </rPr>
          <t>8/27/15: $61M FY guidance
6/9/15: Guidance increased to $61mm due to interest rate swap put in place at the end of April.
3/17/15: Guidance ~$60M</t>
        </r>
      </text>
    </comment>
    <comment ref="BI133" authorId="6">
      <text>
        <r>
          <rPr>
            <b/>
            <sz val="9"/>
            <color indexed="81"/>
            <rFont val="Tahoma"/>
            <family val="2"/>
          </rPr>
          <t>Mains, Spencer (Research):</t>
        </r>
        <r>
          <rPr>
            <sz val="9"/>
            <color indexed="81"/>
            <rFont val="Tahoma"/>
            <family val="2"/>
          </rPr>
          <t xml:space="preserve">
6/9/15: decrease in tax rate is a result of realizing certain tax credits.</t>
        </r>
      </text>
    </comment>
    <comment ref="BI134" authorId="7">
      <text>
        <r>
          <rPr>
            <b/>
            <sz val="9"/>
            <color indexed="81"/>
            <rFont val="Tahoma"/>
            <family val="2"/>
          </rPr>
          <t>Baglione, Gregory  (Research):</t>
        </r>
        <r>
          <rPr>
            <sz val="9"/>
            <color indexed="81"/>
            <rFont val="Tahoma"/>
            <family val="2"/>
          </rPr>
          <t xml:space="preserve">
8/26/15:
The increase in the effective tax rate was the result of a one-time discrete item recorded during the quarter, offset partially by state credits available to the Company for its new corporate headquarters in Fiscal 2015</t>
        </r>
      </text>
    </comment>
    <comment ref="AZ136" authorId="2">
      <text>
        <r>
          <rPr>
            <b/>
            <sz val="8"/>
            <color indexed="81"/>
            <rFont val="Tahoma"/>
            <family val="2"/>
          </rPr>
          <t>12/9/13:</t>
        </r>
        <r>
          <rPr>
            <sz val="8"/>
            <color indexed="81"/>
            <rFont val="Tahoma"/>
            <family val="2"/>
          </rPr>
          <t xml:space="preserve"> guidance ~41%
</t>
        </r>
      </text>
    </comment>
    <comment ref="BD137" authorId="3">
      <text>
        <r>
          <rPr>
            <b/>
            <sz val="9"/>
            <color indexed="81"/>
            <rFont val="Tahoma"/>
            <family val="2"/>
          </rPr>
          <t xml:space="preserve">3/20/14: </t>
        </r>
        <r>
          <rPr>
            <sz val="9"/>
            <color indexed="81"/>
            <rFont val="Tahoma"/>
            <family val="2"/>
          </rPr>
          <t xml:space="preserve">guidance 40%
</t>
        </r>
        <r>
          <rPr>
            <b/>
            <sz val="9"/>
            <color indexed="81"/>
            <rFont val="Tahoma"/>
            <family val="2"/>
          </rPr>
          <t>6/10/14:</t>
        </r>
        <r>
          <rPr>
            <sz val="9"/>
            <color indexed="81"/>
            <rFont val="Tahoma"/>
            <family val="2"/>
          </rPr>
          <t xml:space="preserve"> guidance 40%
</t>
        </r>
        <r>
          <rPr>
            <b/>
            <sz val="9"/>
            <color indexed="81"/>
            <rFont val="Tahoma"/>
            <family val="2"/>
          </rPr>
          <t>12/9/14:</t>
        </r>
        <r>
          <rPr>
            <sz val="9"/>
            <color indexed="81"/>
            <rFont val="Tahoma"/>
            <family val="2"/>
          </rPr>
          <t xml:space="preserve"> guidance ~40%</t>
        </r>
      </text>
    </comment>
    <comment ref="BI137" authorId="4">
      <text>
        <r>
          <rPr>
            <b/>
            <sz val="9"/>
            <color indexed="81"/>
            <rFont val="Tahoma"/>
            <family val="2"/>
          </rPr>
          <t>8/27/15: FY Tax rate 39%
Turley, Amber (Research):</t>
        </r>
        <r>
          <rPr>
            <sz val="9"/>
            <color indexed="81"/>
            <rFont val="Tahoma"/>
            <family val="2"/>
          </rPr>
          <t xml:space="preserve">
3/17/15: Guidance 39%</t>
        </r>
      </text>
    </comment>
    <comment ref="AA163" authorId="1">
      <text>
        <r>
          <rPr>
            <b/>
            <sz val="8"/>
            <color indexed="81"/>
            <rFont val="Tahoma"/>
            <family val="2"/>
          </rPr>
          <t>Note:</t>
        </r>
        <r>
          <rPr>
            <sz val="8"/>
            <color indexed="81"/>
            <rFont val="Tahoma"/>
            <family val="2"/>
          </rPr>
          <t xml:space="preserve"> Items adjusted for taxes assuming a 35% statutory rate</t>
        </r>
      </text>
    </comment>
    <comment ref="AI163" authorId="1">
      <text>
        <r>
          <rPr>
            <b/>
            <sz val="8"/>
            <color indexed="81"/>
            <rFont val="Tahoma"/>
            <family val="2"/>
          </rPr>
          <t>OLD - Full Year number per 10K
Note:</t>
        </r>
        <r>
          <rPr>
            <sz val="8"/>
            <color indexed="81"/>
            <rFont val="Tahoma"/>
            <family val="2"/>
          </rPr>
          <t xml:space="preserve"> Items adjusted for taxes based on the 35% statutory rate</t>
        </r>
      </text>
    </comment>
    <comment ref="AM163" authorId="1">
      <text>
        <r>
          <rPr>
            <b/>
            <sz val="8"/>
            <color indexed="81"/>
            <rFont val="Tahoma"/>
            <family val="2"/>
          </rPr>
          <t>OLD - Full Year number per S1
Note:</t>
        </r>
        <r>
          <rPr>
            <sz val="8"/>
            <color indexed="81"/>
            <rFont val="Tahoma"/>
            <family val="2"/>
          </rPr>
          <t xml:space="preserve"> Items adjusted for taxes based on the 35% statutory rate</t>
        </r>
      </text>
    </comment>
    <comment ref="AQ163" authorId="1">
      <text>
        <r>
          <rPr>
            <b/>
            <sz val="8"/>
            <color indexed="81"/>
            <rFont val="Tahoma"/>
            <family val="2"/>
          </rPr>
          <t>OLD - Full Year number per S1
Note:</t>
        </r>
        <r>
          <rPr>
            <sz val="8"/>
            <color indexed="81"/>
            <rFont val="Tahoma"/>
            <family val="2"/>
          </rPr>
          <t xml:space="preserve"> Items adjusted for taxes based on the 35% statutory rate</t>
        </r>
      </text>
    </comment>
    <comment ref="AU163" authorId="1">
      <text>
        <r>
          <rPr>
            <sz val="8"/>
            <color indexed="81"/>
            <rFont val="Tahoma"/>
            <family val="2"/>
          </rPr>
          <t>(BCP Fees+Impairment+Favorable Lease Amor) - change in tax 
= (BCP+Imp+Fav L Am) - adjusted tax + GAAP tax</t>
        </r>
        <r>
          <rPr>
            <b/>
            <sz val="8"/>
            <color indexed="81"/>
            <rFont val="Tahoma"/>
            <family val="2"/>
          </rPr>
          <t xml:space="preserve">
</t>
        </r>
      </text>
    </comment>
    <comment ref="AY163" authorId="1">
      <text>
        <r>
          <rPr>
            <sz val="8"/>
            <color indexed="81"/>
            <rFont val="Tahoma"/>
            <family val="2"/>
          </rPr>
          <t>(BCP Fees+Transaction Costs+Impairment+Favorable Lease Amor) - change in tax 
= (BCP+Trans+Imp+Fav L Am) - adjusted tax + GAAP tax</t>
        </r>
        <r>
          <rPr>
            <b/>
            <sz val="8"/>
            <color indexed="81"/>
            <rFont val="Tahoma"/>
            <family val="2"/>
          </rPr>
          <t xml:space="preserve">
</t>
        </r>
      </text>
    </comment>
    <comment ref="BC163" authorId="5">
      <text>
        <r>
          <rPr>
            <sz val="8"/>
            <color indexed="81"/>
            <rFont val="Tahoma"/>
            <family val="2"/>
          </rPr>
          <t xml:space="preserve">Net Favorable Lease Amortization 6.571
Stock Option Modification Exp 0.828
Debt amendments and secondary offering 0.424
Impairment charges - long lived asset 0.019
Loss on extinguishment of debt 3.681
advisory fees 0.066
Tax effect -4.751
</t>
        </r>
      </text>
    </comment>
    <comment ref="BG163" authorId="1">
      <text>
        <r>
          <rPr>
            <sz val="8"/>
            <color indexed="81"/>
            <rFont val="Tahoma"/>
            <family val="2"/>
          </rPr>
          <t>Total income Adjs * (1-tax)</t>
        </r>
        <r>
          <rPr>
            <b/>
            <sz val="8"/>
            <color indexed="81"/>
            <rFont val="Tahoma"/>
            <family val="2"/>
          </rPr>
          <t xml:space="preserve">
Income Adjs: </t>
        </r>
        <r>
          <rPr>
            <sz val="8"/>
            <color indexed="81"/>
            <rFont val="Tahoma"/>
            <family val="2"/>
          </rPr>
          <t>Favroable Lease Amortization (6.7) +  Stock Option Modification Exp</t>
        </r>
      </text>
    </comment>
    <comment ref="AA164" authorId="1">
      <text>
        <r>
          <rPr>
            <b/>
            <sz val="8"/>
            <color indexed="81"/>
            <rFont val="Tahoma"/>
            <family val="2"/>
          </rPr>
          <t>Note:</t>
        </r>
        <r>
          <rPr>
            <sz val="8"/>
            <color indexed="81"/>
            <rFont val="Tahoma"/>
            <family val="2"/>
          </rPr>
          <t xml:space="preserve"> Items adjusted for taxes assuming a 35% statutory rate</t>
        </r>
      </text>
    </comment>
    <comment ref="AI164" authorId="1">
      <text>
        <r>
          <rPr>
            <b/>
            <sz val="8"/>
            <color indexed="81"/>
            <rFont val="Tahoma"/>
            <family val="2"/>
          </rPr>
          <t>Note:</t>
        </r>
        <r>
          <rPr>
            <sz val="8"/>
            <color indexed="81"/>
            <rFont val="Tahoma"/>
            <family val="2"/>
          </rPr>
          <t xml:space="preserve"> Items adjusted for taxes based on the 35% statutory rate</t>
        </r>
      </text>
    </comment>
    <comment ref="AM164" authorId="1">
      <text>
        <r>
          <rPr>
            <b/>
            <sz val="8"/>
            <color indexed="81"/>
            <rFont val="Tahoma"/>
            <family val="2"/>
          </rPr>
          <t>Note:</t>
        </r>
        <r>
          <rPr>
            <sz val="8"/>
            <color indexed="81"/>
            <rFont val="Tahoma"/>
            <family val="2"/>
          </rPr>
          <t xml:space="preserve"> Items adjusted for taxes based on the 35% statutory rate</t>
        </r>
      </text>
    </comment>
    <comment ref="AQ164" authorId="1">
      <text>
        <r>
          <rPr>
            <b/>
            <sz val="8"/>
            <color indexed="81"/>
            <rFont val="Tahoma"/>
            <family val="2"/>
          </rPr>
          <t>Note:</t>
        </r>
        <r>
          <rPr>
            <sz val="8"/>
            <color indexed="81"/>
            <rFont val="Tahoma"/>
            <family val="2"/>
          </rPr>
          <t xml:space="preserve"> Items adjusted for taxes based on the 35% statutory rate</t>
        </r>
      </text>
    </comment>
    <comment ref="AU164" authorId="1">
      <text>
        <r>
          <rPr>
            <sz val="8"/>
            <color indexed="81"/>
            <rFont val="Tahoma"/>
            <family val="2"/>
          </rPr>
          <t>(BCP Fees+Transaction Costs+Impairment+Favorable Lease Amor) - change in tax 
= (BCP+Trans+Imp+Fav L Am) - adjusted tax + GAAP tax</t>
        </r>
        <r>
          <rPr>
            <b/>
            <sz val="8"/>
            <color indexed="81"/>
            <rFont val="Tahoma"/>
            <family val="2"/>
          </rPr>
          <t xml:space="preserve">
</t>
        </r>
      </text>
    </comment>
    <comment ref="AY164" authorId="1">
      <text>
        <r>
          <rPr>
            <sz val="8"/>
            <color indexed="81"/>
            <rFont val="Tahoma"/>
            <family val="2"/>
          </rPr>
          <t>BCP Fees (1.1)+Transaction Costs(2.8)+Stock Option Modif Exp(3.5)+Impairment(0.2)+Favorable Lease Amor(6.9) - change in tax 
= (BCP+Trans+Stock Op Mod Exp+Imp+Fav L Am) 
- adjusted tax + GAAP tax</t>
        </r>
        <r>
          <rPr>
            <b/>
            <sz val="8"/>
            <color indexed="81"/>
            <rFont val="Tahoma"/>
            <family val="2"/>
          </rPr>
          <t xml:space="preserve">
09/10/13: </t>
        </r>
        <r>
          <rPr>
            <sz val="8"/>
            <color indexed="81"/>
            <rFont val="Tahoma"/>
            <family val="2"/>
          </rPr>
          <t>Additional Stock Option Modif Exp of 3.7M</t>
        </r>
      </text>
    </comment>
    <comment ref="BC164" authorId="5">
      <text>
        <r>
          <rPr>
            <sz val="8"/>
            <color indexed="81"/>
            <rFont val="Tahoma"/>
            <family val="2"/>
          </rPr>
          <t xml:space="preserve">Net Favorable Lease Amortization 6.535
Stock Option Modification Exp 0.963
Debt amendments and secondary offering 0.917
Impairment charges - long lived asset 0.829
Advisory fees 0.06
Tax effect -3.711
</t>
        </r>
      </text>
    </comment>
    <comment ref="BG164" authorId="1">
      <text>
        <r>
          <rPr>
            <sz val="8"/>
            <color indexed="81"/>
            <rFont val="Tahoma"/>
            <family val="2"/>
          </rPr>
          <t xml:space="preserve">8/27/15
-Net favorable lease amortization: 5.992
-Costs related to debt amendments, secondary offering  and other: -0.012
 -Stock option modification expense: 0.335
-Impairment charges: 0.188 </t>
        </r>
      </text>
    </comment>
    <comment ref="AI165" authorId="1">
      <text>
        <r>
          <rPr>
            <b/>
            <sz val="8"/>
            <color indexed="81"/>
            <rFont val="Tahoma"/>
            <family val="2"/>
          </rPr>
          <t>Note:</t>
        </r>
        <r>
          <rPr>
            <sz val="8"/>
            <color indexed="81"/>
            <rFont val="Tahoma"/>
            <family val="2"/>
          </rPr>
          <t xml:space="preserve"> Items adjusted for taxes based on the 35% statutory rate</t>
        </r>
      </text>
    </comment>
    <comment ref="AM165" authorId="1">
      <text>
        <r>
          <rPr>
            <b/>
            <sz val="8"/>
            <color indexed="81"/>
            <rFont val="Tahoma"/>
            <family val="2"/>
          </rPr>
          <t>Note:</t>
        </r>
        <r>
          <rPr>
            <sz val="8"/>
            <color indexed="81"/>
            <rFont val="Tahoma"/>
            <family val="2"/>
          </rPr>
          <t xml:space="preserve"> Items adjusted for taxes based on the 35% statutory rate</t>
        </r>
      </text>
    </comment>
    <comment ref="AQ165" authorId="1">
      <text>
        <r>
          <rPr>
            <b/>
            <sz val="8"/>
            <color indexed="81"/>
            <rFont val="Tahoma"/>
            <family val="2"/>
          </rPr>
          <t>Note:</t>
        </r>
        <r>
          <rPr>
            <sz val="8"/>
            <color indexed="81"/>
            <rFont val="Tahoma"/>
            <family val="2"/>
          </rPr>
          <t xml:space="preserve"> Items adjusted for taxes based on the 35% statutory rate</t>
        </r>
      </text>
    </comment>
    <comment ref="AU165" authorId="1">
      <text>
        <r>
          <rPr>
            <sz val="8"/>
            <color indexed="81"/>
            <rFont val="Tahoma"/>
            <family val="2"/>
          </rPr>
          <t>(BCP Fees+Transaction Costs+Impairment+Favorable Lease Amor) - change in tax 
= (BCP+Trans+Imp+Fav L Am) - adjusted tax + GAAP tax</t>
        </r>
        <r>
          <rPr>
            <b/>
            <sz val="8"/>
            <color indexed="81"/>
            <rFont val="Tahoma"/>
            <family val="2"/>
          </rPr>
          <t xml:space="preserve">
</t>
        </r>
      </text>
    </comment>
    <comment ref="AY165" authorId="1">
      <text>
        <r>
          <rPr>
            <sz val="8"/>
            <color indexed="81"/>
            <rFont val="Tahoma"/>
            <family val="2"/>
          </rPr>
          <t xml:space="preserve">Favorable Lease Amor 6.835
+Debt amendment/IPO 10.506
+Stock Option Modif Exp 1.768
+Impairment 0.243
+Advisory fees 0.7 </t>
        </r>
        <r>
          <rPr>
            <b/>
            <sz val="8"/>
            <color indexed="81"/>
            <rFont val="Tahoma"/>
            <family val="2"/>
          </rPr>
          <t>---- included in SG&amp;A</t>
        </r>
        <r>
          <rPr>
            <sz val="8"/>
            <color indexed="81"/>
            <rFont val="Tahoma"/>
            <family val="2"/>
          </rPr>
          <t xml:space="preserve">
-  tax effect 6.528 
</t>
        </r>
      </text>
    </comment>
    <comment ref="BC165" authorId="1">
      <text>
        <r>
          <rPr>
            <sz val="8"/>
            <color indexed="81"/>
            <rFont val="Tahoma"/>
            <family val="2"/>
          </rPr>
          <t>Total income Adjs * (1-tax)</t>
        </r>
        <r>
          <rPr>
            <b/>
            <sz val="8"/>
            <color indexed="81"/>
            <rFont val="Tahoma"/>
            <family val="2"/>
          </rPr>
          <t xml:space="preserve">
Income Adjs: </t>
        </r>
        <r>
          <rPr>
            <sz val="8"/>
            <color indexed="81"/>
            <rFont val="Tahoma"/>
            <family val="2"/>
          </rPr>
          <t>Favroable Lease Amortization (6.7) +  Stock Option Modification Exp</t>
        </r>
      </text>
    </comment>
    <comment ref="BG165" authorId="1">
      <text>
        <r>
          <rPr>
            <sz val="8"/>
            <color indexed="81"/>
            <rFont val="Tahoma"/>
            <family val="2"/>
          </rPr>
          <t>Total income Adjs * (1-tax)</t>
        </r>
        <r>
          <rPr>
            <b/>
            <sz val="8"/>
            <color indexed="81"/>
            <rFont val="Tahoma"/>
            <family val="2"/>
          </rPr>
          <t xml:space="preserve">
Income Adjs: </t>
        </r>
        <r>
          <rPr>
            <sz val="8"/>
            <color indexed="81"/>
            <rFont val="Tahoma"/>
            <family val="2"/>
          </rPr>
          <t>Favroable Lease Amortization (6.7) +  Stock Option Modification Exp</t>
        </r>
      </text>
    </comment>
    <comment ref="AI166" authorId="1">
      <text>
        <r>
          <rPr>
            <b/>
            <sz val="8"/>
            <color indexed="81"/>
            <rFont val="Tahoma"/>
            <family val="2"/>
          </rPr>
          <t>Note:</t>
        </r>
        <r>
          <rPr>
            <sz val="8"/>
            <color indexed="81"/>
            <rFont val="Tahoma"/>
            <family val="2"/>
          </rPr>
          <t xml:space="preserve"> Items adjusted for taxes based on the 35% statutory rate</t>
        </r>
      </text>
    </comment>
    <comment ref="AM166" authorId="1">
      <text>
        <r>
          <rPr>
            <b/>
            <sz val="8"/>
            <color indexed="81"/>
            <rFont val="Tahoma"/>
            <family val="2"/>
          </rPr>
          <t>Note:</t>
        </r>
        <r>
          <rPr>
            <sz val="8"/>
            <color indexed="81"/>
            <rFont val="Tahoma"/>
            <family val="2"/>
          </rPr>
          <t xml:space="preserve"> Items adjusted for taxes based on the 35% statutory rate</t>
        </r>
      </text>
    </comment>
    <comment ref="AQ166" authorId="1">
      <text>
        <r>
          <rPr>
            <b/>
            <sz val="8"/>
            <color indexed="81"/>
            <rFont val="Tahoma"/>
            <family val="2"/>
          </rPr>
          <t>Note:</t>
        </r>
        <r>
          <rPr>
            <sz val="8"/>
            <color indexed="81"/>
            <rFont val="Tahoma"/>
            <family val="2"/>
          </rPr>
          <t xml:space="preserve"> Items adjusted for taxes based on the 35% statutory rate</t>
        </r>
      </text>
    </comment>
    <comment ref="AY166" authorId="1">
      <text>
        <r>
          <rPr>
            <sz val="8"/>
            <color indexed="81"/>
            <rFont val="Tahoma"/>
            <family val="2"/>
          </rPr>
          <t xml:space="preserve">Favorable Lease Amor 6.835
+Debt amendment/IPO 10.506
+Stock Option Modif Exp 1.768
+Impairment 0.243
+Advisory fees 0.7 </t>
        </r>
        <r>
          <rPr>
            <b/>
            <sz val="8"/>
            <color indexed="81"/>
            <rFont val="Tahoma"/>
            <family val="2"/>
          </rPr>
          <t>---- included in SG&amp;A</t>
        </r>
        <r>
          <rPr>
            <sz val="8"/>
            <color indexed="81"/>
            <rFont val="Tahoma"/>
            <family val="2"/>
          </rPr>
          <t xml:space="preserve">
-  tax effect 6.528 
</t>
        </r>
      </text>
    </comment>
    <comment ref="BC166" authorId="1">
      <text>
        <r>
          <rPr>
            <sz val="8"/>
            <color indexed="81"/>
            <rFont val="Tahoma"/>
            <family val="2"/>
          </rPr>
          <t xml:space="preserve">Favorable Lease Amor 6.361
+Debt amendment/Secondary offerings 0.482
+Stock Option Modif Exp 0.521
+Loss on Extinguishment of Debt 0.364
+Impairment 1.726
+Advisory fees 0.0031 </t>
        </r>
        <r>
          <rPr>
            <b/>
            <sz val="8"/>
            <color indexed="81"/>
            <rFont val="Tahoma"/>
            <family val="2"/>
          </rPr>
          <t xml:space="preserve">
</t>
        </r>
        <r>
          <rPr>
            <sz val="8"/>
            <color indexed="81"/>
            <rFont val="Tahoma"/>
            <family val="2"/>
          </rPr>
          <t>+Other non-recurring items (</t>
        </r>
        <r>
          <rPr>
            <b/>
            <sz val="8"/>
            <color indexed="81"/>
            <rFont val="Tahoma"/>
            <family val="2"/>
          </rPr>
          <t>legal charge included in SG&amp;A</t>
        </r>
        <r>
          <rPr>
            <sz val="8"/>
            <color indexed="81"/>
            <rFont val="Tahoma"/>
            <family val="2"/>
          </rPr>
          <t>) 9.280</t>
        </r>
        <r>
          <rPr>
            <sz val="8"/>
            <color indexed="81"/>
            <rFont val="Tahoma"/>
            <family val="2"/>
          </rPr>
          <t xml:space="preserve">
-  tax effect 4.699
</t>
        </r>
      </text>
    </comment>
    <comment ref="BG166" authorId="1">
      <text>
        <r>
          <rPr>
            <sz val="8"/>
            <color indexed="81"/>
            <rFont val="Tahoma"/>
            <family val="2"/>
          </rPr>
          <t>Total income Adjs * (1-tax)</t>
        </r>
        <r>
          <rPr>
            <b/>
            <sz val="8"/>
            <color indexed="81"/>
            <rFont val="Tahoma"/>
            <family val="2"/>
          </rPr>
          <t xml:space="preserve">
Income Adjs: </t>
        </r>
        <r>
          <rPr>
            <sz val="8"/>
            <color indexed="81"/>
            <rFont val="Tahoma"/>
            <family val="2"/>
          </rPr>
          <t>Favroable Lease Amortization (6.7) +  Stock Option Modification Exp</t>
        </r>
      </text>
    </comment>
    <comment ref="AI167" authorId="1">
      <text>
        <r>
          <rPr>
            <b/>
            <sz val="8"/>
            <color indexed="81"/>
            <rFont val="Tahoma"/>
            <family val="2"/>
          </rPr>
          <t xml:space="preserve">Restructuring and Sepration 7.452
Impairment- long lived assets 56.141
Impaitment - Tradenames 15.25
</t>
        </r>
      </text>
    </comment>
    <comment ref="AM167" authorId="1">
      <text>
        <r>
          <rPr>
            <b/>
            <sz val="8"/>
            <color indexed="81"/>
            <rFont val="Tahoma"/>
            <family val="2"/>
          </rPr>
          <t xml:space="preserve">Impaitment 2.08
Advisory Fees 4.289
Cost related to Debt Amendments 3.04
Favorable Lease Amor 30.389
- tax effect 14.715
</t>
        </r>
      </text>
    </comment>
    <comment ref="AQ167" authorId="2">
      <text>
        <r>
          <rPr>
            <b/>
            <sz val="8"/>
            <color indexed="81"/>
            <rFont val="Tahoma"/>
            <family val="2"/>
          </rPr>
          <t>Loss on Extinguishment of Debt 37.764
Impaitment 1.735
Advisory Fees 4.285
Cost related to Debt Amendments -0.473
Favorable Lease Amor 29.245</t>
        </r>
        <r>
          <rPr>
            <sz val="8"/>
            <color indexed="81"/>
            <rFont val="Tahoma"/>
            <family val="2"/>
          </rPr>
          <t xml:space="preserve">
- tax effect 28.934</t>
        </r>
      </text>
    </comment>
    <comment ref="AU167" authorId="1">
      <text>
        <r>
          <rPr>
            <sz val="8"/>
            <color indexed="81"/>
            <rFont val="Tahoma"/>
            <family val="2"/>
          </rPr>
          <t>(BCP Fees+Transaction Costs+Impairment+Favorable Lease Amor) - change in tax 
= (BCP+Trans+Imp+Fav L Am) - adjusted tax + GAAP tax</t>
        </r>
        <r>
          <rPr>
            <b/>
            <sz val="8"/>
            <color indexed="81"/>
            <rFont val="Tahoma"/>
            <family val="2"/>
          </rPr>
          <t xml:space="preserve">
</t>
        </r>
      </text>
    </comment>
    <comment ref="AY167" authorId="1">
      <text>
        <r>
          <rPr>
            <sz val="8"/>
            <color indexed="81"/>
            <rFont val="Tahoma"/>
            <family val="2"/>
          </rPr>
          <t xml:space="preserve">Favorable Lease Amor 6.835
+Debt amendment/IPO 10.506
+Stock Option Modif Exp 1.768
+Impairment 0.243
+Advisory fees 0.7 </t>
        </r>
        <r>
          <rPr>
            <b/>
            <sz val="8"/>
            <color indexed="81"/>
            <rFont val="Tahoma"/>
            <family val="2"/>
          </rPr>
          <t>---- included in SG&amp;A</t>
        </r>
        <r>
          <rPr>
            <sz val="8"/>
            <color indexed="81"/>
            <rFont val="Tahoma"/>
            <family val="2"/>
          </rPr>
          <t xml:space="preserve">
-  tax effect 6.528 
</t>
        </r>
      </text>
    </comment>
    <comment ref="BC167" authorId="1">
      <text>
        <r>
          <rPr>
            <sz val="8"/>
            <color indexed="81"/>
            <rFont val="Tahoma"/>
            <family val="2"/>
          </rPr>
          <t>Total income Adjs * (1-tax)</t>
        </r>
        <r>
          <rPr>
            <b/>
            <sz val="8"/>
            <color indexed="81"/>
            <rFont val="Tahoma"/>
            <family val="2"/>
          </rPr>
          <t xml:space="preserve">
Income Adjs: </t>
        </r>
        <r>
          <rPr>
            <sz val="8"/>
            <color indexed="81"/>
            <rFont val="Tahoma"/>
            <family val="2"/>
          </rPr>
          <t>Favroable Lease Amortization (26.8) + Stock Option Modification Exp</t>
        </r>
      </text>
    </comment>
    <comment ref="S176" authorId="1">
      <text>
        <r>
          <rPr>
            <b/>
            <sz val="8"/>
            <color indexed="81"/>
            <rFont val="Tahoma"/>
            <family val="2"/>
          </rPr>
          <t xml:space="preserve">Note: </t>
        </r>
        <r>
          <rPr>
            <sz val="8"/>
            <color indexed="81"/>
            <rFont val="Tahoma"/>
            <family val="2"/>
          </rPr>
          <t>Could not find release or filing; backed into</t>
        </r>
      </text>
    </comment>
    <comment ref="W176" authorId="1">
      <text>
        <r>
          <rPr>
            <b/>
            <sz val="8"/>
            <color indexed="81"/>
            <rFont val="Tahoma"/>
            <family val="2"/>
          </rPr>
          <t xml:space="preserve">Note: </t>
        </r>
        <r>
          <rPr>
            <sz val="8"/>
            <color indexed="81"/>
            <rFont val="Tahoma"/>
            <family val="2"/>
          </rPr>
          <t>Could not find release or filing; backed into</t>
        </r>
      </text>
    </comment>
    <comment ref="AA176" authorId="1">
      <text>
        <r>
          <rPr>
            <b/>
            <sz val="8"/>
            <color indexed="81"/>
            <rFont val="Tahoma"/>
            <family val="2"/>
          </rPr>
          <t xml:space="preserve">Note: </t>
        </r>
        <r>
          <rPr>
            <sz val="8"/>
            <color indexed="81"/>
            <rFont val="Tahoma"/>
            <family val="2"/>
          </rPr>
          <t>Could not find release or filing; backed into</t>
        </r>
      </text>
    </comment>
    <comment ref="AE176" authorId="1">
      <text>
        <r>
          <rPr>
            <b/>
            <sz val="8"/>
            <color indexed="81"/>
            <rFont val="Tahoma"/>
            <family val="2"/>
          </rPr>
          <t xml:space="preserve">Note: </t>
        </r>
        <r>
          <rPr>
            <sz val="8"/>
            <color indexed="81"/>
            <rFont val="Tahoma"/>
            <family val="2"/>
          </rPr>
          <t>Could not find release or filing; backed into</t>
        </r>
      </text>
    </comment>
    <comment ref="BC183" authorId="3">
      <text>
        <r>
          <rPr>
            <b/>
            <sz val="9"/>
            <color indexed="81"/>
            <rFont val="Tahoma"/>
            <family val="2"/>
          </rPr>
          <t>3/20/14: guidance 0.19-0.23</t>
        </r>
        <r>
          <rPr>
            <sz val="9"/>
            <color indexed="81"/>
            <rFont val="Tahoma"/>
            <family val="2"/>
          </rPr>
          <t xml:space="preserve">
</t>
        </r>
      </text>
    </comment>
    <comment ref="BG183" authorId="4">
      <text>
        <r>
          <rPr>
            <b/>
            <sz val="9"/>
            <color indexed="81"/>
            <rFont val="Tahoma"/>
            <family val="2"/>
          </rPr>
          <t>Turley, Amber (Research):</t>
        </r>
        <r>
          <rPr>
            <sz val="9"/>
            <color indexed="81"/>
            <rFont val="Tahoma"/>
            <family val="2"/>
          </rPr>
          <t xml:space="preserve">
3/17/15: Guidance $0.36-$0.40</t>
        </r>
      </text>
    </comment>
    <comment ref="BC184" authorId="3">
      <text>
        <r>
          <rPr>
            <b/>
            <sz val="9"/>
            <color indexed="81"/>
            <rFont val="Tahoma"/>
            <family val="2"/>
          </rPr>
          <t>6/10/14:</t>
        </r>
        <r>
          <rPr>
            <sz val="9"/>
            <color indexed="81"/>
            <rFont val="Tahoma"/>
            <family val="2"/>
          </rPr>
          <t xml:space="preserve"> guidance -12c to -9c
</t>
        </r>
      </text>
    </comment>
    <comment ref="BG184" authorId="6">
      <text>
        <r>
          <rPr>
            <b/>
            <sz val="9"/>
            <color indexed="81"/>
            <rFont val="Tahoma"/>
            <family val="2"/>
          </rPr>
          <t>Mains, Spencer (Research):</t>
        </r>
        <r>
          <rPr>
            <sz val="9"/>
            <color indexed="81"/>
            <rFont val="Tahoma"/>
            <family val="2"/>
          </rPr>
          <t xml:space="preserve">
6/9/15: Guidance $0.10-0.13</t>
        </r>
      </text>
    </comment>
    <comment ref="BC185" authorId="3">
      <text>
        <r>
          <rPr>
            <b/>
            <sz val="9"/>
            <color indexed="81"/>
            <rFont val="Tahoma"/>
            <family val="2"/>
          </rPr>
          <t xml:space="preserve">9/8/14: </t>
        </r>
        <r>
          <rPr>
            <sz val="9"/>
            <color indexed="81"/>
            <rFont val="Tahoma"/>
            <family val="2"/>
          </rPr>
          <t xml:space="preserve">Guidance 9c-12c
</t>
        </r>
      </text>
    </comment>
    <comment ref="BG185" authorId="7">
      <text>
        <r>
          <rPr>
            <b/>
            <sz val="9"/>
            <color indexed="81"/>
            <rFont val="Tahoma"/>
            <family val="2"/>
          </rPr>
          <t>Baglione, Gregory  (Research):</t>
        </r>
        <r>
          <rPr>
            <sz val="9"/>
            <color indexed="81"/>
            <rFont val="Tahoma"/>
            <family val="2"/>
          </rPr>
          <t xml:space="preserve">
8/27/15 Adjusted EPS $0.20-$0.23</t>
        </r>
      </text>
    </comment>
    <comment ref="BC186" authorId="4">
      <text>
        <r>
          <rPr>
            <b/>
            <sz val="9"/>
            <color indexed="81"/>
            <rFont val="Tahoma"/>
            <family val="2"/>
          </rPr>
          <t>Turley, Amber (Research):</t>
        </r>
        <r>
          <rPr>
            <sz val="9"/>
            <color indexed="81"/>
            <rFont val="Tahoma"/>
            <family val="2"/>
          </rPr>
          <t xml:space="preserve">
1/9/15: Raised guidance to $1.30-$1.32
12/9/14: Guidance $1.25-$1.28</t>
        </r>
      </text>
    </comment>
    <comment ref="BC187" authorId="3">
      <text>
        <r>
          <rPr>
            <b/>
            <sz val="9"/>
            <color indexed="81"/>
            <rFont val="Tahoma"/>
            <family val="2"/>
          </rPr>
          <t>3/20/14:</t>
        </r>
        <r>
          <rPr>
            <sz val="9"/>
            <color indexed="81"/>
            <rFont val="Tahoma"/>
            <family val="2"/>
          </rPr>
          <t xml:space="preserve"> guidance 1.25-1.35
</t>
        </r>
        <r>
          <rPr>
            <b/>
            <sz val="9"/>
            <color indexed="81"/>
            <rFont val="Tahoma"/>
            <family val="2"/>
          </rPr>
          <t>6/10/14:</t>
        </r>
        <r>
          <rPr>
            <sz val="9"/>
            <color indexed="81"/>
            <rFont val="Tahoma"/>
            <family val="2"/>
          </rPr>
          <t xml:space="preserve"> guidance 1.25-1.35
</t>
        </r>
        <r>
          <rPr>
            <b/>
            <sz val="9"/>
            <color indexed="81"/>
            <rFont val="Tahoma"/>
            <family val="2"/>
          </rPr>
          <t>7/17/14:</t>
        </r>
        <r>
          <rPr>
            <sz val="9"/>
            <color indexed="81"/>
            <rFont val="Tahoma"/>
            <family val="2"/>
          </rPr>
          <t xml:space="preserve"> Debt refinancing: For the second half of fiscal 2014 this transaction will increase fully diluted adjusted earnings per share by 13 cents to 14 cents, net of potential hedging costs. 
</t>
        </r>
        <r>
          <rPr>
            <b/>
            <sz val="9"/>
            <color indexed="81"/>
            <rFont val="Tahoma"/>
            <family val="2"/>
          </rPr>
          <t>9/8/14:</t>
        </r>
        <r>
          <rPr>
            <sz val="9"/>
            <color indexed="81"/>
            <rFont val="Tahoma"/>
            <family val="2"/>
          </rPr>
          <t xml:space="preserve"> Guidance 1.52-1.58
</t>
        </r>
        <r>
          <rPr>
            <b/>
            <sz val="9"/>
            <color indexed="81"/>
            <rFont val="Tahoma"/>
            <family val="2"/>
          </rPr>
          <t>12/9/14:</t>
        </r>
        <r>
          <rPr>
            <sz val="9"/>
            <color indexed="81"/>
            <rFont val="Tahoma"/>
            <family val="2"/>
          </rPr>
          <t xml:space="preserve"> Guidance $1.65-$1.67
</t>
        </r>
        <r>
          <rPr>
            <b/>
            <sz val="9"/>
            <color indexed="81"/>
            <rFont val="Tahoma"/>
            <family val="2"/>
          </rPr>
          <t xml:space="preserve">1/9/15: </t>
        </r>
        <r>
          <rPr>
            <sz val="9"/>
            <color indexed="81"/>
            <rFont val="Tahoma"/>
            <family val="2"/>
          </rPr>
          <t>Raised guidance to $1.70-$1.72</t>
        </r>
      </text>
    </comment>
    <comment ref="BG187" authorId="4">
      <text>
        <r>
          <rPr>
            <sz val="9"/>
            <color indexed="81"/>
            <rFont val="Tahoma"/>
            <family val="2"/>
          </rPr>
          <t>8/27/15: Updated adj. EPS $2.27-$2.32
6/9/15: Reiterated guidance of $2.15-2.25
3/17/15: Guidance $2.15-$2.25</t>
        </r>
      </text>
    </comment>
    <comment ref="BG193" authorId="4">
      <text>
        <r>
          <rPr>
            <sz val="9"/>
            <color indexed="81"/>
            <rFont val="Tahoma"/>
            <family val="2"/>
          </rPr>
          <t>3/17/15: Guidance 76.5M shares</t>
        </r>
      </text>
    </comment>
    <comment ref="C196" authorId="1">
      <text>
        <r>
          <rPr>
            <b/>
            <sz val="8"/>
            <color indexed="81"/>
            <rFont val="Tahoma"/>
            <family val="2"/>
          </rPr>
          <t>Estimate based on 19c diluted EPS in release (does not show diluted shr ct for qtr)</t>
        </r>
      </text>
    </comment>
    <comment ref="BC196" authorId="4">
      <text>
        <r>
          <rPr>
            <b/>
            <sz val="9"/>
            <color indexed="81"/>
            <rFont val="Tahoma"/>
            <family val="2"/>
          </rPr>
          <t>Turley, Amber (Research):</t>
        </r>
        <r>
          <rPr>
            <sz val="9"/>
            <color indexed="81"/>
            <rFont val="Tahoma"/>
            <family val="2"/>
          </rPr>
          <t xml:space="preserve">
1/9/15: Guidance 76.3M diluted shares
12/9/14: Guidance 76.2M diluted shares outstanding</t>
        </r>
      </text>
    </comment>
    <comment ref="BC197" authorId="4">
      <text>
        <r>
          <rPr>
            <b/>
            <sz val="9"/>
            <color indexed="81"/>
            <rFont val="Tahoma"/>
            <family val="2"/>
          </rPr>
          <t>Turley, Amber (Research):</t>
        </r>
        <r>
          <rPr>
            <sz val="9"/>
            <color indexed="81"/>
            <rFont val="Tahoma"/>
            <family val="2"/>
          </rPr>
          <t xml:space="preserve">
12/9/14: Guidance 75.8M shares
1/9/15: Guidance 75.9M shares</t>
        </r>
      </text>
    </comment>
    <comment ref="BG197" authorId="4">
      <text>
        <r>
          <rPr>
            <sz val="9"/>
            <color indexed="81"/>
            <rFont val="Tahoma"/>
            <family val="2"/>
          </rPr>
          <t>6/9/15: Reiterated ~77M shares
3/17/15: Guidabnce ~77M</t>
        </r>
      </text>
    </comment>
    <comment ref="BC205" authorId="4">
      <text>
        <r>
          <rPr>
            <b/>
            <sz val="9"/>
            <color indexed="81"/>
            <rFont val="Tahoma"/>
            <family val="2"/>
          </rPr>
          <t>Turley, Amber (Research):</t>
        </r>
        <r>
          <rPr>
            <sz val="9"/>
            <color indexed="81"/>
            <rFont val="Tahoma"/>
            <family val="2"/>
          </rPr>
          <t xml:space="preserve">
12/9/14 10-Q: The number of shares of registrant’s common stock outstanding as of November 29, 2014: 74,589,657. </t>
        </r>
      </text>
    </comment>
    <comment ref="BC213" authorId="3">
      <text>
        <r>
          <rPr>
            <b/>
            <sz val="9"/>
            <color indexed="81"/>
            <rFont val="Tahoma"/>
            <family val="2"/>
          </rPr>
          <t xml:space="preserve">6/10/14: </t>
        </r>
        <r>
          <rPr>
            <sz val="9"/>
            <color indexed="81"/>
            <rFont val="Tahoma"/>
            <family val="2"/>
          </rPr>
          <t xml:space="preserve">Pro forma diluted shares outstanding were 75.5 million vs. 72.4 million last year
</t>
        </r>
      </text>
    </comment>
    <comment ref="AY214" authorId="3">
      <text>
        <r>
          <rPr>
            <b/>
            <sz val="9"/>
            <color indexed="81"/>
            <rFont val="Tahoma"/>
            <family val="2"/>
          </rPr>
          <t xml:space="preserve">6/10/14: </t>
        </r>
        <r>
          <rPr>
            <sz val="9"/>
            <color indexed="81"/>
            <rFont val="Tahoma"/>
            <family val="2"/>
          </rPr>
          <t xml:space="preserve">2Q Adjusted Net Loss per share is expected in the range of $(0.12) to $(0.09) vs. $(0.18) per share last year, utilizing a basic share count of 73.7 million shares
</t>
        </r>
      </text>
    </comment>
    <comment ref="AY216" authorId="2">
      <text>
        <r>
          <rPr>
            <b/>
            <sz val="8"/>
            <color indexed="81"/>
            <rFont val="Tahoma"/>
            <family val="2"/>
          </rPr>
          <t xml:space="preserve">12/9/13: Guidance 74.8
</t>
        </r>
        <r>
          <rPr>
            <sz val="8"/>
            <color indexed="81"/>
            <rFont val="Tahoma"/>
            <family val="2"/>
          </rPr>
          <t xml:space="preserve">
</t>
        </r>
      </text>
    </comment>
    <comment ref="AY217" authorId="2">
      <text>
        <r>
          <rPr>
            <b/>
            <sz val="8"/>
            <color indexed="81"/>
            <rFont val="Tahoma"/>
            <family val="2"/>
          </rPr>
          <t xml:space="preserve">12/9/13: Guidance 74.8
</t>
        </r>
        <r>
          <rPr>
            <sz val="8"/>
            <color indexed="81"/>
            <rFont val="Tahoma"/>
            <family val="2"/>
          </rPr>
          <t xml:space="preserve">
</t>
        </r>
      </text>
    </comment>
    <comment ref="BC217" authorId="3">
      <text>
        <r>
          <rPr>
            <b/>
            <sz val="9"/>
            <color indexed="81"/>
            <rFont val="Tahoma"/>
            <family val="2"/>
          </rPr>
          <t>3/20/14:</t>
        </r>
        <r>
          <rPr>
            <sz val="9"/>
            <color indexed="81"/>
            <rFont val="Tahoma"/>
            <family val="2"/>
          </rPr>
          <t xml:space="preserve"> guidance 75.5M
</t>
        </r>
        <r>
          <rPr>
            <b/>
            <sz val="9"/>
            <color indexed="81"/>
            <rFont val="Tahoma"/>
            <family val="2"/>
          </rPr>
          <t>6/10/14:</t>
        </r>
        <r>
          <rPr>
            <sz val="9"/>
            <color indexed="81"/>
            <rFont val="Tahoma"/>
            <family val="2"/>
          </rPr>
          <t xml:space="preserve"> guidance 75.5M
</t>
        </r>
        <r>
          <rPr>
            <b/>
            <sz val="9"/>
            <color indexed="81"/>
            <rFont val="Tahoma"/>
            <family val="2"/>
          </rPr>
          <t>9/8/14:</t>
        </r>
        <r>
          <rPr>
            <sz val="9"/>
            <color indexed="81"/>
            <rFont val="Tahoma"/>
            <family val="2"/>
          </rPr>
          <t xml:space="preserve"> guidance 75.5M
</t>
        </r>
      </text>
    </comment>
  </commentList>
</comments>
</file>

<file path=xl/comments4.xml><?xml version="1.0" encoding="utf-8"?>
<comments xmlns="http://schemas.openxmlformats.org/spreadsheetml/2006/main">
  <authors>
    <author>Baglione, Gregory  (Research)</author>
    <author>Roberts, Cynthia (Research)</author>
  </authors>
  <commentList>
    <comment ref="BG40" authorId="0">
      <text>
        <r>
          <rPr>
            <b/>
            <sz val="9"/>
            <color indexed="81"/>
            <rFont val="Tahoma"/>
            <family val="2"/>
          </rPr>
          <t>Baglione, Gregory  (Research):</t>
        </r>
        <r>
          <rPr>
            <sz val="9"/>
            <color indexed="81"/>
            <rFont val="Tahoma"/>
            <family val="2"/>
          </rPr>
          <t xml:space="preserve">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For the second quarter, the Company currently expects Adjusted EBITDA in the range of $88 to $90 million compared to an Adjusted EBITDA of $75.4 million last year, and Adjusted Net Income per Share of $0.28 to $0.30 compared to $0.19 last year. This compares to the Company’s previous guidance for the second quarter, which included a comparable store sales increase of 2.5% to 3.5% and Adjusted Net Income per Share of $0.20 to $0.23. The Company will update its full year guidance when it announces second quarter results. "</t>
        </r>
      </text>
    </comment>
    <comment ref="CG40" authorId="0">
      <text>
        <r>
          <rPr>
            <b/>
            <sz val="9"/>
            <color indexed="81"/>
            <rFont val="Tahoma"/>
            <family val="2"/>
          </rPr>
          <t>Baglione, Gregory  (Research):</t>
        </r>
        <r>
          <rPr>
            <sz val="9"/>
            <color indexed="81"/>
            <rFont val="Tahoma"/>
            <family val="2"/>
          </rPr>
          <t xml:space="preserve">
11/22/16
For the full Fiscal Year 2016 (the 52 weeks ending January 28, 2017), the Company expects:
Net sales to increase in the range of 8.4% to 8.7%;
Comparable store sales to increase in the range of 3.9% to 4.2%;
Interest expense of approximately $57 million reflecting the Term Loan Credit Facility repricing;
Adjusted Net Income per Share in the range of $3.11 to $3.15 compared to the Company’s prior guidance of $2.92 to $2.96, utilizing a fully diluted share count of approximately 71.8 million shares, as compared with $2.31 in Fiscal 2015;
Adjusted EBITDA margin expansion to increase 70 to 80 basis points; and
To open 25 net new stores.
8/25/16
Net sales to increase in the range of 7.8% to 8.3%;
Comparable store sales to increase between 3.6% to 4.1%;
Interest expense of approximately $59 million reflecting the Term Loan Facility repricing;
Adjusted Net Income per Share in the range of $2.92 to $2.96, which reflects an increase in incentive compensation expense of $0.02 per share driven by operating performance above the Company’s expectations in the first half of the year, compared to the Company’s prior guidance of $2.68 to $2.78, utilizing a fully diluted share count of approximately 72.1 million shares, as compared with $2.31 in Fiscal 2015;
Adjusted EBITDA margin expansion to increase 50 to 60 basis points; and
To open 25 net new stores.
5/26/16
• Adjusted Net Income per Share in the range of $2.68 to $2.78, compared to our prior guidance of $2.62 to $2.72, utilizing a fully diluted share count of approximately 72.4 million shares, as compared with $2.31 in Fiscal 2015; 
3/3/16
Full Year Fiscal 2016 and Q1 Outlook
For the full Fiscal Year 2016 (the 52-weeks ending January 28, 2017), the Company currently expects:
Net sales to increase in the range of 6.5% to 7.5%;
Comparable store sales to increase between 2.5% to 3.5%, inclusive of a 0.5% increase related to the transfer of our fragrance business from a leased to an owned category;
Adjusted EBITDA margin expansion of 20 to 30 basis points;
Interest expense of approximately $62 million;
Tax rate to approximate 37.8%;
Adjusted Net Income per Share in the range of $2.62 to $2.72, utilizing a fully diluted share count of approximately 73.2 million shares. This compares with an Adjusted Net Income per Share of $2.31 in Fiscal 2015;
To open 25 net new stores.
</t>
        </r>
      </text>
    </comment>
    <comment ref="AV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AW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AX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AY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A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B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C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D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E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F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G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H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BI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C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D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E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F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G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H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I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J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K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L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M50" authorId="0">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G64" authorId="0">
      <text>
        <r>
          <rPr>
            <b/>
            <sz val="9"/>
            <color indexed="81"/>
            <rFont val="Tahoma"/>
            <family val="2"/>
          </rPr>
          <t>Baglione, Gregory  (Research):</t>
        </r>
        <r>
          <rPr>
            <sz val="9"/>
            <color indexed="81"/>
            <rFont val="Tahoma"/>
            <family val="2"/>
          </rPr>
          <t xml:space="preserve">
11/22/16
For the full year, we now expect adjusted EBITDA margin expansion to increase 70 to 80 basis points, interest expense to approximate $67 million,
and adjusted tax rate of approximately 37.3%, and a share count of approximately 71.8 million shares.
8/25/16
Adjusted EBITDA margin expansion to increase 50 to 60 basis points
5/26/16
• Adjusted EBITDA margin expansion now to increase 30 to 40 basis points; 
</t>
        </r>
      </text>
    </comment>
    <comment ref="CH64" authorId="1">
      <text>
        <r>
          <rPr>
            <b/>
            <sz val="9"/>
            <color indexed="81"/>
            <rFont val="Tahoma"/>
            <family val="2"/>
          </rPr>
          <t>Roberts, Cynthia (Research):</t>
        </r>
        <r>
          <rPr>
            <sz val="9"/>
            <color indexed="81"/>
            <rFont val="Tahoma"/>
            <family val="2"/>
          </rPr>
          <t xml:space="preserve">
3/2/17: Guidance Adj EBITDA margin expansion 40-50bps</t>
        </r>
      </text>
    </comment>
    <comment ref="BG70" authorId="0">
      <text>
        <r>
          <rPr>
            <b/>
            <sz val="9"/>
            <color indexed="81"/>
            <rFont val="Tahoma"/>
            <family val="2"/>
          </rPr>
          <t>Baglione, Gregory  (Research):</t>
        </r>
        <r>
          <rPr>
            <sz val="9"/>
            <color indexed="81"/>
            <rFont val="Tahoma"/>
            <family val="2"/>
          </rPr>
          <t xml:space="preserve">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For the second quarter, the Company currently expects Adjusted EBITDA in the range of $88 to $90 million compared to an Adjusted EBITDA of $75.4 million last year, and Adjusted Net Income per Share of $0.28 to $0.30 compared to $0.19 last year. This compares to the Company’s previous guidance for the second quarter, which included a comparable store sales increase of 2.5% to 3.5% and Adjusted Net Income per Share of $0.20 to $0.23. The Company will update its full year guidance when it announces second quarter results. </t>
        </r>
      </text>
    </comment>
  </commentList>
</comments>
</file>

<file path=xl/comments5.xml><?xml version="1.0" encoding="utf-8"?>
<comments xmlns="http://schemas.openxmlformats.org/spreadsheetml/2006/main">
  <authors>
    <author>Duol</author>
    <author>balskyh</author>
    <author>duol</author>
    <author>DL</author>
    <author>Turley, Amber (Research)</author>
    <author>Baglione, Gregory  (Research)</author>
    <author>Roberts, Cynthia (Research)</author>
    <author>granaosc</author>
    <author>Mains, Spencer (Research)</author>
    <author>Baglione, Gregory (Research)</author>
    <author>Cassel, Lauren (Research)</author>
  </authors>
  <commentList>
    <comment ref="AV7" authorId="0">
      <text>
        <r>
          <rPr>
            <b/>
            <sz val="8"/>
            <color indexed="81"/>
            <rFont val="Tahoma"/>
            <family val="2"/>
          </rPr>
          <t>52 Weeks</t>
        </r>
        <r>
          <rPr>
            <sz val="8"/>
            <color indexed="81"/>
            <rFont val="Tahoma"/>
            <family val="2"/>
          </rPr>
          <t xml:space="preserve">
</t>
        </r>
      </text>
    </comment>
    <comment ref="C11" authorId="1">
      <text>
        <r>
          <rPr>
            <sz val="8"/>
            <color indexed="81"/>
            <rFont val="Tahoma"/>
            <family val="2"/>
          </rPr>
          <t>Qtr end Aug 31</t>
        </r>
      </text>
    </comment>
    <comment ref="G11" authorId="1">
      <text>
        <r>
          <rPr>
            <sz val="8"/>
            <color indexed="81"/>
            <rFont val="Tahoma"/>
            <family val="2"/>
          </rPr>
          <t>Qtr end Aug 31</t>
        </r>
      </text>
    </comment>
    <comment ref="K11" authorId="1">
      <text>
        <r>
          <rPr>
            <sz val="8"/>
            <color indexed="81"/>
            <rFont val="Tahoma"/>
            <family val="2"/>
          </rPr>
          <t>Qtr end Aug 31</t>
        </r>
      </text>
    </comment>
    <comment ref="O11" authorId="1">
      <text>
        <r>
          <rPr>
            <sz val="8"/>
            <color indexed="81"/>
            <rFont val="Tahoma"/>
            <family val="2"/>
          </rPr>
          <t>Qtr end Aug 31</t>
        </r>
      </text>
    </comment>
    <comment ref="S11" authorId="1">
      <text>
        <r>
          <rPr>
            <sz val="8"/>
            <color indexed="81"/>
            <rFont val="Tahoma"/>
            <family val="2"/>
          </rPr>
          <t>Qtr end Aug 31</t>
        </r>
      </text>
    </comment>
    <comment ref="W11" authorId="1">
      <text>
        <r>
          <rPr>
            <sz val="8"/>
            <color indexed="81"/>
            <rFont val="Tahoma"/>
            <family val="2"/>
          </rPr>
          <t>Qtr end Aug 31</t>
        </r>
      </text>
    </comment>
    <comment ref="AA11" authorId="1">
      <text>
        <r>
          <rPr>
            <sz val="8"/>
            <color indexed="81"/>
            <rFont val="Tahoma"/>
            <family val="2"/>
          </rPr>
          <t>Qtr end Aug 31</t>
        </r>
      </text>
    </comment>
    <comment ref="AE11" authorId="1">
      <text>
        <r>
          <rPr>
            <sz val="8"/>
            <color indexed="81"/>
            <rFont val="Tahoma"/>
            <family val="2"/>
          </rPr>
          <t>Qtr end Aug 31</t>
        </r>
      </text>
    </comment>
    <comment ref="AI11" authorId="2">
      <text>
        <r>
          <rPr>
            <sz val="8"/>
            <color indexed="81"/>
            <rFont val="Tahoma"/>
            <family val="2"/>
          </rPr>
          <t xml:space="preserve">Total Rev - Other Rev
837.1 - 7.1
</t>
        </r>
      </text>
    </comment>
    <comment ref="AK11" authorId="1">
      <text>
        <r>
          <rPr>
            <sz val="8"/>
            <color indexed="81"/>
            <rFont val="Tahoma"/>
            <family val="2"/>
          </rPr>
          <t>Source: analyst deck from mgmt</t>
        </r>
      </text>
    </comment>
    <comment ref="AM11" authorId="2">
      <text>
        <r>
          <rPr>
            <sz val="8"/>
            <color indexed="81"/>
            <rFont val="Tahoma"/>
            <family val="2"/>
          </rPr>
          <t xml:space="preserve">Total Rev - Other Rev
902.0 - 7.3
</t>
        </r>
      </text>
    </comment>
    <comment ref="AQ11" authorId="2">
      <text>
        <r>
          <rPr>
            <sz val="8"/>
            <color indexed="81"/>
            <rFont val="Tahoma"/>
            <family val="2"/>
          </rPr>
          <t xml:space="preserve">Total Rev - Other Rev
936.3 - 7.3
</t>
        </r>
      </text>
    </comment>
    <comment ref="AU11" authorId="0">
      <text>
        <r>
          <rPr>
            <sz val="8"/>
            <color indexed="81"/>
            <rFont val="Tahoma"/>
            <family val="2"/>
          </rPr>
          <t>From company model sent 8/7/13</t>
        </r>
        <r>
          <rPr>
            <sz val="8"/>
            <color indexed="81"/>
            <rFont val="Tahoma"/>
            <family val="2"/>
          </rPr>
          <t xml:space="preserve">
</t>
        </r>
      </text>
    </comment>
    <comment ref="BD11" authorId="3">
      <text>
        <r>
          <rPr>
            <b/>
            <sz val="9"/>
            <color indexed="81"/>
            <rFont val="Tahoma"/>
            <family val="2"/>
          </rPr>
          <t>3/20/14:</t>
        </r>
        <r>
          <rPr>
            <sz val="9"/>
            <color indexed="81"/>
            <rFont val="Tahoma"/>
            <family val="2"/>
          </rPr>
          <t xml:space="preserve"> guidance 5.4% - 6.4%
</t>
        </r>
      </text>
    </comment>
    <comment ref="BE11" authorId="3">
      <text>
        <r>
          <rPr>
            <b/>
            <sz val="9"/>
            <color indexed="81"/>
            <rFont val="Tahoma"/>
            <family val="2"/>
          </rPr>
          <t xml:space="preserve">Guidance: 2-3%
6/10/14: </t>
        </r>
        <r>
          <rPr>
            <sz val="9"/>
            <color indexed="81"/>
            <rFont val="Tahoma"/>
            <family val="2"/>
          </rPr>
          <t xml:space="preserve">traffic was comparable and both UPT/AUR were up.
</t>
        </r>
      </text>
    </comment>
    <comment ref="BH11" authorId="4">
      <text>
        <r>
          <rPr>
            <b/>
            <sz val="9"/>
            <color indexed="81"/>
            <rFont val="Tahoma"/>
            <family val="2"/>
          </rPr>
          <t>Turley, Amber (Research):</t>
        </r>
        <r>
          <rPr>
            <sz val="9"/>
            <color indexed="81"/>
            <rFont val="Tahoma"/>
            <family val="2"/>
          </rPr>
          <t xml:space="preserve">
3/17/15: Guidance 6-7%</t>
        </r>
      </text>
    </comment>
    <comment ref="BI11" authorId="4">
      <text>
        <r>
          <rPr>
            <b/>
            <sz val="9"/>
            <color indexed="81"/>
            <rFont val="Tahoma"/>
            <family val="2"/>
          </rPr>
          <t>6/9/15:</t>
        </r>
        <r>
          <rPr>
            <sz val="9"/>
            <color indexed="81"/>
            <rFont val="Tahoma"/>
            <family val="2"/>
          </rPr>
          <t xml:space="preserve"> Driven by an increase in traffic and UPT.  Conversion and AUR both declined.  Negatively affected by timing of federal tax refunds (shifted sales from Feb to Jan), lower markdown sales as a result of much lower markdown inventory, increased store closures due to weather, and receipt flow issues in three key Easter businesses (ladies shoe, handbags ,and dresses and suits).  If we would have made plan in the three Easter businesses, would have been at the high end of guidance range.
3/17/15: Guidance 2-3%</t>
        </r>
      </text>
    </comment>
    <comment ref="BM11" authorId="5">
      <text>
        <r>
          <rPr>
            <b/>
            <sz val="9"/>
            <color indexed="81"/>
            <rFont val="Tahoma"/>
            <family val="2"/>
          </rPr>
          <t>Baglione, Gregory  (Research):</t>
        </r>
        <r>
          <rPr>
            <sz val="9"/>
            <color indexed="81"/>
            <rFont val="Tahoma"/>
            <family val="2"/>
          </rPr>
          <t xml:space="preserve">
11/24/15
Forecast a +3.0% comp following pull forward of sales into 4Q14 from 1Q15 LY.</t>
        </r>
      </text>
    </comment>
    <comment ref="BP11" authorId="6">
      <text>
        <r>
          <rPr>
            <b/>
            <sz val="9"/>
            <color indexed="81"/>
            <rFont val="Tahoma"/>
            <family val="2"/>
          </rPr>
          <t>Roberts, Cynthia (Research):</t>
        </r>
        <r>
          <rPr>
            <sz val="9"/>
            <color indexed="81"/>
            <rFont val="Tahoma"/>
            <family val="2"/>
          </rPr>
          <t xml:space="preserve">
3/2/17: Guidance:5-6%</t>
        </r>
      </text>
    </comment>
    <comment ref="BQ11" authorId="6">
      <text>
        <r>
          <rPr>
            <b/>
            <sz val="9"/>
            <color indexed="81"/>
            <rFont val="Tahoma"/>
            <family val="2"/>
          </rPr>
          <t>Roberts, Cynthia (Research):</t>
        </r>
        <r>
          <rPr>
            <sz val="9"/>
            <color indexed="81"/>
            <rFont val="Tahoma"/>
            <family val="2"/>
          </rPr>
          <t xml:space="preserve">
5/25/17: Negatively impacted by tax refund delays in February, March/April comps +4.5%
3/2/17: Guidance: 1-2%; reflects impact of delay in processing of tax returns vs. LY</t>
        </r>
      </text>
    </comment>
    <comment ref="BT11" authorId="6">
      <text>
        <r>
          <rPr>
            <b/>
            <sz val="9"/>
            <color indexed="81"/>
            <rFont val="Tahoma"/>
            <family val="2"/>
          </rPr>
          <t>Roberts, Cynthia (Research):</t>
        </r>
        <r>
          <rPr>
            <sz val="9"/>
            <color indexed="81"/>
            <rFont val="Tahoma"/>
            <family val="2"/>
          </rPr>
          <t xml:space="preserve">
3/8/18: Guidance +9.5-10.5%; plan to open 22 stores in 1Q vs. 4 LY 
11/21/17: includes sales benefit from calendar shift due to 53rd week reversal; offset by ~$18M headwind from 8 hurrican stores likely to stay closed</t>
        </r>
      </text>
    </comment>
    <comment ref="BU11" authorId="6">
      <text>
        <r>
          <rPr>
            <b/>
            <sz val="9"/>
            <color indexed="81"/>
            <rFont val="Tahoma"/>
            <family val="2"/>
          </rPr>
          <t>Roberts, Cynthia (Research):</t>
        </r>
        <r>
          <rPr>
            <sz val="9"/>
            <color indexed="81"/>
            <rFont val="Tahoma"/>
            <family val="2"/>
          </rPr>
          <t xml:space="preserve">
3/8/18: Guidance +2-3%</t>
        </r>
      </text>
    </comment>
    <comment ref="C12" authorId="1">
      <text>
        <r>
          <rPr>
            <b/>
            <sz val="8"/>
            <color indexed="81"/>
            <rFont val="Tahoma"/>
            <family val="2"/>
          </rPr>
          <t>Qtr end Nov 30,</t>
        </r>
      </text>
    </comment>
    <comment ref="G12" authorId="1">
      <text>
        <r>
          <rPr>
            <b/>
            <sz val="8"/>
            <color indexed="81"/>
            <rFont val="Tahoma"/>
            <family val="2"/>
          </rPr>
          <t>Qtr end Nov 30,</t>
        </r>
      </text>
    </comment>
    <comment ref="K12" authorId="1">
      <text>
        <r>
          <rPr>
            <b/>
            <sz val="8"/>
            <color indexed="81"/>
            <rFont val="Tahoma"/>
            <family val="2"/>
          </rPr>
          <t>Qtr end Nov 30,</t>
        </r>
      </text>
    </comment>
    <comment ref="O12" authorId="1">
      <text>
        <r>
          <rPr>
            <b/>
            <sz val="8"/>
            <color indexed="81"/>
            <rFont val="Tahoma"/>
            <family val="2"/>
          </rPr>
          <t>Qtr end Nov 30,</t>
        </r>
      </text>
    </comment>
    <comment ref="S12" authorId="1">
      <text>
        <r>
          <rPr>
            <b/>
            <sz val="8"/>
            <color indexed="81"/>
            <rFont val="Tahoma"/>
            <family val="2"/>
          </rPr>
          <t>Qtr end Nov 30,</t>
        </r>
      </text>
    </comment>
    <comment ref="W12" authorId="1">
      <text>
        <r>
          <rPr>
            <b/>
            <sz val="8"/>
            <color indexed="81"/>
            <rFont val="Tahoma"/>
            <family val="2"/>
          </rPr>
          <t>Qtr end Nov 30,</t>
        </r>
      </text>
    </comment>
    <comment ref="AA12" authorId="1">
      <text>
        <r>
          <rPr>
            <b/>
            <sz val="8"/>
            <color indexed="81"/>
            <rFont val="Tahoma"/>
            <family val="2"/>
          </rPr>
          <t>Qtr end Nov 30,</t>
        </r>
      </text>
    </comment>
    <comment ref="AE12" authorId="1">
      <text>
        <r>
          <rPr>
            <b/>
            <sz val="8"/>
            <color indexed="81"/>
            <rFont val="Tahoma"/>
            <family val="2"/>
          </rPr>
          <t>Qtr end Nov 30,</t>
        </r>
      </text>
    </comment>
    <comment ref="AI12" authorId="2">
      <text>
        <r>
          <rPr>
            <sz val="8"/>
            <color indexed="81"/>
            <rFont val="Tahoma"/>
            <family val="2"/>
          </rPr>
          <t xml:space="preserve">Total Rev - Other Rev
707.7 - 6.7
</t>
        </r>
      </text>
    </comment>
    <comment ref="AK12" authorId="1">
      <text>
        <r>
          <rPr>
            <sz val="8"/>
            <color indexed="81"/>
            <rFont val="Tahoma"/>
            <family val="2"/>
          </rPr>
          <t>Source: analyst deck from mgmt</t>
        </r>
      </text>
    </comment>
    <comment ref="AM12" authorId="2">
      <text>
        <r>
          <rPr>
            <sz val="8"/>
            <color indexed="81"/>
            <rFont val="Tahoma"/>
            <family val="2"/>
          </rPr>
          <t xml:space="preserve">Total Rev - Other Rev
735.5 - 6.8
</t>
        </r>
      </text>
    </comment>
    <comment ref="AQ12" authorId="2">
      <text>
        <r>
          <rPr>
            <sz val="8"/>
            <color indexed="81"/>
            <rFont val="Tahoma"/>
            <family val="2"/>
          </rPr>
          <t xml:space="preserve">Total Rev - Other Rev
800.4 - 7.1
</t>
        </r>
      </text>
    </comment>
    <comment ref="BA12" authorId="7">
      <text>
        <r>
          <rPr>
            <b/>
            <sz val="8"/>
            <color indexed="81"/>
            <rFont val="Tahoma"/>
            <family val="2"/>
          </rPr>
          <t>granaosc:</t>
        </r>
        <r>
          <rPr>
            <sz val="8"/>
            <color indexed="81"/>
            <rFont val="Tahoma"/>
            <family val="2"/>
          </rPr>
          <t xml:space="preserve">
08/08/13: Expect +7.8 comps</t>
        </r>
      </text>
    </comment>
    <comment ref="BD12" authorId="3">
      <text>
        <r>
          <rPr>
            <b/>
            <sz val="9"/>
            <color indexed="81"/>
            <rFont val="Tahoma"/>
            <family val="2"/>
          </rPr>
          <t>6/10/14:</t>
        </r>
        <r>
          <rPr>
            <sz val="9"/>
            <color indexed="81"/>
            <rFont val="Tahoma"/>
            <family val="2"/>
          </rPr>
          <t xml:space="preserve"> Guidance 5-6%
</t>
        </r>
      </text>
    </comment>
    <comment ref="BE12" authorId="3">
      <text>
        <r>
          <rPr>
            <b/>
            <sz val="9"/>
            <color indexed="81"/>
            <rFont val="Tahoma"/>
            <family val="2"/>
          </rPr>
          <t xml:space="preserve">6/10/14: </t>
        </r>
        <r>
          <rPr>
            <sz val="9"/>
            <color indexed="81"/>
            <rFont val="Tahoma"/>
            <family val="2"/>
          </rPr>
          <t xml:space="preserve">Guidance 2-3%
</t>
        </r>
        <r>
          <rPr>
            <b/>
            <sz val="9"/>
            <color indexed="81"/>
            <rFont val="Tahoma"/>
            <family val="2"/>
          </rPr>
          <t>7/17/14:</t>
        </r>
        <r>
          <rPr>
            <sz val="9"/>
            <color indexed="81"/>
            <rFont val="Tahoma"/>
            <family val="2"/>
          </rPr>
          <t xml:space="preserve"> Raised guidance 3-4%</t>
        </r>
      </text>
    </comment>
    <comment ref="BH12" authorId="8">
      <text>
        <r>
          <rPr>
            <b/>
            <sz val="9"/>
            <color indexed="81"/>
            <rFont val="Tahoma"/>
            <family val="2"/>
          </rPr>
          <t>Mains, Spencer (Research):</t>
        </r>
        <r>
          <rPr>
            <sz val="9"/>
            <color indexed="81"/>
            <rFont val="Tahoma"/>
            <family val="2"/>
          </rPr>
          <t xml:space="preserve">
6/9/15: Guidance 7-8%</t>
        </r>
      </text>
    </comment>
    <comment ref="BI12" authorId="8">
      <text>
        <r>
          <rPr>
            <b/>
            <sz val="9"/>
            <color indexed="81"/>
            <rFont val="Tahoma"/>
            <family val="2"/>
          </rPr>
          <t>Mains, Spencer (Research):</t>
        </r>
        <r>
          <rPr>
            <sz val="9"/>
            <color indexed="81"/>
            <rFont val="Tahoma"/>
            <family val="2"/>
          </rPr>
          <t xml:space="preserve">
8/27/15
Higher traffic, conversion, UPT, partially offset by lower AUR.
6/9/15: Guidance 3-4%, "I am optimistic about our business as comparable store sales have accelerated."
</t>
        </r>
      </text>
    </comment>
    <comment ref="BL12" authorId="5">
      <text>
        <r>
          <rPr>
            <b/>
            <sz val="9"/>
            <color indexed="81"/>
            <rFont val="Tahoma"/>
            <family val="2"/>
          </rPr>
          <t>Baglione, Gregory  (Research):</t>
        </r>
        <r>
          <rPr>
            <sz val="9"/>
            <color indexed="81"/>
            <rFont val="Tahoma"/>
            <family val="2"/>
          </rPr>
          <t xml:space="preserve">
• Net sales to increase in the range of 6.3% to 7.3%; 
• Comparable store sales to increase in the range of 2.5% to 3.5%; </t>
        </r>
      </text>
    </comment>
    <comment ref="BM12" authorId="5">
      <text>
        <r>
          <rPr>
            <b/>
            <sz val="9"/>
            <color indexed="81"/>
            <rFont val="Tahoma"/>
            <family val="2"/>
          </rPr>
          <t>Baglione, Gregory  (Research):</t>
        </r>
        <r>
          <rPr>
            <sz val="9"/>
            <color indexed="81"/>
            <rFont val="Tahoma"/>
            <family val="2"/>
          </rPr>
          <t xml:space="preserve">
8/25/16
In terms of comp metrics, comparable store sales performance was driven by increases in traffic, units per transaction and conversion .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5/26/16
Net sales to increase in the range of 6.3% to 7.3%; 
Comparable store sales to increase in the range of 2.5% to 3.5%;  
</t>
        </r>
      </text>
    </comment>
    <comment ref="BP12" authorId="6">
      <text>
        <r>
          <rPr>
            <b/>
            <sz val="9"/>
            <color indexed="81"/>
            <rFont val="Tahoma"/>
            <family val="2"/>
          </rPr>
          <t>Roberts, Cynthia (Research):</t>
        </r>
        <r>
          <rPr>
            <sz val="9"/>
            <color indexed="81"/>
            <rFont val="Tahoma"/>
            <family val="2"/>
          </rPr>
          <t xml:space="preserve">
8/24/17: increase driven by better than expected performance of new and non comp stores
5/25/17: Guidance 6.7%-7.7%</t>
        </r>
      </text>
    </comment>
    <comment ref="BQ12" authorId="6">
      <text>
        <r>
          <rPr>
            <b/>
            <sz val="9"/>
            <color indexed="81"/>
            <rFont val="Tahoma"/>
            <family val="2"/>
          </rPr>
          <t>Roberts, Cynthia (Research):</t>
        </r>
        <r>
          <rPr>
            <sz val="9"/>
            <color indexed="81"/>
            <rFont val="Tahoma"/>
            <family val="2"/>
          </rPr>
          <t xml:space="preserve">
8/24/17 Traffic and UPT positive; conversion and AUR flat; acceleration from 1Q driven by an improvement apparel (men's, women's, and kids); flat or positive comps in 26 of 27 regions. 
5/25/17: Guidance 2-3%</t>
        </r>
      </text>
    </comment>
    <comment ref="C13" authorId="1">
      <text>
        <r>
          <rPr>
            <b/>
            <sz val="8"/>
            <color indexed="81"/>
            <rFont val="Tahoma"/>
            <family val="2"/>
          </rPr>
          <t>Qtr end Feb 28</t>
        </r>
      </text>
    </comment>
    <comment ref="G13" authorId="1">
      <text>
        <r>
          <rPr>
            <b/>
            <sz val="8"/>
            <color indexed="81"/>
            <rFont val="Tahoma"/>
            <family val="2"/>
          </rPr>
          <t>Qtr end Feb 28</t>
        </r>
      </text>
    </comment>
    <comment ref="K13" authorId="1">
      <text>
        <r>
          <rPr>
            <b/>
            <sz val="8"/>
            <color indexed="81"/>
            <rFont val="Tahoma"/>
            <family val="2"/>
          </rPr>
          <t>Qtr end Feb 28</t>
        </r>
      </text>
    </comment>
    <comment ref="O13" authorId="1">
      <text>
        <r>
          <rPr>
            <b/>
            <sz val="8"/>
            <color indexed="81"/>
            <rFont val="Tahoma"/>
            <family val="2"/>
          </rPr>
          <t>Qtr end Feb 28</t>
        </r>
      </text>
    </comment>
    <comment ref="S13" authorId="1">
      <text>
        <r>
          <rPr>
            <b/>
            <sz val="8"/>
            <color indexed="81"/>
            <rFont val="Tahoma"/>
            <family val="2"/>
          </rPr>
          <t>Qtr end Feb 28</t>
        </r>
      </text>
    </comment>
    <comment ref="W13" authorId="1">
      <text>
        <r>
          <rPr>
            <b/>
            <sz val="8"/>
            <color indexed="81"/>
            <rFont val="Tahoma"/>
            <family val="2"/>
          </rPr>
          <t>Qtr end Feb 28</t>
        </r>
      </text>
    </comment>
    <comment ref="AA13" authorId="1">
      <text>
        <r>
          <rPr>
            <b/>
            <sz val="8"/>
            <color indexed="81"/>
            <rFont val="Tahoma"/>
            <family val="2"/>
          </rPr>
          <t>Qtr end Feb 28</t>
        </r>
      </text>
    </comment>
    <comment ref="AE13" authorId="1">
      <text>
        <r>
          <rPr>
            <b/>
            <sz val="8"/>
            <color indexed="81"/>
            <rFont val="Tahoma"/>
            <family val="2"/>
          </rPr>
          <t>Qtr end Feb 28</t>
        </r>
      </text>
    </comment>
    <comment ref="AI13" authorId="2">
      <text>
        <r>
          <rPr>
            <sz val="8"/>
            <color indexed="81"/>
            <rFont val="Tahoma"/>
            <family val="2"/>
          </rPr>
          <t xml:space="preserve">Total Rev - Other
880.4 - 8.0
</t>
        </r>
      </text>
    </comment>
    <comment ref="AK13" authorId="1">
      <text>
        <r>
          <rPr>
            <sz val="8"/>
            <color indexed="81"/>
            <rFont val="Tahoma"/>
            <family val="2"/>
          </rPr>
          <t>Source: analyst deck from mgmt</t>
        </r>
      </text>
    </comment>
    <comment ref="AM13" authorId="2">
      <text>
        <r>
          <rPr>
            <sz val="8"/>
            <color indexed="81"/>
            <rFont val="Tahoma"/>
            <family val="2"/>
          </rPr>
          <t xml:space="preserve">Total Rev - Other Rev
866.0 - 7.9
</t>
        </r>
      </text>
    </comment>
    <comment ref="AQ13" authorId="2">
      <text>
        <r>
          <rPr>
            <sz val="8"/>
            <color indexed="81"/>
            <rFont val="Tahoma"/>
            <family val="2"/>
          </rPr>
          <t xml:space="preserve">Total Rev - Other Rev
906.8 - 8.1
</t>
        </r>
      </text>
    </comment>
    <comment ref="BA13" authorId="7">
      <text>
        <r>
          <rPr>
            <b/>
            <sz val="8"/>
            <color indexed="81"/>
            <rFont val="Tahoma"/>
            <family val="2"/>
          </rPr>
          <t xml:space="preserve">12/9/13: </t>
        </r>
        <r>
          <rPr>
            <sz val="8"/>
            <color indexed="81"/>
            <rFont val="Tahoma"/>
            <family val="2"/>
          </rPr>
          <t>traffic is slightly up, AUR is slightly down. Conversion is up more than traffic, avg basket is up comparable to conversion.</t>
        </r>
        <r>
          <rPr>
            <b/>
            <sz val="8"/>
            <color indexed="81"/>
            <rFont val="Tahoma"/>
            <family val="2"/>
          </rPr>
          <t xml:space="preserve">
granaosc:</t>
        </r>
        <r>
          <rPr>
            <sz val="8"/>
            <color indexed="81"/>
            <rFont val="Tahoma"/>
            <family val="2"/>
          </rPr>
          <t xml:space="preserve">
08/08/13: Expect +2.5 comps</t>
        </r>
      </text>
    </comment>
    <comment ref="BD13" authorId="3">
      <text>
        <r>
          <rPr>
            <b/>
            <sz val="9"/>
            <color indexed="81"/>
            <rFont val="Tahoma"/>
            <family val="2"/>
          </rPr>
          <t xml:space="preserve">9/8/14: </t>
        </r>
        <r>
          <rPr>
            <sz val="9"/>
            <color indexed="81"/>
            <rFont val="Tahoma"/>
            <family val="2"/>
          </rPr>
          <t xml:space="preserve">Guidance 6.4%-7.4%
</t>
        </r>
      </text>
    </comment>
    <comment ref="BE13" authorId="3">
      <text>
        <r>
          <rPr>
            <b/>
            <sz val="9"/>
            <color indexed="81"/>
            <rFont val="Tahoma"/>
            <family val="2"/>
          </rPr>
          <t xml:space="preserve">9/8/14: </t>
        </r>
        <r>
          <rPr>
            <sz val="9"/>
            <color indexed="81"/>
            <rFont val="Tahoma"/>
            <family val="2"/>
          </rPr>
          <t xml:space="preserve">guidance 3-4%
</t>
        </r>
      </text>
    </comment>
    <comment ref="BH13" authorId="5">
      <text>
        <r>
          <rPr>
            <b/>
            <sz val="9"/>
            <color indexed="81"/>
            <rFont val="Tahoma"/>
            <family val="2"/>
          </rPr>
          <t>Baglione, Gregory  (Research):</t>
        </r>
        <r>
          <rPr>
            <sz val="9"/>
            <color indexed="81"/>
            <rFont val="Tahoma"/>
            <family val="2"/>
          </rPr>
          <t xml:space="preserve">
8/27/15:
Guidance sales +6-7%, Comps +2-3%</t>
        </r>
      </text>
    </comment>
    <comment ref="BI13" authorId="5">
      <text>
        <r>
          <rPr>
            <b/>
            <sz val="9"/>
            <color indexed="81"/>
            <rFont val="Tahoma"/>
            <family val="2"/>
          </rPr>
          <t>Baglione, Gregory  (Research):</t>
        </r>
        <r>
          <rPr>
            <sz val="9"/>
            <color indexed="81"/>
            <rFont val="Tahoma"/>
            <family val="2"/>
          </rPr>
          <t xml:space="preserve">
8/27/15:
Guidance sales +6-7%, Comps +2-3%</t>
        </r>
      </text>
    </comment>
    <comment ref="BL13" authorId="5">
      <text>
        <r>
          <rPr>
            <b/>
            <sz val="9"/>
            <color indexed="81"/>
            <rFont val="Tahoma"/>
            <family val="2"/>
          </rPr>
          <t>Baglione, Gregory  (Research):</t>
        </r>
        <r>
          <rPr>
            <sz val="9"/>
            <color indexed="81"/>
            <rFont val="Tahoma"/>
            <family val="2"/>
          </rPr>
          <t xml:space="preserve">
8/25/16
Net sales to increase in the range of 7.1% to 8.1%;
Comparable store sales to increase in the range of 2.5% to 3.5%</t>
        </r>
      </text>
    </comment>
    <comment ref="BM13" authorId="5">
      <text>
        <r>
          <rPr>
            <b/>
            <sz val="9"/>
            <color indexed="81"/>
            <rFont val="Tahoma"/>
            <family val="2"/>
          </rPr>
          <t>Baglione, Gregory  (Research):</t>
        </r>
        <r>
          <rPr>
            <sz val="9"/>
            <color indexed="81"/>
            <rFont val="Tahoma"/>
            <family val="2"/>
          </rPr>
          <t xml:space="preserve">
8/25/16
Net sales to increase in the range of 7.1% to 8.1%;
Comparable store sales to increase in the range of 2.5% to 3.5%</t>
        </r>
      </text>
    </comment>
    <comment ref="BP13" authorId="6">
      <text>
        <r>
          <rPr>
            <b/>
            <sz val="9"/>
            <color indexed="81"/>
            <rFont val="Tahoma"/>
            <family val="2"/>
          </rPr>
          <t>Roberts, Cynthia (Research):</t>
        </r>
        <r>
          <rPr>
            <sz val="9"/>
            <color indexed="81"/>
            <rFont val="Tahoma"/>
            <family val="2"/>
          </rPr>
          <t xml:space="preserve">
11/21/17: Hurricane impact $17M
10/30/17: 3Q Preannouncement sales +7.1%; includes impact from 19 stores closed more than 7 days 
8/24/17: Guidance 6.7-7.7%</t>
        </r>
      </text>
    </comment>
    <comment ref="BQ13" authorId="6">
      <text>
        <r>
          <rPr>
            <b/>
            <sz val="9"/>
            <color indexed="81"/>
            <rFont val="Tahoma"/>
            <family val="2"/>
          </rPr>
          <t>Roberts, Cynthia (Research):</t>
        </r>
        <r>
          <rPr>
            <sz val="9"/>
            <color indexed="81"/>
            <rFont val="Tahoma"/>
            <family val="2"/>
          </rPr>
          <t xml:space="preserve">
11/21/17: excludes 19 stores closed 7 days or more ($17M)
10/30/17:  3Q preannoucnement comps +3.1% 
8/24/17: Guidance 2-3%
</t>
        </r>
      </text>
    </comment>
    <comment ref="AI14" authorId="2">
      <text>
        <r>
          <rPr>
            <sz val="8"/>
            <color indexed="81"/>
            <rFont val="Tahoma"/>
            <family val="2"/>
          </rPr>
          <t xml:space="preserve">Total Rev - Other Rev
1128.6 - 9.1
</t>
        </r>
      </text>
    </comment>
    <comment ref="AK14" authorId="1">
      <text>
        <r>
          <rPr>
            <sz val="8"/>
            <color indexed="81"/>
            <rFont val="Tahoma"/>
            <family val="2"/>
          </rPr>
          <t>Source: analyst deck from mgmt</t>
        </r>
      </text>
    </comment>
    <comment ref="AM14" authorId="2">
      <text>
        <r>
          <rPr>
            <sz val="8"/>
            <color indexed="81"/>
            <rFont val="Tahoma"/>
            <family val="2"/>
          </rPr>
          <t xml:space="preserve">Total Rev - Other Rev
1197.6 - 9.6
</t>
        </r>
      </text>
    </comment>
    <comment ref="AQ14" authorId="2">
      <text>
        <r>
          <rPr>
            <sz val="8"/>
            <color indexed="81"/>
            <rFont val="Tahoma"/>
            <family val="2"/>
          </rPr>
          <t xml:space="preserve">Total Rev - Other Rev
1244 - 10.9
</t>
        </r>
      </text>
    </comment>
    <comment ref="AU14" authorId="1">
      <text>
        <r>
          <rPr>
            <b/>
            <sz val="8"/>
            <color indexed="81"/>
            <rFont val="Tahoma"/>
            <family val="2"/>
          </rPr>
          <t>Note:</t>
        </r>
        <r>
          <rPr>
            <sz val="8"/>
            <color indexed="81"/>
            <rFont val="Tahoma"/>
            <family val="2"/>
          </rPr>
          <t xml:space="preserve"> 53rd week added ~$54M in sales</t>
        </r>
      </text>
    </comment>
    <comment ref="BA14" authorId="7">
      <text>
        <r>
          <rPr>
            <b/>
            <sz val="8"/>
            <color indexed="81"/>
            <rFont val="Tahoma"/>
            <family val="2"/>
          </rPr>
          <t xml:space="preserve">12/9/13: </t>
        </r>
        <r>
          <rPr>
            <sz val="8"/>
            <color indexed="81"/>
            <rFont val="Tahoma"/>
            <family val="2"/>
          </rPr>
          <t>guidance 2-3%</t>
        </r>
        <r>
          <rPr>
            <b/>
            <sz val="8"/>
            <color indexed="81"/>
            <rFont val="Tahoma"/>
            <family val="2"/>
          </rPr>
          <t xml:space="preserve">
granaosc:</t>
        </r>
        <r>
          <rPr>
            <sz val="8"/>
            <color indexed="81"/>
            <rFont val="Tahoma"/>
            <family val="2"/>
          </rPr>
          <t xml:space="preserve">
08/08/13: Expect +2.5 comps</t>
        </r>
      </text>
    </comment>
    <comment ref="BD14" authorId="4">
      <text>
        <r>
          <rPr>
            <b/>
            <sz val="9"/>
            <color indexed="81"/>
            <rFont val="Tahoma"/>
            <family val="2"/>
          </rPr>
          <t>Turley, Amber (Research):</t>
        </r>
        <r>
          <rPr>
            <sz val="9"/>
            <color indexed="81"/>
            <rFont val="Tahoma"/>
            <family val="2"/>
          </rPr>
          <t xml:space="preserve">
1/9/15: Raised guidance to 9.6%-10.1%
12/9/14: Guidance 7.2-8.2%</t>
        </r>
      </text>
    </comment>
    <comment ref="BE14" authorId="3">
      <text>
        <r>
          <rPr>
            <b/>
            <sz val="9"/>
            <color indexed="81"/>
            <rFont val="Tahoma"/>
            <family val="2"/>
          </rPr>
          <t xml:space="preserve">3/17/15: </t>
        </r>
        <r>
          <rPr>
            <sz val="9"/>
            <color indexed="81"/>
            <rFont val="Tahoma"/>
            <family val="2"/>
          </rPr>
          <t xml:space="preserve">Comp driven by +transactions and +avg basket. Transactions fully driven by traffic (conversion flat) and avg basket driven by +UPT (AUR slightly negative relates to mix) . Strong performance in missy sportswear, Ws shoes and accessories. Men's apparel and home outperformed the average. </t>
        </r>
        <r>
          <rPr>
            <b/>
            <sz val="9"/>
            <color indexed="81"/>
            <rFont val="Tahoma"/>
            <family val="2"/>
          </rPr>
          <t xml:space="preserve">
1/9/15: </t>
        </r>
        <r>
          <rPr>
            <sz val="9"/>
            <color indexed="81"/>
            <rFont val="Tahoma"/>
            <family val="2"/>
          </rPr>
          <t>Raised guidance to 5-5.5%</t>
        </r>
        <r>
          <rPr>
            <b/>
            <sz val="9"/>
            <color indexed="81"/>
            <rFont val="Tahoma"/>
            <family val="2"/>
          </rPr>
          <t xml:space="preserve">
12/9/14:</t>
        </r>
        <r>
          <rPr>
            <sz val="9"/>
            <color indexed="81"/>
            <rFont val="Tahoma"/>
            <family val="2"/>
          </rPr>
          <t xml:space="preserve"> guidance 3-4%</t>
        </r>
        <r>
          <rPr>
            <b/>
            <sz val="9"/>
            <color indexed="81"/>
            <rFont val="Tahoma"/>
            <family val="2"/>
          </rPr>
          <t xml:space="preserve">
9/8/14: </t>
        </r>
        <r>
          <rPr>
            <sz val="9"/>
            <color indexed="81"/>
            <rFont val="Tahoma"/>
            <family val="2"/>
          </rPr>
          <t xml:space="preserve">guidance 2-3%
</t>
        </r>
      </text>
    </comment>
    <comment ref="BH14" authorId="5">
      <text>
        <r>
          <rPr>
            <b/>
            <sz val="9"/>
            <color indexed="81"/>
            <rFont val="Tahoma"/>
            <family val="2"/>
          </rPr>
          <t>Baglione, Gregory  (Research):</t>
        </r>
        <r>
          <rPr>
            <sz val="9"/>
            <color indexed="81"/>
            <rFont val="Tahoma"/>
            <family val="2"/>
          </rPr>
          <t xml:space="preserve">
8/27/15
FY sales guidance +6.5-7%, comps +2.5-3.0%
1/12/16
Net sales to increase approximately 3.7%, versus its previous guidance of an increase of 3.7% to 4.7%;</t>
        </r>
      </text>
    </comment>
    <comment ref="BI14" authorId="5">
      <text>
        <r>
          <rPr>
            <b/>
            <sz val="9"/>
            <color indexed="81"/>
            <rFont val="Tahoma"/>
            <family val="2"/>
          </rPr>
          <t>Baglione, Gregory  (Research):</t>
        </r>
        <r>
          <rPr>
            <sz val="9"/>
            <color indexed="81"/>
            <rFont val="Tahoma"/>
            <family val="2"/>
          </rPr>
          <t xml:space="preserve">
1/12/16
Company provides 4Q holiday comp update to approximately flat vs. prior flat-1.0%
"comp store sales, excluding cold weather categories, are expected to increase approximately 4%"
11/24/15
Updated guidance flat-+1%
Previous: +3.0%
Updated: +1.0%
8/27/15
FY sales guidance +6.5-7%, comps +2.5-3.0%
</t>
        </r>
      </text>
    </comment>
    <comment ref="BL14" authorId="9">
      <text>
        <r>
          <rPr>
            <b/>
            <sz val="9"/>
            <color indexed="81"/>
            <rFont val="Tahoma"/>
            <family val="2"/>
          </rPr>
          <t>Baglione, Gregory (Research):</t>
        </r>
        <r>
          <rPr>
            <sz val="9"/>
            <color indexed="81"/>
            <rFont val="Tahoma"/>
            <family val="2"/>
          </rPr>
          <t xml:space="preserve">
11/22/16
Net sales to increase in the range of 6.6% to 7.6%;
Comparable store sales to increase in the range of 2.5% to 3.5%; </t>
        </r>
      </text>
    </comment>
    <comment ref="BM14" authorId="9">
      <text>
        <r>
          <rPr>
            <b/>
            <sz val="9"/>
            <color indexed="81"/>
            <rFont val="Tahoma"/>
            <family val="2"/>
          </rPr>
          <t>Baglione, Gregory (Research):</t>
        </r>
        <r>
          <rPr>
            <sz val="9"/>
            <color indexed="81"/>
            <rFont val="Tahoma"/>
            <family val="2"/>
          </rPr>
          <t xml:space="preserve">
3/2/17: +6 non-cold-weather categories (82% of  sales), -3% in cold weather categories
11/22/16
Net sales to increase in the range of 6.6% to 7.6%;
Comparable store sales to increase in the range of 2.5% to 3.5%; </t>
        </r>
      </text>
    </comment>
    <comment ref="BP14" authorId="10">
      <text>
        <r>
          <rPr>
            <b/>
            <sz val="9"/>
            <color indexed="81"/>
            <rFont val="Tahoma"/>
            <family val="2"/>
          </rPr>
          <t>Cassel, Lauren (Research):</t>
        </r>
        <r>
          <rPr>
            <sz val="9"/>
            <color indexed="81"/>
            <rFont val="Tahoma"/>
            <family val="2"/>
          </rPr>
          <t xml:space="preserve">
3/8/18: Sales ex. 53rd week +10% (4.9% benefit), new and non comp stores $79M inlcuding a $25M headwindfrom weather related closings (i.e. Hurricane impacted locations).
11/21/17: Guidance +11-12%; 5% benefit from 53rd week. $25M negative impact from 8 hurricane impacted stores remaining closed in the qtr. Insurance proceeds will be recognized as revenue
3/2/17: guidance 53rd week 1.4% full year sales growth = $78M = 4Q 4.7% growth</t>
        </r>
      </text>
    </comment>
    <comment ref="BQ14" authorId="6">
      <text>
        <r>
          <rPr>
            <b/>
            <sz val="9"/>
            <color indexed="81"/>
            <rFont val="Tahoma"/>
            <family val="2"/>
          </rPr>
          <t>Roberts, Cynthia (Research):</t>
        </r>
        <r>
          <rPr>
            <sz val="9"/>
            <color indexed="81"/>
            <rFont val="Tahoma"/>
            <family val="2"/>
          </rPr>
          <t xml:space="preserve">
11/21/17: Guidance +2-3%
8/24/17: Guidance +2-3%</t>
        </r>
      </text>
    </comment>
    <comment ref="AI15" authorId="2">
      <text>
        <r>
          <rPr>
            <sz val="8"/>
            <color indexed="81"/>
            <rFont val="Tahoma"/>
            <family val="2"/>
          </rPr>
          <t xml:space="preserve">Total Rev - Other Rev
3553.8 - 30.8
</t>
        </r>
      </text>
    </comment>
    <comment ref="AK15" authorId="1">
      <text>
        <r>
          <rPr>
            <sz val="8"/>
            <color indexed="81"/>
            <rFont val="Tahoma"/>
            <family val="2"/>
          </rPr>
          <t>Source: analyst deck from mgmt</t>
        </r>
      </text>
    </comment>
    <comment ref="AM15" authorId="2">
      <text>
        <r>
          <rPr>
            <sz val="8"/>
            <color indexed="81"/>
            <rFont val="Tahoma"/>
            <family val="2"/>
          </rPr>
          <t xml:space="preserve">Total Rev - Other Rev
3701.1 - 31.5
</t>
        </r>
      </text>
    </comment>
    <comment ref="AQ15" authorId="2">
      <text>
        <r>
          <rPr>
            <sz val="8"/>
            <color indexed="81"/>
            <rFont val="Tahoma"/>
            <family val="2"/>
          </rPr>
          <t xml:space="preserve">Total Rev - Other Rev
3887.5 - 33.4
</t>
        </r>
      </text>
    </comment>
    <comment ref="AU15" authorId="1">
      <text>
        <r>
          <rPr>
            <b/>
            <sz val="8"/>
            <color indexed="81"/>
            <rFont val="Tahoma"/>
            <family val="2"/>
          </rPr>
          <t>Note:</t>
        </r>
        <r>
          <rPr>
            <sz val="8"/>
            <color indexed="81"/>
            <rFont val="Tahoma"/>
            <family val="2"/>
          </rPr>
          <t xml:space="preserve"> 53rd week added ~$54M in sales</t>
        </r>
      </text>
    </comment>
    <comment ref="BA15" authorId="7">
      <text>
        <r>
          <rPr>
            <b/>
            <sz val="8"/>
            <color indexed="81"/>
            <rFont val="Tahoma"/>
            <family val="2"/>
          </rPr>
          <t>granaosc:</t>
        </r>
        <r>
          <rPr>
            <sz val="8"/>
            <color indexed="81"/>
            <rFont val="Tahoma"/>
            <family val="2"/>
          </rPr>
          <t xml:space="preserve">
08/08/13: Expect +3.9 comps</t>
        </r>
      </text>
    </comment>
    <comment ref="BD15" authorId="3">
      <text>
        <r>
          <rPr>
            <b/>
            <sz val="9"/>
            <color indexed="81"/>
            <rFont val="Tahoma"/>
            <family val="2"/>
          </rPr>
          <t xml:space="preserve">3/20/14: </t>
        </r>
        <r>
          <rPr>
            <sz val="9"/>
            <color indexed="81"/>
            <rFont val="Tahoma"/>
            <family val="2"/>
          </rPr>
          <t xml:space="preserve">guidance 5.8% - 6.8%
</t>
        </r>
        <r>
          <rPr>
            <b/>
            <sz val="9"/>
            <color indexed="81"/>
            <rFont val="Tahoma"/>
            <family val="2"/>
          </rPr>
          <t>6/10/14:</t>
        </r>
        <r>
          <rPr>
            <sz val="9"/>
            <color indexed="81"/>
            <rFont val="Tahoma"/>
            <family val="2"/>
          </rPr>
          <t xml:space="preserve"> guidance 5.8% - 6.8%
</t>
        </r>
        <r>
          <rPr>
            <b/>
            <sz val="9"/>
            <color indexed="81"/>
            <rFont val="Tahoma"/>
            <family val="2"/>
          </rPr>
          <t>9/8/14:</t>
        </r>
        <r>
          <rPr>
            <sz val="9"/>
            <color indexed="81"/>
            <rFont val="Tahoma"/>
            <family val="2"/>
          </rPr>
          <t xml:space="preserve"> guidance 6.5% - 7.2%
</t>
        </r>
        <r>
          <rPr>
            <b/>
            <sz val="9"/>
            <color indexed="81"/>
            <rFont val="Tahoma"/>
            <family val="2"/>
          </rPr>
          <t>12/9/14:</t>
        </r>
        <r>
          <rPr>
            <sz val="9"/>
            <color indexed="81"/>
            <rFont val="Tahoma"/>
            <family val="2"/>
          </rPr>
          <t xml:space="preserve"> Guidance 7.5-7.8%
</t>
        </r>
        <r>
          <rPr>
            <b/>
            <sz val="9"/>
            <color indexed="81"/>
            <rFont val="Tahoma"/>
            <family val="2"/>
          </rPr>
          <t>1/9/15:</t>
        </r>
        <r>
          <rPr>
            <sz val="9"/>
            <color indexed="81"/>
            <rFont val="Tahoma"/>
            <family val="2"/>
          </rPr>
          <t xml:space="preserve"> Raised guidance to 8.2-8.4%</t>
        </r>
      </text>
    </comment>
    <comment ref="BE15" authorId="3">
      <text>
        <r>
          <rPr>
            <b/>
            <sz val="9"/>
            <color indexed="81"/>
            <rFont val="Tahoma"/>
            <family val="2"/>
          </rPr>
          <t xml:space="preserve">3/20/14: </t>
        </r>
        <r>
          <rPr>
            <sz val="9"/>
            <color indexed="81"/>
            <rFont val="Tahoma"/>
            <family val="2"/>
          </rPr>
          <t xml:space="preserve">guidance 2% - 3%
</t>
        </r>
        <r>
          <rPr>
            <b/>
            <sz val="9"/>
            <color indexed="81"/>
            <rFont val="Tahoma"/>
            <family val="2"/>
          </rPr>
          <t>6/10/14:</t>
        </r>
        <r>
          <rPr>
            <sz val="9"/>
            <color indexed="81"/>
            <rFont val="Tahoma"/>
            <family val="2"/>
          </rPr>
          <t xml:space="preserve"> guidance 2% - 3%
</t>
        </r>
        <r>
          <rPr>
            <b/>
            <sz val="9"/>
            <color indexed="81"/>
            <rFont val="Tahoma"/>
            <family val="2"/>
          </rPr>
          <t xml:space="preserve">9/8/14: </t>
        </r>
        <r>
          <rPr>
            <sz val="9"/>
            <color indexed="81"/>
            <rFont val="Tahoma"/>
            <family val="2"/>
          </rPr>
          <t xml:space="preserve">guidance 3%
</t>
        </r>
        <r>
          <rPr>
            <b/>
            <sz val="9"/>
            <color indexed="81"/>
            <rFont val="Tahoma"/>
            <family val="2"/>
          </rPr>
          <t>12/9/14:</t>
        </r>
        <r>
          <rPr>
            <sz val="9"/>
            <color indexed="81"/>
            <rFont val="Tahoma"/>
            <family val="2"/>
          </rPr>
          <t xml:space="preserve"> Guidance 4%
</t>
        </r>
        <r>
          <rPr>
            <b/>
            <sz val="9"/>
            <color indexed="81"/>
            <rFont val="Tahoma"/>
            <family val="2"/>
          </rPr>
          <t>1/9/15</t>
        </r>
        <r>
          <rPr>
            <sz val="9"/>
            <color indexed="81"/>
            <rFont val="Tahoma"/>
            <family val="2"/>
          </rPr>
          <t>: Raised guidance to ~4.5%</t>
        </r>
      </text>
    </comment>
    <comment ref="BH15" authorId="4">
      <text>
        <r>
          <rPr>
            <sz val="9"/>
            <color indexed="81"/>
            <rFont val="Tahoma"/>
            <family val="2"/>
          </rPr>
          <t>8/27/15
FY sales guidance +6.5-7%, comps +2.5-3.0%
6/9/15: Guidance reiterated 6-7%
3/17/15: Guidance 6-7%</t>
        </r>
      </text>
    </comment>
    <comment ref="BI15" authorId="4">
      <text>
        <r>
          <rPr>
            <sz val="9"/>
            <color indexed="81"/>
            <rFont val="Tahoma"/>
            <family val="2"/>
          </rPr>
          <t xml:space="preserve">8/27/15
FY sales guidance +6.5-7%, comps +2.5-3.0%
6/9/15: Reiterated guidance 2-3%
3/17/15: Guidance 2-3%
</t>
        </r>
      </text>
    </comment>
    <comment ref="BL15" authorId="5">
      <text>
        <r>
          <rPr>
            <b/>
            <sz val="9"/>
            <color indexed="81"/>
            <rFont val="Tahoma"/>
            <family val="2"/>
          </rPr>
          <t>Baglione, Gregory  (Research):</t>
        </r>
        <r>
          <rPr>
            <sz val="9"/>
            <color indexed="81"/>
            <rFont val="Tahoma"/>
            <family val="2"/>
          </rPr>
          <t xml:space="preserve">
11/22/16
Updated guidance 
Net sales to increase in the range of 8.4% to 8.7%;
Comparable store sales to increase in the range of 3.9% to 4.2%;
8/25/16
Updated Guidance 
Net sales to increase in the range of 7.8% to 8.3%;
Comparable store sales to increase between 3.6% to 4.1%;
5/26/16
Updated guidance • Net sales now to increase in the range of 7.1% to 7.6%; 
• Comparable store sales now to increase between 3.0% to 3.5%, inclusive of a 0.5% increase related to the transfer of our fragrance business from a leased to an owned category; 
3/3/16
• Net sales to increase in the range of 6.5% to 7.5%; </t>
        </r>
      </text>
    </comment>
    <comment ref="BM15" authorId="5">
      <text>
        <r>
          <rPr>
            <b/>
            <sz val="9"/>
            <color indexed="81"/>
            <rFont val="Tahoma"/>
            <family val="2"/>
          </rPr>
          <t xml:space="preserve">Baglione, Gregory  (Research):
</t>
        </r>
        <r>
          <rPr>
            <sz val="9"/>
            <color indexed="81"/>
            <rFont val="Tahoma"/>
            <family val="2"/>
          </rPr>
          <t>11/22/16
Updated guidance 
Net sales to increase in the range of 8.4% to 8.7%;
Comparable store sales to increase in the range of 3.9% to 4.2%;</t>
        </r>
        <r>
          <rPr>
            <b/>
            <sz val="9"/>
            <color indexed="81"/>
            <rFont val="Tahoma"/>
            <family val="2"/>
          </rPr>
          <t xml:space="preserve">
</t>
        </r>
        <r>
          <rPr>
            <sz val="9"/>
            <color indexed="81"/>
            <rFont val="Tahoma"/>
            <family val="2"/>
          </rPr>
          <t>8/25/16
Updated Guidance 
Net sales to increase in the range of 7.8% to 8.3%
Comparable store sales to increase between 3.6% to 4.1%
5/26/16
Updated guidance • Net sales now to increase in the range of 7.1% to 7.6%
• Comparable store sales now to increase between 3.0% to 3.5%, inclusive of a 0.5% increase related to the transfer of our fragrance business from a leased to an owned category</t>
        </r>
        <r>
          <rPr>
            <b/>
            <sz val="9"/>
            <color indexed="81"/>
            <rFont val="Tahoma"/>
            <family val="2"/>
          </rPr>
          <t xml:space="preserve">
</t>
        </r>
        <r>
          <rPr>
            <sz val="9"/>
            <color indexed="81"/>
            <rFont val="Tahoma"/>
            <family val="2"/>
          </rPr>
          <t xml:space="preserve">
11/24/15
• Comparable store sales to increase between 2.5% to 3.5%, inclusive of a 0.5% increase related to the transfer of our fragrance business from a leased to an owned category
</t>
        </r>
      </text>
    </comment>
    <comment ref="BP15" authorId="6">
      <text>
        <r>
          <rPr>
            <b/>
            <sz val="9"/>
            <color indexed="81"/>
            <rFont val="Tahoma"/>
            <family val="2"/>
          </rPr>
          <t>Roberts, Cynthia (Research):</t>
        </r>
        <r>
          <rPr>
            <sz val="9"/>
            <color indexed="81"/>
            <rFont val="Tahoma"/>
            <family val="2"/>
          </rPr>
          <t xml:space="preserve">
3/8/18: 7.8% ex 53rd week; includes $42M headwind from weather related closings (i.e. Hurricanes)
8/24/17 Guidance 8.4-8.9%
5/25/17: Guidance 7.3% -8.1%, 1.4% from 53rd week
3/2/17: Guidance +7.5-8.5%, including 1.4% benefit from the 53rd week</t>
        </r>
      </text>
    </comment>
    <comment ref="BQ15" authorId="6">
      <text>
        <r>
          <rPr>
            <b/>
            <sz val="9"/>
            <color indexed="81"/>
            <rFont val="Tahoma"/>
            <family val="2"/>
          </rPr>
          <t>Roberts, Cynthia (Research):</t>
        </r>
        <r>
          <rPr>
            <sz val="9"/>
            <color indexed="81"/>
            <rFont val="Tahoma"/>
            <family val="2"/>
          </rPr>
          <t xml:space="preserve">
5/25/17: 2-3% comps for the balance of the year, implying 1.6% -2.4%
3/2/17: Guidance: 2-3%</t>
        </r>
      </text>
    </comment>
    <comment ref="BT15" authorId="6">
      <text>
        <r>
          <rPr>
            <b/>
            <sz val="9"/>
            <color indexed="81"/>
            <rFont val="Tahoma"/>
            <family val="2"/>
          </rPr>
          <t>Roberts, Cynthia (Research):</t>
        </r>
        <r>
          <rPr>
            <sz val="9"/>
            <color indexed="81"/>
            <rFont val="Tahoma"/>
            <family val="2"/>
          </rPr>
          <t xml:space="preserve">
3/8/18: Guidance 9-10% sales growth ex 53rd week</t>
        </r>
      </text>
    </comment>
    <comment ref="BU15" authorId="6">
      <text>
        <r>
          <rPr>
            <b/>
            <sz val="9"/>
            <color indexed="81"/>
            <rFont val="Tahoma"/>
            <family val="2"/>
          </rPr>
          <t>Roberts, Cynthia (Research):</t>
        </r>
        <r>
          <rPr>
            <sz val="9"/>
            <color indexed="81"/>
            <rFont val="Tahoma"/>
            <family val="2"/>
          </rPr>
          <t xml:space="preserve">
3/8/18: Guidance comps +2-3%</t>
        </r>
      </text>
    </comment>
    <comment ref="BE21" authorId="7">
      <text>
        <r>
          <rPr>
            <b/>
            <sz val="8"/>
            <color indexed="81"/>
            <rFont val="Tahoma"/>
            <family val="2"/>
          </rPr>
          <t xml:space="preserve">06/10/14: </t>
        </r>
        <r>
          <rPr>
            <sz val="8"/>
            <color indexed="81"/>
            <rFont val="Tahoma"/>
            <family val="2"/>
          </rPr>
          <t>Gross margin expanded by 80 basis points to 38.1% from 37.3% last year, primarily due to improved execution. This more than offset an approximate 30 basis point increase in product sourcing costs that are included in selling and administrative expenses</t>
        </r>
        <r>
          <rPr>
            <sz val="8"/>
            <color indexed="81"/>
            <rFont val="Tahoma"/>
            <family val="2"/>
          </rPr>
          <t xml:space="preserve">
</t>
        </r>
      </text>
    </comment>
    <comment ref="BH21" authorId="8">
      <text>
        <r>
          <rPr>
            <b/>
            <sz val="9"/>
            <color indexed="81"/>
            <rFont val="Tahoma"/>
            <family val="2"/>
          </rPr>
          <t>Mains, Spencer (Research):</t>
        </r>
        <r>
          <rPr>
            <sz val="9"/>
            <color indexed="81"/>
            <rFont val="Tahoma"/>
            <family val="2"/>
          </rPr>
          <t xml:space="preserve">
6/9/15: Fewer markdowns, driven by the lower level of aged inventory, was the primary driver of the margin increase.</t>
        </r>
      </text>
    </comment>
    <comment ref="BL21" authorId="5">
      <text>
        <r>
          <rPr>
            <b/>
            <sz val="9"/>
            <color indexed="81"/>
            <rFont val="Tahoma"/>
            <family val="2"/>
          </rPr>
          <t>Baglione, Gregory  (Research):</t>
        </r>
        <r>
          <rPr>
            <sz val="9"/>
            <color indexed="81"/>
            <rFont val="Tahoma"/>
            <family val="2"/>
          </rPr>
          <t xml:space="preserve">
5/26/16
The gross margin rate was 40.1% , an increase of 35 basis points versus last year. As benefits from higher initial markup will partially offset by an increase in markdown rate and a slight increase in the shrink versus the first quarter of last year. Product sourcing costs which include cost to process goods through our supply chain and buying cost both of which are reported in selling, general and administrative expenses, increased 20 basis points to last year as a percentage of sales. Selling, general and administrative expenses exclusive of product sourcing costs improved 60 basis points to 26.7% primarily driven by leverage in occupancy and advertising spend. 
3/3/16
Expect the accrual rate for shrink to be higher y/y in 1Q-3Q
Lapping 1Q15 with fewer markdowns. GM improvement partially offset by ~20 bps of shrink and other expense pressure
</t>
        </r>
      </text>
    </comment>
    <comment ref="BP21" authorId="6">
      <text>
        <r>
          <rPr>
            <b/>
            <sz val="9"/>
            <color indexed="81"/>
            <rFont val="Tahoma"/>
            <family val="2"/>
          </rPr>
          <t>Roberts, Cynthia (Research):</t>
        </r>
        <r>
          <rPr>
            <sz val="9"/>
            <color indexed="81"/>
            <rFont val="Tahoma"/>
            <family val="2"/>
          </rPr>
          <t xml:space="preserve">
5/25/17: driven by increased merchandise  margin </t>
        </r>
      </text>
    </comment>
    <comment ref="BD22" authorId="7">
      <text>
        <r>
          <rPr>
            <b/>
            <sz val="8"/>
            <color indexed="81"/>
            <rFont val="Tahoma"/>
            <family val="2"/>
          </rPr>
          <t xml:space="preserve">06/10/14: </t>
        </r>
        <r>
          <rPr>
            <sz val="8"/>
            <color indexed="81"/>
            <rFont val="Tahoma"/>
            <family val="2"/>
          </rPr>
          <t>guidance +20 to +40 bps</t>
        </r>
      </text>
    </comment>
    <comment ref="BE22" authorId="3">
      <text>
        <r>
          <rPr>
            <b/>
            <sz val="9"/>
            <color indexed="81"/>
            <rFont val="Tahoma"/>
            <family val="2"/>
          </rPr>
          <t xml:space="preserve">9/8/14: </t>
        </r>
        <r>
          <rPr>
            <sz val="9"/>
            <color indexed="81"/>
            <rFont val="Tahoma"/>
            <family val="2"/>
          </rPr>
          <t xml:space="preserve">Gross margin expanded by 50 basis points to 38.2% from 37.7% in the second quarter of Fiscal 2013. This more than offset an approximate 40 basis point increase in product sourcing costs that are included in selling, general and administrative expenses (SG&amp;A). 
</t>
        </r>
      </text>
    </comment>
    <comment ref="BH22" authorId="5">
      <text>
        <r>
          <rPr>
            <b/>
            <sz val="9"/>
            <color indexed="81"/>
            <rFont val="Tahoma"/>
            <family val="2"/>
          </rPr>
          <t>Baglione, Gregory  (Research):
8/27/15</t>
        </r>
        <r>
          <rPr>
            <sz val="9"/>
            <color indexed="81"/>
            <rFont val="Tahoma"/>
            <family val="2"/>
          </rPr>
          <t xml:space="preserve">
100 bps improvement more than offset 50 bps of sourcing cost pressure (in SG&amp;A), GM benefitted from lower inventory levels and a lower markdown rate. Markdown dollars were in-line w/ plan, but stronger comp boosted rate improvement
GM also benefitted from reduced freight from product mix, lower pounds per unit and lower fuel costs.</t>
        </r>
      </text>
    </comment>
    <comment ref="BL22" authorId="5">
      <text>
        <r>
          <rPr>
            <b/>
            <sz val="9"/>
            <color indexed="81"/>
            <rFont val="Tahoma"/>
            <family val="2"/>
          </rPr>
          <t>Baglione, Gregory  (Research):</t>
        </r>
        <r>
          <rPr>
            <sz val="9"/>
            <color indexed="81"/>
            <rFont val="Tahoma"/>
            <family val="2"/>
          </rPr>
          <t xml:space="preserve">
8/25/16
The gross margin rate was 39.6% , an increase of 40 basis points versus last year as benefits from higher initial markup were partially offset by an increase in markdown rate and a slight increase in the shrink accrual versus the second quarter of last year. 
7/18/16
Riasing to 39.6% (+40 bps) from +20 bps given updated guidance
5/26/16
Model ~30bps IMU improvement offset by ~10 bps shrink/markdown
3/3/16
Expect the accrual rate for shrink to be higher y/y in 1Q-3Q
</t>
        </r>
      </text>
    </comment>
    <comment ref="BP22" authorId="6">
      <text>
        <r>
          <rPr>
            <b/>
            <sz val="9"/>
            <color indexed="81"/>
            <rFont val="Tahoma"/>
            <family val="2"/>
          </rPr>
          <t>Roberts, Cynthia (Research):</t>
        </r>
        <r>
          <rPr>
            <sz val="9"/>
            <color indexed="81"/>
            <rFont val="Tahoma"/>
            <family val="2"/>
          </rPr>
          <t xml:space="preserve">
8/24/17: driven by increased merchandise margin; lower markdowns and higher IMU -- more weighted to markdown</t>
        </r>
      </text>
    </comment>
    <comment ref="BH23" authorId="5">
      <text>
        <r>
          <rPr>
            <b/>
            <sz val="9"/>
            <color indexed="81"/>
            <rFont val="Tahoma"/>
            <family val="2"/>
          </rPr>
          <t>Baglione, Gregory  (Research):</t>
        </r>
        <r>
          <rPr>
            <sz val="9"/>
            <color indexed="81"/>
            <rFont val="Tahoma"/>
            <family val="2"/>
          </rPr>
          <t xml:space="preserve">
11/24/15
Our gross margin rate was 39.8%, an increase of 10 basis points versus last year. We remain focused on inventory management and continue to
reduce the level of aged merchandise compared to the prior year. Product sourcing costs, which include costs to process goods through our supply
chain and buying costs, both of which are reported in selling and administrative expenses, were flat to last year as a percentage of net sales.
8/27/15:
Guidance for 2H margin improvement vs. last year to slightly outpace product sourcing cost increases vs. last year</t>
        </r>
      </text>
    </comment>
    <comment ref="BL23" authorId="5">
      <text>
        <r>
          <rPr>
            <b/>
            <sz val="9"/>
            <color indexed="81"/>
            <rFont val="Tahoma"/>
            <family val="2"/>
          </rPr>
          <t xml:space="preserve">Baglione, Gregory  (Research):
11/22/16
</t>
        </r>
        <r>
          <rPr>
            <sz val="9"/>
            <color indexed="81"/>
            <rFont val="Tahoma"/>
            <family val="2"/>
          </rPr>
          <t>Gross margin expanded by 140 basis points to 41.2% driven by strong merchandise margins. This more than offset a 20 basis point increase in product sourcing costs, which are included in selling, general and administrative expenses (SG&amp;A).</t>
        </r>
        <r>
          <rPr>
            <b/>
            <sz val="9"/>
            <color indexed="81"/>
            <rFont val="Tahoma"/>
            <family val="2"/>
          </rPr>
          <t xml:space="preserve">
</t>
        </r>
        <r>
          <rPr>
            <sz val="9"/>
            <color indexed="81"/>
            <rFont val="Tahoma"/>
            <family val="2"/>
          </rPr>
          <t xml:space="preserve">
3/3/16
Expect the accrual rate for shrink to be higher y/y in 1Q-3Q</t>
        </r>
      </text>
    </comment>
    <comment ref="BP23" authorId="6">
      <text>
        <r>
          <rPr>
            <b/>
            <sz val="9"/>
            <color indexed="81"/>
            <rFont val="Tahoma"/>
            <family val="2"/>
          </rPr>
          <t>Roberts, Cynthia (Research):</t>
        </r>
        <r>
          <rPr>
            <sz val="9"/>
            <color indexed="81"/>
            <rFont val="Tahoma"/>
            <family val="2"/>
          </rPr>
          <t xml:space="preserve">
11/21/17: increase driven by improved merchandise margin (lower markdown, higher IMU)</t>
        </r>
      </text>
    </comment>
    <comment ref="AZ24" authorId="7">
      <text>
        <r>
          <rPr>
            <b/>
            <sz val="8"/>
            <color indexed="81"/>
            <rFont val="Tahoma"/>
            <family val="2"/>
          </rPr>
          <t xml:space="preserve">3/20/14: </t>
        </r>
        <r>
          <rPr>
            <sz val="8"/>
            <color indexed="81"/>
            <rFont val="Tahoma"/>
            <family val="2"/>
          </rPr>
          <t xml:space="preserve">Gross margin expanded by 30 basis points primarily due to improved merchandising margins. Costs to process goods through the Company’s supply chain and buying costs, which are included in selling and administrative expenses, rose by a similar rate, as expected.
</t>
        </r>
        <r>
          <rPr>
            <b/>
            <sz val="8"/>
            <color indexed="81"/>
            <rFont val="Tahoma"/>
            <family val="2"/>
          </rPr>
          <t xml:space="preserve">12/9/13: </t>
        </r>
        <r>
          <rPr>
            <sz val="8"/>
            <color indexed="81"/>
            <rFont val="Tahoma"/>
            <family val="2"/>
          </rPr>
          <t>expect very slight GM expansion yoy</t>
        </r>
        <r>
          <rPr>
            <b/>
            <sz val="8"/>
            <color indexed="81"/>
            <rFont val="Tahoma"/>
            <family val="2"/>
          </rPr>
          <t xml:space="preserve">
</t>
        </r>
      </text>
    </comment>
    <comment ref="BH24" authorId="5">
      <text>
        <r>
          <rPr>
            <b/>
            <sz val="9"/>
            <color indexed="81"/>
            <rFont val="Tahoma"/>
            <family val="2"/>
          </rPr>
          <t>Baglione, Gregory  (Research):</t>
        </r>
        <r>
          <rPr>
            <sz val="9"/>
            <color indexed="81"/>
            <rFont val="Tahoma"/>
            <family val="2"/>
          </rPr>
          <t xml:space="preserve">
3/3/16
Our gross margin rate was 41%, a decrease of 120 basis points versus last year, driven by increases in both shrink rate and markdowns. It was
important for us to start 2016 with a more current inventory position and reduced aged merchandise, which we accomplished, albeit with a higher
markdown rate.
1/12/16
Lowering GM to 42.2% from 42.3% to reflect increase GM pressure to reach guidance on flat comp..
11/24/15
Model GM inline with 3Q
8/27/15:
Guidance for 2H margin improvement vs. last year to slightly outpace product sourcing cost increases vs. last year
</t>
        </r>
      </text>
    </comment>
    <comment ref="BL24" authorId="5">
      <text>
        <r>
          <rPr>
            <b/>
            <sz val="9"/>
            <color indexed="81"/>
            <rFont val="Tahoma"/>
            <family val="2"/>
          </rPr>
          <t xml:space="preserve">Baglione, Gregory  (Research):
</t>
        </r>
        <r>
          <rPr>
            <sz val="9"/>
            <color indexed="81"/>
            <rFont val="Tahoma"/>
            <family val="2"/>
          </rPr>
          <t>3/2/17: GM +80 bps driven by improved shortage results (+65 bps)</t>
        </r>
        <r>
          <rPr>
            <b/>
            <sz val="9"/>
            <color indexed="81"/>
            <rFont val="Tahoma"/>
            <family val="2"/>
          </rPr>
          <t xml:space="preserve">
</t>
        </r>
        <r>
          <rPr>
            <sz val="9"/>
            <color indexed="81"/>
            <rFont val="Tahoma"/>
            <family val="2"/>
          </rPr>
          <t>11/22/16
We are modeling GM +90 bps. A bit softer than the 3Q run rate given our above guidance comp and SG&amp;A forecast. We see scope for GM to exceed this estimate.
3/3/16
Lapping 70 bps from shrink impact LY-expect ~20 bps of shrink impact TY</t>
        </r>
      </text>
    </comment>
    <comment ref="BP24" authorId="6">
      <text>
        <r>
          <rPr>
            <b/>
            <sz val="9"/>
            <color indexed="81"/>
            <rFont val="Tahoma"/>
            <family val="2"/>
          </rPr>
          <t>Roberts, Cynthia (Research):</t>
        </r>
        <r>
          <rPr>
            <sz val="9"/>
            <color indexed="81"/>
            <rFont val="Tahoma"/>
            <family val="2"/>
          </rPr>
          <t xml:space="preserve">
3/8/18: increase driven by increased merchandise margin (higher IMU and lower markdown rate), which more than offset a higher shortage rate -20 bps  headwind vs LY
8/24/17:  20 bps or 3c shortage headwind </t>
        </r>
      </text>
    </comment>
    <comment ref="BD25" authorId="4">
      <text>
        <r>
          <rPr>
            <b/>
            <sz val="9"/>
            <color indexed="81"/>
            <rFont val="Tahoma"/>
            <family val="2"/>
          </rPr>
          <t>Turley, Amber (Research):</t>
        </r>
        <r>
          <rPr>
            <sz val="9"/>
            <color indexed="81"/>
            <rFont val="Tahoma"/>
            <family val="2"/>
          </rPr>
          <t xml:space="preserve">
6/10/14: expect GM improvement of 40-50 bps</t>
        </r>
      </text>
    </comment>
    <comment ref="BH25" authorId="5">
      <text>
        <r>
          <rPr>
            <b/>
            <sz val="9"/>
            <color indexed="81"/>
            <rFont val="Tahoma"/>
            <family val="2"/>
          </rPr>
          <t>Baglione, Gregory  (Research):</t>
        </r>
        <r>
          <rPr>
            <sz val="9"/>
            <color indexed="81"/>
            <rFont val="Tahoma"/>
            <family val="2"/>
          </rPr>
          <t xml:space="preserve">
8/27/15:
Guidance for 2H margin improvement vs. last year to slightly outpace product sourcing cost increases vs. last year</t>
        </r>
      </text>
    </comment>
    <comment ref="BP25" authorId="10">
      <text>
        <r>
          <rPr>
            <b/>
            <sz val="9"/>
            <color indexed="81"/>
            <rFont val="Tahoma"/>
            <family val="2"/>
          </rPr>
          <t>Cassel, Lauren (Research):</t>
        </r>
        <r>
          <rPr>
            <sz val="9"/>
            <color indexed="81"/>
            <rFont val="Tahoma"/>
            <family val="2"/>
          </rPr>
          <t xml:space="preserve">
3/2/17: per Mark: 40 bps of EBITDA expansion going to come from reported margin, less product sourcing costs</t>
        </r>
      </text>
    </comment>
    <comment ref="BT25" authorId="6">
      <text>
        <r>
          <rPr>
            <b/>
            <sz val="9"/>
            <color indexed="81"/>
            <rFont val="Tahoma"/>
            <family val="2"/>
          </rPr>
          <t>Roberts, Cynthia (Research):</t>
        </r>
        <r>
          <rPr>
            <sz val="9"/>
            <color indexed="81"/>
            <rFont val="Tahoma"/>
            <family val="2"/>
          </rPr>
          <t xml:space="preserve">
3/8/18: Guidance merchandise margin +50 bps, freight -10 bps</t>
        </r>
      </text>
    </comment>
    <comment ref="AY31" authorId="2">
      <text>
        <r>
          <rPr>
            <b/>
            <sz val="8"/>
            <color indexed="81"/>
            <rFont val="Tahoma"/>
            <family val="2"/>
          </rPr>
          <t xml:space="preserve">09/10/13: </t>
        </r>
        <r>
          <rPr>
            <sz val="8"/>
            <color indexed="81"/>
            <rFont val="Tahoma"/>
            <family val="2"/>
          </rPr>
          <t>Expects additional "Stock Compensation Expense" of 0.0M</t>
        </r>
        <r>
          <rPr>
            <sz val="8"/>
            <color indexed="81"/>
            <rFont val="Tahoma"/>
            <family val="2"/>
          </rPr>
          <t xml:space="preserve">
</t>
        </r>
      </text>
    </comment>
    <comment ref="BD31" authorId="7">
      <text>
        <r>
          <rPr>
            <b/>
            <sz val="8"/>
            <color indexed="81"/>
            <rFont val="Tahoma"/>
            <family val="2"/>
          </rPr>
          <t xml:space="preserve">06/10/14: </t>
        </r>
        <r>
          <rPr>
            <sz val="8"/>
            <color indexed="81"/>
            <rFont val="Tahoma"/>
            <family val="2"/>
          </rPr>
          <t>the Company experienced increased product sourcing expenses included in SG&amp;A to process goods through its supply chain, as well as buying costs. This was offset by positive leverage from other expenses, primarily store payroll.</t>
        </r>
        <r>
          <rPr>
            <b/>
            <sz val="8"/>
            <color indexed="81"/>
            <rFont val="Tahoma"/>
            <family val="2"/>
          </rPr>
          <t xml:space="preserve"> The quarter also benefited from 15 to 20 basis points in expenses that will shift to the second quarter</t>
        </r>
      </text>
    </comment>
    <comment ref="BH31" authorId="8">
      <text>
        <r>
          <rPr>
            <b/>
            <sz val="9"/>
            <color indexed="81"/>
            <rFont val="Tahoma"/>
            <family val="2"/>
          </rPr>
          <t>Mains, Spencer (Research):</t>
        </r>
        <r>
          <rPr>
            <sz val="9"/>
            <color indexed="81"/>
            <rFont val="Tahoma"/>
            <family val="2"/>
          </rPr>
          <t xml:space="preserve">
6/9/15: Increase due to deleveraging of occupancy and market costs, increases in severance and stock-based comp expense.</t>
        </r>
      </text>
    </comment>
    <comment ref="BL31" authorId="5">
      <text>
        <r>
          <rPr>
            <b/>
            <sz val="9"/>
            <color indexed="81"/>
            <rFont val="Tahoma"/>
            <family val="2"/>
          </rPr>
          <t>Baglione, Gregory  (Research):</t>
        </r>
        <r>
          <rPr>
            <sz val="9"/>
            <color indexed="81"/>
            <rFont val="Tahoma"/>
            <family val="2"/>
          </rPr>
          <t xml:space="preserve">
5/26/16
• SG&amp;A, less product sourcing costs, as a percentage of net sales was 26.7%, which represented an approximate 60 basis points of improvement compared with the Fiscal 2015 first quarter. Approximately 20 basis points of this improvement represented timing of certain expenses related to activities that were moved to the second quarter of the year. 
Selling, general and administrative expenses exclusive of product sourcing costs improved 60 basis points to 26.7% primarily driven by leverage in occupancy and advertising spend. The quarter also benefited from the deferral of approximately $2 million of expenses originally planned in Q1 that will now happening Q2. 
3/3/16 
Still have to lap Feb-June wage increases (raised last june)
</t>
        </r>
      </text>
    </comment>
    <comment ref="BP31" authorId="6">
      <text>
        <r>
          <rPr>
            <b/>
            <sz val="9"/>
            <color indexed="81"/>
            <rFont val="Tahoma"/>
            <family val="2"/>
          </rPr>
          <t>Roberts, Cynthia (Research):</t>
        </r>
        <r>
          <rPr>
            <sz val="9"/>
            <color indexed="81"/>
            <rFont val="Tahoma"/>
            <family val="2"/>
          </rPr>
          <t xml:space="preserve">
5/25/17:10 bps improvement in product sourcing costs,  decrease in marketing expenses, business insurance costs, utilities .
$3M in expenses that will shift to 2Q</t>
        </r>
      </text>
    </comment>
    <comment ref="AY32" authorId="2">
      <text>
        <r>
          <rPr>
            <b/>
            <sz val="8"/>
            <color indexed="81"/>
            <rFont val="Tahoma"/>
            <family val="2"/>
          </rPr>
          <t xml:space="preserve">09/10/13: </t>
        </r>
        <r>
          <rPr>
            <sz val="8"/>
            <color indexed="81"/>
            <rFont val="Tahoma"/>
            <family val="2"/>
          </rPr>
          <t>Expects additional "Stock Compensation Expense" of 1.0M</t>
        </r>
        <r>
          <rPr>
            <sz val="8"/>
            <color indexed="81"/>
            <rFont val="Tahoma"/>
            <family val="2"/>
          </rPr>
          <t xml:space="preserve">
</t>
        </r>
      </text>
    </comment>
    <comment ref="BD32" authorId="3">
      <text>
        <r>
          <rPr>
            <b/>
            <sz val="9"/>
            <color indexed="81"/>
            <rFont val="Tahoma"/>
            <family val="2"/>
          </rPr>
          <t xml:space="preserve">9/8/14: </t>
        </r>
        <r>
          <rPr>
            <sz val="9"/>
            <color indexed="81"/>
            <rFont val="Tahoma"/>
            <family val="2"/>
          </rPr>
          <t xml:space="preserve">SG&amp;A, less product sourcing costs and advisory fees, as a percentage of net sales was 29.0% vs. 29.7% in the second quarter of Fiscal 2013 driven by improved leverage in store payroll, store expenses and other SG&amp;A.
The improvement in leverage included a 20 basis point benefit from a shift in time and expenses to the third quarter. This was offset by 30 basis point impact of an unanticipated increase in legal reserves.
</t>
        </r>
      </text>
    </comment>
    <comment ref="BH32" authorId="5">
      <text>
        <r>
          <rPr>
            <b/>
            <sz val="9"/>
            <color indexed="81"/>
            <rFont val="Tahoma"/>
            <family val="2"/>
          </rPr>
          <t>Baglione, Gregory  (Research):</t>
        </r>
        <r>
          <rPr>
            <sz val="9"/>
            <color indexed="81"/>
            <rFont val="Tahoma"/>
            <family val="2"/>
          </rPr>
          <t xml:space="preserve">
SG&amp;A improvement was driven by improved leverage in store payroll and occupancy. Slightly offset by increased SBC.
</t>
        </r>
      </text>
    </comment>
    <comment ref="BL32" authorId="5">
      <text>
        <r>
          <rPr>
            <b/>
            <sz val="9"/>
            <color indexed="81"/>
            <rFont val="Tahoma"/>
            <family val="2"/>
          </rPr>
          <t>Baglione, Gregory  (Research):</t>
        </r>
        <r>
          <rPr>
            <sz val="9"/>
            <color indexed="81"/>
            <rFont val="Tahoma"/>
            <family val="2"/>
          </rPr>
          <t xml:space="preserve">
8/25/16
-SG&amp;A exclusive of product sourcing costs and nonrecurring legal charge that is excluded from adjusted net income improved 120 basis points to 27.2%. This improvement was primarily driven by leverage in payroll , occupancy utilities and includes 20 basis points or $0.02 per share from a one-time reversal of previously recorded healthcare benefits. 
7/18/16
Lowering SG&amp;A rate to 33.1% from 33.4% given updated EPS/ EBITDA guidance
5/26/16
The guidance range for the quarter includes a shift of approximately $0.02 per diluted share in expenses from the first quarter. 
Assumed similar 1Q SG&amp;A rate and add back $2M for expense shift or .0-40
3/3/16 
Still have to lap Feb-June wage increases (raised last june)
</t>
        </r>
      </text>
    </comment>
    <comment ref="BP32" authorId="6">
      <text>
        <r>
          <rPr>
            <b/>
            <sz val="9"/>
            <color indexed="81"/>
            <rFont val="Tahoma"/>
            <family val="2"/>
          </rPr>
          <t>Roberts, Cynthia (Research):</t>
        </r>
        <r>
          <rPr>
            <sz val="9"/>
            <color indexed="81"/>
            <rFont val="Tahoma"/>
            <family val="2"/>
          </rPr>
          <t xml:space="preserve">
8/24/17:driven by productivity gains in DCs
5/25/17:$3M in expenses shifting from 1Q to 2Q</t>
        </r>
      </text>
    </comment>
    <comment ref="BD33" authorId="4">
      <text>
        <r>
          <rPr>
            <b/>
            <sz val="9"/>
            <color indexed="81"/>
            <rFont val="Tahoma"/>
            <family val="2"/>
          </rPr>
          <t>Turley, Amber (Research):</t>
        </r>
        <r>
          <rPr>
            <sz val="9"/>
            <color indexed="81"/>
            <rFont val="Tahoma"/>
            <family val="2"/>
          </rPr>
          <t xml:space="preserve">
12/10/14: 70 bps increase in product sourcing costs. 
But otherwise improved SG&amp;A leverage ex product sourcing costs and advisory fees driven primarily by improved leverage in store payroll, advertising, offset somewhat by higher incentive compensation accruals. </t>
        </r>
      </text>
    </comment>
    <comment ref="BH33" authorId="5">
      <text>
        <r>
          <rPr>
            <b/>
            <sz val="9"/>
            <color indexed="81"/>
            <rFont val="Tahoma"/>
            <family val="2"/>
          </rPr>
          <t>Baglione, Gregory  (Research):</t>
        </r>
        <r>
          <rPr>
            <sz val="9"/>
            <color indexed="81"/>
            <rFont val="Tahoma"/>
            <family val="2"/>
          </rPr>
          <t xml:space="preserve">
11/24/15
Selling and administrative expenses, exclusive of product sourcing costs and advisory fees, improved 40 basis points to 28.9%, primarily driven by
a reduction in incentive compensation partially offset by an increase in stock based compensation. Expense leverage was also achieved in advertising
and store occupancy.</t>
        </r>
      </text>
    </comment>
    <comment ref="BL33" authorId="9">
      <text>
        <r>
          <rPr>
            <b/>
            <sz val="9"/>
            <color indexed="81"/>
            <rFont val="Tahoma"/>
            <family val="2"/>
          </rPr>
          <t>Baglione, Gregory (Research):</t>
        </r>
        <r>
          <rPr>
            <sz val="9"/>
            <color indexed="81"/>
            <rFont val="Tahoma"/>
            <family val="2"/>
          </rPr>
          <t xml:space="preserve">
11/22/16
SG&amp;A, less product sourcing costs, as a percentage of net sales was 28.5%, representing approximately 40 basis points of improvement compared with last year. This improvement was driven by greater leverage in advertising, store occupancy and store payroll expense, partially offset by an increase in incentive compensation.</t>
        </r>
      </text>
    </comment>
    <comment ref="BP33" authorId="6">
      <text>
        <r>
          <rPr>
            <b/>
            <sz val="9"/>
            <color indexed="81"/>
            <rFont val="Tahoma"/>
            <family val="2"/>
          </rPr>
          <t>Roberts, Cynthia (Research):</t>
        </r>
        <r>
          <rPr>
            <sz val="9"/>
            <color indexed="81"/>
            <rFont val="Tahoma"/>
            <family val="2"/>
          </rPr>
          <t xml:space="preserve">
11/21/17: leverage driven by savings in advertising, business insurance, and incentive compensation which more than offset increases in wage and stock compensation</t>
        </r>
      </text>
    </comment>
    <comment ref="AZ34" authorId="7">
      <text>
        <r>
          <rPr>
            <b/>
            <sz val="8"/>
            <color indexed="81"/>
            <rFont val="Tahoma"/>
            <family val="2"/>
          </rPr>
          <t xml:space="preserve">3/20/14: </t>
        </r>
        <r>
          <rPr>
            <sz val="8"/>
            <color indexed="81"/>
            <rFont val="Tahoma"/>
            <family val="2"/>
          </rPr>
          <t>Selling and administrative expenses, exclusive of advisory fees, as a percentage of net sales were 28.0% vs. 27.8% last year. The fourth quarter last year was positively impacted by the reversal of incentive compensation accruals while the fourth quarter this year includes incentive compensation expense associated with performance better than plan. The incentive compensation expense difference resulted in an 80 basis point increase in expense quarter over quarter, which was partially offset by improved leverage on store payroll of 40 basis points and occupancy and other store expenses of 30 basis points, as well as leverage on corporate expenses.</t>
        </r>
        <r>
          <rPr>
            <b/>
            <sz val="8"/>
            <color indexed="81"/>
            <rFont val="Tahoma"/>
            <family val="2"/>
          </rPr>
          <t xml:space="preserve">
12/9/13: </t>
        </r>
        <r>
          <rPr>
            <sz val="8"/>
            <color indexed="81"/>
            <rFont val="Tahoma"/>
            <family val="2"/>
          </rPr>
          <t xml:space="preserve">no explicit guidance but investment in payroll and investment in marketing.
</t>
        </r>
      </text>
    </comment>
    <comment ref="BC34" authorId="4">
      <text>
        <r>
          <rPr>
            <b/>
            <sz val="9"/>
            <color indexed="81"/>
            <rFont val="Tahoma"/>
            <family val="2"/>
          </rPr>
          <t>Turley, Amber (Research):</t>
        </r>
        <r>
          <rPr>
            <sz val="9"/>
            <color indexed="81"/>
            <rFont val="Tahoma"/>
            <family val="2"/>
          </rPr>
          <t xml:space="preserve">
SG&amp;A less product sourcing costs, non-recurring legal charge and advisory fees was 24.3% of sales ($360.95M) vs. 24.6% LY driven by reductions in store payroll and advertising, partially offset by higher incentive compensation accruals. 
$9.280M non-recurring item
</t>
        </r>
      </text>
    </comment>
    <comment ref="BD34" authorId="4">
      <text>
        <r>
          <rPr>
            <b/>
            <sz val="9"/>
            <color indexed="81"/>
            <rFont val="Tahoma"/>
            <family val="2"/>
          </rPr>
          <t>Turley, Amber (Research):</t>
        </r>
        <r>
          <rPr>
            <sz val="9"/>
            <color indexed="81"/>
            <rFont val="Tahoma"/>
            <family val="2"/>
          </rPr>
          <t xml:space="preserve">
12/9/14: </t>
        </r>
      </text>
    </comment>
    <comment ref="BH34" authorId="5">
      <text>
        <r>
          <rPr>
            <b/>
            <sz val="9"/>
            <color indexed="81"/>
            <rFont val="Tahoma"/>
            <family val="2"/>
          </rPr>
          <t>Baglione, Gregory  (Research):</t>
        </r>
        <r>
          <rPr>
            <sz val="9"/>
            <color indexed="81"/>
            <rFont val="Tahoma"/>
            <family val="2"/>
          </rPr>
          <t xml:space="preserve">
3/3/16
Selling, general and administrative expenses, exclusive of product sourcing
costs and adjustments consistent with our definition of adjusted net income, improved 100 basis points to 23.3%, primarily driven by a reduction
in incentive compensation and workers compensation and general liability insurance, partially offset by an increase in stock based compensation.
</t>
        </r>
      </text>
    </comment>
    <comment ref="BL34" authorId="9">
      <text>
        <r>
          <rPr>
            <b/>
            <sz val="9"/>
            <color indexed="81"/>
            <rFont val="Tahoma"/>
            <family val="2"/>
          </rPr>
          <t>Baglione, Gregory (Research):</t>
        </r>
        <r>
          <rPr>
            <sz val="9"/>
            <color indexed="81"/>
            <rFont val="Tahoma"/>
            <family val="2"/>
          </rPr>
          <t xml:space="preserve">
3/2/17:+25bps in product sourcing costs. 
SG&amp;A, less product sourcing costs and costs related to certain litigation, as a percentage of net sales was 23.2%, 10 bps of improvement compared with last year. This improvement was driven by leverage attained in advertising spend, store occupancy costs and store payroll costs. The overall improvement was partially offset by the impact of incentive compensation and insurance.
11/22/16
As a reminder, in the fourth quarter of last year, we recorded a 100-basis-point benefit in other SG&amp;A driven by
workers' comp and incentive compensation accrual reversals.
Manangement noted 10-10.5% SG&amp;A dollar growth was reasonable</t>
        </r>
      </text>
    </comment>
    <comment ref="BP34" authorId="6">
      <text>
        <r>
          <rPr>
            <b/>
            <sz val="9"/>
            <color indexed="81"/>
            <rFont val="Tahoma"/>
            <family val="2"/>
          </rPr>
          <t>Roberts, Cynthia (Research):</t>
        </r>
        <r>
          <rPr>
            <sz val="9"/>
            <color indexed="81"/>
            <rFont val="Tahoma"/>
            <family val="2"/>
          </rPr>
          <t xml:space="preserve">
3/8/18: -10 bps negative impact from stock based comp and incentive comp; 
Excluding product sourcing costs, SG&amp;A 22.8% on a 52 week basis and 23.0% on a 53 week basis. Per management :BURL accrues rent into the 53rd week and others don't. It is a very low volume an  low margin week.
11/21/17: mgmt expects to offset hurricane sales headwind through expense saving initiatives and insurance proceeds (recognized in revenue)</t>
        </r>
      </text>
    </comment>
    <comment ref="AZ35" authorId="2">
      <text>
        <r>
          <rPr>
            <b/>
            <sz val="8"/>
            <color indexed="81"/>
            <rFont val="Tahoma"/>
            <family val="2"/>
          </rPr>
          <t>3/20/14:</t>
        </r>
        <r>
          <rPr>
            <sz val="8"/>
            <color indexed="81"/>
            <rFont val="Tahoma"/>
            <family val="2"/>
          </rPr>
          <t xml:space="preserve"> Selling and administrative expenses, exclusive of advisory fees, as a percentage of net sales improved to 31.4% from 31.7% last year. The 30 basis point improvement was driven by leverage of store and marketing expenses, of 100 basis points and 20 basis points, respectively. This was partially offset by a 50 basis point increase in incentive compensation expense and a 30 basis point rise in supply chain, merchandising and product costs.
</t>
        </r>
        <r>
          <rPr>
            <b/>
            <sz val="8"/>
            <color indexed="81"/>
            <rFont val="Tahoma"/>
            <family val="2"/>
          </rPr>
          <t xml:space="preserve">
09/10/13: </t>
        </r>
        <r>
          <rPr>
            <sz val="8"/>
            <color indexed="81"/>
            <rFont val="Tahoma"/>
            <family val="2"/>
          </rPr>
          <t>Expects additional "Stock Compensation Expense" of 2.2M</t>
        </r>
        <r>
          <rPr>
            <sz val="8"/>
            <color indexed="81"/>
            <rFont val="Tahoma"/>
            <family val="2"/>
          </rPr>
          <t xml:space="preserve">
</t>
        </r>
      </text>
    </comment>
    <comment ref="BD35" authorId="2">
      <text>
        <r>
          <rPr>
            <b/>
            <sz val="8"/>
            <color indexed="81"/>
            <rFont val="Tahoma"/>
            <family val="2"/>
          </rPr>
          <t xml:space="preserve">06/10/14: </t>
        </r>
        <r>
          <rPr>
            <sz val="8"/>
            <color indexed="81"/>
            <rFont val="Tahoma"/>
            <family val="2"/>
          </rPr>
          <t>Expects slight SG&amp;A deleverage (de-leverage from product sourcing 25-35 bps)</t>
        </r>
      </text>
    </comment>
    <comment ref="BG35" authorId="8">
      <text>
        <r>
          <rPr>
            <b/>
            <sz val="9"/>
            <color indexed="81"/>
            <rFont val="Tahoma"/>
            <family val="2"/>
          </rPr>
          <t>Mains, Spencer (Research):</t>
        </r>
        <r>
          <rPr>
            <sz val="9"/>
            <color indexed="81"/>
            <rFont val="Tahoma"/>
            <family val="2"/>
          </rPr>
          <t xml:space="preserve">
6/9/15: Raising minimum hourly wage for full and part time associates to $9/hr, effective July 1. Incremental $5mm in 2015 completely offset by SG&amp;A reductions across the company.  Also have $9.4mm of incremental expenses from higher stock based comp and building costs.</t>
        </r>
      </text>
    </comment>
    <comment ref="BL35" authorId="5">
      <text>
        <r>
          <rPr>
            <b/>
            <sz val="9"/>
            <color indexed="81"/>
            <rFont val="Tahoma"/>
            <family val="2"/>
          </rPr>
          <t>Baglione, Gregory  (Research):</t>
        </r>
        <r>
          <rPr>
            <sz val="9"/>
            <color indexed="81"/>
            <rFont val="Tahoma"/>
            <family val="2"/>
          </rPr>
          <t xml:space="preserve">
1/12/16
Lowered S&amp;A rate to 31.8% vs. 31.85% </t>
        </r>
      </text>
    </comment>
    <comment ref="BP35" authorId="10">
      <text>
        <r>
          <rPr>
            <b/>
            <sz val="9"/>
            <color indexed="81"/>
            <rFont val="Tahoma"/>
            <family val="2"/>
          </rPr>
          <t>Cassel, Lauren (Research):</t>
        </r>
        <r>
          <rPr>
            <sz val="9"/>
            <color indexed="81"/>
            <rFont val="Tahoma"/>
            <family val="2"/>
          </rPr>
          <t xml:space="preserve">
8/24/17: $14M in wage pressure
3/2/17: At 3% comp, that's where we will see 10 basis points of leverage from SG&amp;A, and that's what gets us to 50 bps EBITDA margin expansion</t>
        </r>
      </text>
    </comment>
    <comment ref="BT35" authorId="6">
      <text>
        <r>
          <rPr>
            <b/>
            <sz val="9"/>
            <color indexed="81"/>
            <rFont val="Tahoma"/>
            <family val="2"/>
          </rPr>
          <t>Roberts, Cynthia (Research):</t>
        </r>
        <r>
          <rPr>
            <sz val="9"/>
            <color indexed="81"/>
            <rFont val="Tahoma"/>
            <family val="2"/>
          </rPr>
          <t xml:space="preserve">
3/8/18: Guidance -10 bps headwind from product sourcing costs, and +10 bps leverage on a +3% comp; incremental $13M in wages</t>
        </r>
      </text>
    </comment>
    <comment ref="BU35" authorId="6">
      <text>
        <r>
          <rPr>
            <b/>
            <sz val="9"/>
            <color indexed="81"/>
            <rFont val="Tahoma"/>
            <family val="2"/>
          </rPr>
          <t>Roberts, Cynthia (Research):</t>
        </r>
        <r>
          <rPr>
            <sz val="9"/>
            <color indexed="81"/>
            <rFont val="Tahoma"/>
            <family val="2"/>
          </rPr>
          <t xml:space="preserve">
11/21/17: mgmt expects wage headwinds at a similar magnitude to 2017 and moderation in share based compensation</t>
        </r>
      </text>
    </comment>
    <comment ref="AY61" authorId="5">
      <text>
        <r>
          <rPr>
            <b/>
            <sz val="9"/>
            <color indexed="81"/>
            <rFont val="Tahoma"/>
            <family val="2"/>
          </rPr>
          <t>Baglione, Gregory  (Research):</t>
        </r>
        <r>
          <rPr>
            <sz val="9"/>
            <color indexed="81"/>
            <rFont val="Tahoma"/>
            <family val="2"/>
          </rPr>
          <t xml:space="preserve">
1.625M Restructuring/Separation Costs</t>
        </r>
      </text>
    </comment>
    <comment ref="AY62" authorId="5">
      <text>
        <r>
          <rPr>
            <b/>
            <sz val="9"/>
            <color indexed="81"/>
            <rFont val="Tahoma"/>
            <family val="2"/>
          </rPr>
          <t>Baglione, Gregory  (Research):</t>
        </r>
        <r>
          <rPr>
            <sz val="9"/>
            <color indexed="81"/>
            <rFont val="Tahoma"/>
            <family val="2"/>
          </rPr>
          <t xml:space="preserve">
$0.554M related to restructuring and separation costs
</t>
        </r>
      </text>
    </comment>
    <comment ref="AU72" authorId="0">
      <text>
        <r>
          <rPr>
            <sz val="8"/>
            <color indexed="81"/>
            <rFont val="Tahoma"/>
            <family val="2"/>
          </rPr>
          <t xml:space="preserve">
</t>
        </r>
        <r>
          <rPr>
            <b/>
            <sz val="8"/>
            <color indexed="81"/>
            <rFont val="Tahoma"/>
            <family val="2"/>
          </rPr>
          <t>GAAP D&amp;A: 39.9</t>
        </r>
      </text>
    </comment>
    <comment ref="AY72" authorId="0">
      <text>
        <r>
          <rPr>
            <sz val="8"/>
            <color indexed="81"/>
            <rFont val="Tahoma"/>
            <family val="2"/>
          </rPr>
          <t xml:space="preserve">-Impairment 
</t>
        </r>
        <r>
          <rPr>
            <b/>
            <sz val="8"/>
            <color indexed="81"/>
            <rFont val="Tahoma"/>
            <family val="2"/>
          </rPr>
          <t>GAAP D&amp;A: 44.0</t>
        </r>
      </text>
    </comment>
    <comment ref="BC72" authorId="7">
      <text>
        <r>
          <rPr>
            <b/>
            <sz val="8"/>
            <color indexed="81"/>
            <rFont val="Tahoma"/>
            <family val="2"/>
          </rPr>
          <t>6/10/14</t>
        </r>
        <r>
          <rPr>
            <sz val="8"/>
            <color indexed="81"/>
            <rFont val="Tahoma"/>
            <family val="2"/>
          </rPr>
          <t>: Depreciation and amortization expense, exclusive of net favorable lease amortization, decreased $0.5 million to $34.6 million
Net FLA = $6.571M</t>
        </r>
      </text>
    </comment>
    <comment ref="BG72" authorId="8">
      <text>
        <r>
          <rPr>
            <b/>
            <sz val="9"/>
            <color indexed="81"/>
            <rFont val="Tahoma"/>
            <family val="2"/>
          </rPr>
          <t>Mains, Spencer (Research):</t>
        </r>
        <r>
          <rPr>
            <sz val="9"/>
            <color indexed="81"/>
            <rFont val="Tahoma"/>
            <family val="2"/>
          </rPr>
          <t xml:space="preserve">
6/9/15: D&amp;A exclusive of net favorable lease amortization increased by $1.5M to $36M
Net FLA: $6.057</t>
        </r>
      </text>
    </comment>
    <comment ref="BK72" authorId="5">
      <text>
        <r>
          <rPr>
            <b/>
            <sz val="9"/>
            <color indexed="81"/>
            <rFont val="Tahoma"/>
            <family val="2"/>
          </rPr>
          <t xml:space="preserve">Baglione, Gregory  (Research):
</t>
        </r>
        <r>
          <rPr>
            <sz val="9"/>
            <color indexed="81"/>
            <rFont val="Tahoma"/>
            <family val="2"/>
          </rPr>
          <t xml:space="preserve">
5/26/16
This is gross 
*Guidance is given on a net basis of favorable lease amortization* Which is added back below*
</t>
        </r>
      </text>
    </comment>
    <comment ref="AU73" authorId="0">
      <text>
        <r>
          <rPr>
            <sz val="8"/>
            <color indexed="81"/>
            <rFont val="Tahoma"/>
            <family val="2"/>
          </rPr>
          <t xml:space="preserve">-Impairment 
</t>
        </r>
        <r>
          <rPr>
            <b/>
            <sz val="8"/>
            <color indexed="81"/>
            <rFont val="Tahoma"/>
            <family val="2"/>
          </rPr>
          <t>GAAP D&amp;A: 40.1</t>
        </r>
      </text>
    </comment>
    <comment ref="AY73" authorId="0">
      <text>
        <r>
          <rPr>
            <sz val="8"/>
            <color indexed="81"/>
            <rFont val="Tahoma"/>
            <family val="2"/>
          </rPr>
          <t xml:space="preserve">-Impairment 
</t>
        </r>
        <r>
          <rPr>
            <b/>
            <sz val="8"/>
            <color indexed="81"/>
            <rFont val="Tahoma"/>
            <family val="2"/>
          </rPr>
          <t>GAAP D&amp;A: 40.9</t>
        </r>
      </text>
    </comment>
    <comment ref="BC73" authorId="7">
      <text>
        <r>
          <rPr>
            <b/>
            <sz val="8"/>
            <color indexed="81"/>
            <rFont val="Tahoma"/>
            <family val="2"/>
          </rPr>
          <t>9/8/14:</t>
        </r>
        <r>
          <rPr>
            <sz val="8"/>
            <color indexed="81"/>
            <rFont val="Tahoma"/>
            <family val="2"/>
          </rPr>
          <t xml:space="preserve"> Depreciation and amortization expense, exclusive of net favorable lease amortization, decreased $0.4 million to $34.0 million.
Net FLA = 6.535</t>
        </r>
      </text>
    </comment>
    <comment ref="BG73" authorId="5">
      <text>
        <r>
          <rPr>
            <b/>
            <sz val="9"/>
            <color indexed="81"/>
            <rFont val="Tahoma"/>
            <family val="2"/>
          </rPr>
          <t>Baglione, Gregory  (Research):</t>
        </r>
        <r>
          <rPr>
            <sz val="9"/>
            <color indexed="81"/>
            <rFont val="Tahoma"/>
            <family val="2"/>
          </rPr>
          <t xml:space="preserve">
8/27/15
Depreciation and amortization expense, exclusive of net favorable lease amortization, increased $1.7 million to $35.8 million.</t>
        </r>
      </text>
    </comment>
    <comment ref="BK73" authorId="5">
      <text>
        <r>
          <rPr>
            <b/>
            <sz val="9"/>
            <color indexed="81"/>
            <rFont val="Tahoma"/>
            <family val="2"/>
          </rPr>
          <t xml:space="preserve">Baglione, Gregory  (Research):
</t>
        </r>
        <r>
          <rPr>
            <sz val="9"/>
            <color indexed="81"/>
            <rFont val="Tahoma"/>
            <family val="2"/>
          </rPr>
          <t xml:space="preserve">
5/26/16
This is gross 
*Guidance is given on a net basis of favorable lease amortization* Which is added back below*
</t>
        </r>
      </text>
    </comment>
    <comment ref="AU74" authorId="0">
      <text>
        <r>
          <rPr>
            <sz val="8"/>
            <color indexed="81"/>
            <rFont val="Tahoma"/>
            <family val="2"/>
          </rPr>
          <t xml:space="preserve">-Impairment 
</t>
        </r>
        <r>
          <rPr>
            <b/>
            <sz val="8"/>
            <color indexed="81"/>
            <rFont val="Tahoma"/>
            <family val="2"/>
          </rPr>
          <t>GAAP D&amp;A: 41.9</t>
        </r>
      </text>
    </comment>
    <comment ref="AY74" authorId="0">
      <text>
        <r>
          <rPr>
            <sz val="8"/>
            <color indexed="81"/>
            <rFont val="Tahoma"/>
            <family val="2"/>
          </rPr>
          <t xml:space="preserve">
</t>
        </r>
        <r>
          <rPr>
            <b/>
            <sz val="8"/>
            <color indexed="81"/>
            <rFont val="Tahoma"/>
            <family val="2"/>
          </rPr>
          <t>GAAP D&amp;A: 40.3</t>
        </r>
      </text>
    </comment>
    <comment ref="BC74" authorId="7">
      <text>
        <r>
          <rPr>
            <sz val="8"/>
            <color indexed="81"/>
            <rFont val="Tahoma"/>
            <family val="2"/>
          </rPr>
          <t>12/10/14: Depreciation and amortization expense, exclusive of net favorable lease
amortization, increased $1.9 million to $36.1 million.</t>
        </r>
      </text>
    </comment>
    <comment ref="BK74" authorId="5">
      <text>
        <r>
          <rPr>
            <b/>
            <sz val="9"/>
            <color indexed="81"/>
            <rFont val="Tahoma"/>
            <family val="2"/>
          </rPr>
          <t xml:space="preserve">Baglione, Gregory  (Research):
</t>
        </r>
        <r>
          <rPr>
            <sz val="9"/>
            <color indexed="81"/>
            <rFont val="Tahoma"/>
            <family val="2"/>
          </rPr>
          <t xml:space="preserve">
5/26/16
This is gross 
*Guidance is given on a net basis of favorable lease amortization* Which is added back below*
</t>
        </r>
      </text>
    </comment>
    <comment ref="AU75" authorId="2">
      <text>
        <r>
          <rPr>
            <b/>
            <sz val="8"/>
            <color indexed="81"/>
            <rFont val="Tahoma"/>
            <family val="2"/>
          </rPr>
          <t>GAAP D&amp;A: 53.5
-Impairment 10.4</t>
        </r>
      </text>
    </comment>
    <comment ref="AY75" authorId="2">
      <text>
        <r>
          <rPr>
            <b/>
            <sz val="8"/>
            <color indexed="81"/>
            <rFont val="Tahoma"/>
            <family val="2"/>
          </rPr>
          <t>GAAP D&amp;A: 40.6</t>
        </r>
        <r>
          <rPr>
            <sz val="8"/>
            <color indexed="81"/>
            <rFont val="Tahoma"/>
            <family val="2"/>
          </rPr>
          <t xml:space="preserve">
</t>
        </r>
      </text>
    </comment>
    <comment ref="BC75" authorId="7">
      <text>
        <r>
          <rPr>
            <sz val="8"/>
            <color indexed="81"/>
            <rFont val="Tahoma"/>
            <family val="2"/>
          </rPr>
          <t xml:space="preserve">
</t>
        </r>
        <r>
          <rPr>
            <b/>
            <sz val="8"/>
            <color indexed="81"/>
            <rFont val="Tahoma"/>
            <family val="2"/>
          </rPr>
          <t>GAAP D&amp;A: 42.3</t>
        </r>
      </text>
    </comment>
    <comment ref="BK75" authorId="5">
      <text>
        <r>
          <rPr>
            <b/>
            <sz val="9"/>
            <color indexed="81"/>
            <rFont val="Tahoma"/>
            <family val="2"/>
          </rPr>
          <t xml:space="preserve">Baglione, Gregory  (Research):
</t>
        </r>
        <r>
          <rPr>
            <sz val="9"/>
            <color indexed="81"/>
            <rFont val="Tahoma"/>
            <family val="2"/>
          </rPr>
          <t xml:space="preserve">
5/26/16
This is gross 
*Guidance is given on a net basis of favorable lease amortization* Which is added back below*
</t>
        </r>
      </text>
    </comment>
    <comment ref="AU76" authorId="0">
      <text>
        <r>
          <rPr>
            <sz val="8"/>
            <color indexed="81"/>
            <rFont val="Tahoma"/>
            <family val="2"/>
          </rPr>
          <t xml:space="preserve">-Impairment 
</t>
        </r>
        <r>
          <rPr>
            <b/>
            <sz val="8"/>
            <color indexed="81"/>
            <rFont val="Tahoma"/>
            <family val="2"/>
          </rPr>
          <t>GAAP D&amp;A 175.3</t>
        </r>
      </text>
    </comment>
    <comment ref="AY76" authorId="0">
      <text>
        <r>
          <rPr>
            <sz val="8"/>
            <color indexed="81"/>
            <rFont val="Tahoma"/>
            <family val="2"/>
          </rPr>
          <t xml:space="preserve">-Impairment 
</t>
        </r>
        <r>
          <rPr>
            <b/>
            <sz val="8"/>
            <color indexed="81"/>
            <rFont val="Tahoma"/>
            <family val="2"/>
          </rPr>
          <t>GAAP D&amp;A: 165.9</t>
        </r>
      </text>
    </comment>
    <comment ref="BC76" authorId="2">
      <text>
        <r>
          <rPr>
            <b/>
            <sz val="8"/>
            <color indexed="81"/>
            <rFont val="Tahoma"/>
            <family val="2"/>
          </rPr>
          <t>GAAP D&amp;A: 169.2</t>
        </r>
      </text>
    </comment>
    <comment ref="BG76" authorId="4">
      <text>
        <r>
          <rPr>
            <sz val="9"/>
            <color indexed="81"/>
            <rFont val="Tahoma"/>
            <family val="2"/>
          </rPr>
          <t>6/9/15: Reiterated guidance of ~150M
3/17/15: Guidance Expect ~$150M</t>
        </r>
      </text>
    </comment>
    <comment ref="BK76" authorId="5">
      <text>
        <r>
          <rPr>
            <b/>
            <sz val="9"/>
            <color indexed="81"/>
            <rFont val="Tahoma"/>
            <family val="2"/>
          </rPr>
          <t>Baglione, Gregory  (Research):</t>
        </r>
        <r>
          <rPr>
            <sz val="9"/>
            <color indexed="81"/>
            <rFont val="Tahoma"/>
            <family val="2"/>
          </rPr>
          <t xml:space="preserve">
8/25/16
Unchanged
5/26/16 
$160M 
We model $180M Depreciation less $20-23 M of net favorable lease amortization, in-line with guidance
3/3/16
depreciation and amortization to approximate $158 million
</t>
        </r>
      </text>
    </comment>
    <comment ref="BO76" authorId="6">
      <text>
        <r>
          <rPr>
            <b/>
            <sz val="9"/>
            <color indexed="81"/>
            <rFont val="Tahoma"/>
            <family val="2"/>
          </rPr>
          <t>Roberts, Cynthia (Research):</t>
        </r>
        <r>
          <rPr>
            <sz val="9"/>
            <color indexed="81"/>
            <rFont val="Tahoma"/>
            <family val="2"/>
          </rPr>
          <t xml:space="preserve">
8/24/17: Guidance $178M
3/2/17: Guidance: $176M less favorable lease amortization
We model $200M excluding $24M favorable lease amortization
</t>
        </r>
      </text>
    </comment>
    <comment ref="BT76" authorId="6">
      <text>
        <r>
          <rPr>
            <b/>
            <sz val="9"/>
            <color indexed="81"/>
            <rFont val="Tahoma"/>
            <family val="2"/>
          </rPr>
          <t>Roberts, Cynthia (Research):</t>
        </r>
        <r>
          <rPr>
            <sz val="9"/>
            <color indexed="81"/>
            <rFont val="Tahoma"/>
            <family val="2"/>
          </rPr>
          <t xml:space="preserve">
3/8/18: Guidance $200M exclusive of favorable lease amortization ($20) ; 10 bps headwind</t>
        </r>
      </text>
    </comment>
    <comment ref="BU76" authorId="6">
      <text>
        <r>
          <rPr>
            <b/>
            <sz val="9"/>
            <color indexed="81"/>
            <rFont val="Tahoma"/>
            <family val="2"/>
          </rPr>
          <t>Roberts, Cynthia (Research):</t>
        </r>
        <r>
          <rPr>
            <sz val="9"/>
            <color indexed="81"/>
            <rFont val="Tahoma"/>
            <family val="2"/>
          </rPr>
          <t xml:space="preserve">
11/21/17: mgmt expects depreciation to increase given 2017 capital investments </t>
        </r>
      </text>
    </comment>
    <comment ref="AI93" authorId="2">
      <text>
        <r>
          <rPr>
            <b/>
            <sz val="8"/>
            <color indexed="81"/>
            <rFont val="Tahoma"/>
            <family val="2"/>
          </rPr>
          <t xml:space="preserve">Other Revenue + Other Income
</t>
        </r>
        <r>
          <rPr>
            <sz val="8"/>
            <color indexed="81"/>
            <rFont val="Tahoma"/>
            <family val="2"/>
          </rPr>
          <t xml:space="preserve">
</t>
        </r>
      </text>
    </comment>
    <comment ref="AM93" authorId="2">
      <text>
        <r>
          <rPr>
            <b/>
            <sz val="8"/>
            <color indexed="81"/>
            <rFont val="Tahoma"/>
            <family val="2"/>
          </rPr>
          <t xml:space="preserve">Other Revenue + Other Income
</t>
        </r>
        <r>
          <rPr>
            <sz val="8"/>
            <color indexed="81"/>
            <rFont val="Tahoma"/>
            <family val="2"/>
          </rPr>
          <t xml:space="preserve">
</t>
        </r>
      </text>
    </comment>
    <comment ref="AQ93" authorId="2">
      <text>
        <r>
          <rPr>
            <b/>
            <sz val="8"/>
            <color indexed="81"/>
            <rFont val="Tahoma"/>
            <family val="2"/>
          </rPr>
          <t xml:space="preserve">Other Revenue + Other Income
</t>
        </r>
        <r>
          <rPr>
            <sz val="8"/>
            <color indexed="81"/>
            <rFont val="Tahoma"/>
            <family val="2"/>
          </rPr>
          <t xml:space="preserve">
</t>
        </r>
      </text>
    </comment>
    <comment ref="BC93" authorId="3">
      <text>
        <r>
          <rPr>
            <b/>
            <sz val="9"/>
            <color indexed="81"/>
            <rFont val="Tahoma"/>
            <family val="2"/>
          </rPr>
          <t xml:space="preserve">6/10/14: </t>
        </r>
        <r>
          <rPr>
            <sz val="9"/>
            <color indexed="81"/>
            <rFont val="Tahoma"/>
            <family val="2"/>
          </rPr>
          <t xml:space="preserve">Other Revenue 7.589 
Other Income 1.896
</t>
        </r>
      </text>
    </comment>
    <comment ref="BG93" authorId="8">
      <text>
        <r>
          <rPr>
            <b/>
            <sz val="9"/>
            <color indexed="81"/>
            <rFont val="Tahoma"/>
            <family val="2"/>
          </rPr>
          <t>Mains, Spencer (Research):</t>
        </r>
        <r>
          <rPr>
            <sz val="9"/>
            <color indexed="81"/>
            <rFont val="Tahoma"/>
            <family val="2"/>
          </rPr>
          <t xml:space="preserve">
6/9/15: Other revenue 7.860
Other income 1.072</t>
        </r>
      </text>
    </comment>
    <comment ref="BL93" authorId="5">
      <text>
        <r>
          <rPr>
            <b/>
            <sz val="9"/>
            <color indexed="81"/>
            <rFont val="Tahoma"/>
            <family val="2"/>
          </rPr>
          <t>Baglione, Gregory  (Research):</t>
        </r>
        <r>
          <rPr>
            <sz val="9"/>
            <color indexed="81"/>
            <rFont val="Tahoma"/>
            <family val="2"/>
          </rPr>
          <t xml:space="preserve">
3/3/16
Per management call back model other revenue -15bps as a % of sales </t>
        </r>
      </text>
    </comment>
    <comment ref="BO93" authorId="6">
      <text>
        <r>
          <rPr>
            <b/>
            <sz val="9"/>
            <color indexed="81"/>
            <rFont val="Tahoma"/>
            <family val="2"/>
          </rPr>
          <t>Roberts, Cynthia (Research):</t>
        </r>
        <r>
          <rPr>
            <sz val="9"/>
            <color indexed="81"/>
            <rFont val="Tahoma"/>
            <family val="2"/>
          </rPr>
          <t xml:space="preserve">
5/25/17: Expected sale of $2.5M in tax credits shifted into 2Q</t>
        </r>
      </text>
    </comment>
    <comment ref="AI94" authorId="2">
      <text>
        <r>
          <rPr>
            <b/>
            <sz val="8"/>
            <color indexed="81"/>
            <rFont val="Tahoma"/>
            <family val="2"/>
          </rPr>
          <t xml:space="preserve">Other Revenue + Other Income
</t>
        </r>
        <r>
          <rPr>
            <sz val="8"/>
            <color indexed="81"/>
            <rFont val="Tahoma"/>
            <family val="2"/>
          </rPr>
          <t xml:space="preserve">
</t>
        </r>
      </text>
    </comment>
    <comment ref="AM94" authorId="2">
      <text>
        <r>
          <rPr>
            <b/>
            <sz val="8"/>
            <color indexed="81"/>
            <rFont val="Tahoma"/>
            <family val="2"/>
          </rPr>
          <t xml:space="preserve">Other Revenue + Other Income
</t>
        </r>
        <r>
          <rPr>
            <sz val="8"/>
            <color indexed="81"/>
            <rFont val="Tahoma"/>
            <family val="2"/>
          </rPr>
          <t xml:space="preserve">
</t>
        </r>
      </text>
    </comment>
    <comment ref="AQ94" authorId="2">
      <text>
        <r>
          <rPr>
            <b/>
            <sz val="8"/>
            <color indexed="81"/>
            <rFont val="Tahoma"/>
            <family val="2"/>
          </rPr>
          <t xml:space="preserve">Other Revenue + Other Income
</t>
        </r>
        <r>
          <rPr>
            <sz val="8"/>
            <color indexed="81"/>
            <rFont val="Tahoma"/>
            <family val="2"/>
          </rPr>
          <t xml:space="preserve">
</t>
        </r>
      </text>
    </comment>
    <comment ref="AY94" authorId="5">
      <text>
        <r>
          <rPr>
            <b/>
            <sz val="9"/>
            <color indexed="81"/>
            <rFont val="Tahoma"/>
            <family val="2"/>
          </rPr>
          <t>Baglione, Gregory  (Research):</t>
        </r>
        <r>
          <rPr>
            <sz val="9"/>
            <color indexed="81"/>
            <rFont val="Tahoma"/>
            <family val="2"/>
          </rPr>
          <t xml:space="preserve">
7.769M other revenue
-2.059 Other income, net</t>
        </r>
      </text>
    </comment>
    <comment ref="BC94" authorId="3">
      <text>
        <r>
          <rPr>
            <b/>
            <sz val="9"/>
            <color indexed="81"/>
            <rFont val="Tahoma"/>
            <family val="2"/>
          </rPr>
          <t xml:space="preserve">9/8/14: </t>
        </r>
        <r>
          <rPr>
            <sz val="9"/>
            <color indexed="81"/>
            <rFont val="Tahoma"/>
            <family val="2"/>
          </rPr>
          <t xml:space="preserve">Other Revenue 7.545
Other Income 1.968
</t>
        </r>
      </text>
    </comment>
    <comment ref="BG94" authorId="5">
      <text>
        <r>
          <rPr>
            <b/>
            <sz val="9"/>
            <color indexed="81"/>
            <rFont val="Tahoma"/>
            <family val="2"/>
          </rPr>
          <t>Baglione, Gregory  (Research):</t>
        </r>
        <r>
          <rPr>
            <sz val="9"/>
            <color indexed="81"/>
            <rFont val="Tahoma"/>
            <family val="2"/>
          </rPr>
          <t xml:space="preserve">
8/27/15
$7.35M in other revenue, -1.389 in other income</t>
        </r>
      </text>
    </comment>
    <comment ref="BL94" authorId="5">
      <text>
        <r>
          <rPr>
            <b/>
            <sz val="9"/>
            <color indexed="81"/>
            <rFont val="Tahoma"/>
            <family val="2"/>
          </rPr>
          <t>Baglione, Gregory  (Research):</t>
        </r>
        <r>
          <rPr>
            <sz val="9"/>
            <color indexed="81"/>
            <rFont val="Tahoma"/>
            <family val="2"/>
          </rPr>
          <t xml:space="preserve">
5/26/16
Given a tax credit they are now expected this spread to be -10 bps vs. prior -15 bps
3/3/16
Per management call back model other revenue -15bps as a % of sales </t>
        </r>
      </text>
    </comment>
    <comment ref="BO94" authorId="6">
      <text>
        <r>
          <rPr>
            <b/>
            <sz val="9"/>
            <color indexed="81"/>
            <rFont val="Tahoma"/>
            <family val="2"/>
          </rPr>
          <t>Roberts, Cynthia (Research):</t>
        </r>
        <r>
          <rPr>
            <sz val="9"/>
            <color indexed="81"/>
            <rFont val="Tahoma"/>
            <family val="2"/>
          </rPr>
          <t xml:space="preserve">
5/25/17: Sale of 2.5M  in tax credit shifted from 1Q to 2Q</t>
        </r>
      </text>
    </comment>
    <comment ref="AI95" authorId="2">
      <text>
        <r>
          <rPr>
            <b/>
            <sz val="8"/>
            <color indexed="81"/>
            <rFont val="Tahoma"/>
            <family val="2"/>
          </rPr>
          <t xml:space="preserve">Other Revenue + Other Income
</t>
        </r>
        <r>
          <rPr>
            <sz val="8"/>
            <color indexed="81"/>
            <rFont val="Tahoma"/>
            <family val="2"/>
          </rPr>
          <t xml:space="preserve">
</t>
        </r>
      </text>
    </comment>
    <comment ref="AM95" authorId="2">
      <text>
        <r>
          <rPr>
            <b/>
            <sz val="8"/>
            <color indexed="81"/>
            <rFont val="Tahoma"/>
            <family val="2"/>
          </rPr>
          <t xml:space="preserve">Other Revenue + Other Income
</t>
        </r>
        <r>
          <rPr>
            <sz val="8"/>
            <color indexed="81"/>
            <rFont val="Tahoma"/>
            <family val="2"/>
          </rPr>
          <t xml:space="preserve">
</t>
        </r>
      </text>
    </comment>
    <comment ref="AQ95" authorId="2">
      <text>
        <r>
          <rPr>
            <b/>
            <sz val="8"/>
            <color indexed="81"/>
            <rFont val="Tahoma"/>
            <family val="2"/>
          </rPr>
          <t xml:space="preserve">Other Revenue + Other Income
</t>
        </r>
        <r>
          <rPr>
            <sz val="8"/>
            <color indexed="81"/>
            <rFont val="Tahoma"/>
            <family val="2"/>
          </rPr>
          <t xml:space="preserve">
</t>
        </r>
      </text>
    </comment>
    <comment ref="AY95" authorId="2">
      <text>
        <r>
          <rPr>
            <b/>
            <sz val="8"/>
            <color indexed="81"/>
            <rFont val="Tahoma"/>
            <family val="2"/>
          </rPr>
          <t xml:space="preserve">Other Rev: 8.353M
Other Income: 1.703M
</t>
        </r>
        <r>
          <rPr>
            <sz val="8"/>
            <color indexed="81"/>
            <rFont val="Tahoma"/>
            <family val="2"/>
          </rPr>
          <t xml:space="preserve">
</t>
        </r>
      </text>
    </comment>
    <comment ref="BC95" authorId="4">
      <text>
        <r>
          <rPr>
            <b/>
            <sz val="9"/>
            <color indexed="81"/>
            <rFont val="Tahoma"/>
            <family val="2"/>
          </rPr>
          <t>Turley, Amber (Research):</t>
        </r>
        <r>
          <rPr>
            <sz val="9"/>
            <color indexed="81"/>
            <rFont val="Tahoma"/>
            <family val="2"/>
          </rPr>
          <t xml:space="preserve">
12/9/14: Other Revenue: $8.816
Other Income: $1.705</t>
        </r>
      </text>
    </comment>
    <comment ref="BG95" authorId="5">
      <text>
        <r>
          <rPr>
            <b/>
            <sz val="9"/>
            <color indexed="81"/>
            <rFont val="Tahoma"/>
            <family val="2"/>
          </rPr>
          <t>Baglione, Gregory  (Research):</t>
        </r>
        <r>
          <rPr>
            <sz val="9"/>
            <color indexed="81"/>
            <rFont val="Tahoma"/>
            <family val="2"/>
          </rPr>
          <t xml:space="preserve">
$7.783M other revenue, $1.68M other income-net</t>
        </r>
      </text>
    </comment>
    <comment ref="BL95" authorId="5">
      <text>
        <r>
          <rPr>
            <b/>
            <sz val="9"/>
            <color indexed="81"/>
            <rFont val="Tahoma"/>
            <family val="2"/>
          </rPr>
          <t>Baglione, Gregory  (Research):</t>
        </r>
        <r>
          <rPr>
            <sz val="9"/>
            <color indexed="81"/>
            <rFont val="Tahoma"/>
            <family val="2"/>
          </rPr>
          <t xml:space="preserve">
3/3/16
Per management call back model other revenue -15bps as a % of sales </t>
        </r>
      </text>
    </comment>
    <comment ref="AI96" authorId="2">
      <text>
        <r>
          <rPr>
            <b/>
            <sz val="8"/>
            <color indexed="81"/>
            <rFont val="Tahoma"/>
            <family val="2"/>
          </rPr>
          <t xml:space="preserve">Other Revenue + Other Income
</t>
        </r>
        <r>
          <rPr>
            <sz val="8"/>
            <color indexed="81"/>
            <rFont val="Tahoma"/>
            <family val="2"/>
          </rPr>
          <t xml:space="preserve">
</t>
        </r>
      </text>
    </comment>
    <comment ref="AM96" authorId="2">
      <text>
        <r>
          <rPr>
            <b/>
            <sz val="8"/>
            <color indexed="81"/>
            <rFont val="Tahoma"/>
            <family val="2"/>
          </rPr>
          <t xml:space="preserve">Other Revenue + Other Income
</t>
        </r>
        <r>
          <rPr>
            <sz val="8"/>
            <color indexed="81"/>
            <rFont val="Tahoma"/>
            <family val="2"/>
          </rPr>
          <t xml:space="preserve">
</t>
        </r>
      </text>
    </comment>
    <comment ref="AQ96" authorId="2">
      <text>
        <r>
          <rPr>
            <b/>
            <sz val="8"/>
            <color indexed="81"/>
            <rFont val="Tahoma"/>
            <family val="2"/>
          </rPr>
          <t xml:space="preserve">Other Revenue + Other Income
</t>
        </r>
        <r>
          <rPr>
            <sz val="8"/>
            <color indexed="81"/>
            <rFont val="Tahoma"/>
            <family val="2"/>
          </rPr>
          <t xml:space="preserve">
</t>
        </r>
      </text>
    </comment>
    <comment ref="AY96" authorId="2">
      <text>
        <r>
          <rPr>
            <b/>
            <sz val="8"/>
            <color indexed="81"/>
            <rFont val="Tahoma"/>
            <family val="2"/>
          </rPr>
          <t xml:space="preserve">Other Rev: 10.386M
Other Income: 2.631M
</t>
        </r>
        <r>
          <rPr>
            <sz val="8"/>
            <color indexed="81"/>
            <rFont val="Tahoma"/>
            <family val="2"/>
          </rPr>
          <t xml:space="preserve">
</t>
        </r>
      </text>
    </comment>
    <comment ref="BC96" authorId="4">
      <text>
        <r>
          <rPr>
            <b/>
            <sz val="9"/>
            <color indexed="81"/>
            <rFont val="Tahoma"/>
            <family val="2"/>
          </rPr>
          <t>Turley, Amber (Research):</t>
        </r>
        <r>
          <rPr>
            <sz val="9"/>
            <color indexed="81"/>
            <rFont val="Tahoma"/>
            <family val="2"/>
          </rPr>
          <t xml:space="preserve">
Other Rev: 11.180
Other Income: 5.184
Other revenue/income increased $3.3 million reflecting a $3.2 million
settlement of a class action lawsuit relating to credit card interchange fees.</t>
        </r>
      </text>
    </comment>
    <comment ref="BG96" authorId="5">
      <text>
        <r>
          <rPr>
            <b/>
            <sz val="9"/>
            <color indexed="81"/>
            <rFont val="Tahoma"/>
            <family val="2"/>
          </rPr>
          <t>Baglione, Gregory  (Research):</t>
        </r>
        <r>
          <rPr>
            <sz val="9"/>
            <color indexed="81"/>
            <rFont val="Tahoma"/>
            <family val="2"/>
          </rPr>
          <t xml:space="preserve">
Reduction in income from third party fragaerence sales to an owned category</t>
        </r>
      </text>
    </comment>
    <comment ref="BL96" authorId="5">
      <text>
        <r>
          <rPr>
            <b/>
            <sz val="9"/>
            <color indexed="81"/>
            <rFont val="Tahoma"/>
            <family val="2"/>
          </rPr>
          <t>Baglione, Gregory  (Research):</t>
        </r>
        <r>
          <rPr>
            <sz val="9"/>
            <color indexed="81"/>
            <rFont val="Tahoma"/>
            <family val="2"/>
          </rPr>
          <t xml:space="preserve">
3/3/16
Per management call back model other revenue -15bps as a % of sales </t>
        </r>
      </text>
    </comment>
    <comment ref="AI97" authorId="2">
      <text>
        <r>
          <rPr>
            <b/>
            <sz val="8"/>
            <color indexed="81"/>
            <rFont val="Tahoma"/>
            <family val="2"/>
          </rPr>
          <t xml:space="preserve">Other Revenue + Other Income
</t>
        </r>
        <r>
          <rPr>
            <sz val="8"/>
            <color indexed="81"/>
            <rFont val="Tahoma"/>
            <family val="2"/>
          </rPr>
          <t xml:space="preserve">
</t>
        </r>
      </text>
    </comment>
    <comment ref="AM97" authorId="2">
      <text>
        <r>
          <rPr>
            <b/>
            <sz val="8"/>
            <color indexed="81"/>
            <rFont val="Tahoma"/>
            <family val="2"/>
          </rPr>
          <t xml:space="preserve">Other Revenue + Other Income
</t>
        </r>
        <r>
          <rPr>
            <sz val="8"/>
            <color indexed="81"/>
            <rFont val="Tahoma"/>
            <family val="2"/>
          </rPr>
          <t xml:space="preserve">
</t>
        </r>
      </text>
    </comment>
    <comment ref="AQ97" authorId="2">
      <text>
        <r>
          <rPr>
            <b/>
            <sz val="8"/>
            <color indexed="81"/>
            <rFont val="Tahoma"/>
            <family val="2"/>
          </rPr>
          <t xml:space="preserve">Other Revenue + Other Income
</t>
        </r>
        <r>
          <rPr>
            <sz val="8"/>
            <color indexed="81"/>
            <rFont val="Tahoma"/>
            <family val="2"/>
          </rPr>
          <t xml:space="preserve">
</t>
        </r>
      </text>
    </comment>
    <comment ref="AY97" authorId="2">
      <text>
        <r>
          <rPr>
            <b/>
            <sz val="8"/>
            <color indexed="81"/>
            <rFont val="Tahoma"/>
            <family val="2"/>
          </rPr>
          <t xml:space="preserve">Other Rev: 34.484M
Other Income: 8.939M
</t>
        </r>
        <r>
          <rPr>
            <sz val="8"/>
            <color indexed="81"/>
            <rFont val="Tahoma"/>
            <family val="2"/>
          </rPr>
          <t xml:space="preserve">
</t>
        </r>
      </text>
    </comment>
    <comment ref="BL97" authorId="5">
      <text>
        <r>
          <rPr>
            <b/>
            <sz val="9"/>
            <color indexed="81"/>
            <rFont val="Tahoma"/>
            <family val="2"/>
          </rPr>
          <t>Baglione, Gregory  (Research):</t>
        </r>
        <r>
          <rPr>
            <sz val="9"/>
            <color indexed="81"/>
            <rFont val="Tahoma"/>
            <family val="2"/>
          </rPr>
          <t xml:space="preserve">
"Expect other revenue and other income to decrease 15 basis points from the loss of lease income for the remaining quarters in 2016."
8/25/16
~10-15bps spread
5/26/146
Revised to 10 bps spread
</t>
        </r>
      </text>
    </comment>
    <comment ref="BC123" authorId="3">
      <text>
        <r>
          <rPr>
            <b/>
            <sz val="9"/>
            <color indexed="81"/>
            <rFont val="Tahoma"/>
            <family val="2"/>
          </rPr>
          <t xml:space="preserve">6/10/14: </t>
        </r>
        <r>
          <rPr>
            <sz val="9"/>
            <color indexed="81"/>
            <rFont val="Tahoma"/>
            <family val="2"/>
          </rPr>
          <t xml:space="preserve">Interest Expense decreased $7.8 million to $26.6 million from last year, driven by interest savings related to the principal payments over the last twelve months on the Company’s Holdco Notes and Term Loan. In addition, the Company realized savings as a result of the 2013 Term Loan refinancing
</t>
        </r>
      </text>
    </comment>
    <comment ref="BG123" authorId="8">
      <text>
        <r>
          <rPr>
            <b/>
            <sz val="9"/>
            <color indexed="81"/>
            <rFont val="Tahoma"/>
            <family val="2"/>
          </rPr>
          <t>Mains, Spencer (Research):</t>
        </r>
        <r>
          <rPr>
            <sz val="9"/>
            <color indexed="81"/>
            <rFont val="Tahoma"/>
            <family val="2"/>
          </rPr>
          <t xml:space="preserve">
6/9/15: decreased $12M driven by interest savings related to the debt refinancing in August 2014 and principal payments made during fiscal 2014</t>
        </r>
      </text>
    </comment>
    <comment ref="BK123" authorId="5">
      <text>
        <r>
          <rPr>
            <b/>
            <sz val="9"/>
            <color indexed="81"/>
            <rFont val="Tahoma"/>
            <family val="2"/>
          </rPr>
          <t xml:space="preserve">Baglione, Gregory  (Research):
</t>
        </r>
        <r>
          <rPr>
            <sz val="9"/>
            <color indexed="81"/>
            <rFont val="Tahoma"/>
            <family val="2"/>
          </rPr>
          <t>3/3/16
FY guidance $62M</t>
        </r>
        <r>
          <rPr>
            <b/>
            <sz val="9"/>
            <color indexed="81"/>
            <rFont val="Tahoma"/>
            <family val="2"/>
          </rPr>
          <t xml:space="preserve">
</t>
        </r>
        <r>
          <rPr>
            <sz val="9"/>
            <color indexed="81"/>
            <rFont val="Tahoma"/>
            <family val="2"/>
          </rPr>
          <t xml:space="preserve">
11/25/15
Per management, model interest expense ~in-line with 2015
</t>
        </r>
      </text>
    </comment>
    <comment ref="AJ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AN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AR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AV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AZ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BD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BG124" authorId="5">
      <text>
        <r>
          <rPr>
            <b/>
            <sz val="9"/>
            <color indexed="81"/>
            <rFont val="Tahoma"/>
            <family val="2"/>
          </rPr>
          <t>Baglione, Gregory  (Research):</t>
        </r>
        <r>
          <rPr>
            <sz val="9"/>
            <color indexed="81"/>
            <rFont val="Tahoma"/>
            <family val="2"/>
          </rPr>
          <t xml:space="preserve">
8/27/15
Interest Expense decreased $10.9 million to $14.6 million from last year, driven by interest savings realized as a result of the 2014 term loan refinancing as well as savings related to principal payments made over the last twelve months on the Company`s term loan credit facility</t>
        </r>
      </text>
    </comment>
    <comment ref="BH124" authorId="0">
      <text>
        <r>
          <rPr>
            <b/>
            <sz val="8"/>
            <color indexed="81"/>
            <rFont val="Tahoma"/>
            <family val="2"/>
          </rPr>
          <t>Manual Adj. to match company forecast</t>
        </r>
        <r>
          <rPr>
            <sz val="8"/>
            <color indexed="81"/>
            <rFont val="Tahoma"/>
            <family val="2"/>
          </rPr>
          <t xml:space="preserve">
</t>
        </r>
        <r>
          <rPr>
            <b/>
            <sz val="8"/>
            <color indexed="81"/>
            <rFont val="Tahoma"/>
            <family val="2"/>
          </rPr>
          <t>09/14/13:</t>
        </r>
        <r>
          <rPr>
            <sz val="8"/>
            <color indexed="81"/>
            <rFont val="Tahoma"/>
            <family val="2"/>
          </rPr>
          <t xml:space="preserve"> Added $0.6M of additional interest expense per quarter</t>
        </r>
      </text>
    </comment>
    <comment ref="BK124" authorId="5">
      <text>
        <r>
          <rPr>
            <b/>
            <sz val="9"/>
            <color indexed="81"/>
            <rFont val="Tahoma"/>
            <family val="2"/>
          </rPr>
          <t xml:space="preserve">Baglione, Gregory  (Research):
</t>
        </r>
        <r>
          <rPr>
            <sz val="9"/>
            <color indexed="81"/>
            <rFont val="Tahoma"/>
            <family val="2"/>
          </rPr>
          <t>3/3/16
FY guidance $62M</t>
        </r>
        <r>
          <rPr>
            <b/>
            <sz val="9"/>
            <color indexed="81"/>
            <rFont val="Tahoma"/>
            <family val="2"/>
          </rPr>
          <t xml:space="preserve">
</t>
        </r>
        <r>
          <rPr>
            <sz val="9"/>
            <color indexed="81"/>
            <rFont val="Tahoma"/>
            <family val="2"/>
          </rPr>
          <t xml:space="preserve">
11/25/15
Per management, model interest expense ~in-line with 2015
</t>
        </r>
      </text>
    </comment>
    <comment ref="AY125" authorId="0">
      <text>
        <r>
          <rPr>
            <sz val="8"/>
            <color indexed="81"/>
            <rFont val="Tahoma"/>
            <family val="2"/>
          </rPr>
          <t>Interest Savings (Yr of IPO)</t>
        </r>
        <r>
          <rPr>
            <sz val="8"/>
            <color indexed="81"/>
            <rFont val="Tahoma"/>
            <family val="2"/>
          </rPr>
          <t xml:space="preserve">
</t>
        </r>
        <r>
          <rPr>
            <b/>
            <sz val="8"/>
            <color indexed="81"/>
            <rFont val="Tahoma"/>
            <family val="2"/>
          </rPr>
          <t>09/14/13:</t>
        </r>
        <r>
          <rPr>
            <sz val="8"/>
            <color indexed="81"/>
            <rFont val="Tahoma"/>
            <family val="2"/>
          </rPr>
          <t xml:space="preserve"> Added $0.2M of additional interest expense</t>
        </r>
      </text>
    </comment>
    <comment ref="BC125" authorId="3">
      <text>
        <r>
          <rPr>
            <b/>
            <sz val="9"/>
            <color indexed="81"/>
            <rFont val="Tahoma"/>
            <family val="2"/>
          </rPr>
          <t xml:space="preserve">9/8/14: </t>
        </r>
        <r>
          <rPr>
            <sz val="9"/>
            <color indexed="81"/>
            <rFont val="Tahoma"/>
            <family val="2"/>
          </rPr>
          <t xml:space="preserve">guidance $17M
</t>
        </r>
      </text>
    </comment>
    <comment ref="BK125" authorId="5">
      <text>
        <r>
          <rPr>
            <b/>
            <sz val="9"/>
            <color indexed="81"/>
            <rFont val="Tahoma"/>
            <family val="2"/>
          </rPr>
          <t>Baglione, Gregory  (Research):</t>
        </r>
        <r>
          <rPr>
            <sz val="9"/>
            <color indexed="81"/>
            <rFont val="Tahoma"/>
            <family val="2"/>
          </rPr>
          <t xml:space="preserve">
3/3/16
FY guidance $62M
11/25/15
Per management, model interest expense ~in-line with 2015
</t>
        </r>
      </text>
    </comment>
    <comment ref="BC126" authorId="4">
      <text>
        <r>
          <rPr>
            <b/>
            <sz val="9"/>
            <color indexed="81"/>
            <rFont val="Tahoma"/>
            <family val="2"/>
          </rPr>
          <t>Turley, Amber (Research):</t>
        </r>
        <r>
          <rPr>
            <sz val="9"/>
            <color indexed="81"/>
            <rFont val="Tahoma"/>
            <family val="2"/>
          </rPr>
          <t xml:space="preserve">
12/9/14: Guidance $15.1M</t>
        </r>
      </text>
    </comment>
    <comment ref="BK126" authorId="5">
      <text>
        <r>
          <rPr>
            <b/>
            <sz val="9"/>
            <color indexed="81"/>
            <rFont val="Tahoma"/>
            <family val="2"/>
          </rPr>
          <t xml:space="preserve">Baglione, Gregory  (Research):
</t>
        </r>
        <r>
          <rPr>
            <sz val="9"/>
            <color indexed="81"/>
            <rFont val="Tahoma"/>
            <family val="2"/>
          </rPr>
          <t xml:space="preserve">3/3/16
FY guidance $62M
</t>
        </r>
        <r>
          <rPr>
            <sz val="9"/>
            <color indexed="81"/>
            <rFont val="Tahoma"/>
            <family val="2"/>
          </rPr>
          <t xml:space="preserve">
11/25/15
Per management, model interest expense ~in-line with 2015
</t>
        </r>
      </text>
    </comment>
    <comment ref="BC127" authorId="3">
      <text>
        <r>
          <rPr>
            <b/>
            <sz val="9"/>
            <color indexed="81"/>
            <rFont val="Tahoma"/>
            <family val="2"/>
          </rPr>
          <t xml:space="preserve">3/20/14: </t>
        </r>
        <r>
          <rPr>
            <sz val="9"/>
            <color indexed="81"/>
            <rFont val="Tahoma"/>
            <family val="2"/>
          </rPr>
          <t xml:space="preserve">guidance 103M
</t>
        </r>
        <r>
          <rPr>
            <b/>
            <sz val="9"/>
            <color indexed="81"/>
            <rFont val="Tahoma"/>
            <family val="2"/>
          </rPr>
          <t>6/10/14:</t>
        </r>
        <r>
          <rPr>
            <sz val="9"/>
            <color indexed="81"/>
            <rFont val="Tahoma"/>
            <family val="2"/>
          </rPr>
          <t xml:space="preserve"> guidance 103M
</t>
        </r>
        <r>
          <rPr>
            <b/>
            <sz val="9"/>
            <color indexed="81"/>
            <rFont val="Tahoma"/>
            <family val="2"/>
          </rPr>
          <t xml:space="preserve">7/17/14: </t>
        </r>
        <r>
          <rPr>
            <sz val="9"/>
            <color indexed="81"/>
            <rFont val="Tahoma"/>
            <family val="2"/>
          </rPr>
          <t xml:space="preserve">For the second half of fiscal 2014 this transaction will reduce interest expense by $16 million to $18 million and increase fully diluted adjusted earnings per share by 13 cents to 14 cents, net of potential hedging costs. 
</t>
        </r>
        <r>
          <rPr>
            <b/>
            <sz val="9"/>
            <color indexed="81"/>
            <rFont val="Tahoma"/>
            <family val="2"/>
          </rPr>
          <t>9/8/14:</t>
        </r>
        <r>
          <rPr>
            <sz val="9"/>
            <color indexed="81"/>
            <rFont val="Tahoma"/>
            <family val="2"/>
          </rPr>
          <t xml:space="preserve"> Guidance $85M
</t>
        </r>
        <r>
          <rPr>
            <b/>
            <sz val="9"/>
            <color indexed="81"/>
            <rFont val="Tahoma"/>
            <family val="2"/>
          </rPr>
          <t>12/9/14</t>
        </r>
        <r>
          <rPr>
            <sz val="9"/>
            <color indexed="81"/>
            <rFont val="Tahoma"/>
            <family val="2"/>
          </rPr>
          <t>: Guidance ~$84M</t>
        </r>
      </text>
    </comment>
    <comment ref="BG127" authorId="4">
      <text>
        <r>
          <rPr>
            <sz val="9"/>
            <color indexed="81"/>
            <rFont val="Tahoma"/>
            <family val="2"/>
          </rPr>
          <t>11/24/15
Interest expense now $59M vs. prior $61M
8/27/15: $61M FY guidance
6/9/15: Guidance increased to $61mm due to interest rate swap put in place at the end of April.
3/17/15: Guidance ~$60M</t>
        </r>
      </text>
    </comment>
    <comment ref="BK127" authorId="5">
      <text>
        <r>
          <rPr>
            <b/>
            <sz val="9"/>
            <color indexed="81"/>
            <rFont val="Tahoma"/>
            <family val="2"/>
          </rPr>
          <t>Baglione, Gregory  (Research):</t>
        </r>
        <r>
          <rPr>
            <sz val="9"/>
            <color indexed="81"/>
            <rFont val="Tahoma"/>
            <family val="2"/>
          </rPr>
          <t xml:space="preserve">
11/22/16
Interest expense of approximately $57 million reflecting the Term Loan Credit Facility repricing;
8/25/16
Interest expense of approximately $59 million reflecting the Term Loan Facility repricing;
Worth 1c per share in 3Q/4Q
5/26/16
• Interest expense of approximately $62 million; 
3/3/16
• Interest expense of approximately $62 million; </t>
        </r>
      </text>
    </comment>
    <comment ref="BO127" authorId="6">
      <text>
        <r>
          <rPr>
            <b/>
            <sz val="9"/>
            <color indexed="81"/>
            <rFont val="Tahoma"/>
            <family val="2"/>
          </rPr>
          <t>Roberts, Cynthia (Research):</t>
        </r>
        <r>
          <rPr>
            <sz val="9"/>
            <color indexed="81"/>
            <rFont val="Tahoma"/>
            <family val="2"/>
          </rPr>
          <t xml:space="preserve">
8/17/24: Guidance $58M
3/2/17: Guidance: $57M</t>
        </r>
      </text>
    </comment>
    <comment ref="BH143" authorId="8">
      <text>
        <r>
          <rPr>
            <b/>
            <sz val="9"/>
            <color indexed="81"/>
            <rFont val="Tahoma"/>
            <family val="2"/>
          </rPr>
          <t>Mains, Spencer (Research):</t>
        </r>
        <r>
          <rPr>
            <sz val="9"/>
            <color indexed="81"/>
            <rFont val="Tahoma"/>
            <family val="2"/>
          </rPr>
          <t xml:space="preserve">
6/9/15: decrease in tax rate is a result of realizing certain tax credits.</t>
        </r>
      </text>
    </comment>
    <comment ref="BP143" authorId="6">
      <text>
        <r>
          <rPr>
            <b/>
            <sz val="9"/>
            <color indexed="81"/>
            <rFont val="Tahoma"/>
            <family val="2"/>
          </rPr>
          <t>Roberts, Cynthia (Research):</t>
        </r>
        <r>
          <rPr>
            <sz val="9"/>
            <color indexed="81"/>
            <rFont val="Tahoma"/>
            <family val="2"/>
          </rPr>
          <t xml:space="preserve">
5/25/17: Exclusive of share based comp accounting tax rate is 37.0%</t>
        </r>
      </text>
    </comment>
    <comment ref="BH144" authorId="5">
      <text>
        <r>
          <rPr>
            <b/>
            <sz val="9"/>
            <color indexed="81"/>
            <rFont val="Tahoma"/>
            <family val="2"/>
          </rPr>
          <t>Baglione, Gregory  (Research):</t>
        </r>
        <r>
          <rPr>
            <sz val="9"/>
            <color indexed="81"/>
            <rFont val="Tahoma"/>
            <family val="2"/>
          </rPr>
          <t xml:space="preserve">
8/26/15:
The increase in the effective tax rate was the result of a one-time discrete item recorded during the quarter, offset partially by state credits available to the Company for its new corporate headquarters in Fiscal 2015</t>
        </r>
      </text>
    </comment>
    <comment ref="BL144" authorId="5">
      <text>
        <r>
          <rPr>
            <b/>
            <sz val="9"/>
            <color indexed="81"/>
            <rFont val="Tahoma"/>
            <family val="2"/>
          </rPr>
          <t>Baglione, Gregory  (Research):</t>
        </r>
        <r>
          <rPr>
            <sz val="9"/>
            <color indexed="81"/>
            <rFont val="Tahoma"/>
            <family val="2"/>
          </rPr>
          <t xml:space="preserve">
5/26/16
Per management use same tax rate as FY 37.8%</t>
        </r>
      </text>
    </comment>
    <comment ref="BP144" authorId="6">
      <text>
        <r>
          <rPr>
            <b/>
            <sz val="9"/>
            <color indexed="81"/>
            <rFont val="Tahoma"/>
            <family val="2"/>
          </rPr>
          <t>Roberts, Cynthia (Research):</t>
        </r>
        <r>
          <rPr>
            <sz val="9"/>
            <color indexed="81"/>
            <rFont val="Tahoma"/>
            <family val="2"/>
          </rPr>
          <t xml:space="preserve">
8/24/17: driven by share based comp accounting. Excluding this tax rate would be 37%, with y/y improvement from state income taxes</t>
        </r>
      </text>
    </comment>
    <comment ref="BL145" authorId="9">
      <text>
        <r>
          <rPr>
            <b/>
            <sz val="9"/>
            <color indexed="81"/>
            <rFont val="Tahoma"/>
            <family val="2"/>
          </rPr>
          <t>Baglione, Gregory (Research):</t>
        </r>
        <r>
          <rPr>
            <sz val="9"/>
            <color indexed="81"/>
            <rFont val="Tahoma"/>
            <family val="2"/>
          </rPr>
          <t xml:space="preserve">
11/22/16
The effective tax rate was 35.0% compared with 37.7% last year, primarily related to a decrease in state tax rate and an increase in federal hiring credits.</t>
        </r>
      </text>
    </comment>
    <comment ref="BP145" authorId="6">
      <text>
        <r>
          <rPr>
            <b/>
            <sz val="9"/>
            <color indexed="81"/>
            <rFont val="Tahoma"/>
            <family val="2"/>
          </rPr>
          <t>Roberts, Cynthia (Research):</t>
        </r>
        <r>
          <rPr>
            <sz val="9"/>
            <color indexed="81"/>
            <rFont val="Tahoma"/>
            <family val="2"/>
          </rPr>
          <t xml:space="preserve">
10/30/17: 3Q preannouncement  2c stock based comp benefit</t>
        </r>
      </text>
    </comment>
    <comment ref="AZ146" authorId="2">
      <text>
        <r>
          <rPr>
            <b/>
            <sz val="8"/>
            <color indexed="81"/>
            <rFont val="Tahoma"/>
            <family val="2"/>
          </rPr>
          <t>12/9/13:</t>
        </r>
        <r>
          <rPr>
            <sz val="8"/>
            <color indexed="81"/>
            <rFont val="Tahoma"/>
            <family val="2"/>
          </rPr>
          <t xml:space="preserve"> guidance ~41%
</t>
        </r>
      </text>
    </comment>
    <comment ref="BH146" authorId="5">
      <text>
        <r>
          <rPr>
            <b/>
            <sz val="9"/>
            <color indexed="81"/>
            <rFont val="Tahoma"/>
            <family val="2"/>
          </rPr>
          <t>Baglione, Gregory  (Research):</t>
        </r>
        <r>
          <rPr>
            <sz val="9"/>
            <color indexed="81"/>
            <rFont val="Tahoma"/>
            <family val="2"/>
          </rPr>
          <t xml:space="preserve">
11/24/15
Adjusted to get FY tax rate to 37.8%</t>
        </r>
      </text>
    </comment>
    <comment ref="BL146" authorId="6">
      <text>
        <r>
          <rPr>
            <b/>
            <sz val="9"/>
            <color indexed="81"/>
            <rFont val="Tahoma"/>
            <family val="2"/>
          </rPr>
          <t>Roberts, Cynthia (Research):</t>
        </r>
        <r>
          <rPr>
            <sz val="9"/>
            <color indexed="81"/>
            <rFont val="Tahoma"/>
            <family val="2"/>
          </rPr>
          <t xml:space="preserve">
3/2/17: improved 200 bps driven by release of valuation allowance on deferred tax assets.  The Adjusted Effective Tax Rate, which excludes the release of the valuation allowance, was 37.2% compared with 36.0% last year, primarily related to the timing of hiring-related federal tax credits.</t>
        </r>
      </text>
    </comment>
    <comment ref="BD147" authorId="3">
      <text>
        <r>
          <rPr>
            <b/>
            <sz val="9"/>
            <color indexed="81"/>
            <rFont val="Tahoma"/>
            <family val="2"/>
          </rPr>
          <t xml:space="preserve">3/20/14: </t>
        </r>
        <r>
          <rPr>
            <sz val="9"/>
            <color indexed="81"/>
            <rFont val="Tahoma"/>
            <family val="2"/>
          </rPr>
          <t xml:space="preserve">guidance 40%
</t>
        </r>
        <r>
          <rPr>
            <b/>
            <sz val="9"/>
            <color indexed="81"/>
            <rFont val="Tahoma"/>
            <family val="2"/>
          </rPr>
          <t>6/10/14:</t>
        </r>
        <r>
          <rPr>
            <sz val="9"/>
            <color indexed="81"/>
            <rFont val="Tahoma"/>
            <family val="2"/>
          </rPr>
          <t xml:space="preserve"> guidance 40%
</t>
        </r>
        <r>
          <rPr>
            <b/>
            <sz val="9"/>
            <color indexed="81"/>
            <rFont val="Tahoma"/>
            <family val="2"/>
          </rPr>
          <t>12/9/14:</t>
        </r>
        <r>
          <rPr>
            <sz val="9"/>
            <color indexed="81"/>
            <rFont val="Tahoma"/>
            <family val="2"/>
          </rPr>
          <t xml:space="preserve"> guidance ~40%</t>
        </r>
      </text>
    </comment>
    <comment ref="BH147" authorId="4">
      <text>
        <r>
          <rPr>
            <b/>
            <sz val="9"/>
            <color indexed="81"/>
            <rFont val="Tahoma"/>
            <family val="2"/>
          </rPr>
          <t>11/24/15
FY TAX rate ~37.8%
8/27/15: FY Tax rate 39%
Turley, Amber (Research):</t>
        </r>
        <r>
          <rPr>
            <sz val="9"/>
            <color indexed="81"/>
            <rFont val="Tahoma"/>
            <family val="2"/>
          </rPr>
          <t xml:space="preserve">
3/17/15: Guidance 39%</t>
        </r>
      </text>
    </comment>
    <comment ref="BL147" authorId="5">
      <text>
        <r>
          <rPr>
            <b/>
            <sz val="9"/>
            <color indexed="81"/>
            <rFont val="Tahoma"/>
            <family val="2"/>
          </rPr>
          <t>Baglione, Gregory  (Research):</t>
        </r>
        <r>
          <rPr>
            <sz val="9"/>
            <color indexed="81"/>
            <rFont val="Tahoma"/>
            <family val="2"/>
          </rPr>
          <t xml:space="preserve">
5/26/16
• Tax rate to approximate 37.8%; 
3/3/16
• Tax rate to approximate 37.8%; </t>
        </r>
      </text>
    </comment>
    <comment ref="BP147" authorId="6">
      <text>
        <r>
          <rPr>
            <b/>
            <sz val="9"/>
            <color indexed="81"/>
            <rFont val="Tahoma"/>
            <family val="2"/>
          </rPr>
          <t>Roberts, Cynthia (Research):</t>
        </r>
        <r>
          <rPr>
            <sz val="9"/>
            <color indexed="81"/>
            <rFont val="Tahoma"/>
            <family val="2"/>
          </rPr>
          <t xml:space="preserve">
8/24/17: Gudiance 34%, 300 bps favorability from share based comp accounting
3/2/17: Guidance: 36%, expect change in accounting rules for share based comp to have a favorable impact of 100 bps</t>
        </r>
      </text>
    </comment>
    <comment ref="AY163" authorId="5">
      <text>
        <r>
          <rPr>
            <b/>
            <sz val="9"/>
            <color indexed="81"/>
            <rFont val="Tahoma"/>
            <family val="2"/>
          </rPr>
          <t>Baglione, Gregory  (Research):</t>
        </r>
        <r>
          <rPr>
            <sz val="9"/>
            <color indexed="81"/>
            <rFont val="Tahoma"/>
            <family val="2"/>
          </rPr>
          <t xml:space="preserve">
.016M off from old model, due to rounding adjustments</t>
        </r>
      </text>
    </comment>
    <comment ref="BG173" authorId="4">
      <text>
        <r>
          <rPr>
            <sz val="9"/>
            <color indexed="81"/>
            <rFont val="Tahoma"/>
            <family val="2"/>
          </rPr>
          <t>3/17/15: Guidance 76.5M shares</t>
        </r>
      </text>
    </comment>
    <comment ref="BK174" authorId="5">
      <text>
        <r>
          <rPr>
            <b/>
            <sz val="9"/>
            <color indexed="81"/>
            <rFont val="Tahoma"/>
            <family val="2"/>
          </rPr>
          <t>Baglione, Gregory  (Research):</t>
        </r>
        <r>
          <rPr>
            <sz val="9"/>
            <color indexed="81"/>
            <rFont val="Tahoma"/>
            <family val="2"/>
          </rPr>
          <t xml:space="preserve">
5/26/16
72.3M shares</t>
        </r>
      </text>
    </comment>
    <comment ref="BK175" authorId="9">
      <text>
        <r>
          <rPr>
            <b/>
            <sz val="9"/>
            <color indexed="81"/>
            <rFont val="Tahoma"/>
            <family val="2"/>
          </rPr>
          <t>Baglione, Gregory (Research):</t>
        </r>
        <r>
          <rPr>
            <sz val="9"/>
            <color indexed="81"/>
            <rFont val="Tahoma"/>
            <family val="2"/>
          </rPr>
          <t xml:space="preserve">
Updated when 10-Q is published</t>
        </r>
      </text>
    </comment>
    <comment ref="C176" authorId="1">
      <text>
        <r>
          <rPr>
            <b/>
            <sz val="8"/>
            <color indexed="81"/>
            <rFont val="Tahoma"/>
            <family val="2"/>
          </rPr>
          <t>Estimate based on 19c diluted EPS in release (does not show diluted shr ct for qtr.)</t>
        </r>
      </text>
    </comment>
    <comment ref="BC176" authorId="4">
      <text>
        <r>
          <rPr>
            <b/>
            <sz val="9"/>
            <color indexed="81"/>
            <rFont val="Tahoma"/>
            <family val="2"/>
          </rPr>
          <t>Turley, Amber (Research):</t>
        </r>
        <r>
          <rPr>
            <sz val="9"/>
            <color indexed="81"/>
            <rFont val="Tahoma"/>
            <family val="2"/>
          </rPr>
          <t xml:space="preserve">
1/9/15: Guidance 76.3M diluted shares
12/9/14: Guidance 76.2M diluted shares outstanding</t>
        </r>
      </text>
    </comment>
    <comment ref="BC177" authorId="4">
      <text>
        <r>
          <rPr>
            <b/>
            <sz val="9"/>
            <color indexed="81"/>
            <rFont val="Tahoma"/>
            <family val="2"/>
          </rPr>
          <t>Turley, Amber (Research):</t>
        </r>
        <r>
          <rPr>
            <sz val="9"/>
            <color indexed="81"/>
            <rFont val="Tahoma"/>
            <family val="2"/>
          </rPr>
          <t xml:space="preserve">
12/9/14: Guidance 75.8M shares
1/9/15: Guidance 75.9M shares</t>
        </r>
      </text>
    </comment>
    <comment ref="BG177" authorId="4">
      <text>
        <r>
          <rPr>
            <sz val="9"/>
            <color indexed="81"/>
            <rFont val="Tahoma"/>
            <family val="2"/>
          </rPr>
          <t>6/9/15: Reiterated ~77M shares
3/17/15: Guidance ~77M</t>
        </r>
      </text>
    </comment>
    <comment ref="BK177" authorId="5">
      <text>
        <r>
          <rPr>
            <b/>
            <sz val="9"/>
            <color indexed="81"/>
            <rFont val="Tahoma"/>
            <family val="2"/>
          </rPr>
          <t>Baglione, Gregory  (Research):</t>
        </r>
        <r>
          <rPr>
            <sz val="9"/>
            <color indexed="81"/>
            <rFont val="Tahoma"/>
            <family val="2"/>
          </rPr>
          <t xml:space="preserve">
Fully diluted share count ~72.4M </t>
        </r>
      </text>
    </comment>
    <comment ref="BC185" authorId="4">
      <text>
        <r>
          <rPr>
            <b/>
            <sz val="9"/>
            <color indexed="81"/>
            <rFont val="Tahoma"/>
            <family val="2"/>
          </rPr>
          <t>Turley, Amber (Research):</t>
        </r>
        <r>
          <rPr>
            <sz val="9"/>
            <color indexed="81"/>
            <rFont val="Tahoma"/>
            <family val="2"/>
          </rPr>
          <t xml:space="preserve">
12/9/14 10-Q: The number of shares of registrant’s common stock outstanding as of November 29, 2014: 74,589,657. </t>
        </r>
      </text>
    </comment>
    <comment ref="BK185" authorId="9">
      <text>
        <r>
          <rPr>
            <b/>
            <sz val="9"/>
            <color indexed="81"/>
            <rFont val="Tahoma"/>
            <family val="2"/>
          </rPr>
          <t>Baglione, Gregory (Research):</t>
        </r>
        <r>
          <rPr>
            <sz val="9"/>
            <color indexed="81"/>
            <rFont val="Tahoma"/>
            <family val="2"/>
          </rPr>
          <t xml:space="preserve">
Updated when 10-Q is published</t>
        </r>
      </text>
    </comment>
    <comment ref="BK186" authorId="9">
      <text>
        <r>
          <rPr>
            <b/>
            <sz val="9"/>
            <color indexed="81"/>
            <rFont val="Tahoma"/>
            <family val="2"/>
          </rPr>
          <t>Baglione, Gregory (Research):</t>
        </r>
        <r>
          <rPr>
            <sz val="9"/>
            <color indexed="81"/>
            <rFont val="Tahoma"/>
            <family val="2"/>
          </rPr>
          <t xml:space="preserve">
Updated when 10-Q is published</t>
        </r>
      </text>
    </comment>
    <comment ref="BC193" authorId="3">
      <text>
        <r>
          <rPr>
            <b/>
            <sz val="9"/>
            <color indexed="81"/>
            <rFont val="Tahoma"/>
            <family val="2"/>
          </rPr>
          <t xml:space="preserve">6/10/14: </t>
        </r>
        <r>
          <rPr>
            <sz val="9"/>
            <color indexed="81"/>
            <rFont val="Tahoma"/>
            <family val="2"/>
          </rPr>
          <t xml:space="preserve">Pro forma diluted shares outstanding were 75.5 million vs. 72.4 million last year
</t>
        </r>
      </text>
    </comment>
    <comment ref="BG193" authorId="5">
      <text>
        <r>
          <rPr>
            <b/>
            <sz val="9"/>
            <color indexed="81"/>
            <rFont val="Tahoma"/>
            <family val="2"/>
          </rPr>
          <t>Baglione, Gregory  (Research):</t>
        </r>
        <r>
          <rPr>
            <sz val="9"/>
            <color indexed="81"/>
            <rFont val="Tahoma"/>
            <family val="2"/>
          </rPr>
          <t xml:space="preserve">
Our Board of Directors has authorized the Company to repurchase up to $200 million of our common stock over the next 24 months. The share repurchase will be funded through free cash flow the Company will generate.</t>
        </r>
      </text>
    </comment>
    <comment ref="BK193" authorId="5">
      <text>
        <r>
          <rPr>
            <b/>
            <sz val="9"/>
            <color indexed="81"/>
            <rFont val="Tahoma"/>
            <family val="2"/>
          </rPr>
          <t>Baglione, Gregory  (Research):</t>
        </r>
        <r>
          <rPr>
            <sz val="9"/>
            <color indexed="81"/>
            <rFont val="Tahoma"/>
            <family val="2"/>
          </rPr>
          <t xml:space="preserve">
5/26/16
• During the first quarter, the Company invested $50 million of cash to repurchase 924,953 shares of its common stock ending the period with approximately $150 million remaining on its share repurchase authorization. </t>
        </r>
      </text>
    </comment>
    <comment ref="AY194" authorId="3">
      <text>
        <r>
          <rPr>
            <b/>
            <sz val="9"/>
            <color indexed="81"/>
            <rFont val="Tahoma"/>
            <family val="2"/>
          </rPr>
          <t xml:space="preserve">6/10/14: </t>
        </r>
        <r>
          <rPr>
            <sz val="9"/>
            <color indexed="81"/>
            <rFont val="Tahoma"/>
            <family val="2"/>
          </rPr>
          <t xml:space="preserve">2Q Adjusted Net Loss per share is expected in the range of $(0.12) to $(0.09) vs. $(0.18) per share last year, utilizing a basic share count of 73.7 million shares
</t>
        </r>
      </text>
    </comment>
    <comment ref="BG194" authorId="5">
      <text>
        <r>
          <rPr>
            <b/>
            <sz val="9"/>
            <color indexed="81"/>
            <rFont val="Tahoma"/>
            <family val="2"/>
          </rPr>
          <t>Baglione, Gregory  (Research):</t>
        </r>
        <r>
          <rPr>
            <sz val="9"/>
            <color indexed="81"/>
            <rFont val="Tahoma"/>
            <family val="2"/>
          </rPr>
          <t xml:space="preserve">
 During the second quarter, the Company spent $25 million in cash to repurchase 450,000 shares of its common stock ending the period with $175 million remaining on its share repurchase authorization.</t>
        </r>
      </text>
    </comment>
    <comment ref="BK194" authorId="5">
      <text>
        <r>
          <rPr>
            <b/>
            <sz val="9"/>
            <color indexed="81"/>
            <rFont val="Tahoma"/>
            <family val="2"/>
          </rPr>
          <t xml:space="preserve">Baglione, Gregory  (Research):
</t>
        </r>
        <r>
          <rPr>
            <sz val="9"/>
            <color indexed="81"/>
            <rFont val="Tahoma"/>
            <family val="2"/>
          </rPr>
          <t>8/25/16
During the second quarter, we invested $25 million of cash to repurchase 390,814 shares of our common stock ending the period with approximately $125 million remaining on its share repurchase authorization.
5/26/16
Guidance 72.3M shares
Assumes .4M shares repurchases throughout the quarter, which is why the share count reduction is/2</t>
        </r>
      </text>
    </comment>
    <comment ref="BY194" authorId="6">
      <text>
        <r>
          <rPr>
            <b/>
            <sz val="9"/>
            <color indexed="81"/>
            <rFont val="Tahoma"/>
            <family val="2"/>
          </rPr>
          <t>Roberts, Cynthia (Research):</t>
        </r>
        <r>
          <rPr>
            <sz val="9"/>
            <color indexed="81"/>
            <rFont val="Tahoma"/>
            <family val="2"/>
          </rPr>
          <t xml:space="preserve">
5/25/17: repurchased 518,165 shares for $48.9M</t>
        </r>
      </text>
    </comment>
    <comment ref="CC194"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BG195" authorId="5">
      <text>
        <r>
          <rPr>
            <b/>
            <sz val="9"/>
            <color indexed="81"/>
            <rFont val="Tahoma"/>
            <family val="2"/>
          </rPr>
          <t>Baglione, Gregory  (Research):</t>
        </r>
        <r>
          <rPr>
            <sz val="9"/>
            <color indexed="81"/>
            <rFont val="Tahoma"/>
            <family val="2"/>
          </rPr>
          <t xml:space="preserve">
$100M buyback
During the third quarter, the Company invested $97.6 million of cash to repurchase 1,892,414 shares of its common stock ending the period with $77.0 million remaining on its share repurchase authorization.
  On November 24, 2015, the Company announced that its Board of Directors had authorized the repurchase of up to an additional $200.0 million of common stock. This brings total availability under the Company’s share repurchase programs to $277.0 million. Share repurchases will be funded using the Company’s available cash, and the newly-announced program is authorized to be executed over the next 24 months.</t>
        </r>
      </text>
    </comment>
    <comment ref="BK195" authorId="5">
      <text>
        <r>
          <rPr>
            <b/>
            <sz val="9"/>
            <color indexed="81"/>
            <rFont val="Tahoma"/>
            <family val="2"/>
          </rPr>
          <t>Baglione, Gregory  (Research):</t>
        </r>
        <r>
          <rPr>
            <sz val="9"/>
            <color indexed="81"/>
            <rFont val="Tahoma"/>
            <family val="2"/>
          </rPr>
          <t xml:space="preserve">
11/22/16
During the third quarter, the Company invested $75 million of cash to repurchase 919,122 shares of its common stock. As of the end of the third quarter, the Company has returned $350 million to shareholders through share repurchases since the inception of its share repurchase program in the second quarter of Fiscal 2015.
On November 15, 2016, the Company’s Board of Directors authorized the repurchase of up to an additional $200 million of common stock, which is expected to be executed over the next 24 months. This brings total availability under the Company’s share repurchase programs to $250 million. Share repurchases will be funded using the Company’s available cash.
Commenting on the share repurchase announcement, Tom Kingsbury, Chief Executive Officer stated, “The decision by our Board of Directors to authorize a new $200 million share repurchase program reflects their confidence in the strength of our cash flows and in the continued upside value creation that lies ahead for our company.”</t>
        </r>
      </text>
    </comment>
    <comment ref="BO195" authorId="6">
      <text>
        <r>
          <rPr>
            <b/>
            <sz val="9"/>
            <color indexed="81"/>
            <rFont val="Tahoma"/>
            <family val="2"/>
          </rPr>
          <t>Roberts, Cynthia (Research):</t>
        </r>
        <r>
          <rPr>
            <sz val="9"/>
            <color indexed="81"/>
            <rFont val="Tahoma"/>
            <family val="2"/>
          </rPr>
          <t xml:space="preserve">
8/24/17: Guidance 69.7</t>
        </r>
      </text>
    </comment>
    <comment ref="BY195"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CC195"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AY196" authorId="2">
      <text>
        <r>
          <rPr>
            <b/>
            <sz val="8"/>
            <color indexed="81"/>
            <rFont val="Tahoma"/>
            <family val="2"/>
          </rPr>
          <t xml:space="preserve">12/9/13: Guidance 74.8
</t>
        </r>
        <r>
          <rPr>
            <sz val="8"/>
            <color indexed="81"/>
            <rFont val="Tahoma"/>
            <family val="2"/>
          </rPr>
          <t xml:space="preserve">
</t>
        </r>
      </text>
    </comment>
    <comment ref="BG196" authorId="5">
      <text>
        <r>
          <rPr>
            <b/>
            <sz val="9"/>
            <color indexed="81"/>
            <rFont val="Tahoma"/>
            <family val="2"/>
          </rPr>
          <t>Baglione, Gregory  (Research):</t>
        </r>
        <r>
          <rPr>
            <sz val="9"/>
            <color indexed="81"/>
            <rFont val="Tahoma"/>
            <family val="2"/>
          </rPr>
          <t xml:space="preserve">
3/3/16
• During the fourth quarter, the Company invested $77.4 million of cash to repurchase 1.6 million shares of its common stock, bringing the total investment in share 
repurchases to $200.4 million for 3.9 million shares repurchased during Fiscal 2015. 
1/12/16
Expects to 73.4M shares
11/24/15
Expect to end 4Q with ~74.4M shares oustanding.</t>
        </r>
      </text>
    </comment>
    <comment ref="BK196" authorId="5">
      <text>
        <r>
          <rPr>
            <b/>
            <sz val="9"/>
            <color indexed="81"/>
            <rFont val="Tahoma"/>
            <family val="2"/>
          </rPr>
          <t>Baglione, Gregory  (Research):</t>
        </r>
        <r>
          <rPr>
            <sz val="9"/>
            <color indexed="81"/>
            <rFont val="Tahoma"/>
            <family val="2"/>
          </rPr>
          <t xml:space="preserve">
3/2/17:  purchased 562,199 shares for 50M
Assumes .4M shares repurchases throughout the quarter, which is why the share count reduction is/2</t>
        </r>
      </text>
    </comment>
    <comment ref="BY196"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CC196"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AY197" authorId="2">
      <text>
        <r>
          <rPr>
            <b/>
            <sz val="8"/>
            <color indexed="81"/>
            <rFont val="Tahoma"/>
            <family val="2"/>
          </rPr>
          <t xml:space="preserve">12/9/13: Guidance 74.8
</t>
        </r>
        <r>
          <rPr>
            <sz val="8"/>
            <color indexed="81"/>
            <rFont val="Tahoma"/>
            <family val="2"/>
          </rPr>
          <t xml:space="preserve">
</t>
        </r>
      </text>
    </comment>
    <comment ref="BC197" authorId="3">
      <text>
        <r>
          <rPr>
            <b/>
            <sz val="9"/>
            <color indexed="81"/>
            <rFont val="Tahoma"/>
            <family val="2"/>
          </rPr>
          <t>3/20/14:</t>
        </r>
        <r>
          <rPr>
            <sz val="9"/>
            <color indexed="81"/>
            <rFont val="Tahoma"/>
            <family val="2"/>
          </rPr>
          <t xml:space="preserve"> guidance 75.5M
</t>
        </r>
        <r>
          <rPr>
            <b/>
            <sz val="9"/>
            <color indexed="81"/>
            <rFont val="Tahoma"/>
            <family val="2"/>
          </rPr>
          <t>6/10/14:</t>
        </r>
        <r>
          <rPr>
            <sz val="9"/>
            <color indexed="81"/>
            <rFont val="Tahoma"/>
            <family val="2"/>
          </rPr>
          <t xml:space="preserve"> guidance 75.5M
</t>
        </r>
        <r>
          <rPr>
            <b/>
            <sz val="9"/>
            <color indexed="81"/>
            <rFont val="Tahoma"/>
            <family val="2"/>
          </rPr>
          <t>9/8/14:</t>
        </r>
        <r>
          <rPr>
            <sz val="9"/>
            <color indexed="81"/>
            <rFont val="Tahoma"/>
            <family val="2"/>
          </rPr>
          <t xml:space="preserve"> guidance 75.5M
</t>
        </r>
      </text>
    </comment>
    <comment ref="BK197" authorId="5">
      <text>
        <r>
          <rPr>
            <b/>
            <sz val="9"/>
            <color indexed="81"/>
            <rFont val="Tahoma"/>
            <family val="2"/>
          </rPr>
          <t xml:space="preserve">Baglione, Gregory  (Research):
3/2/17: Total investment in share repurchases to $200.0 for 2.8 million shares repurchased during Fiscal 2016. At the end of the year, the Company had $200.0 million remaining on its share repurchase authorization.
</t>
        </r>
        <r>
          <rPr>
            <sz val="9"/>
            <color indexed="81"/>
            <rFont val="Tahoma"/>
            <family val="2"/>
          </rPr>
          <t>11/22/16
FY share count guidance 71.8M</t>
        </r>
        <r>
          <rPr>
            <b/>
            <sz val="9"/>
            <color indexed="81"/>
            <rFont val="Tahoma"/>
            <family val="2"/>
          </rPr>
          <t xml:space="preserve">
</t>
        </r>
        <r>
          <rPr>
            <sz val="9"/>
            <color indexed="81"/>
            <rFont val="Tahoma"/>
            <family val="2"/>
          </rPr>
          <t xml:space="preserve">
5/26/16
72.4M shares guidance
</t>
        </r>
      </text>
    </comment>
    <comment ref="BY197"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CC197" authorId="5">
      <text>
        <r>
          <rPr>
            <b/>
            <sz val="9"/>
            <color indexed="81"/>
            <rFont val="Tahoma"/>
            <family val="2"/>
          </rPr>
          <t>Baglione, Gregory  (Research):</t>
        </r>
        <r>
          <rPr>
            <sz val="9"/>
            <color indexed="81"/>
            <rFont val="Tahoma"/>
            <family val="2"/>
          </rPr>
          <t xml:space="preserve">
Assumes .4M shares repurchases throughout the quarter, which is why the share count reduction is/2</t>
        </r>
      </text>
    </comment>
    <comment ref="BS220" authorId="6">
      <text>
        <r>
          <rPr>
            <b/>
            <sz val="9"/>
            <color indexed="81"/>
            <rFont val="Tahoma"/>
            <family val="2"/>
          </rPr>
          <t>Roberts, Cynthia (Research):</t>
        </r>
        <r>
          <rPr>
            <sz val="9"/>
            <color indexed="81"/>
            <rFont val="Tahoma"/>
            <family val="2"/>
          </rPr>
          <t xml:space="preserve">
 per 2016 10-k estimate is 20,890</t>
        </r>
      </text>
    </comment>
    <comment ref="BC249" authorId="5">
      <text>
        <r>
          <rPr>
            <b/>
            <sz val="9"/>
            <color indexed="81"/>
            <rFont val="Tahoma"/>
            <family val="2"/>
          </rPr>
          <t>Baglione, Gregory  (Research):</t>
        </r>
        <r>
          <rPr>
            <sz val="9"/>
            <color indexed="81"/>
            <rFont val="Tahoma"/>
            <family val="2"/>
          </rPr>
          <t xml:space="preserve">
Represents amounts incurred during the fourth quarter of fiscal 2014 for a non-recurring legal charge</t>
        </r>
      </text>
    </comment>
    <comment ref="BG249" authorId="5">
      <text>
        <r>
          <rPr>
            <b/>
            <sz val="9"/>
            <color indexed="81"/>
            <rFont val="Tahoma"/>
            <family val="2"/>
          </rPr>
          <t>Baglione, Gregory  (Research):</t>
        </r>
        <r>
          <rPr>
            <sz val="9"/>
            <color indexed="81"/>
            <rFont val="Tahoma"/>
            <family val="2"/>
          </rPr>
          <t xml:space="preserve">
litigation accrual </t>
        </r>
      </text>
    </comment>
    <comment ref="AI256" authorId="1">
      <text>
        <r>
          <rPr>
            <b/>
            <sz val="8"/>
            <color indexed="81"/>
            <rFont val="Tahoma"/>
            <family val="2"/>
          </rPr>
          <t>OLD - Full Year number per S1
Note:</t>
        </r>
        <r>
          <rPr>
            <sz val="8"/>
            <color indexed="81"/>
            <rFont val="Tahoma"/>
            <family val="2"/>
          </rPr>
          <t xml:space="preserve"> Items adjusted for taxes based on the 35% statutory rate</t>
        </r>
      </text>
    </comment>
    <comment ref="AM256" authorId="1">
      <text>
        <r>
          <rPr>
            <b/>
            <sz val="8"/>
            <color indexed="81"/>
            <rFont val="Tahoma"/>
            <family val="2"/>
          </rPr>
          <t>OLD - Full Year number per S1
Note:</t>
        </r>
        <r>
          <rPr>
            <sz val="8"/>
            <color indexed="81"/>
            <rFont val="Tahoma"/>
            <family val="2"/>
          </rPr>
          <t xml:space="preserve"> Items adjusted for taxes based on the 35% statutory rate</t>
        </r>
      </text>
    </comment>
    <comment ref="AQ256" authorId="1">
      <text>
        <r>
          <rPr>
            <b/>
            <sz val="8"/>
            <color indexed="81"/>
            <rFont val="Tahoma"/>
            <family val="2"/>
          </rPr>
          <t>OLD - Full Year number per S1
Note:</t>
        </r>
        <r>
          <rPr>
            <sz val="8"/>
            <color indexed="81"/>
            <rFont val="Tahoma"/>
            <family val="2"/>
          </rPr>
          <t xml:space="preserve"> Items adjusted for taxes based on the 35% statutory rate</t>
        </r>
      </text>
    </comment>
    <comment ref="AI257" authorId="1">
      <text>
        <r>
          <rPr>
            <b/>
            <sz val="8"/>
            <color indexed="81"/>
            <rFont val="Tahoma"/>
            <family val="2"/>
          </rPr>
          <t>Note:</t>
        </r>
        <r>
          <rPr>
            <sz val="8"/>
            <color indexed="81"/>
            <rFont val="Tahoma"/>
            <family val="2"/>
          </rPr>
          <t xml:space="preserve"> Items adjusted for taxes based on the 35% statutory rate</t>
        </r>
      </text>
    </comment>
    <comment ref="AM257" authorId="1">
      <text>
        <r>
          <rPr>
            <b/>
            <sz val="8"/>
            <color indexed="81"/>
            <rFont val="Tahoma"/>
            <family val="2"/>
          </rPr>
          <t>Note:</t>
        </r>
        <r>
          <rPr>
            <sz val="8"/>
            <color indexed="81"/>
            <rFont val="Tahoma"/>
            <family val="2"/>
          </rPr>
          <t xml:space="preserve"> Items adjusted for taxes based on the 35% statutory rate</t>
        </r>
      </text>
    </comment>
    <comment ref="AQ257" authorId="1">
      <text>
        <r>
          <rPr>
            <b/>
            <sz val="8"/>
            <color indexed="81"/>
            <rFont val="Tahoma"/>
            <family val="2"/>
          </rPr>
          <t>Note:</t>
        </r>
        <r>
          <rPr>
            <sz val="8"/>
            <color indexed="81"/>
            <rFont val="Tahoma"/>
            <family val="2"/>
          </rPr>
          <t xml:space="preserve"> Items adjusted for taxes based on the 35% statutory rate</t>
        </r>
      </text>
    </comment>
    <comment ref="BK257"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AI258" authorId="1">
      <text>
        <r>
          <rPr>
            <b/>
            <sz val="8"/>
            <color indexed="81"/>
            <rFont val="Tahoma"/>
            <family val="2"/>
          </rPr>
          <t>Note:</t>
        </r>
        <r>
          <rPr>
            <sz val="8"/>
            <color indexed="81"/>
            <rFont val="Tahoma"/>
            <family val="2"/>
          </rPr>
          <t xml:space="preserve"> Items adjusted for taxes based on the 35% statutory rate</t>
        </r>
      </text>
    </comment>
    <comment ref="AM258" authorId="1">
      <text>
        <r>
          <rPr>
            <b/>
            <sz val="8"/>
            <color indexed="81"/>
            <rFont val="Tahoma"/>
            <family val="2"/>
          </rPr>
          <t>Note:</t>
        </r>
        <r>
          <rPr>
            <sz val="8"/>
            <color indexed="81"/>
            <rFont val="Tahoma"/>
            <family val="2"/>
          </rPr>
          <t xml:space="preserve"> Items adjusted for taxes based on the 35% statutory rate</t>
        </r>
      </text>
    </comment>
    <comment ref="AQ258" authorId="1">
      <text>
        <r>
          <rPr>
            <b/>
            <sz val="8"/>
            <color indexed="81"/>
            <rFont val="Tahoma"/>
            <family val="2"/>
          </rPr>
          <t>Note:</t>
        </r>
        <r>
          <rPr>
            <sz val="8"/>
            <color indexed="81"/>
            <rFont val="Tahoma"/>
            <family val="2"/>
          </rPr>
          <t xml:space="preserve"> Items adjusted for taxes based on the 35% statutory rate</t>
        </r>
      </text>
    </comment>
    <comment ref="BG258"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BK258"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BG259"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BK259"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AY276" authorId="5">
      <text>
        <r>
          <rPr>
            <b/>
            <sz val="9"/>
            <color indexed="81"/>
            <rFont val="Tahoma"/>
            <family val="2"/>
          </rPr>
          <t>Baglione, Gregory  (Research):</t>
        </r>
        <r>
          <rPr>
            <sz val="9"/>
            <color indexed="81"/>
            <rFont val="Tahoma"/>
            <family val="2"/>
          </rPr>
          <t xml:space="preserve">
.016M off from old model, due to rounding adjustments</t>
        </r>
      </text>
    </comment>
    <comment ref="BC276" authorId="3">
      <text>
        <r>
          <rPr>
            <b/>
            <sz val="9"/>
            <color indexed="81"/>
            <rFont val="Tahoma"/>
            <family val="2"/>
          </rPr>
          <t>3/20/14: guidance 0.19-0.23</t>
        </r>
        <r>
          <rPr>
            <sz val="9"/>
            <color indexed="81"/>
            <rFont val="Tahoma"/>
            <family val="2"/>
          </rPr>
          <t xml:space="preserve">
</t>
        </r>
      </text>
    </comment>
    <comment ref="BG276" authorId="4">
      <text>
        <r>
          <rPr>
            <b/>
            <sz val="9"/>
            <color indexed="81"/>
            <rFont val="Tahoma"/>
            <family val="2"/>
          </rPr>
          <t>Turley, Amber (Research):</t>
        </r>
        <r>
          <rPr>
            <sz val="9"/>
            <color indexed="81"/>
            <rFont val="Tahoma"/>
            <family val="2"/>
          </rPr>
          <t xml:space="preserve">
3/17/15: Guidance $0.36-$0.40</t>
        </r>
      </text>
    </comment>
    <comment ref="BK276" authorId="5">
      <text>
        <r>
          <rPr>
            <b/>
            <sz val="9"/>
            <color indexed="81"/>
            <rFont val="Tahoma"/>
            <family val="2"/>
          </rPr>
          <t>Baglione, Gregory  (Research):</t>
        </r>
        <r>
          <rPr>
            <sz val="9"/>
            <color indexed="81"/>
            <rFont val="Tahoma"/>
            <family val="2"/>
          </rPr>
          <t xml:space="preserve">
• Adjusted Net Income per Share in the range of $0.44 to $0.48, utilizing a fully diluted share count of approximately 72.9 million shares. </t>
        </r>
      </text>
    </comment>
    <comment ref="BO276" authorId="6">
      <text>
        <r>
          <rPr>
            <b/>
            <sz val="9"/>
            <color indexed="81"/>
            <rFont val="Tahoma"/>
            <family val="2"/>
          </rPr>
          <t>Roberts, Cynthia (Research):</t>
        </r>
        <r>
          <rPr>
            <sz val="9"/>
            <color indexed="81"/>
            <rFont val="Tahoma"/>
            <family val="2"/>
          </rPr>
          <t xml:space="preserve">
5/25/17:  4c from operating performance and  7c benefit from share based comp (2c embedded in original guidance) 
3/2/17: Guidance: $0.67-$0.70, including 2c benefit from accounting change in share base accounting</t>
        </r>
      </text>
    </comment>
    <comment ref="BS276" authorId="6">
      <text>
        <r>
          <rPr>
            <b/>
            <sz val="9"/>
            <color indexed="81"/>
            <rFont val="Tahoma"/>
            <family val="2"/>
          </rPr>
          <t>Roberts, Cynthia (Research):</t>
        </r>
        <r>
          <rPr>
            <sz val="9"/>
            <color indexed="81"/>
            <rFont val="Tahoma"/>
            <family val="2"/>
          </rPr>
          <t xml:space="preserve">
3/8/18: Gudiance $1.05-$1.09</t>
        </r>
      </text>
    </comment>
    <comment ref="BC277" authorId="3">
      <text>
        <r>
          <rPr>
            <b/>
            <sz val="9"/>
            <color indexed="81"/>
            <rFont val="Tahoma"/>
            <family val="2"/>
          </rPr>
          <t>6/10/14:</t>
        </r>
        <r>
          <rPr>
            <sz val="9"/>
            <color indexed="81"/>
            <rFont val="Tahoma"/>
            <family val="2"/>
          </rPr>
          <t xml:space="preserve"> guidance -12c to -9c
</t>
        </r>
      </text>
    </comment>
    <comment ref="BG277" authorId="8">
      <text>
        <r>
          <rPr>
            <b/>
            <sz val="9"/>
            <color indexed="81"/>
            <rFont val="Tahoma"/>
            <family val="2"/>
          </rPr>
          <t>Mains, Spencer (Research):</t>
        </r>
        <r>
          <rPr>
            <sz val="9"/>
            <color indexed="81"/>
            <rFont val="Tahoma"/>
            <family val="2"/>
          </rPr>
          <t xml:space="preserve">
6/9/15: Guidance $0.10-0.13</t>
        </r>
      </text>
    </comment>
    <comment ref="BK277" authorId="5">
      <text>
        <r>
          <rPr>
            <b/>
            <sz val="9"/>
            <color indexed="81"/>
            <rFont val="Tahoma"/>
            <family val="2"/>
          </rPr>
          <t>Baglione, Gregory  (Research):</t>
        </r>
        <r>
          <rPr>
            <sz val="9"/>
            <color indexed="81"/>
            <rFont val="Tahoma"/>
            <family val="2"/>
          </rPr>
          <t xml:space="preserve">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For the second quarter, the Company currently expects Adjusted EBITDA in the range of $88 to $90 million compared to an Adjusted EBITDA of $75.4 million last year, and Adjusted Net Income per Share of $0.28 to $0.30 compared to $0.19 last year. This compares to the Company’s previous guidance for the second quarter, which included a comparable store sales increase of 2.5% to 3.5% and Adjusted Net Income per Share of $0.20 to $0.23. The Company will update its full year guidance when it announces second quarter results. </t>
        </r>
      </text>
    </comment>
    <comment ref="BO277" authorId="6">
      <text>
        <r>
          <rPr>
            <b/>
            <sz val="9"/>
            <color indexed="81"/>
            <rFont val="Tahoma"/>
            <family val="2"/>
          </rPr>
          <t>Roberts, Cynthia (Research):</t>
        </r>
        <r>
          <rPr>
            <sz val="9"/>
            <color indexed="81"/>
            <rFont val="Tahoma"/>
            <family val="2"/>
          </rPr>
          <t xml:space="preserve">
8/24/17: 22c beat, 15c operational, 7c stock based comp (+2c from original guidance).
5/25/17: Guidance 46c-50c, 2c benenfit from stock based comp accounting</t>
        </r>
      </text>
    </comment>
    <comment ref="BC278" authorId="3">
      <text>
        <r>
          <rPr>
            <b/>
            <sz val="9"/>
            <color indexed="81"/>
            <rFont val="Tahoma"/>
            <family val="2"/>
          </rPr>
          <t xml:space="preserve">9/8/14: </t>
        </r>
        <r>
          <rPr>
            <sz val="9"/>
            <color indexed="81"/>
            <rFont val="Tahoma"/>
            <family val="2"/>
          </rPr>
          <t xml:space="preserve">Guidance 9c-12c
</t>
        </r>
      </text>
    </comment>
    <comment ref="BG278" authorId="5">
      <text>
        <r>
          <rPr>
            <b/>
            <sz val="9"/>
            <color indexed="81"/>
            <rFont val="Tahoma"/>
            <family val="2"/>
          </rPr>
          <t>Baglione, Gregory  (Research):</t>
        </r>
        <r>
          <rPr>
            <sz val="9"/>
            <color indexed="81"/>
            <rFont val="Tahoma"/>
            <family val="2"/>
          </rPr>
          <t xml:space="preserve">
8/27/15 Adjusted EPS $0.20-$0.23</t>
        </r>
      </text>
    </comment>
    <comment ref="BK278" authorId="5">
      <text>
        <r>
          <rPr>
            <b/>
            <sz val="9"/>
            <color indexed="81"/>
            <rFont val="Tahoma"/>
            <family val="2"/>
          </rPr>
          <t>Baglione, Gregory  (Research):</t>
        </r>
        <r>
          <rPr>
            <sz val="9"/>
            <color indexed="81"/>
            <rFont val="Tahoma"/>
            <family val="2"/>
          </rPr>
          <t xml:space="preserve">
8/25/16
Adjusted Net Income per Share in the range of $0.30 to $0.32, which reflects an increase in incentive compensation expense of $0.01 per share driven by operating performance above the Company’s expectations in the first half of the year, utilizing a fully diluted share count of approximately 72.0 million shares, as compared to $0.25 last year.</t>
        </r>
      </text>
    </comment>
    <comment ref="BO278" authorId="6">
      <text>
        <r>
          <rPr>
            <b/>
            <sz val="9"/>
            <color indexed="81"/>
            <rFont val="Tahoma"/>
            <family val="2"/>
          </rPr>
          <t>Roberts, Cynthia (Research):</t>
        </r>
        <r>
          <rPr>
            <sz val="9"/>
            <color indexed="81"/>
            <rFont val="Tahoma"/>
            <family val="2"/>
          </rPr>
          <t xml:space="preserve">
11/21/17: shares based comp accounting 4c benefit
10/30/17: 3Q  preannouncement 64c-66c, 2c benefit from share based comp accounting
8/24/17: Guidance 58c-61c; 1c benefit share based comp</t>
        </r>
      </text>
    </comment>
    <comment ref="BC279" authorId="4">
      <text>
        <r>
          <rPr>
            <b/>
            <sz val="9"/>
            <color indexed="81"/>
            <rFont val="Tahoma"/>
            <family val="2"/>
          </rPr>
          <t>Turley, Amber (Research):</t>
        </r>
        <r>
          <rPr>
            <sz val="9"/>
            <color indexed="81"/>
            <rFont val="Tahoma"/>
            <family val="2"/>
          </rPr>
          <t xml:space="preserve">
1/9/15: Raised guidance to $1.30-$1.32
12/9/14: Guidance $1.25-$1.28</t>
        </r>
      </text>
    </comment>
    <comment ref="BK279" authorId="9">
      <text>
        <r>
          <rPr>
            <b/>
            <sz val="9"/>
            <color indexed="81"/>
            <rFont val="Tahoma"/>
            <family val="2"/>
          </rPr>
          <t>Baglione, Gregory (Research):</t>
        </r>
        <r>
          <rPr>
            <sz val="9"/>
            <color indexed="81"/>
            <rFont val="Tahoma"/>
            <family val="2"/>
          </rPr>
          <t xml:space="preserve">
11/22/16
Adjusted Net Income per Share in the range of $1.63 to $1.67, which reflects an increase in incentive compensation expense of $0.02 per share driven by operating performance above the Company’s previous expectations in the first nine months of the year, utilizing a fully diluted share count of approximately 71.3 million shares, as compared to $1.49 last year.</t>
        </r>
      </text>
    </comment>
    <comment ref="BO279" authorId="6">
      <text>
        <r>
          <rPr>
            <b/>
            <sz val="9"/>
            <color indexed="81"/>
            <rFont val="Tahoma"/>
            <family val="2"/>
          </rPr>
          <t>Roberts, Cynthia (Research):</t>
        </r>
        <r>
          <rPr>
            <sz val="9"/>
            <color indexed="81"/>
            <rFont val="Tahoma"/>
            <family val="2"/>
          </rPr>
          <t xml:space="preserve">
3/8/18: 4c benefit from extra week, 3c share based comp accounting
11/21/17: Guidance $2.02-$2.06; 4c benefit from 53rd week</t>
        </r>
      </text>
    </comment>
    <comment ref="BC280" authorId="3">
      <text>
        <r>
          <rPr>
            <b/>
            <sz val="9"/>
            <color indexed="81"/>
            <rFont val="Tahoma"/>
            <family val="2"/>
          </rPr>
          <t>3/20/14:</t>
        </r>
        <r>
          <rPr>
            <sz val="9"/>
            <color indexed="81"/>
            <rFont val="Tahoma"/>
            <family val="2"/>
          </rPr>
          <t xml:space="preserve"> guidance 1.25-1.35
</t>
        </r>
        <r>
          <rPr>
            <b/>
            <sz val="9"/>
            <color indexed="81"/>
            <rFont val="Tahoma"/>
            <family val="2"/>
          </rPr>
          <t>6/10/14:</t>
        </r>
        <r>
          <rPr>
            <sz val="9"/>
            <color indexed="81"/>
            <rFont val="Tahoma"/>
            <family val="2"/>
          </rPr>
          <t xml:space="preserve"> guidance 1.25-1.35
</t>
        </r>
        <r>
          <rPr>
            <b/>
            <sz val="9"/>
            <color indexed="81"/>
            <rFont val="Tahoma"/>
            <family val="2"/>
          </rPr>
          <t>7/17/14:</t>
        </r>
        <r>
          <rPr>
            <sz val="9"/>
            <color indexed="81"/>
            <rFont val="Tahoma"/>
            <family val="2"/>
          </rPr>
          <t xml:space="preserve"> Debt refinancing: For the second half of fiscal 2014 this transaction will increase fully diluted adjusted earnings per share by 13 cents to 14 cents, net of potential hedging costs. 
</t>
        </r>
        <r>
          <rPr>
            <b/>
            <sz val="9"/>
            <color indexed="81"/>
            <rFont val="Tahoma"/>
            <family val="2"/>
          </rPr>
          <t>9/8/14:</t>
        </r>
        <r>
          <rPr>
            <sz val="9"/>
            <color indexed="81"/>
            <rFont val="Tahoma"/>
            <family val="2"/>
          </rPr>
          <t xml:space="preserve"> Guidance 1.52-1.58
</t>
        </r>
        <r>
          <rPr>
            <b/>
            <sz val="9"/>
            <color indexed="81"/>
            <rFont val="Tahoma"/>
            <family val="2"/>
          </rPr>
          <t>12/9/14:</t>
        </r>
        <r>
          <rPr>
            <sz val="9"/>
            <color indexed="81"/>
            <rFont val="Tahoma"/>
            <family val="2"/>
          </rPr>
          <t xml:space="preserve"> Guidance $1.65-$1.67
</t>
        </r>
        <r>
          <rPr>
            <b/>
            <sz val="9"/>
            <color indexed="81"/>
            <rFont val="Tahoma"/>
            <family val="2"/>
          </rPr>
          <t xml:space="preserve">1/9/15: </t>
        </r>
        <r>
          <rPr>
            <sz val="9"/>
            <color indexed="81"/>
            <rFont val="Tahoma"/>
            <family val="2"/>
          </rPr>
          <t>Raised guidance to $1.70-$1.72</t>
        </r>
      </text>
    </comment>
    <comment ref="BG280" authorId="4">
      <text>
        <r>
          <rPr>
            <sz val="9"/>
            <color indexed="81"/>
            <rFont val="Tahoma"/>
            <family val="2"/>
          </rPr>
          <t xml:space="preserve">11/24/15: 
Updated guidance: Adjusted Net Income per Share in the range of $2.28 to $2.32, utilizing a fully diluted share count of approximately 75.7 million shares. This compares with an Adjusted Net Income per Share of $1.83 in Fiscal 2014;
8/27/15: Updated adj. EPS $2.27-$2.32
6/9/15: Reiterated guidance of $2.15-2.25
3/17/15: Guidance $2.15-$2.25
</t>
        </r>
      </text>
    </comment>
    <comment ref="BK280" authorId="5">
      <text>
        <r>
          <rPr>
            <b/>
            <sz val="9"/>
            <color indexed="81"/>
            <rFont val="Tahoma"/>
            <family val="2"/>
          </rPr>
          <t>Baglione, Gregory  (Research):</t>
        </r>
        <r>
          <rPr>
            <sz val="9"/>
            <color indexed="81"/>
            <rFont val="Tahoma"/>
            <family val="2"/>
          </rPr>
          <t xml:space="preserve">
11/22/16
For the full Fiscal Year 2016 (the 52 weeks ending January 28, 2017), the Company expects:
Net sales to increase in the range of 8.4% to 8.7%;
Comparable store sales to increase in the range of 3.9% to 4.2%;
Interest expense of approximately $57 million reflecting the Term Loan Credit Facility repricing;
Adjusted Net Income per Share in the range of $3.11 to $3.15 compared to the Company’s prior guidance of $2.92 to $2.96, utilizing a fully diluted share count of approximately 71.8 million shares, as compared with $2.31 in Fiscal 2015;
Adjusted EBITDA margin expansion to increase 70 to 80 basis points; and
To open 25 net new stores.
5/26/16
• Adjusted Net Income per Share in the range of $2.68 to $2.78, compared to our prior guidance of $2.62 to $2.72, utilizing a fully diluted share count of approximately 72.4 million shares, as compared with $2.31 in Fiscal 2015; 
3/3/16
• Adjusted Net Income per Share in the range of $2.62 to $2.72, utilizing a fully diluted share count of approximately 73.2 million shares. This compares with an Adjusted Net Income per Share of $2.31 in Fiscal 2015;</t>
        </r>
      </text>
    </comment>
    <comment ref="BO280" authorId="6">
      <text>
        <r>
          <rPr>
            <b/>
            <sz val="9"/>
            <color indexed="81"/>
            <rFont val="Tahoma"/>
            <family val="2"/>
          </rPr>
          <t>Roberts, Cynthia (Research):</t>
        </r>
        <r>
          <rPr>
            <sz val="9"/>
            <color indexed="81"/>
            <rFont val="Tahoma"/>
            <family val="2"/>
          </rPr>
          <t xml:space="preserve">
11/21/17: Guidance $4.23-$4.27
8/24/17:</t>
        </r>
        <r>
          <rPr>
            <b/>
            <sz val="9"/>
            <color indexed="81"/>
            <rFont val="Tahoma"/>
            <family val="2"/>
          </rPr>
          <t xml:space="preserve"> Guidance $4.11-$4.18</t>
        </r>
        <r>
          <rPr>
            <sz val="9"/>
            <color indexed="81"/>
            <rFont val="Tahoma"/>
            <family val="2"/>
          </rPr>
          <t>, 4c benefit from 53rd week,  17c share based comp
5/25/17:Guidance $3.86-$3.96, 4c benefit from 53rd  week, 10c benefit from share based comp accounting
3/2/17: Guidance: $3.77-$3.87, 4c benefit from 53rd week, 5c benefit from accounting change in share-based comp</t>
        </r>
      </text>
    </comment>
    <comment ref="BS280" authorId="6">
      <text>
        <r>
          <rPr>
            <b/>
            <sz val="9"/>
            <color indexed="81"/>
            <rFont val="Tahoma"/>
            <family val="2"/>
          </rPr>
          <t>Roberts, Cynthia (Research):</t>
        </r>
        <r>
          <rPr>
            <sz val="9"/>
            <color indexed="81"/>
            <rFont val="Tahoma"/>
            <family val="2"/>
          </rPr>
          <t xml:space="preserve">
3/8/18: Guidance $5.73-$5.83
11/21/17: initial guidance for mid-teens growth on 2017 core operational EPS (ex. 20c shares based comp acct and 4c 53rd week). Assumes share based comp accounting will have similar effect on earnings</t>
        </r>
      </text>
    </comment>
    <comment ref="BG286" authorId="4">
      <text>
        <r>
          <rPr>
            <sz val="9"/>
            <color indexed="81"/>
            <rFont val="Tahoma"/>
            <family val="2"/>
          </rPr>
          <t>3/17/15: Guidance 76.5M shares</t>
        </r>
      </text>
    </comment>
    <comment ref="BK287" authorId="5">
      <text>
        <r>
          <rPr>
            <b/>
            <sz val="9"/>
            <color indexed="81"/>
            <rFont val="Tahoma"/>
            <family val="2"/>
          </rPr>
          <t>Baglione, Gregory  (Research):</t>
        </r>
        <r>
          <rPr>
            <sz val="9"/>
            <color indexed="81"/>
            <rFont val="Tahoma"/>
            <family val="2"/>
          </rPr>
          <t xml:space="preserve">
5/26/16
72.3M guidance</t>
        </r>
      </text>
    </comment>
    <comment ref="BO287" authorId="6">
      <text>
        <r>
          <rPr>
            <b/>
            <sz val="9"/>
            <color indexed="81"/>
            <rFont val="Tahoma"/>
            <family val="2"/>
          </rPr>
          <t>Roberts, Cynthia (Research):</t>
        </r>
        <r>
          <rPr>
            <sz val="9"/>
            <color indexed="81"/>
            <rFont val="Tahoma"/>
            <family val="2"/>
          </rPr>
          <t xml:space="preserve">
5/25/17: Guidance 71.3</t>
        </r>
      </text>
    </comment>
    <comment ref="BK288" authorId="5">
      <text>
        <r>
          <rPr>
            <b/>
            <sz val="9"/>
            <color indexed="81"/>
            <rFont val="Tahoma"/>
            <family val="2"/>
          </rPr>
          <t>Baglione, Gregory  (Research):</t>
        </r>
        <r>
          <rPr>
            <sz val="9"/>
            <color indexed="81"/>
            <rFont val="Tahoma"/>
            <family val="2"/>
          </rPr>
          <t xml:space="preserve">
8/25/16
Fully diluted share count of approximately 72.0 million shares
11/22/16
During the third quarter, the Company invested $75 million of cash to repurchase 919,122 shares of its common stock. As of the end of the third quarter, the Company has returned $350 million to shareholders through share repurchases since the inception of its share repurchase program in the second quarter of Fiscal 2015.
On November 15, 2016, the Company’s Board of Directors authorized the repurchase of up to an additional $200 million of common stock, which is expected to be executed over the next 24 months. This brings total availability under the Company’s share repurchase programs to $250 million. Share repurchases will be funded using the Company’s available cash.
Commenting on the share repurchase announcement, Tom Kingsbury, Chief Executive Officer stated, “The decision by our Board of Directors to authorize a new $200 million share repurchase program reflects their confidence in the strength of our cash flows and in the continued upside value creation that lies ahead for our company.”</t>
        </r>
      </text>
    </comment>
    <comment ref="BO288" authorId="6">
      <text>
        <r>
          <rPr>
            <b/>
            <sz val="9"/>
            <color indexed="81"/>
            <rFont val="Tahoma"/>
            <family val="2"/>
          </rPr>
          <t>Roberts, Cynthia (Research):</t>
        </r>
        <r>
          <rPr>
            <sz val="9"/>
            <color indexed="81"/>
            <rFont val="Tahoma"/>
            <family val="2"/>
          </rPr>
          <t xml:space="preserve">
8/24/17: Guidance 69.7</t>
        </r>
      </text>
    </comment>
    <comment ref="C289" authorId="1">
      <text>
        <r>
          <rPr>
            <b/>
            <sz val="8"/>
            <color indexed="81"/>
            <rFont val="Tahoma"/>
            <family val="2"/>
          </rPr>
          <t>Estimate based on 19c diluted EPS in release (does not show diluted shr ct for qtr)</t>
        </r>
      </text>
    </comment>
    <comment ref="BC289" authorId="4">
      <text>
        <r>
          <rPr>
            <b/>
            <sz val="9"/>
            <color indexed="81"/>
            <rFont val="Tahoma"/>
            <family val="2"/>
          </rPr>
          <t>Turley, Amber (Research):</t>
        </r>
        <r>
          <rPr>
            <sz val="9"/>
            <color indexed="81"/>
            <rFont val="Tahoma"/>
            <family val="2"/>
          </rPr>
          <t xml:space="preserve">
1/9/15: Guidance 76.3M diluted shares
12/9/14: Guidance 76.2M diluted shares outstanding</t>
        </r>
      </text>
    </comment>
    <comment ref="BK289" authorId="9">
      <text>
        <r>
          <rPr>
            <b/>
            <sz val="9"/>
            <color indexed="81"/>
            <rFont val="Tahoma"/>
            <family val="2"/>
          </rPr>
          <t>Baglione, Gregory (Research):</t>
        </r>
        <r>
          <rPr>
            <sz val="9"/>
            <color indexed="81"/>
            <rFont val="Tahoma"/>
            <family val="2"/>
          </rPr>
          <t xml:space="preserve">
11/22/16
Adjusted Net Income per Share in the range of $1.63 to $1.67, which reflects an increase in incentive compensation expense of $0.02 per share driven by operating performance above the Company’s previous expectations in the first nine months of the year, utilizing a fully diluted share count of approximately 71.3 million shares, as compared to $1.49 last year.</t>
        </r>
      </text>
    </comment>
    <comment ref="BC290" authorId="4">
      <text>
        <r>
          <rPr>
            <b/>
            <sz val="9"/>
            <color indexed="81"/>
            <rFont val="Tahoma"/>
            <family val="2"/>
          </rPr>
          <t>Turley, Amber (Research):</t>
        </r>
        <r>
          <rPr>
            <sz val="9"/>
            <color indexed="81"/>
            <rFont val="Tahoma"/>
            <family val="2"/>
          </rPr>
          <t xml:space="preserve">
12/9/14: Guidance 75.8M shares
1/9/15: Guidance 75.9M shares</t>
        </r>
      </text>
    </comment>
    <comment ref="BG290" authorId="4">
      <text>
        <r>
          <rPr>
            <sz val="9"/>
            <color indexed="81"/>
            <rFont val="Tahoma"/>
            <family val="2"/>
          </rPr>
          <t>6/9/15: Reiterated ~77M shares
3/17/15: Guidance ~77M</t>
        </r>
      </text>
    </comment>
    <comment ref="BK290" authorId="5">
      <text>
        <r>
          <rPr>
            <b/>
            <sz val="9"/>
            <color indexed="81"/>
            <rFont val="Tahoma"/>
            <family val="2"/>
          </rPr>
          <t>Baglione, Gregory  (Research):</t>
        </r>
        <r>
          <rPr>
            <sz val="9"/>
            <color indexed="81"/>
            <rFont val="Tahoma"/>
            <family val="2"/>
          </rPr>
          <t xml:space="preserve">
11/22/16
For the full Fiscal Year 2016 (the 52 weeks ending January 28, 2017), the Company expects:
Net sales to increase in the range of 8.4% to 8.7%;
Comparable store sales to increase in the range of 3.9% to 4.2%;
Interest expense of approximately $57 million reflecting the Term Loan Credit Facility repricing;
Adjusted Net Income per Share in the range of $3.11 to $3.15 compared to the Company’s prior guidance of $2.92 to $2.96, utilizing a fully diluted share count of approximately 71.8 million shares, as compared with $2.31 in Fiscal 2015;
Adjusted EBITDA margin expansion to increase 70 to 80 basis points; and
To open 25 net new stores.
• Adjusted Net Income per Share in the range of $2.68 to $2.78, compared to our prior guidance of $2.62 to $2.72, utilizing a fully diluted share count of approximately 72.4 million shares, as compared with $2.31 in Fiscal 2015; </t>
        </r>
      </text>
    </comment>
    <comment ref="BK340" authorId="5">
      <text>
        <r>
          <rPr>
            <b/>
            <sz val="9"/>
            <color indexed="81"/>
            <rFont val="Tahoma"/>
            <family val="2"/>
          </rPr>
          <t>Baglione, Gregory  (Research):</t>
        </r>
        <r>
          <rPr>
            <sz val="9"/>
            <color indexed="81"/>
            <rFont val="Tahoma"/>
            <family val="2"/>
          </rPr>
          <t xml:space="preserve">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For the second quarter, the Company currently expects Adjusted EBITDA in the range of $88 to $90 million compared to an Adjusted EBITDA of $75.4 million last year, and Adjusted Net Income per Share of $0.28 to $0.30 compared to $0.19 last year. This compares to the Company’s previous guidance for the second quarter, which included a comparable store sales increase of 2.5% to 3.5% and Adjusted Net Income per Share of $0.20 to $0.23. The Company will update its full year guidance when it announces second quarter results. </t>
        </r>
      </text>
    </comment>
    <comment ref="BS341" authorId="6">
      <text>
        <r>
          <rPr>
            <b/>
            <sz val="9"/>
            <color indexed="81"/>
            <rFont val="Tahoma"/>
            <family val="2"/>
          </rPr>
          <t>Roberts, Cynthia (Research):</t>
        </r>
        <r>
          <rPr>
            <sz val="9"/>
            <color indexed="81"/>
            <rFont val="Tahoma"/>
            <family val="2"/>
          </rPr>
          <t xml:space="preserve">
10/30/17: 3Q preannouncement $129M-$131M</t>
        </r>
      </text>
    </comment>
    <comment ref="BK343" authorId="9">
      <text>
        <r>
          <rPr>
            <b/>
            <sz val="9"/>
            <color indexed="81"/>
            <rFont val="Tahoma"/>
            <family val="2"/>
          </rPr>
          <t>Baglione, Gregory (Research):</t>
        </r>
        <r>
          <rPr>
            <sz val="9"/>
            <color indexed="81"/>
            <rFont val="Tahoma"/>
            <family val="2"/>
          </rPr>
          <t xml:space="preserve">
11/22/16
For the full Fiscal Year 2016 (the 52 weeks ending January 28, 2017), the Company expects:
Net sales to increase in the range of 8.4% to 8.7%;
Comparable store sales to increase in the range of 3.9% to 4.2%;
Interest expense of approximately $57 million reflecting the Term Loan Credit Facility repricing;
Adjusted Net Income per Share in the range of $3.11 to $3.15 compared to the Company’s prior guidance of $2.92 to $2.96, utilizing a fully diluted share count of approximately 71.8 million shares, as compared with $2.31 in Fiscal 2015;
Adjusted EBITDA margin expansion to increase 70 to 80 basis points; and
To open 25 net new stores.</t>
        </r>
      </text>
    </comment>
    <comment ref="BL343" authorId="5">
      <text>
        <r>
          <rPr>
            <b/>
            <sz val="9"/>
            <color indexed="81"/>
            <rFont val="Tahoma"/>
            <family val="2"/>
          </rPr>
          <t xml:space="preserve">Baglione, Gregory  (Research):
</t>
        </r>
        <r>
          <rPr>
            <sz val="9"/>
            <color indexed="81"/>
            <rFont val="Tahoma"/>
            <family val="2"/>
          </rPr>
          <t xml:space="preserve">5/26/16
• Adjusted EBITDA margin expansion now to increase 30 to 40 basis points; 
</t>
        </r>
        <r>
          <rPr>
            <sz val="9"/>
            <color indexed="81"/>
            <rFont val="Tahoma"/>
            <family val="2"/>
          </rPr>
          <t xml:space="preserve">
3/3/16
• Adjusted EBITDA margin expansion of 20 to 30 basis points; 
</t>
        </r>
      </text>
    </comment>
    <comment ref="BP343" authorId="6">
      <text>
        <r>
          <rPr>
            <b/>
            <sz val="9"/>
            <color indexed="81"/>
            <rFont val="Tahoma"/>
            <family val="2"/>
          </rPr>
          <t>Roberts, Cynthia (Research):</t>
        </r>
        <r>
          <rPr>
            <sz val="9"/>
            <color indexed="81"/>
            <rFont val="Tahoma"/>
            <family val="2"/>
          </rPr>
          <t xml:space="preserve">
8/24/17: Guidance 70-80 bps expansion
3/2/17 Adj EBITDA margin expansion 40-50 bps</t>
        </r>
      </text>
    </comment>
    <comment ref="BT343" authorId="6">
      <text>
        <r>
          <rPr>
            <b/>
            <sz val="9"/>
            <color indexed="81"/>
            <rFont val="Tahoma"/>
            <family val="2"/>
          </rPr>
          <t>Roberts, Cynthia (Research):</t>
        </r>
        <r>
          <rPr>
            <sz val="9"/>
            <color indexed="81"/>
            <rFont val="Tahoma"/>
            <family val="2"/>
          </rPr>
          <t xml:space="preserve">
3/8/18: Guidance 30-40 bps expansion</t>
        </r>
      </text>
    </comment>
  </commentList>
</comments>
</file>

<file path=xl/comments6.xml><?xml version="1.0" encoding="utf-8"?>
<comments xmlns="http://schemas.openxmlformats.org/spreadsheetml/2006/main">
  <authors>
    <author>balskyh</author>
    <author>Roberts, Cynthia (Research)</author>
    <author>granaosc</author>
    <author>Duol</author>
    <author>Mains, Spencer (Research)</author>
    <author>Baglione, Gregory  (Research)</author>
    <author>Turley, Amber (Research)</author>
    <author>Baglione, Gregory (Research)</author>
  </authors>
  <commentList>
    <comment ref="A11" authorId="0">
      <text>
        <r>
          <rPr>
            <sz val="8"/>
            <color indexed="81"/>
            <rFont val="Tahoma"/>
            <family val="2"/>
          </rPr>
          <t>Qtr end Aug 31</t>
        </r>
      </text>
    </comment>
    <comment ref="A12" authorId="0">
      <text>
        <r>
          <rPr>
            <b/>
            <sz val="8"/>
            <color indexed="81"/>
            <rFont val="Tahoma"/>
            <family val="2"/>
          </rPr>
          <t>Qtr end Nov 30,</t>
        </r>
      </text>
    </comment>
    <comment ref="A13" authorId="0">
      <text>
        <r>
          <rPr>
            <b/>
            <sz val="8"/>
            <color indexed="81"/>
            <rFont val="Tahoma"/>
            <family val="2"/>
          </rPr>
          <t>Qtr end Feb 28</t>
        </r>
      </text>
    </comment>
    <comment ref="A14" authorId="0">
      <text>
        <r>
          <rPr>
            <b/>
            <sz val="8"/>
            <color indexed="81"/>
            <rFont val="Tahoma"/>
            <family val="2"/>
          </rPr>
          <t>Qtr end May 31</t>
        </r>
      </text>
    </comment>
    <comment ref="Y69" authorId="0">
      <text>
        <r>
          <rPr>
            <b/>
            <sz val="8"/>
            <color indexed="81"/>
            <rFont val="Tahoma"/>
            <family val="2"/>
          </rPr>
          <t xml:space="preserve">Per 10K:  </t>
        </r>
        <r>
          <rPr>
            <sz val="8"/>
            <color indexed="81"/>
            <rFont val="Tahoma"/>
            <family val="2"/>
          </rPr>
          <t>Most of our stores are ~80,000 square feet</t>
        </r>
      </text>
    </comment>
    <comment ref="Y70" authorId="0">
      <text>
        <r>
          <rPr>
            <b/>
            <sz val="8"/>
            <color indexed="81"/>
            <rFont val="Tahoma"/>
            <family val="2"/>
          </rPr>
          <t xml:space="preserve">Per 10K:  </t>
        </r>
        <r>
          <rPr>
            <sz val="8"/>
            <color indexed="81"/>
            <rFont val="Tahoma"/>
            <family val="2"/>
          </rPr>
          <t>Most of our stores are ~80,000 square feet</t>
        </r>
      </text>
    </comment>
    <comment ref="Y71" authorId="0">
      <text>
        <r>
          <rPr>
            <b/>
            <sz val="8"/>
            <color indexed="81"/>
            <rFont val="Tahoma"/>
            <family val="2"/>
          </rPr>
          <t xml:space="preserve">Per 10K:  </t>
        </r>
        <r>
          <rPr>
            <sz val="8"/>
            <color indexed="81"/>
            <rFont val="Tahoma"/>
            <family val="2"/>
          </rPr>
          <t>Most of our stores are ~80,000 square feet</t>
        </r>
      </text>
    </comment>
    <comment ref="Y72" authorId="0">
      <text>
        <r>
          <rPr>
            <b/>
            <sz val="8"/>
            <color indexed="81"/>
            <rFont val="Tahoma"/>
            <family val="2"/>
          </rPr>
          <t xml:space="preserve">Per 10K:  </t>
        </r>
        <r>
          <rPr>
            <sz val="8"/>
            <color indexed="81"/>
            <rFont val="Tahoma"/>
            <family val="2"/>
          </rPr>
          <t>Most of our stores are ~80,000 square feet</t>
        </r>
      </text>
    </comment>
    <comment ref="Y76" authorId="0">
      <text>
        <r>
          <rPr>
            <b/>
            <sz val="8"/>
            <color indexed="81"/>
            <rFont val="Tahoma"/>
            <family val="2"/>
          </rPr>
          <t xml:space="preserve">Per 10K:  </t>
        </r>
        <r>
          <rPr>
            <sz val="8"/>
            <color indexed="81"/>
            <rFont val="Tahoma"/>
            <family val="2"/>
          </rPr>
          <t>Most of our stores are ~80,000 square feet</t>
        </r>
      </text>
    </comment>
    <comment ref="Y77" authorId="0">
      <text>
        <r>
          <rPr>
            <b/>
            <sz val="8"/>
            <color indexed="81"/>
            <rFont val="Tahoma"/>
            <family val="2"/>
          </rPr>
          <t xml:space="preserve">Per 10K:  </t>
        </r>
        <r>
          <rPr>
            <sz val="8"/>
            <color indexed="81"/>
            <rFont val="Tahoma"/>
            <family val="2"/>
          </rPr>
          <t>Most of our stores are ~80,000 square feet</t>
        </r>
      </text>
    </comment>
    <comment ref="Y78" authorId="0">
      <text>
        <r>
          <rPr>
            <b/>
            <sz val="8"/>
            <color indexed="81"/>
            <rFont val="Tahoma"/>
            <family val="2"/>
          </rPr>
          <t xml:space="preserve">Per 10K:  </t>
        </r>
        <r>
          <rPr>
            <sz val="8"/>
            <color indexed="81"/>
            <rFont val="Tahoma"/>
            <family val="2"/>
          </rPr>
          <t>Most of our stores are ~80,000 square feet</t>
        </r>
      </text>
    </comment>
    <comment ref="Y79" authorId="0">
      <text>
        <r>
          <rPr>
            <b/>
            <sz val="8"/>
            <color indexed="81"/>
            <rFont val="Tahoma"/>
            <family val="2"/>
          </rPr>
          <t xml:space="preserve">Per 10K:  </t>
        </r>
        <r>
          <rPr>
            <sz val="8"/>
            <color indexed="81"/>
            <rFont val="Tahoma"/>
            <family val="2"/>
          </rPr>
          <t>Most of our stores are ~80,000 square feet</t>
        </r>
      </text>
    </comment>
    <comment ref="Y83" authorId="0">
      <text>
        <r>
          <rPr>
            <b/>
            <sz val="8"/>
            <color indexed="81"/>
            <rFont val="Tahoma"/>
            <family val="2"/>
          </rPr>
          <t xml:space="preserve">Per 10K:  </t>
        </r>
        <r>
          <rPr>
            <sz val="8"/>
            <color indexed="81"/>
            <rFont val="Tahoma"/>
            <family val="2"/>
          </rPr>
          <t>Most of our stores are ~80,000 square feet</t>
        </r>
      </text>
    </comment>
    <comment ref="Y84" authorId="0">
      <text>
        <r>
          <rPr>
            <b/>
            <sz val="8"/>
            <color indexed="81"/>
            <rFont val="Tahoma"/>
            <family val="2"/>
          </rPr>
          <t xml:space="preserve">Per 10K:  </t>
        </r>
        <r>
          <rPr>
            <sz val="8"/>
            <color indexed="81"/>
            <rFont val="Tahoma"/>
            <family val="2"/>
          </rPr>
          <t>Most of our stores are ~80,000 square feet</t>
        </r>
      </text>
    </comment>
    <comment ref="Y85" authorId="0">
      <text>
        <r>
          <rPr>
            <b/>
            <sz val="8"/>
            <color indexed="81"/>
            <rFont val="Tahoma"/>
            <family val="2"/>
          </rPr>
          <t xml:space="preserve">Per 10K:  </t>
        </r>
        <r>
          <rPr>
            <sz val="8"/>
            <color indexed="81"/>
            <rFont val="Tahoma"/>
            <family val="2"/>
          </rPr>
          <t>Most of our stores are ~80,000 square feet</t>
        </r>
      </text>
    </comment>
    <comment ref="Y86" authorId="0">
      <text>
        <r>
          <rPr>
            <b/>
            <sz val="8"/>
            <color indexed="81"/>
            <rFont val="Tahoma"/>
            <family val="2"/>
          </rPr>
          <t xml:space="preserve">Per 10K:  </t>
        </r>
        <r>
          <rPr>
            <sz val="8"/>
            <color indexed="81"/>
            <rFont val="Tahoma"/>
            <family val="2"/>
          </rPr>
          <t>Most of our stores are ~80,000 square feet</t>
        </r>
      </text>
    </comment>
    <comment ref="Y90" authorId="0">
      <text>
        <r>
          <rPr>
            <b/>
            <sz val="8"/>
            <color indexed="81"/>
            <rFont val="Tahoma"/>
            <family val="2"/>
          </rPr>
          <t xml:space="preserve">Per 10K:  </t>
        </r>
        <r>
          <rPr>
            <sz val="8"/>
            <color indexed="81"/>
            <rFont val="Tahoma"/>
            <family val="2"/>
          </rPr>
          <t>Most of our stores are ~80,000 square feet</t>
        </r>
      </text>
    </comment>
    <comment ref="Y91" authorId="0">
      <text>
        <r>
          <rPr>
            <b/>
            <sz val="8"/>
            <color indexed="81"/>
            <rFont val="Tahoma"/>
            <family val="2"/>
          </rPr>
          <t xml:space="preserve">Per 10K:  </t>
        </r>
        <r>
          <rPr>
            <sz val="8"/>
            <color indexed="81"/>
            <rFont val="Tahoma"/>
            <family val="2"/>
          </rPr>
          <t>Most of our stores are ~80,000 square feet</t>
        </r>
      </text>
    </comment>
    <comment ref="Y92" authorId="0">
      <text>
        <r>
          <rPr>
            <b/>
            <sz val="8"/>
            <color indexed="81"/>
            <rFont val="Tahoma"/>
            <family val="2"/>
          </rPr>
          <t xml:space="preserve">Per 10K:  </t>
        </r>
        <r>
          <rPr>
            <sz val="8"/>
            <color indexed="81"/>
            <rFont val="Tahoma"/>
            <family val="2"/>
          </rPr>
          <t>Most of our stores are ~80,000 square feet</t>
        </r>
      </text>
    </comment>
    <comment ref="Y93" authorId="0">
      <text>
        <r>
          <rPr>
            <b/>
            <sz val="8"/>
            <color indexed="81"/>
            <rFont val="Tahoma"/>
            <family val="2"/>
          </rPr>
          <t xml:space="preserve">Per 10K:  </t>
        </r>
        <r>
          <rPr>
            <sz val="8"/>
            <color indexed="81"/>
            <rFont val="Tahoma"/>
            <family val="2"/>
          </rPr>
          <t>Most of our stores are ~80,000 square feet</t>
        </r>
      </text>
    </comment>
    <comment ref="J97"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Y97" authorId="1">
      <text>
        <r>
          <rPr>
            <b/>
            <sz val="9"/>
            <color indexed="81"/>
            <rFont val="Tahoma"/>
            <family val="2"/>
          </rPr>
          <t>Roberts, Cynthia (Research):</t>
        </r>
        <r>
          <rPr>
            <sz val="9"/>
            <color indexed="81"/>
            <rFont val="Tahoma"/>
            <family val="2"/>
          </rPr>
          <t xml:space="preserve">
per 10-k: Our average store size is approximately 80,000 square feet</t>
        </r>
      </text>
    </comment>
    <comment ref="E98" authorId="2">
      <text>
        <r>
          <rPr>
            <b/>
            <sz val="8"/>
            <color indexed="81"/>
            <rFont val="Tahoma"/>
            <family val="2"/>
          </rPr>
          <t>granaosc:</t>
        </r>
        <r>
          <rPr>
            <sz val="8"/>
            <color indexed="81"/>
            <rFont val="Tahoma"/>
            <family val="2"/>
          </rPr>
          <t xml:space="preserve">
8/12/13: Comp sales +7.8%</t>
        </r>
      </text>
    </comment>
    <comment ref="J98"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Y98" authorId="1">
      <text>
        <r>
          <rPr>
            <b/>
            <sz val="9"/>
            <color indexed="81"/>
            <rFont val="Tahoma"/>
            <family val="2"/>
          </rPr>
          <t>Roberts, Cynthia (Research):</t>
        </r>
        <r>
          <rPr>
            <sz val="9"/>
            <color indexed="81"/>
            <rFont val="Tahoma"/>
            <family val="2"/>
          </rPr>
          <t xml:space="preserve">
per 10-k: Our average store size is approximately 80,000 square feet</t>
        </r>
      </text>
    </comment>
    <comment ref="E99" authorId="2">
      <text>
        <r>
          <rPr>
            <b/>
            <sz val="8"/>
            <color indexed="81"/>
            <rFont val="Tahoma"/>
            <family val="2"/>
          </rPr>
          <t>granaosc:</t>
        </r>
        <r>
          <rPr>
            <sz val="8"/>
            <color indexed="81"/>
            <rFont val="Tahoma"/>
            <family val="2"/>
          </rPr>
          <t xml:space="preserve">
8/12/13: Comp sales +2.5%</t>
        </r>
      </text>
    </comment>
    <comment ref="J99"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Y99" authorId="1">
      <text>
        <r>
          <rPr>
            <b/>
            <sz val="9"/>
            <color indexed="81"/>
            <rFont val="Tahoma"/>
            <family val="2"/>
          </rPr>
          <t>Roberts, Cynthia (Research):</t>
        </r>
        <r>
          <rPr>
            <sz val="9"/>
            <color indexed="81"/>
            <rFont val="Tahoma"/>
            <family val="2"/>
          </rPr>
          <t xml:space="preserve">
per 10-k: Our average store size is approximately 80,000 square feet</t>
        </r>
      </text>
    </comment>
    <comment ref="E100" authorId="2">
      <text>
        <r>
          <rPr>
            <b/>
            <sz val="8"/>
            <color indexed="81"/>
            <rFont val="Tahoma"/>
            <family val="2"/>
          </rPr>
          <t xml:space="preserve">12/9/13: </t>
        </r>
        <r>
          <rPr>
            <sz val="8"/>
            <color indexed="81"/>
            <rFont val="Tahoma"/>
            <family val="2"/>
          </rPr>
          <t>guidance 2-3%</t>
        </r>
        <r>
          <rPr>
            <b/>
            <sz val="8"/>
            <color indexed="81"/>
            <rFont val="Tahoma"/>
            <family val="2"/>
          </rPr>
          <t xml:space="preserve">
granaosc:</t>
        </r>
        <r>
          <rPr>
            <sz val="8"/>
            <color indexed="81"/>
            <rFont val="Tahoma"/>
            <family val="2"/>
          </rPr>
          <t xml:space="preserve">
8/12/13: Comp sales +2.5%</t>
        </r>
      </text>
    </comment>
    <comment ref="J100"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S100" authorId="0">
      <text>
        <r>
          <rPr>
            <b/>
            <sz val="8"/>
            <color indexed="81"/>
            <rFont val="Tahoma"/>
            <family val="2"/>
          </rPr>
          <t>Note:</t>
        </r>
        <r>
          <rPr>
            <sz val="8"/>
            <color indexed="81"/>
            <rFont val="Tahoma"/>
            <family val="2"/>
          </rPr>
          <t xml:space="preserve"> 53rd week added ~$54M in sales LY
8/12/13: Net sales $1329.9M</t>
        </r>
      </text>
    </comment>
    <comment ref="Y100" authorId="1">
      <text>
        <r>
          <rPr>
            <b/>
            <sz val="9"/>
            <color indexed="81"/>
            <rFont val="Tahoma"/>
            <family val="2"/>
          </rPr>
          <t>Roberts, Cynthia (Research):</t>
        </r>
        <r>
          <rPr>
            <sz val="9"/>
            <color indexed="81"/>
            <rFont val="Tahoma"/>
            <family val="2"/>
          </rPr>
          <t xml:space="preserve">
per 10-k: Our average store size is approximately 80,000 square feet</t>
        </r>
      </text>
    </comment>
    <comment ref="J104" authorId="0">
      <text>
        <r>
          <rPr>
            <b/>
            <sz val="8"/>
            <color indexed="81"/>
            <rFont val="Tahoma"/>
            <family val="2"/>
          </rPr>
          <t xml:space="preserve">6/10/14: </t>
        </r>
        <r>
          <rPr>
            <sz val="8"/>
            <color indexed="81"/>
            <rFont val="Tahoma"/>
            <family val="2"/>
          </rPr>
          <t>During the first quarter 2014, the Company opened two new stores and ended the quarter with 523 stores</t>
        </r>
      </text>
    </comment>
    <comment ref="Y104" authorId="1">
      <text>
        <r>
          <rPr>
            <b/>
            <sz val="9"/>
            <color indexed="81"/>
            <rFont val="Tahoma"/>
            <family val="2"/>
          </rPr>
          <t>Roberts, Cynthia (Research):</t>
        </r>
        <r>
          <rPr>
            <sz val="9"/>
            <color indexed="81"/>
            <rFont val="Tahoma"/>
            <family val="2"/>
          </rPr>
          <t xml:space="preserve">
per 10-k: our average store size is approximately 78,000 square feet</t>
        </r>
      </text>
    </comment>
    <comment ref="J105" authorId="0">
      <text>
        <r>
          <rPr>
            <b/>
            <sz val="8"/>
            <color indexed="81"/>
            <rFont val="Tahoma"/>
            <family val="2"/>
          </rPr>
          <t xml:space="preserve">6/10/14: </t>
        </r>
        <r>
          <rPr>
            <sz val="8"/>
            <color indexed="81"/>
            <rFont val="Tahoma"/>
            <family val="2"/>
          </rPr>
          <t>The Company expects to open one new store and close one store during the quarter resulting in a total store count of 523 at the end of the second quarter.</t>
        </r>
      </text>
    </comment>
    <comment ref="Y105" authorId="1">
      <text>
        <r>
          <rPr>
            <b/>
            <sz val="9"/>
            <color indexed="81"/>
            <rFont val="Tahoma"/>
            <family val="2"/>
          </rPr>
          <t>Roberts, Cynthia (Research):</t>
        </r>
        <r>
          <rPr>
            <sz val="9"/>
            <color indexed="81"/>
            <rFont val="Tahoma"/>
            <family val="2"/>
          </rPr>
          <t xml:space="preserve">
per 10-k: our average store size is approximately 78,000 square feet</t>
        </r>
      </text>
    </comment>
    <comment ref="Y106" authorId="1">
      <text>
        <r>
          <rPr>
            <b/>
            <sz val="9"/>
            <color indexed="81"/>
            <rFont val="Tahoma"/>
            <family val="2"/>
          </rPr>
          <t>Roberts, Cynthia (Research):</t>
        </r>
        <r>
          <rPr>
            <sz val="9"/>
            <color indexed="81"/>
            <rFont val="Tahoma"/>
            <family val="2"/>
          </rPr>
          <t xml:space="preserve">
per 10-k: our average store size is approximately 78,000 square feet</t>
        </r>
      </text>
    </comment>
    <comment ref="J107" authorId="0">
      <text>
        <r>
          <rPr>
            <b/>
            <sz val="8"/>
            <color indexed="81"/>
            <rFont val="Tahoma"/>
            <family val="2"/>
          </rPr>
          <t xml:space="preserve">12/9/14: </t>
        </r>
        <r>
          <rPr>
            <sz val="8"/>
            <color indexed="81"/>
            <rFont val="Tahoma"/>
            <family val="2"/>
          </rPr>
          <t xml:space="preserve"> Guidance 543 stores EOY opening 24 stores through the year and closing 2 existing stores</t>
        </r>
        <r>
          <rPr>
            <b/>
            <sz val="8"/>
            <color indexed="81"/>
            <rFont val="Tahoma"/>
            <family val="2"/>
          </rPr>
          <t xml:space="preserve">
9/8/14: </t>
        </r>
        <r>
          <rPr>
            <sz val="8"/>
            <color indexed="81"/>
            <rFont val="Tahoma"/>
            <family val="2"/>
          </rPr>
          <t>The Company expects to open 24 new store and close 2 store for the full year, resulting in a total store count of 543 at the end of the second quarter.</t>
        </r>
      </text>
    </comment>
    <comment ref="O107" authorId="3">
      <text>
        <r>
          <rPr>
            <b/>
            <sz val="8"/>
            <color indexed="81"/>
            <rFont val="Tahoma"/>
            <family val="2"/>
          </rPr>
          <t>Manual adjustments to sync Sales forecast</t>
        </r>
      </text>
    </comment>
    <comment ref="Y107" authorId="1">
      <text>
        <r>
          <rPr>
            <b/>
            <sz val="9"/>
            <color indexed="81"/>
            <rFont val="Tahoma"/>
            <family val="2"/>
          </rPr>
          <t>Roberts, Cynthia (Research):</t>
        </r>
        <r>
          <rPr>
            <sz val="9"/>
            <color indexed="81"/>
            <rFont val="Tahoma"/>
            <family val="2"/>
          </rPr>
          <t xml:space="preserve">
4/10/18: Data provided in 2017 10-k
per 10-k: our average store size is approximately 78,000 square feet</t>
        </r>
      </text>
    </comment>
    <comment ref="J111" authorId="4">
      <text>
        <r>
          <rPr>
            <b/>
            <sz val="9"/>
            <color indexed="81"/>
            <rFont val="Tahoma"/>
            <family val="2"/>
          </rPr>
          <t>Mains, Spencer (Research):</t>
        </r>
        <r>
          <rPr>
            <sz val="9"/>
            <color indexed="81"/>
            <rFont val="Tahoma"/>
            <family val="2"/>
          </rPr>
          <t xml:space="preserve">
Opened 5 stores, closed 1 during the quarter</t>
        </r>
      </text>
    </comment>
    <comment ref="Y111" authorId="1">
      <text>
        <r>
          <rPr>
            <b/>
            <sz val="9"/>
            <color indexed="81"/>
            <rFont val="Tahoma"/>
            <family val="2"/>
          </rPr>
          <t>Roberts, Cynthia (Research):</t>
        </r>
        <r>
          <rPr>
            <sz val="9"/>
            <color indexed="81"/>
            <rFont val="Tahoma"/>
            <family val="2"/>
          </rPr>
          <t xml:space="preserve">
per mgmt: 2015 average store opening size 54,000 sq ft</t>
        </r>
      </text>
    </comment>
    <comment ref="Y112" authorId="1">
      <text>
        <r>
          <rPr>
            <b/>
            <sz val="9"/>
            <color indexed="81"/>
            <rFont val="Tahoma"/>
            <family val="2"/>
          </rPr>
          <t>Roberts, Cynthia (Research):</t>
        </r>
        <r>
          <rPr>
            <sz val="9"/>
            <color indexed="81"/>
            <rFont val="Tahoma"/>
            <family val="2"/>
          </rPr>
          <t xml:space="preserve">
per mgmt: 2015 average store opening size 54,000 sq ft</t>
        </r>
      </text>
    </comment>
    <comment ref="J113" authorId="5">
      <text>
        <r>
          <rPr>
            <b/>
            <sz val="9"/>
            <color indexed="81"/>
            <rFont val="Tahoma"/>
            <family val="2"/>
          </rPr>
          <t>Baglione, Gregory  (Research):</t>
        </r>
        <r>
          <rPr>
            <sz val="9"/>
            <color indexed="81"/>
            <rFont val="Tahoma"/>
            <family val="2"/>
          </rPr>
          <t xml:space="preserve">
8/27/15: "open 22 new stores and close 1 existing store resulting in a total store count of 567 at the end of the third quarter.</t>
        </r>
      </text>
    </comment>
    <comment ref="Y113" authorId="1">
      <text>
        <r>
          <rPr>
            <b/>
            <sz val="9"/>
            <color indexed="81"/>
            <rFont val="Tahoma"/>
            <family val="2"/>
          </rPr>
          <t>Roberts, Cynthia (Research):</t>
        </r>
        <r>
          <rPr>
            <sz val="9"/>
            <color indexed="81"/>
            <rFont val="Tahoma"/>
            <family val="2"/>
          </rPr>
          <t xml:space="preserve">
per mgmt: 2015 average store opening size 54,000 sq ft</t>
        </r>
      </text>
    </comment>
    <comment ref="C114" authorId="5">
      <text>
        <r>
          <rPr>
            <b/>
            <sz val="9"/>
            <color indexed="81"/>
            <rFont val="Tahoma"/>
            <family val="2"/>
          </rPr>
          <t>Baglione, Gregory  (Research):</t>
        </r>
        <r>
          <rPr>
            <sz val="9"/>
            <color indexed="81"/>
            <rFont val="Tahoma"/>
            <family val="2"/>
          </rPr>
          <t xml:space="preserve">
Net sales to increase approximately 3.7%, versus its previous guidance of an increase of 3.7% to 4.7%;</t>
        </r>
      </text>
    </comment>
    <comment ref="E114" authorId="5">
      <text>
        <r>
          <rPr>
            <b/>
            <sz val="9"/>
            <color indexed="81"/>
            <rFont val="Tahoma"/>
            <family val="2"/>
          </rPr>
          <t>Baglione, Gregory  (Research):</t>
        </r>
        <r>
          <rPr>
            <sz val="9"/>
            <color indexed="81"/>
            <rFont val="Tahoma"/>
            <family val="2"/>
          </rPr>
          <t xml:space="preserve">
3/3/16
comp store sales, excluding cold weather categories, are expected to increase approximately 4%
Metrics-- increases in UPT and conversion, AUR and traffic were down y/y
1/11/16%
Holiday update. Lowering comp to flat from +1
11/24/15
Updated guidance flat-+1%
Previous: +3.0%
Updated: +1.0%</t>
        </r>
      </text>
    </comment>
    <comment ref="I114" authorId="6">
      <text>
        <r>
          <rPr>
            <sz val="9"/>
            <color indexed="81"/>
            <rFont val="Tahoma"/>
            <family val="2"/>
          </rPr>
          <t xml:space="preserve">
11/24/15
4Q Guidance: To open one new store resulting in a total store count of 567 at the end of the fourth quarter.
FY Guidance: To open 25 net new stores.
8/26/15:
Guidance to open 25 net new stores in 2015
6/9/15: reiterated guidance of 25 net new stores in 2015
3/17/15: Guidance 25 net new stores
12/9/14: expect to open 28 new stores in 2015
</t>
        </r>
      </text>
    </comment>
    <comment ref="Y114" authorId="1">
      <text>
        <r>
          <rPr>
            <b/>
            <sz val="9"/>
            <color indexed="81"/>
            <rFont val="Tahoma"/>
            <family val="2"/>
          </rPr>
          <t>Roberts, Cynthia (Research):</t>
        </r>
        <r>
          <rPr>
            <sz val="9"/>
            <color indexed="81"/>
            <rFont val="Tahoma"/>
            <family val="2"/>
          </rPr>
          <t xml:space="preserve">
4/10/18: data provided in 2017 10-k
per mgmt: 2015 average store opening size 54,000 sq ft</t>
        </r>
      </text>
    </comment>
    <comment ref="E115" authorId="5">
      <text>
        <r>
          <rPr>
            <b/>
            <sz val="9"/>
            <color indexed="81"/>
            <rFont val="Tahoma"/>
            <family val="2"/>
          </rPr>
          <t>Baglione, Gregory  (Research):</t>
        </r>
        <r>
          <rPr>
            <sz val="9"/>
            <color indexed="81"/>
            <rFont val="Tahoma"/>
            <family val="2"/>
          </rPr>
          <t xml:space="preserve">
11/24/15:
Updated full year guidance +2.0-+2.5%
Down from +2.5%-3.0%
</t>
        </r>
      </text>
    </comment>
    <comment ref="C118" authorId="5">
      <text>
        <r>
          <rPr>
            <b/>
            <sz val="9"/>
            <color indexed="81"/>
            <rFont val="Tahoma"/>
            <family val="2"/>
          </rPr>
          <t>Baglione, Gregory  (Research):</t>
        </r>
        <r>
          <rPr>
            <sz val="9"/>
            <color indexed="81"/>
            <rFont val="Tahoma"/>
            <family val="2"/>
          </rPr>
          <t xml:space="preserve">
3/3/16
• Net sales to increase in the range of 6.2% to 7.2%; </t>
        </r>
      </text>
    </comment>
    <comment ref="E118" authorId="5">
      <text>
        <r>
          <rPr>
            <b/>
            <sz val="9"/>
            <color indexed="81"/>
            <rFont val="Tahoma"/>
            <family val="2"/>
          </rPr>
          <t>Baglione, Gregory  (Research):</t>
        </r>
        <r>
          <rPr>
            <sz val="9"/>
            <color indexed="81"/>
            <rFont val="Tahoma"/>
            <family val="2"/>
          </rPr>
          <t xml:space="preserve">
3/3/16
• Comparable store sales to increase in the range of 2.5% to 3.5%; 
Top performing businesses were Better and Moderate Missy Sportswear, Home, Beauty, Youth Apparel, and Shoes across all categories, including
Ladies, Men's, Kids, and Athletics. In terms of territories, the Northeast and the West were our strongest and the Midwest and Southwest were the
weakest on a relative basis
In terms of comp metrics, our comparable store sales performance was driven by
increases in traffic, units per transaction and conversion, while average unit retail was down versus the prior year. We have now experienced traffic
increases in six out of the last seven quarters.</t>
        </r>
      </text>
    </comment>
    <comment ref="Y118" authorId="1">
      <text>
        <r>
          <rPr>
            <b/>
            <sz val="9"/>
            <color indexed="81"/>
            <rFont val="Tahoma"/>
            <family val="2"/>
          </rPr>
          <t>Roberts, Cynthia (Research):</t>
        </r>
        <r>
          <rPr>
            <sz val="9"/>
            <color indexed="81"/>
            <rFont val="Tahoma"/>
            <family val="2"/>
          </rPr>
          <t xml:space="preserve">
per mgmt: 2016 average store opening size 51,000 sq ft</t>
        </r>
      </text>
    </comment>
    <comment ref="C119" authorId="5">
      <text>
        <r>
          <rPr>
            <b/>
            <sz val="9"/>
            <color indexed="81"/>
            <rFont val="Tahoma"/>
            <family val="2"/>
          </rPr>
          <t>Baglione, Gregory  (Research):</t>
        </r>
        <r>
          <rPr>
            <sz val="9"/>
            <color indexed="81"/>
            <rFont val="Tahoma"/>
            <family val="2"/>
          </rPr>
          <t xml:space="preserve">
• Net sales to increase in the range of 6.3% to 7.3%; 
• Comparable store sales to increase in the range of 2.5% to 3.5%; </t>
        </r>
      </text>
    </comment>
    <comment ref="E119" authorId="5">
      <text>
        <r>
          <rPr>
            <b/>
            <sz val="9"/>
            <color indexed="81"/>
            <rFont val="Tahoma"/>
            <family val="2"/>
          </rPr>
          <t>Baglione, Gregory  (Research):</t>
        </r>
        <r>
          <rPr>
            <sz val="9"/>
            <color indexed="81"/>
            <rFont val="Tahoma"/>
            <family val="2"/>
          </rPr>
          <t xml:space="preserve">
7/18/16
Based on the Company’s results quarter to date and its estimates for the remainder of July, comparable store sales for the second fiscal quarter of 2016 are expected to increase between 4.2% and 4.5%, which follows last year’s second quarter comparable stores sales increase of 5.6%. "
8/25/16
Top-performing businesses were better and moderate at missy sportswear, home, beauty, youth apparel, and athletic in men's shoes. I'm also
pleased to note that our Baby Depot business reported a positive comp for the quarter. As you know, this business remains a differentiator for us
and the team has worked hard to right-size the assortment to improve our in-stock position.
In terms of comp metrics, our comparable store sales performance was driven by increases in traffic, units per transaction and conversion, while
average unit retail was down versus the prior year. We have now experienced traffic increases in seven out of the last eight quarters.</t>
        </r>
      </text>
    </comment>
    <comment ref="I119" authorId="5">
      <text>
        <r>
          <rPr>
            <b/>
            <sz val="9"/>
            <color indexed="81"/>
            <rFont val="Tahoma"/>
            <family val="2"/>
          </rPr>
          <t>Baglione, Gregory  (Research):</t>
        </r>
        <r>
          <rPr>
            <sz val="9"/>
            <color indexed="81"/>
            <rFont val="Tahoma"/>
            <family val="2"/>
          </rPr>
          <t xml:space="preserve">
8/25/16
570 stores at end of 2Q</t>
        </r>
      </text>
    </comment>
    <comment ref="Y119" authorId="1">
      <text>
        <r>
          <rPr>
            <b/>
            <sz val="9"/>
            <color indexed="81"/>
            <rFont val="Tahoma"/>
            <family val="2"/>
          </rPr>
          <t>Roberts, Cynthia (Research):</t>
        </r>
        <r>
          <rPr>
            <sz val="9"/>
            <color indexed="81"/>
            <rFont val="Tahoma"/>
            <family val="2"/>
          </rPr>
          <t xml:space="preserve">
per mgmt: 2016 average store opening size 51,000 sq ft</t>
        </r>
      </text>
    </comment>
    <comment ref="E120" authorId="5">
      <text>
        <r>
          <rPr>
            <b/>
            <sz val="9"/>
            <color indexed="81"/>
            <rFont val="Tahoma"/>
            <family val="2"/>
          </rPr>
          <t>Baglione, Gregory  (Research):</t>
        </r>
        <r>
          <rPr>
            <sz val="9"/>
            <color indexed="81"/>
            <rFont val="Tahoma"/>
            <family val="2"/>
          </rPr>
          <t xml:space="preserve">
11/22/16
15th consecutive quarter of positive comps sales. 
Top-performing businesses were home, beauty, athletic in men's shoes, better sportswear and baby Depot. 
Baby Depot outperformed the company average. Baby Depot team has been working very hard on the assortment and are in stock position and we are delighted to see this result for this is that remains a differentiator for us. 
In terms of territories, the West significantly outperformed the chain average. Followed by strong performances in the Southwest and the Northeast. The Midwest and Southeast underperformed the company average. In addition, we are pleased to report the following accomplishments. As I mentioned, we continue to drive positive traffic and with the third quarter with net recorded positive traffic in eight of the last 9 quarters.
In terms of comp metrics, our comparable stores sales performance was driven by increases in traffic, conversion, and units per transaction, while
average unit retail was down versus the prior year. We have not experienced traffic increases in eight out of the last nine quarters.
8/25/16
3Q Guidance: Net sales to increase in the range of 7.1% to 8.1%;Comparable store sales to increase in the range of 2.5% to 3.5%
</t>
        </r>
      </text>
    </comment>
    <comment ref="Y120" authorId="1">
      <text>
        <r>
          <rPr>
            <b/>
            <sz val="9"/>
            <color indexed="81"/>
            <rFont val="Tahoma"/>
            <family val="2"/>
          </rPr>
          <t>Roberts, Cynthia (Research):</t>
        </r>
        <r>
          <rPr>
            <sz val="9"/>
            <color indexed="81"/>
            <rFont val="Tahoma"/>
            <family val="2"/>
          </rPr>
          <t xml:space="preserve">
per mgmt: 2016 average store opening size 51,000 sq ft</t>
        </r>
      </text>
    </comment>
    <comment ref="E121" authorId="1">
      <text>
        <r>
          <rPr>
            <b/>
            <sz val="9"/>
            <color indexed="81"/>
            <rFont val="Tahoma"/>
            <family val="2"/>
          </rPr>
          <t>Roberts, Cynthia (Research):</t>
        </r>
        <r>
          <rPr>
            <sz val="9"/>
            <color indexed="81"/>
            <rFont val="Tahoma"/>
            <family val="2"/>
          </rPr>
          <t xml:space="preserve">
3/2/17: +6 non-cold-weather categories (82% of  sales), -3% in cold weather categories</t>
        </r>
      </text>
    </comment>
    <comment ref="I121" authorId="6">
      <text>
        <r>
          <rPr>
            <sz val="9"/>
            <color indexed="81"/>
            <rFont val="Tahoma"/>
            <family val="2"/>
          </rPr>
          <t xml:space="preserve">8/26/15:
Guidance to open 25 net new stores in 2015
6/9/15: reiterated guidance of 25 net new stores in 2015
3/17/15: Guidance 25 net new stores
12/9/14: expect to open 28 new stores in 2015
8/25/16
• To open 25 net new stores. 
5/26/16
• To open 25 net new stores. 
3/3/16
• To open 25 net new stores. Average gross square footage 51K sq. ft
</t>
        </r>
      </text>
    </comment>
    <comment ref="Y121" authorId="1">
      <text>
        <r>
          <rPr>
            <b/>
            <sz val="9"/>
            <color indexed="81"/>
            <rFont val="Tahoma"/>
            <family val="2"/>
          </rPr>
          <t>Roberts, Cynthia (Research):</t>
        </r>
        <r>
          <rPr>
            <sz val="9"/>
            <color indexed="81"/>
            <rFont val="Tahoma"/>
            <family val="2"/>
          </rPr>
          <t xml:space="preserve">
4/10/18: Data provided in 2017 10-k
per mgmt: 2016 average store opening size 51,000 sq ft</t>
        </r>
      </text>
    </comment>
    <comment ref="C122" authorId="5">
      <text>
        <r>
          <rPr>
            <b/>
            <sz val="9"/>
            <color indexed="81"/>
            <rFont val="Tahoma"/>
            <family val="2"/>
          </rPr>
          <t>Baglione, Gregory  (Research):</t>
        </r>
        <r>
          <rPr>
            <sz val="9"/>
            <color indexed="81"/>
            <rFont val="Tahoma"/>
            <family val="2"/>
          </rPr>
          <t xml:space="preserve">
8/25/16 
Net sales to increase in the range of 7.8% to 8.3%;
Comparable store sales to increase between 3.6% to 4.1%
5/26/16
5/26/16
Updated guidance • Net sales now to increase in the range of 7.1% to 7.6%; 
• Comparable store sales now to increase between 3.0% to 3.5%, inclusive of a 0.5% increase related to the transfer of our fragrance business from a leased to an owned category; 
3/3/16
• Net sales to increase in the range of 6.5% to 7.5%; </t>
        </r>
      </text>
    </comment>
    <comment ref="E122" authorId="5">
      <text>
        <r>
          <rPr>
            <b/>
            <sz val="9"/>
            <color indexed="81"/>
            <rFont val="Tahoma"/>
            <family val="2"/>
          </rPr>
          <t>Baglione, Gregory  (Research):</t>
        </r>
        <r>
          <rPr>
            <sz val="9"/>
            <color indexed="81"/>
            <rFont val="Tahoma"/>
            <family val="2"/>
          </rPr>
          <t xml:space="preserve">
11/22/16
Turning to our guidance, we are raising our full-year 2016 outlook based on our very strong results from the first nine months. We now expect net
sales growth in the range of 8.4% to 8.7% and comparable sales stores to increase 3.9% to 4.2%.
Our comp sales guidance reflects an increase of 0.5% related to the transfer of our fragrance business from a leased to an owned model. As I
previously mentioned, we continue to expect other revenue and other income to decrease 15 basis points from the loss of lease income for the
fourth quarter in 2016.
8/25/16 
Net sales to increase in the range of 7.8% to 8.3%;
Comparable store sales to increase between 3.6% to 4.1%;
5/26/16
Updated guidance • Net sales now to increase in the range of 7.1% to 7.6%; 
• Comparable store sales now to increase between 3.0% to 3.5%, inclusive of a 0.5% increase related to the transfer of our fragrance business from a leased to an owned category;
3/3/16
• Comparable store sales to increase between 2.5% to 3.5%, inclusive of a 0.5% increase related to the transfer of our fragrance business from a leased to an owned category; </t>
        </r>
      </text>
    </comment>
    <comment ref="C125" authorId="5">
      <text>
        <r>
          <rPr>
            <b/>
            <sz val="9"/>
            <color indexed="81"/>
            <rFont val="Tahoma"/>
            <family val="2"/>
          </rPr>
          <t>Baglione, Gregory  (Research):</t>
        </r>
        <r>
          <rPr>
            <sz val="9"/>
            <color indexed="81"/>
            <rFont val="Tahoma"/>
            <family val="2"/>
          </rPr>
          <t xml:space="preserve">
3/3/16
• Net sales to increase in the range of 6.2% to 7.2%; </t>
        </r>
      </text>
    </comment>
    <comment ref="E125" authorId="1">
      <text>
        <r>
          <rPr>
            <b/>
            <sz val="9"/>
            <color indexed="81"/>
            <rFont val="Tahoma"/>
            <family val="2"/>
          </rPr>
          <t>Roberts, Cynthia (Research):</t>
        </r>
        <r>
          <rPr>
            <sz val="9"/>
            <color indexed="81"/>
            <rFont val="Tahoma"/>
            <family val="2"/>
          </rPr>
          <t xml:space="preserve">
3/2/17: Guidance: 1-2%; reflects impact of delay in processing of tax returns vs. LY</t>
        </r>
      </text>
    </comment>
    <comment ref="Y125" authorId="1">
      <text>
        <r>
          <rPr>
            <b/>
            <sz val="9"/>
            <color indexed="81"/>
            <rFont val="Tahoma"/>
            <family val="2"/>
          </rPr>
          <t>Roberts, Cynthia (Research):</t>
        </r>
        <r>
          <rPr>
            <sz val="9"/>
            <color indexed="81"/>
            <rFont val="Tahoma"/>
            <family val="2"/>
          </rPr>
          <t xml:space="preserve">
3/9/18: per management 2017 ending sq ft 45.7M and average store opening size 43,000 sq ft
per mgmt: 2017 average store opening size 45,000 sq ft</t>
        </r>
      </text>
    </comment>
    <comment ref="C126" authorId="1">
      <text>
        <r>
          <rPr>
            <b/>
            <sz val="9"/>
            <color indexed="81"/>
            <rFont val="Tahoma"/>
            <family val="2"/>
          </rPr>
          <t>Roberts, Cynthia (Research):</t>
        </r>
        <r>
          <rPr>
            <sz val="9"/>
            <color indexed="81"/>
            <rFont val="Tahoma"/>
            <family val="2"/>
          </rPr>
          <t xml:space="preserve">
5/25/17: Guidance 6.7%-7.7%</t>
        </r>
      </text>
    </comment>
    <comment ref="E126" authorId="1">
      <text>
        <r>
          <rPr>
            <b/>
            <sz val="9"/>
            <color indexed="81"/>
            <rFont val="Tahoma"/>
            <family val="2"/>
          </rPr>
          <t>Roberts, Cynthia (Research):</t>
        </r>
        <r>
          <rPr>
            <sz val="9"/>
            <color indexed="81"/>
            <rFont val="Tahoma"/>
            <family val="2"/>
          </rPr>
          <t xml:space="preserve">
5/25/17: Guidance 2-3%</t>
        </r>
      </text>
    </comment>
    <comment ref="Y126" authorId="1">
      <text>
        <r>
          <rPr>
            <b/>
            <sz val="9"/>
            <color indexed="81"/>
            <rFont val="Tahoma"/>
            <family val="2"/>
          </rPr>
          <t>Roberts, Cynthia (Research):</t>
        </r>
        <r>
          <rPr>
            <sz val="9"/>
            <color indexed="81"/>
            <rFont val="Tahoma"/>
            <family val="2"/>
          </rPr>
          <t xml:space="preserve">
3/9/18: per management 2017 ending sq ft 45.7M and average store opening size 43,000 sq ft
per mgmt: 2017 average store opening size 45,000 sq ft</t>
        </r>
      </text>
    </comment>
    <comment ref="C127" authorId="1">
      <text>
        <r>
          <rPr>
            <b/>
            <sz val="9"/>
            <color indexed="81"/>
            <rFont val="Tahoma"/>
            <family val="2"/>
          </rPr>
          <t>Roberts, Cynthia (Research):</t>
        </r>
        <r>
          <rPr>
            <sz val="9"/>
            <color indexed="81"/>
            <rFont val="Tahoma"/>
            <family val="2"/>
          </rPr>
          <t xml:space="preserve">
10/30/17: 3Q Preannouncement sales +7.1% 
8/24/17: Guidance 6.7-7.7%</t>
        </r>
      </text>
    </comment>
    <comment ref="E127" authorId="1">
      <text>
        <r>
          <rPr>
            <b/>
            <sz val="9"/>
            <color indexed="81"/>
            <rFont val="Tahoma"/>
            <family val="2"/>
          </rPr>
          <t>Roberts, Cynthia (Research):</t>
        </r>
        <r>
          <rPr>
            <sz val="9"/>
            <color indexed="81"/>
            <rFont val="Tahoma"/>
            <family val="2"/>
          </rPr>
          <t xml:space="preserve">
10/30/17:  3Q preannoucnement comps +3.1% 
8/24/17: Guidance 2-3%
</t>
        </r>
      </text>
    </comment>
    <comment ref="Y127" authorId="1">
      <text>
        <r>
          <rPr>
            <b/>
            <sz val="9"/>
            <color indexed="81"/>
            <rFont val="Tahoma"/>
            <family val="2"/>
          </rPr>
          <t>Roberts, Cynthia (Research):</t>
        </r>
        <r>
          <rPr>
            <sz val="9"/>
            <color indexed="81"/>
            <rFont val="Tahoma"/>
            <family val="2"/>
          </rPr>
          <t xml:space="preserve">
3/9/18: per management 2017 ending sq ft 45.7M and average store opening size 43,000 sq ft
11/21/17: Average store opening size was 44k for the qtr
per mgmt: 2017 average store opening size 45,000 sq ft</t>
        </r>
      </text>
    </comment>
    <comment ref="O128" authorId="7">
      <text>
        <r>
          <rPr>
            <b/>
            <sz val="9"/>
            <color indexed="81"/>
            <rFont val="Tahoma"/>
            <family val="2"/>
          </rPr>
          <t>Baglione, Gregory (Research):</t>
        </r>
        <r>
          <rPr>
            <sz val="9"/>
            <color indexed="81"/>
            <rFont val="Tahoma"/>
            <family val="2"/>
          </rPr>
          <t xml:space="preserve">
53rd week 4.4% revenue benefit in 4Q12; 1.4% for FY</t>
        </r>
      </text>
    </comment>
    <comment ref="Y128" authorId="1">
      <text>
        <r>
          <rPr>
            <b/>
            <sz val="9"/>
            <color indexed="81"/>
            <rFont val="Tahoma"/>
            <family val="2"/>
          </rPr>
          <t>Roberts, Cynthia (Research):</t>
        </r>
        <r>
          <rPr>
            <sz val="9"/>
            <color indexed="81"/>
            <rFont val="Tahoma"/>
            <family val="2"/>
          </rPr>
          <t xml:space="preserve">
4/10/18: Data provided in 2017 10-k
3/9/18: per management 2017 ending sq ft 45.7M and average store opening size 43,000 sq ft
per mgmt: 2017 average store opening size 45,000 sq ft</t>
        </r>
      </text>
    </comment>
    <comment ref="C129" authorId="1">
      <text>
        <r>
          <rPr>
            <b/>
            <sz val="9"/>
            <color indexed="81"/>
            <rFont val="Tahoma"/>
            <family val="2"/>
          </rPr>
          <t>Roberts, Cynthia (Research):</t>
        </r>
        <r>
          <rPr>
            <sz val="9"/>
            <color indexed="81"/>
            <rFont val="Tahoma"/>
            <family val="2"/>
          </rPr>
          <t xml:space="preserve">
3/2/17: Guidance +7.5-8.5%, including 1.4% benefit from the 53rd week</t>
        </r>
      </text>
    </comment>
    <comment ref="E129" authorId="1">
      <text>
        <r>
          <rPr>
            <b/>
            <sz val="9"/>
            <color indexed="81"/>
            <rFont val="Tahoma"/>
            <family val="2"/>
          </rPr>
          <t>Roberts, Cynthia (Research):</t>
        </r>
        <r>
          <rPr>
            <sz val="9"/>
            <color indexed="81"/>
            <rFont val="Tahoma"/>
            <family val="2"/>
          </rPr>
          <t xml:space="preserve">
5/25/17: 2-3% comps for the balance of the year, implying 1.6% -2.4%
3/2/17: Guidance: 2-3%</t>
        </r>
      </text>
    </comment>
    <comment ref="J132" authorId="1">
      <text>
        <r>
          <rPr>
            <b/>
            <sz val="9"/>
            <color indexed="81"/>
            <rFont val="Tahoma"/>
            <family val="2"/>
          </rPr>
          <t>Roberts, Cynthia (Research):</t>
        </r>
        <r>
          <rPr>
            <sz val="9"/>
            <color indexed="81"/>
            <rFont val="Tahoma"/>
            <family val="2"/>
          </rPr>
          <t xml:space="preserve">
3/8/18: plan to open 17 stores in March, 5 in April</t>
        </r>
      </text>
    </comment>
    <comment ref="Y132" authorId="1">
      <text>
        <r>
          <rPr>
            <b/>
            <sz val="9"/>
            <color indexed="81"/>
            <rFont val="Tahoma"/>
            <family val="2"/>
          </rPr>
          <t>Roberts, Cynthia (Research):</t>
        </r>
        <r>
          <rPr>
            <sz val="9"/>
            <color indexed="81"/>
            <rFont val="Tahoma"/>
            <family val="2"/>
          </rPr>
          <t xml:space="preserve">
per management 2018 openings average 45k sq ft</t>
        </r>
      </text>
    </comment>
    <comment ref="J133" authorId="1">
      <text>
        <r>
          <rPr>
            <b/>
            <sz val="9"/>
            <color indexed="81"/>
            <rFont val="Tahoma"/>
            <family val="2"/>
          </rPr>
          <t>Roberts, Cynthia (Research):</t>
        </r>
        <r>
          <rPr>
            <sz val="9"/>
            <color indexed="81"/>
            <rFont val="Tahoma"/>
            <family val="2"/>
          </rPr>
          <t xml:space="preserve">
3/9/18: plan to open 5 stores in May</t>
        </r>
      </text>
    </comment>
    <comment ref="Y133" authorId="1">
      <text>
        <r>
          <rPr>
            <b/>
            <sz val="9"/>
            <color indexed="81"/>
            <rFont val="Tahoma"/>
            <family val="2"/>
          </rPr>
          <t>Roberts, Cynthia (Research):</t>
        </r>
        <r>
          <rPr>
            <sz val="9"/>
            <color indexed="81"/>
            <rFont val="Tahoma"/>
            <family val="2"/>
          </rPr>
          <t xml:space="preserve">
per management 2018 openings average 45k sq ft</t>
        </r>
      </text>
    </comment>
    <comment ref="G134" authorId="1">
      <text>
        <r>
          <rPr>
            <b/>
            <sz val="9"/>
            <color indexed="81"/>
            <rFont val="Tahoma"/>
            <family val="2"/>
          </rPr>
          <t>Roberts, Cynthia (Research):</t>
        </r>
        <r>
          <rPr>
            <sz val="9"/>
            <color indexed="81"/>
            <rFont val="Tahoma"/>
            <family val="2"/>
          </rPr>
          <t xml:space="preserve">
Assumes revenue loss of ~$21M related to calendar shift, where the quarter loses calendar days equivalent to 2017 August Week 1 and gains calendar days equivalent to 2017 Novemeber Week 1.
We estimate August week 1 is 9% of 3Q ($130M) and November week 1 is 9% of of 4Q ($109M)
Assumes underlying +3% comp and +5% comp/total sales spread</t>
        </r>
      </text>
    </comment>
    <comment ref="J134" authorId="1">
      <text>
        <r>
          <rPr>
            <b/>
            <sz val="9"/>
            <color indexed="81"/>
            <rFont val="Tahoma"/>
            <family val="2"/>
          </rPr>
          <t>Roberts, Cynthia (Research):</t>
        </r>
        <r>
          <rPr>
            <sz val="9"/>
            <color indexed="81"/>
            <rFont val="Tahoma"/>
            <family val="2"/>
          </rPr>
          <t xml:space="preserve">
3/8/18: Plan to open balance of 60 new store plan in 2H, and close stores end of year</t>
        </r>
      </text>
    </comment>
    <comment ref="Y134" authorId="1">
      <text>
        <r>
          <rPr>
            <b/>
            <sz val="9"/>
            <color indexed="81"/>
            <rFont val="Tahoma"/>
            <family val="2"/>
          </rPr>
          <t>Roberts, Cynthia (Research):</t>
        </r>
        <r>
          <rPr>
            <sz val="9"/>
            <color indexed="81"/>
            <rFont val="Tahoma"/>
            <family val="2"/>
          </rPr>
          <t xml:space="preserve">
per management 2018 openings average 45k sq ft</t>
        </r>
      </text>
    </comment>
    <comment ref="G135" authorId="1">
      <text>
        <r>
          <rPr>
            <b/>
            <sz val="9"/>
            <color indexed="81"/>
            <rFont val="Tahoma"/>
            <family val="2"/>
          </rPr>
          <t>Roberts, Cynthia (Research):</t>
        </r>
        <r>
          <rPr>
            <sz val="9"/>
            <color indexed="81"/>
            <rFont val="Tahoma"/>
            <family val="2"/>
          </rPr>
          <t xml:space="preserve">
Reversal of 53rd week, quarter loses calendar days equivalent to 2017 November Week 1.
We estimate November week 1 is 9% of 4Q sales ($109M) 
Assumes underlying +3% comp and +5% comp/total sales spread</t>
        </r>
      </text>
    </comment>
    <comment ref="J135" authorId="1">
      <text>
        <r>
          <rPr>
            <b/>
            <sz val="9"/>
            <color indexed="81"/>
            <rFont val="Tahoma"/>
            <family val="2"/>
          </rPr>
          <t>Roberts, Cynthia (Research):</t>
        </r>
        <r>
          <rPr>
            <sz val="9"/>
            <color indexed="81"/>
            <rFont val="Tahoma"/>
            <family val="2"/>
          </rPr>
          <t xml:space="preserve">
3/8/18: Plan to open balance of 60 new store plan in 2H, and close stores end of year</t>
        </r>
      </text>
    </comment>
    <comment ref="Y135" authorId="1">
      <text>
        <r>
          <rPr>
            <b/>
            <sz val="9"/>
            <color indexed="81"/>
            <rFont val="Tahoma"/>
            <family val="2"/>
          </rPr>
          <t>Roberts, Cynthia (Research):</t>
        </r>
        <r>
          <rPr>
            <sz val="9"/>
            <color indexed="81"/>
            <rFont val="Tahoma"/>
            <family val="2"/>
          </rPr>
          <t xml:space="preserve">
per management 2018 openings average 45k sq ft</t>
        </r>
      </text>
    </comment>
  </commentList>
</comments>
</file>

<file path=xl/comments7.xml><?xml version="1.0" encoding="utf-8"?>
<comments xmlns="http://schemas.openxmlformats.org/spreadsheetml/2006/main">
  <authors>
    <author>balskyh</author>
  </authors>
  <commentList>
    <comment ref="R48" authorId="0">
      <text>
        <r>
          <rPr>
            <b/>
            <sz val="8"/>
            <color indexed="81"/>
            <rFont val="Tahoma"/>
            <family val="2"/>
          </rPr>
          <t>Note: do not have 1Q data; so based on 2Q-4Q</t>
        </r>
      </text>
    </comment>
  </commentList>
</comments>
</file>

<file path=xl/comments8.xml><?xml version="1.0" encoding="utf-8"?>
<comments xmlns="http://schemas.openxmlformats.org/spreadsheetml/2006/main">
  <authors>
    <author>granaosc</author>
    <author>Duol</author>
    <author>duol</author>
  </authors>
  <commentList>
    <comment ref="AG13" authorId="0">
      <text>
        <r>
          <rPr>
            <b/>
            <sz val="8"/>
            <color indexed="81"/>
            <rFont val="Tahoma"/>
            <family val="2"/>
          </rPr>
          <t>granaosc:</t>
        </r>
        <r>
          <rPr>
            <sz val="8"/>
            <color indexed="81"/>
            <rFont val="Tahoma"/>
            <family val="2"/>
          </rPr>
          <t xml:space="preserve">
12/8/13 Inventories: $843.1M</t>
        </r>
      </text>
    </comment>
    <comment ref="AI13" authorId="0">
      <text>
        <r>
          <rPr>
            <b/>
            <sz val="8"/>
            <color indexed="81"/>
            <rFont val="Tahoma"/>
            <family val="2"/>
          </rPr>
          <t>granaosc:</t>
        </r>
        <r>
          <rPr>
            <sz val="8"/>
            <color indexed="81"/>
            <rFont val="Tahoma"/>
            <family val="2"/>
          </rPr>
          <t xml:space="preserve">
12/8/13 Inventories: $826.8M</t>
        </r>
      </text>
    </comment>
    <comment ref="AG18" authorId="1">
      <text>
        <r>
          <rPr>
            <b/>
            <sz val="8"/>
            <color indexed="81"/>
            <rFont val="Tahoma"/>
            <family val="2"/>
          </rPr>
          <t>Co: 996.0</t>
        </r>
        <r>
          <rPr>
            <sz val="8"/>
            <color indexed="81"/>
            <rFont val="Tahoma"/>
            <family val="2"/>
          </rPr>
          <t xml:space="preserve">
</t>
        </r>
      </text>
    </comment>
    <comment ref="AI18" authorId="1">
      <text>
        <r>
          <rPr>
            <b/>
            <sz val="8"/>
            <color indexed="81"/>
            <rFont val="Tahoma"/>
            <family val="2"/>
          </rPr>
          <t>Co: 1007.7</t>
        </r>
        <r>
          <rPr>
            <sz val="8"/>
            <color indexed="81"/>
            <rFont val="Tahoma"/>
            <family val="2"/>
          </rPr>
          <t xml:space="preserve">
</t>
        </r>
      </text>
    </comment>
    <comment ref="AK18" authorId="1">
      <text>
        <r>
          <rPr>
            <b/>
            <sz val="8"/>
            <color indexed="81"/>
            <rFont val="Tahoma"/>
            <family val="2"/>
          </rPr>
          <t>Co: 1009.8</t>
        </r>
        <r>
          <rPr>
            <sz val="8"/>
            <color indexed="81"/>
            <rFont val="Tahoma"/>
            <family val="2"/>
          </rPr>
          <t xml:space="preserve">
</t>
        </r>
      </text>
    </comment>
    <comment ref="AM18" authorId="1">
      <text>
        <r>
          <rPr>
            <b/>
            <sz val="8"/>
            <color indexed="81"/>
            <rFont val="Tahoma"/>
            <family val="2"/>
          </rPr>
          <t>Co: 1002.4</t>
        </r>
        <r>
          <rPr>
            <sz val="8"/>
            <color indexed="81"/>
            <rFont val="Tahoma"/>
            <family val="2"/>
          </rPr>
          <t xml:space="preserve">
</t>
        </r>
      </text>
    </comment>
    <comment ref="AG22" authorId="1">
      <text>
        <r>
          <rPr>
            <sz val="8"/>
            <color indexed="81"/>
            <rFont val="Tahoma"/>
            <family val="2"/>
          </rPr>
          <t>Favorable Leases + Other Assets</t>
        </r>
        <r>
          <rPr>
            <sz val="8"/>
            <color indexed="81"/>
            <rFont val="Tahoma"/>
            <family val="2"/>
          </rPr>
          <t xml:space="preserve">
</t>
        </r>
      </text>
    </comment>
    <comment ref="AI22" authorId="1">
      <text>
        <r>
          <rPr>
            <sz val="8"/>
            <color indexed="81"/>
            <rFont val="Tahoma"/>
            <family val="2"/>
          </rPr>
          <t>Favorable Leases + Other Assets</t>
        </r>
        <r>
          <rPr>
            <sz val="8"/>
            <color indexed="81"/>
            <rFont val="Tahoma"/>
            <family val="2"/>
          </rPr>
          <t xml:space="preserve">
</t>
        </r>
      </text>
    </comment>
    <comment ref="AK22" authorId="1">
      <text>
        <r>
          <rPr>
            <sz val="8"/>
            <color indexed="81"/>
            <rFont val="Tahoma"/>
            <family val="2"/>
          </rPr>
          <t>Favorable Leases + Other Assets</t>
        </r>
        <r>
          <rPr>
            <sz val="8"/>
            <color indexed="81"/>
            <rFont val="Tahoma"/>
            <family val="2"/>
          </rPr>
          <t xml:space="preserve">
</t>
        </r>
      </text>
    </comment>
    <comment ref="AM22" authorId="1">
      <text>
        <r>
          <rPr>
            <sz val="8"/>
            <color indexed="81"/>
            <rFont val="Tahoma"/>
            <family val="2"/>
          </rPr>
          <t>Favorable Leases + Other Assets</t>
        </r>
        <r>
          <rPr>
            <sz val="8"/>
            <color indexed="81"/>
            <rFont val="Tahoma"/>
            <family val="2"/>
          </rPr>
          <t xml:space="preserve">
</t>
        </r>
      </text>
    </comment>
    <comment ref="AE40" authorId="2">
      <text>
        <r>
          <rPr>
            <b/>
            <sz val="8"/>
            <color indexed="81"/>
            <rFont val="Tahoma"/>
            <family val="2"/>
          </rPr>
          <t xml:space="preserve">9/16/13: 1076.2M </t>
        </r>
        <r>
          <rPr>
            <sz val="8"/>
            <color indexed="81"/>
            <rFont val="Tahoma"/>
            <family val="2"/>
          </rPr>
          <t>as of Aug 3, 2013 per S1</t>
        </r>
        <r>
          <rPr>
            <sz val="8"/>
            <color indexed="81"/>
            <rFont val="Tahoma"/>
            <family val="2"/>
          </rPr>
          <t xml:space="preserve">
</t>
        </r>
      </text>
    </comment>
    <comment ref="AE41" authorId="2">
      <text>
        <r>
          <rPr>
            <b/>
            <sz val="8"/>
            <color indexed="81"/>
            <rFont val="Tahoma"/>
            <family val="2"/>
          </rPr>
          <t xml:space="preserve">9/16/13: 185M after IPO </t>
        </r>
        <r>
          <rPr>
            <sz val="8"/>
            <color indexed="81"/>
            <rFont val="Tahoma"/>
            <family val="2"/>
          </rPr>
          <t>as of Aug 3, 2013 per S1</t>
        </r>
        <r>
          <rPr>
            <b/>
            <sz val="8"/>
            <color indexed="81"/>
            <rFont val="Tahoma"/>
            <family val="2"/>
          </rPr>
          <t xml:space="preserve">
</t>
        </r>
      </text>
    </comment>
    <comment ref="AC44" authorId="1">
      <text>
        <r>
          <rPr>
            <b/>
            <sz val="8"/>
            <color indexed="81"/>
            <rFont val="Tahoma"/>
            <family val="2"/>
          </rPr>
          <t>PLUG for balance</t>
        </r>
        <r>
          <rPr>
            <sz val="8"/>
            <color indexed="81"/>
            <rFont val="Tahoma"/>
            <family val="2"/>
          </rPr>
          <t xml:space="preserve">
</t>
        </r>
      </text>
    </comment>
    <comment ref="AE44" authorId="1">
      <text>
        <r>
          <rPr>
            <b/>
            <sz val="8"/>
            <color indexed="81"/>
            <rFont val="Tahoma"/>
            <family val="2"/>
          </rPr>
          <t xml:space="preserve">9/16/13: -447.9M POST IPO </t>
        </r>
        <r>
          <rPr>
            <sz val="8"/>
            <color indexed="81"/>
            <rFont val="Tahoma"/>
            <family val="2"/>
          </rPr>
          <t>as of Aug 3, 2013 per S1</t>
        </r>
        <r>
          <rPr>
            <b/>
            <sz val="8"/>
            <color indexed="81"/>
            <rFont val="Tahoma"/>
            <family val="2"/>
          </rPr>
          <t xml:space="preserve">
-1512.2M </t>
        </r>
        <r>
          <rPr>
            <sz val="8"/>
            <color indexed="81"/>
            <rFont val="Tahoma"/>
            <family val="2"/>
          </rPr>
          <t>as of Aug 3, 2013 per S1</t>
        </r>
        <r>
          <rPr>
            <b/>
            <sz val="8"/>
            <color indexed="81"/>
            <rFont val="Tahoma"/>
            <family val="2"/>
          </rPr>
          <t xml:space="preserve">
PLUG FOR BALANCE</t>
        </r>
      </text>
    </comment>
  </commentList>
</comments>
</file>

<file path=xl/comments9.xml><?xml version="1.0" encoding="utf-8"?>
<comments xmlns="http://schemas.openxmlformats.org/spreadsheetml/2006/main">
  <authors>
    <author>balskyh</author>
    <author>Baglione, Gregory  (Research)</author>
    <author>Turley, Amber (Research)</author>
    <author>DL</author>
    <author>granaosc</author>
    <author>Duol</author>
    <author>Roberts, Cynthia (Research)</author>
    <author>duol</author>
    <author>Mains, Spencer (Research)</author>
  </authors>
  <commentList>
    <comment ref="Q7" authorId="0">
      <text>
        <r>
          <rPr>
            <b/>
            <sz val="8"/>
            <color indexed="81"/>
            <rFont val="Tahoma"/>
            <family val="2"/>
          </rPr>
          <t>4/13/06-6/4/06 (successor) + 5/29/05-4/12/06 (predecessor)
(shown as separate statements in the 10K)</t>
        </r>
      </text>
    </comment>
    <comment ref="AI11" authorId="1">
      <text>
        <r>
          <rPr>
            <b/>
            <sz val="9"/>
            <color indexed="81"/>
            <rFont val="Tahoma"/>
            <family val="2"/>
          </rPr>
          <t>Baglione, Gregory  (Research):</t>
        </r>
        <r>
          <rPr>
            <sz val="9"/>
            <color indexed="81"/>
            <rFont val="Tahoma"/>
            <family val="2"/>
          </rPr>
          <t xml:space="preserve">
depreciation and amortization to approximate $158 million.</t>
        </r>
      </text>
    </comment>
    <comment ref="U18" authorId="0">
      <text>
        <r>
          <rPr>
            <sz val="8"/>
            <color indexed="81"/>
            <rFont val="Tahoma"/>
            <family val="2"/>
          </rPr>
          <t>Guidance</t>
        </r>
      </text>
    </comment>
    <comment ref="AG23" authorId="2">
      <text>
        <r>
          <rPr>
            <b/>
            <sz val="9"/>
            <color indexed="81"/>
            <rFont val="Tahoma"/>
            <family val="2"/>
          </rPr>
          <t>Turley, Amber (Research):</t>
        </r>
        <r>
          <rPr>
            <sz val="9"/>
            <color indexed="81"/>
            <rFont val="Tahoma"/>
            <family val="2"/>
          </rPr>
          <t xml:space="preserve">
excess tax benefit from stock based comp</t>
        </r>
      </text>
    </comment>
    <comment ref="AE27" authorId="3">
      <text>
        <r>
          <rPr>
            <b/>
            <sz val="9"/>
            <color indexed="81"/>
            <rFont val="Tahoma"/>
            <family val="2"/>
          </rPr>
          <t>insurance recoveries</t>
        </r>
        <r>
          <rPr>
            <sz val="9"/>
            <color indexed="81"/>
            <rFont val="Tahoma"/>
            <family val="2"/>
          </rPr>
          <t xml:space="preserve">
</t>
        </r>
      </text>
    </comment>
    <comment ref="AE31" authorId="4">
      <text>
        <r>
          <rPr>
            <b/>
            <sz val="8"/>
            <color indexed="81"/>
            <rFont val="Tahoma"/>
            <family val="2"/>
          </rPr>
          <t>granaosc:</t>
        </r>
        <r>
          <rPr>
            <sz val="8"/>
            <color indexed="81"/>
            <rFont val="Tahoma"/>
            <family val="2"/>
          </rPr>
          <t xml:space="preserve">
8/8/13:The company expects ~$178M CapEx.</t>
        </r>
      </text>
    </comment>
    <comment ref="AG31" authorId="4">
      <text>
        <r>
          <rPr>
            <b/>
            <sz val="8"/>
            <color indexed="81"/>
            <rFont val="Tahoma"/>
            <family val="2"/>
          </rPr>
          <t xml:space="preserve">6/10/14: </t>
        </r>
        <r>
          <rPr>
            <sz val="8"/>
            <color indexed="81"/>
            <rFont val="Tahoma"/>
            <family val="2"/>
          </rPr>
          <t xml:space="preserve">We expect 2014 net Capital Expenditures of approximately 180 million net of 40 million of landlord allowances. This includes approximately 75 million for store expenditures and approximately 35 million to support continued distribution facility enhancements. We expect to use the remaining capital to support information technology and other initiatives including approximately 40 million related to the construction of our new corporate headquarters.
</t>
        </r>
        <r>
          <rPr>
            <b/>
            <sz val="8"/>
            <color indexed="81"/>
            <rFont val="Tahoma"/>
            <family val="2"/>
          </rPr>
          <t>9/8/13:</t>
        </r>
        <r>
          <rPr>
            <sz val="8"/>
            <color indexed="81"/>
            <rFont val="Tahoma"/>
            <family val="2"/>
          </rPr>
          <t xml:space="preserve"> reiterated </t>
        </r>
      </text>
    </comment>
    <comment ref="AI31" authorId="4">
      <text>
        <r>
          <rPr>
            <b/>
            <sz val="8"/>
            <color indexed="81"/>
            <rFont val="Tahoma"/>
            <family val="2"/>
          </rPr>
          <t xml:space="preserve">turleamb: </t>
        </r>
        <r>
          <rPr>
            <sz val="8"/>
            <color indexed="81"/>
            <rFont val="Tahoma"/>
            <family val="2"/>
          </rPr>
          <t xml:space="preserve">Guidance: $150-$160M net of $40M in tenant allowances. </t>
        </r>
        <r>
          <rPr>
            <b/>
            <sz val="8"/>
            <color indexed="81"/>
            <rFont val="Tahoma"/>
            <family val="2"/>
          </rPr>
          <t xml:space="preserve">
granaosc:</t>
        </r>
        <r>
          <rPr>
            <sz val="8"/>
            <color indexed="81"/>
            <rFont val="Tahoma"/>
            <family val="2"/>
          </rPr>
          <t xml:space="preserve">
8/8/13:The company expects ~$147M CapEx.
11/24/15
Gudiance $160M
</t>
        </r>
      </text>
    </comment>
    <comment ref="AK31" authorId="4">
      <text>
        <r>
          <rPr>
            <sz val="8"/>
            <color indexed="81"/>
            <rFont val="Tahoma"/>
            <family val="2"/>
          </rPr>
          <t xml:space="preserve">
11/22/16
We expect net capital expenditures to be approximately $160 million, and depreciation and amortization, exclusive of favorable lease amortization, to be approximately $160 million.
8/8/13:The company expects ~$145M CapEx.
11/24/15
Expect CapEx to be down slightly y/y
3/3/16
$145-150M Capex
$90M Stores
$20M Distribribution/SC
Remainder IT expense</t>
        </r>
      </text>
    </comment>
    <comment ref="AM31" authorId="4">
      <text>
        <r>
          <rPr>
            <b/>
            <sz val="8"/>
            <color indexed="81"/>
            <rFont val="Tahoma"/>
            <family val="2"/>
          </rPr>
          <t xml:space="preserve">8/24/17: 210-215M
3/2/17: </t>
        </r>
        <r>
          <rPr>
            <sz val="8"/>
            <color indexed="81"/>
            <rFont val="Tahoma"/>
            <family val="2"/>
          </rPr>
          <t>Guidance: $200M,</t>
        </r>
        <r>
          <rPr>
            <b/>
            <sz val="8"/>
            <color indexed="81"/>
            <rFont val="Tahoma"/>
            <family val="2"/>
          </rPr>
          <t xml:space="preserve">
granaosc:</t>
        </r>
        <r>
          <rPr>
            <sz val="8"/>
            <color indexed="81"/>
            <rFont val="Tahoma"/>
            <family val="2"/>
          </rPr>
          <t xml:space="preserve">
8/8/13:The company expects ~$139M CapEx.</t>
        </r>
      </text>
    </comment>
    <comment ref="Q45" authorId="0">
      <text>
        <r>
          <rPr>
            <sz val="8"/>
            <color indexed="81"/>
            <rFont val="Tahoma"/>
            <family val="2"/>
          </rPr>
          <t>Includes Investments</t>
        </r>
      </text>
    </comment>
    <comment ref="S45" authorId="0">
      <text>
        <r>
          <rPr>
            <sz val="8"/>
            <color indexed="81"/>
            <rFont val="Tahoma"/>
            <family val="2"/>
          </rPr>
          <t>Includes Investments</t>
        </r>
      </text>
    </comment>
    <comment ref="AC45" authorId="5">
      <text>
        <r>
          <rPr>
            <b/>
            <sz val="8"/>
            <color indexed="81"/>
            <rFont val="Tahoma"/>
            <family val="2"/>
          </rPr>
          <t>to match Co's net working captical forecasts</t>
        </r>
        <r>
          <rPr>
            <sz val="8"/>
            <color indexed="81"/>
            <rFont val="Tahoma"/>
            <family val="2"/>
          </rPr>
          <t xml:space="preserve">
</t>
        </r>
      </text>
    </comment>
    <comment ref="AG45" authorId="5">
      <text>
        <r>
          <rPr>
            <b/>
            <sz val="8"/>
            <color indexed="81"/>
            <rFont val="Tahoma"/>
            <family val="2"/>
          </rPr>
          <t>to match Co's net working captical forecasts</t>
        </r>
        <r>
          <rPr>
            <sz val="8"/>
            <color indexed="81"/>
            <rFont val="Tahoma"/>
            <family val="2"/>
          </rPr>
          <t xml:space="preserve">
</t>
        </r>
      </text>
    </comment>
    <comment ref="AI45" authorId="5">
      <text>
        <r>
          <rPr>
            <b/>
            <sz val="8"/>
            <color indexed="81"/>
            <rFont val="Tahoma"/>
            <family val="2"/>
          </rPr>
          <t>to match Co's net working captical forecasts</t>
        </r>
        <r>
          <rPr>
            <sz val="8"/>
            <color indexed="81"/>
            <rFont val="Tahoma"/>
            <family val="2"/>
          </rPr>
          <t xml:space="preserve">
</t>
        </r>
      </text>
    </comment>
    <comment ref="AK45" authorId="5">
      <text>
        <r>
          <rPr>
            <b/>
            <sz val="8"/>
            <color indexed="81"/>
            <rFont val="Tahoma"/>
            <family val="2"/>
          </rPr>
          <t>to match Co's net working captical forecasts</t>
        </r>
        <r>
          <rPr>
            <sz val="8"/>
            <color indexed="81"/>
            <rFont val="Tahoma"/>
            <family val="2"/>
          </rPr>
          <t xml:space="preserve">
</t>
        </r>
      </text>
    </comment>
    <comment ref="AM45" authorId="5">
      <text>
        <r>
          <rPr>
            <b/>
            <sz val="8"/>
            <color indexed="81"/>
            <rFont val="Tahoma"/>
            <family val="2"/>
          </rPr>
          <t>to match Co's net working captical forecasts</t>
        </r>
        <r>
          <rPr>
            <sz val="8"/>
            <color indexed="81"/>
            <rFont val="Tahoma"/>
            <family val="2"/>
          </rPr>
          <t xml:space="preserve">
</t>
        </r>
      </text>
    </comment>
    <comment ref="AO45" authorId="5">
      <text>
        <r>
          <rPr>
            <b/>
            <sz val="8"/>
            <color indexed="81"/>
            <rFont val="Tahoma"/>
            <family val="2"/>
          </rPr>
          <t>to match Co's net working captical forecasts</t>
        </r>
        <r>
          <rPr>
            <sz val="8"/>
            <color indexed="81"/>
            <rFont val="Tahoma"/>
            <family val="2"/>
          </rPr>
          <t xml:space="preserve">
</t>
        </r>
      </text>
    </comment>
    <comment ref="AQ45" authorId="5">
      <text>
        <r>
          <rPr>
            <b/>
            <sz val="8"/>
            <color indexed="81"/>
            <rFont val="Tahoma"/>
            <family val="2"/>
          </rPr>
          <t>to match Co's net working captical forecasts</t>
        </r>
        <r>
          <rPr>
            <sz val="8"/>
            <color indexed="81"/>
            <rFont val="Tahoma"/>
            <family val="2"/>
          </rPr>
          <t xml:space="preserve">
</t>
        </r>
      </text>
    </comment>
    <comment ref="AS45" authorId="5">
      <text>
        <r>
          <rPr>
            <b/>
            <sz val="8"/>
            <color indexed="81"/>
            <rFont val="Tahoma"/>
            <family val="2"/>
          </rPr>
          <t>to match Co's net working captical forecasts</t>
        </r>
        <r>
          <rPr>
            <sz val="8"/>
            <color indexed="81"/>
            <rFont val="Tahoma"/>
            <family val="2"/>
          </rPr>
          <t xml:space="preserve">
</t>
        </r>
      </text>
    </comment>
    <comment ref="AU45" authorId="5">
      <text>
        <r>
          <rPr>
            <b/>
            <sz val="8"/>
            <color indexed="81"/>
            <rFont val="Tahoma"/>
            <family val="2"/>
          </rPr>
          <t>to match Co's net working captical forecasts</t>
        </r>
        <r>
          <rPr>
            <sz val="8"/>
            <color indexed="81"/>
            <rFont val="Tahoma"/>
            <family val="2"/>
          </rPr>
          <t xml:space="preserve">
</t>
        </r>
      </text>
    </comment>
    <comment ref="AW45" authorId="5">
      <text>
        <r>
          <rPr>
            <b/>
            <sz val="8"/>
            <color indexed="81"/>
            <rFont val="Tahoma"/>
            <family val="2"/>
          </rPr>
          <t>to match Co's net working captical forecasts</t>
        </r>
        <r>
          <rPr>
            <sz val="8"/>
            <color indexed="81"/>
            <rFont val="Tahoma"/>
            <family val="2"/>
          </rPr>
          <t xml:space="preserve">
</t>
        </r>
      </text>
    </comment>
    <comment ref="AK53" authorId="6">
      <text>
        <r>
          <rPr>
            <b/>
            <sz val="9"/>
            <color indexed="81"/>
            <rFont val="Tahoma"/>
            <family val="2"/>
          </rPr>
          <t>Roberts, Cynthia (Research):</t>
        </r>
        <r>
          <rPr>
            <sz val="9"/>
            <color indexed="81"/>
            <rFont val="Tahoma"/>
            <family val="2"/>
          </rPr>
          <t xml:space="preserve">
B-4 loans, B-3 loans, other financing activities</t>
        </r>
      </text>
    </comment>
    <comment ref="AC54" authorId="7">
      <text>
        <r>
          <rPr>
            <b/>
            <sz val="8"/>
            <color indexed="81"/>
            <rFont val="Tahoma"/>
            <family val="2"/>
          </rPr>
          <t>PLUG to get yr end cash balance</t>
        </r>
        <r>
          <rPr>
            <sz val="8"/>
            <color indexed="81"/>
            <rFont val="Tahoma"/>
            <family val="2"/>
          </rPr>
          <t xml:space="preserve">
</t>
        </r>
      </text>
    </comment>
    <comment ref="AE55" authorId="4">
      <text>
        <r>
          <rPr>
            <sz val="8"/>
            <color indexed="81"/>
            <rFont val="Tahoma"/>
            <family val="2"/>
          </rPr>
          <t>Term Loan + Capital Lease+Senior Notes
Holdco Note had net zero cash impact. Initial proceeds used to pay dividend to Bain. Net IPO proceeds used to pay down debt.</t>
        </r>
        <r>
          <rPr>
            <b/>
            <sz val="8"/>
            <color indexed="81"/>
            <rFont val="Tahoma"/>
            <family val="2"/>
          </rPr>
          <t xml:space="preserve">
granaosc:</t>
        </r>
        <r>
          <rPr>
            <sz val="8"/>
            <color indexed="81"/>
            <rFont val="Tahoma"/>
            <family val="2"/>
          </rPr>
          <t xml:space="preserve">
8/12/13: Mandatory payments: </t>
        </r>
      </text>
    </comment>
    <comment ref="AG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I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K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M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O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Q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S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U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W55" authorId="4">
      <text>
        <r>
          <rPr>
            <sz val="8"/>
            <color indexed="81"/>
            <rFont val="Tahoma"/>
            <family val="2"/>
          </rPr>
          <t>Term Loan + Capital Lease+Senior Notes+Holdco Note</t>
        </r>
        <r>
          <rPr>
            <b/>
            <sz val="8"/>
            <color indexed="81"/>
            <rFont val="Tahoma"/>
            <family val="2"/>
          </rPr>
          <t xml:space="preserve">
granaosc:</t>
        </r>
        <r>
          <rPr>
            <sz val="8"/>
            <color indexed="81"/>
            <rFont val="Tahoma"/>
            <family val="2"/>
          </rPr>
          <t xml:space="preserve">
8/12/13: Mandatory payments: </t>
        </r>
      </text>
    </comment>
    <comment ref="AE56" authorId="3">
      <text>
        <r>
          <rPr>
            <b/>
            <sz val="9"/>
            <color indexed="81"/>
            <rFont val="Tahoma"/>
            <family val="2"/>
          </rPr>
          <t>3/20/14: -offering cost</t>
        </r>
        <r>
          <rPr>
            <sz val="9"/>
            <color indexed="81"/>
            <rFont val="Tahoma"/>
            <family val="2"/>
          </rPr>
          <t xml:space="preserve">
</t>
        </r>
      </text>
    </comment>
    <comment ref="AE58" authorId="4">
      <text>
        <r>
          <rPr>
            <b/>
            <sz val="8"/>
            <color indexed="81"/>
            <rFont val="Tahoma"/>
            <family val="2"/>
          </rPr>
          <t>granaosc:</t>
        </r>
        <r>
          <rPr>
            <sz val="8"/>
            <color indexed="81"/>
            <rFont val="Tahoma"/>
            <family val="2"/>
          </rPr>
          <t xml:space="preserve">
8/12/13: Transaction cashflow and stock $40M</t>
        </r>
      </text>
    </comment>
    <comment ref="AG58" authorId="8">
      <text>
        <r>
          <rPr>
            <b/>
            <sz val="9"/>
            <color indexed="81"/>
            <rFont val="Tahoma"/>
            <family val="2"/>
          </rPr>
          <t>Mains, Spencer (Research):</t>
        </r>
        <r>
          <rPr>
            <sz val="9"/>
            <color indexed="81"/>
            <rFont val="Tahoma"/>
            <family val="2"/>
          </rPr>
          <t xml:space="preserve">
Proceeds from stock option exercise</t>
        </r>
      </text>
    </comment>
    <comment ref="AK78" authorId="5">
      <text>
        <r>
          <rPr>
            <b/>
            <sz val="8"/>
            <color indexed="81"/>
            <rFont val="Tahoma"/>
            <family val="2"/>
          </rPr>
          <t>Manual adj to come to projected Net PP&amp;E number</t>
        </r>
      </text>
    </comment>
    <comment ref="AM78" authorId="5">
      <text>
        <r>
          <rPr>
            <b/>
            <sz val="8"/>
            <color indexed="81"/>
            <rFont val="Tahoma"/>
            <family val="2"/>
          </rPr>
          <t>Manual adj to come to projected Net PP&amp;E number</t>
        </r>
      </text>
    </comment>
    <comment ref="AO78" authorId="5">
      <text>
        <r>
          <rPr>
            <b/>
            <sz val="8"/>
            <color indexed="81"/>
            <rFont val="Tahoma"/>
            <family val="2"/>
          </rPr>
          <t>Manual adj to come to projected Net PP&amp;E number</t>
        </r>
      </text>
    </comment>
    <comment ref="AQ78" authorId="5">
      <text>
        <r>
          <rPr>
            <b/>
            <sz val="8"/>
            <color indexed="81"/>
            <rFont val="Tahoma"/>
            <family val="2"/>
          </rPr>
          <t>Manual adj to come to projected Net PP&amp;E number</t>
        </r>
      </text>
    </comment>
    <comment ref="AS78" authorId="5">
      <text>
        <r>
          <rPr>
            <b/>
            <sz val="8"/>
            <color indexed="81"/>
            <rFont val="Tahoma"/>
            <family val="2"/>
          </rPr>
          <t>Manual adj to come to projected Net PP&amp;E number</t>
        </r>
      </text>
    </comment>
    <comment ref="AU78" authorId="5">
      <text>
        <r>
          <rPr>
            <b/>
            <sz val="8"/>
            <color indexed="81"/>
            <rFont val="Tahoma"/>
            <family val="2"/>
          </rPr>
          <t>Manual adj to come to projected Net PP&amp;E number</t>
        </r>
      </text>
    </comment>
    <comment ref="AW78" authorId="5">
      <text>
        <r>
          <rPr>
            <b/>
            <sz val="8"/>
            <color indexed="81"/>
            <rFont val="Tahoma"/>
            <family val="2"/>
          </rPr>
          <t>Manual adj to come to projected Net PP&amp;E number</t>
        </r>
      </text>
    </comment>
  </commentList>
</comments>
</file>

<file path=xl/comments10.xml><?xml version="1.0" encoding="utf-8"?>
<comments xmlns="http://schemas.openxmlformats.org/spreadsheetml/2006/main">
  <authors>
    <author>balskyh</author>
    <author>DL</author>
    <author>Baglione, Gregory  (Research)</author>
    <author>Roberts, Cynthia (Research)</author>
    <author>Turley, Amber (Research)</author>
    <author>Baglione, Gregory (Research)</author>
    <author>duol</author>
  </authors>
  <commentList>
    <comment ref="D10" authorId="0">
      <text>
        <r>
          <rPr>
            <sz val="8"/>
            <color indexed="81"/>
            <rFont val="Tahoma"/>
            <family val="2"/>
          </rPr>
          <t>Qtr end Aug 31</t>
        </r>
      </text>
    </comment>
    <comment ref="H10" authorId="0">
      <text>
        <r>
          <rPr>
            <sz val="8"/>
            <color indexed="81"/>
            <rFont val="Tahoma"/>
            <family val="2"/>
          </rPr>
          <t>Qtr end Aug 31</t>
        </r>
      </text>
    </comment>
    <comment ref="L10" authorId="0">
      <text>
        <r>
          <rPr>
            <sz val="8"/>
            <color indexed="81"/>
            <rFont val="Tahoma"/>
            <family val="2"/>
          </rPr>
          <t>Qtr end Aug 31</t>
        </r>
      </text>
    </comment>
    <comment ref="P10" authorId="0">
      <text>
        <r>
          <rPr>
            <sz val="8"/>
            <color indexed="81"/>
            <rFont val="Tahoma"/>
            <family val="2"/>
          </rPr>
          <t>Qtr end Aug 31</t>
        </r>
      </text>
    </comment>
    <comment ref="T10" authorId="0">
      <text>
        <r>
          <rPr>
            <sz val="8"/>
            <color indexed="81"/>
            <rFont val="Tahoma"/>
            <family val="2"/>
          </rPr>
          <t>Qtr end Aug 31</t>
        </r>
      </text>
    </comment>
    <comment ref="X10" authorId="0">
      <text>
        <r>
          <rPr>
            <sz val="8"/>
            <color indexed="81"/>
            <rFont val="Tahoma"/>
            <family val="2"/>
          </rPr>
          <t>Qtr end Aug 31</t>
        </r>
      </text>
    </comment>
    <comment ref="AZ10" authorId="1">
      <text>
        <r>
          <rPr>
            <b/>
            <sz val="9"/>
            <color indexed="81"/>
            <rFont val="Tahoma"/>
            <family val="2"/>
          </rPr>
          <t xml:space="preserve">6/10/14: </t>
        </r>
        <r>
          <rPr>
            <sz val="9"/>
            <color indexed="81"/>
            <rFont val="Tahoma"/>
            <family val="2"/>
          </rPr>
          <t xml:space="preserve">Ending inventory included approximately $161.8 million related to pack and hold purchases vs. approximately $137.2 million last year, representing 23% of inventory versus 19% last year. Comparable store inventory decreased 11.3% compared with the end of the first quarter last year
</t>
        </r>
      </text>
    </comment>
    <comment ref="BD10" authorId="1">
      <text>
        <r>
          <rPr>
            <b/>
            <sz val="9"/>
            <color indexed="81"/>
            <rFont val="Tahoma"/>
            <family val="2"/>
          </rPr>
          <t xml:space="preserve">6/10/14: </t>
        </r>
        <r>
          <rPr>
            <sz val="9"/>
            <color indexed="81"/>
            <rFont val="Tahoma"/>
            <family val="2"/>
          </rPr>
          <t xml:space="preserve">Ending inventory included approximately $161.8 million related to pack and hold purchases vs. approximately $137.2 million last year, representing 23% of inventory versus 19% last year. Comparable store inventory decreased 11.3% compared with the end of the first quarter last year
</t>
        </r>
      </text>
    </comment>
    <comment ref="BI10" authorId="2">
      <text>
        <r>
          <rPr>
            <b/>
            <sz val="9"/>
            <color indexed="81"/>
            <rFont val="Tahoma"/>
            <family val="2"/>
          </rPr>
          <t>Baglione, Gregory  (Research):</t>
        </r>
        <r>
          <rPr>
            <sz val="9"/>
            <color indexed="81"/>
            <rFont val="Tahoma"/>
            <family val="2"/>
          </rPr>
          <t xml:space="preserve">
5/26/16
• Merchandise inventories were $804.7 million vs. $822.3 million last year, primarily driven by a comparable store inventory decrease of 9%. Pack and hold inventory represented 28% of inventory at quarter end versus 26% last year. </t>
        </r>
      </text>
    </comment>
    <comment ref="BM10" authorId="3">
      <text>
        <r>
          <rPr>
            <b/>
            <sz val="9"/>
            <color indexed="81"/>
            <rFont val="Tahoma"/>
            <family val="2"/>
          </rPr>
          <t>Roberts, Cynthia (Research):</t>
        </r>
        <r>
          <rPr>
            <sz val="9"/>
            <color indexed="81"/>
            <rFont val="Tahoma"/>
            <family val="2"/>
          </rPr>
          <t xml:space="preserve">
5/25/17: -7% in comparable store, inventory, pack and hold 26%</t>
        </r>
      </text>
    </comment>
    <comment ref="D11" authorId="0">
      <text>
        <r>
          <rPr>
            <b/>
            <sz val="8"/>
            <color indexed="81"/>
            <rFont val="Tahoma"/>
            <family val="2"/>
          </rPr>
          <t>Qtr end Nov 30,</t>
        </r>
      </text>
    </comment>
    <comment ref="H11" authorId="0">
      <text>
        <r>
          <rPr>
            <b/>
            <sz val="8"/>
            <color indexed="81"/>
            <rFont val="Tahoma"/>
            <family val="2"/>
          </rPr>
          <t>Qtr end Nov 30,</t>
        </r>
      </text>
    </comment>
    <comment ref="L11" authorId="0">
      <text>
        <r>
          <rPr>
            <b/>
            <sz val="8"/>
            <color indexed="81"/>
            <rFont val="Tahoma"/>
            <family val="2"/>
          </rPr>
          <t>Qtr end Nov 30,</t>
        </r>
      </text>
    </comment>
    <comment ref="P11" authorId="0">
      <text>
        <r>
          <rPr>
            <b/>
            <sz val="8"/>
            <color indexed="81"/>
            <rFont val="Tahoma"/>
            <family val="2"/>
          </rPr>
          <t>Qtr end Nov 30,</t>
        </r>
      </text>
    </comment>
    <comment ref="T11" authorId="0">
      <text>
        <r>
          <rPr>
            <b/>
            <sz val="8"/>
            <color indexed="81"/>
            <rFont val="Tahoma"/>
            <family val="2"/>
          </rPr>
          <t>Qtr end Nov 30,</t>
        </r>
      </text>
    </comment>
    <comment ref="X11" authorId="0">
      <text>
        <r>
          <rPr>
            <b/>
            <sz val="8"/>
            <color indexed="81"/>
            <rFont val="Tahoma"/>
            <family val="2"/>
          </rPr>
          <t>Qtr end Nov 30,</t>
        </r>
      </text>
    </comment>
    <comment ref="BD11" authorId="2">
      <text>
        <r>
          <rPr>
            <b/>
            <sz val="9"/>
            <color indexed="81"/>
            <rFont val="Tahoma"/>
            <family val="2"/>
          </rPr>
          <t>Baglione, Gregory  (Research):</t>
        </r>
        <r>
          <rPr>
            <sz val="9"/>
            <color indexed="81"/>
            <rFont val="Tahoma"/>
            <family val="2"/>
          </rPr>
          <t xml:space="preserve">
8/27/15
Increase was primary driven by increased pack and hold inventory levels and new store inventory.
Comparable store inventory down 7%, comparable store inventory improved 13%</t>
        </r>
      </text>
    </comment>
    <comment ref="BI11" authorId="2">
      <text>
        <r>
          <rPr>
            <b/>
            <sz val="9"/>
            <color indexed="81"/>
            <rFont val="Tahoma"/>
            <family val="2"/>
          </rPr>
          <t>Baglione, Gregory  (Research):</t>
        </r>
        <r>
          <rPr>
            <sz val="9"/>
            <color indexed="81"/>
            <rFont val="Tahoma"/>
            <family val="2"/>
          </rPr>
          <t xml:space="preserve">
8/25/16
Merchandise inventories were $745.0 million vs. $802.3 million last year, primarily driven by a comparable store inventory decrease of 7%. Pack and hold inventory represented 27% of inventory at quarter end vs. 28% last year.</t>
        </r>
      </text>
    </comment>
    <comment ref="BM11" authorId="3">
      <text>
        <r>
          <rPr>
            <b/>
            <sz val="9"/>
            <color indexed="81"/>
            <rFont val="Tahoma"/>
            <family val="2"/>
          </rPr>
          <t>Roberts, Cynthia (Research):</t>
        </r>
        <r>
          <rPr>
            <sz val="9"/>
            <color indexed="81"/>
            <rFont val="Tahoma"/>
            <family val="2"/>
          </rPr>
          <t xml:space="preserve">
8/24/17: -8% comparable store inventory; packaway 27%
iventory 91+ days down y/y</t>
        </r>
      </text>
    </comment>
    <comment ref="D12" authorId="0">
      <text>
        <r>
          <rPr>
            <b/>
            <sz val="8"/>
            <color indexed="81"/>
            <rFont val="Tahoma"/>
            <family val="2"/>
          </rPr>
          <t>Qtr end Feb 28</t>
        </r>
      </text>
    </comment>
    <comment ref="H12" authorId="0">
      <text>
        <r>
          <rPr>
            <b/>
            <sz val="8"/>
            <color indexed="81"/>
            <rFont val="Tahoma"/>
            <family val="2"/>
          </rPr>
          <t>Qtr end Feb 28</t>
        </r>
      </text>
    </comment>
    <comment ref="L12" authorId="0">
      <text>
        <r>
          <rPr>
            <b/>
            <sz val="8"/>
            <color indexed="81"/>
            <rFont val="Tahoma"/>
            <family val="2"/>
          </rPr>
          <t>Qtr end Feb 28</t>
        </r>
      </text>
    </comment>
    <comment ref="P12" authorId="0">
      <text>
        <r>
          <rPr>
            <b/>
            <sz val="8"/>
            <color indexed="81"/>
            <rFont val="Tahoma"/>
            <family val="2"/>
          </rPr>
          <t>Qtr end Feb 28</t>
        </r>
      </text>
    </comment>
    <comment ref="T12" authorId="0">
      <text>
        <r>
          <rPr>
            <b/>
            <sz val="8"/>
            <color indexed="81"/>
            <rFont val="Tahoma"/>
            <family val="2"/>
          </rPr>
          <t>Qtr end Feb 28</t>
        </r>
      </text>
    </comment>
    <comment ref="X12" authorId="0">
      <text>
        <r>
          <rPr>
            <b/>
            <sz val="8"/>
            <color indexed="81"/>
            <rFont val="Tahoma"/>
            <family val="2"/>
          </rPr>
          <t>Qtr end Feb 28</t>
        </r>
      </text>
    </comment>
    <comment ref="AZ12" authorId="4">
      <text>
        <r>
          <rPr>
            <b/>
            <sz val="9"/>
            <color indexed="81"/>
            <rFont val="Tahoma"/>
            <family val="2"/>
          </rPr>
          <t>Turley, Amber (Research):</t>
        </r>
        <r>
          <rPr>
            <sz val="9"/>
            <color indexed="81"/>
            <rFont val="Tahoma"/>
            <family val="2"/>
          </rPr>
          <t xml:space="preserve">
inventory decrease primarily driven by comparable store decrease of 13.7% as part of the company's ongoing initiatives to reduce inventory levels, increase inventory turnover and ultimately drive incremental sales through improved product offerings. This decrease was partially offset by a $50.4m increase in pack and hold purchases and inventory related to the opening of 18 net new stores since the end of 3QLY. Pack and hold inventory represented 18% of total inventory at the end of 3Q vs. 12% LY. </t>
        </r>
      </text>
    </comment>
    <comment ref="BD12" authorId="2">
      <text>
        <r>
          <rPr>
            <b/>
            <sz val="9"/>
            <color indexed="81"/>
            <rFont val="Tahoma"/>
            <family val="2"/>
          </rPr>
          <t>Baglione, Gregory  (Research):</t>
        </r>
        <r>
          <rPr>
            <sz val="9"/>
            <color indexed="81"/>
            <rFont val="Tahoma"/>
            <family val="2"/>
          </rPr>
          <t xml:space="preserve">
14% packaway TY vs. 12% LY</t>
        </r>
      </text>
    </comment>
    <comment ref="BI12" authorId="5">
      <text>
        <r>
          <rPr>
            <b/>
            <sz val="9"/>
            <color indexed="81"/>
            <rFont val="Tahoma"/>
            <family val="2"/>
          </rPr>
          <t>Baglione, Gregory (Research):</t>
        </r>
        <r>
          <rPr>
            <sz val="9"/>
            <color indexed="81"/>
            <rFont val="Tahoma"/>
            <family val="2"/>
          </rPr>
          <t xml:space="preserve">
packaway 12% of inventory</t>
        </r>
      </text>
    </comment>
    <comment ref="BM12" authorId="3">
      <text>
        <r>
          <rPr>
            <b/>
            <sz val="9"/>
            <color indexed="81"/>
            <rFont val="Tahoma"/>
            <family val="2"/>
          </rPr>
          <t>Roberts, Cynthia (Research):</t>
        </r>
        <r>
          <rPr>
            <sz val="9"/>
            <color indexed="81"/>
            <rFont val="Tahoma"/>
            <family val="2"/>
          </rPr>
          <t xml:space="preserve">
11/21/17: increase driven by greater pack and hold (15%) and inventory for store openings; comp inventory -2% </t>
        </r>
      </text>
    </comment>
    <comment ref="AW13" authorId="6">
      <text>
        <r>
          <rPr>
            <b/>
            <sz val="8"/>
            <color indexed="81"/>
            <rFont val="Tahoma"/>
            <family val="2"/>
          </rPr>
          <t>12/9/13: guidance</t>
        </r>
        <r>
          <rPr>
            <sz val="8"/>
            <color indexed="81"/>
            <rFont val="Tahoma"/>
            <family val="2"/>
          </rPr>
          <t xml:space="preserve"> expect comp inv to be lower yoy and overall inv to "take advantage of what's available in the mkt place"</t>
        </r>
        <r>
          <rPr>
            <sz val="8"/>
            <color indexed="81"/>
            <rFont val="Tahoma"/>
            <family val="2"/>
          </rPr>
          <t xml:space="preserve">
</t>
        </r>
      </text>
    </comment>
    <comment ref="AZ13" authorId="4">
      <text>
        <r>
          <rPr>
            <b/>
            <sz val="9"/>
            <color indexed="81"/>
            <rFont val="Tahoma"/>
            <family val="2"/>
          </rPr>
          <t>Turley, Amber (Research):</t>
        </r>
        <r>
          <rPr>
            <sz val="9"/>
            <color indexed="81"/>
            <rFont val="Tahoma"/>
            <family val="2"/>
          </rPr>
          <t xml:space="preserve">
3/17/15: The increase was primarily driven by a $72.9
million increase in pack and hold purchases and inventory related to the opening
of 21 net new stores in Fiscal 2014, partially offset by a comparable store
inventory decrease of 18% as a part of the Company`s ongoing inventory
management initiatives. Pack and hold inventory represented approximately 27% of
total inventory at year end vs. 18% last year.
</t>
        </r>
      </text>
    </comment>
    <comment ref="BD13" authorId="2">
      <text>
        <r>
          <rPr>
            <b/>
            <sz val="9"/>
            <color indexed="81"/>
            <rFont val="Tahoma"/>
            <family val="2"/>
          </rPr>
          <t>Baglione, Gregory  (Research):</t>
        </r>
        <r>
          <rPr>
            <sz val="9"/>
            <color indexed="81"/>
            <rFont val="Tahoma"/>
            <family val="2"/>
          </rPr>
          <t xml:space="preserve">
"~ $50 million of Easter receipts into Q4 of this year so that we can really capitalize on our Easter opportunity in Q1. But we still expect our comp store inventories to be down low to mid-single digits."
Pack and hold 25%</t>
        </r>
      </text>
    </comment>
    <comment ref="BM13" authorId="3">
      <text>
        <r>
          <rPr>
            <b/>
            <sz val="9"/>
            <color indexed="81"/>
            <rFont val="Tahoma"/>
            <family val="2"/>
          </rPr>
          <t>Roberts, Cynthia (Research):</t>
        </r>
        <r>
          <rPr>
            <sz val="9"/>
            <color indexed="81"/>
            <rFont val="Tahoma"/>
            <family val="2"/>
          </rPr>
          <t xml:space="preserve">
3/8/18: driven by inventory for 37 net new store openings, and an increase in pack &amp; hold from 23% to 25% </t>
        </r>
      </text>
    </comment>
    <comment ref="D16" authorId="0">
      <text>
        <r>
          <rPr>
            <b/>
            <sz val="8"/>
            <color indexed="81"/>
            <rFont val="Tahoma"/>
            <family val="2"/>
          </rPr>
          <t xml:space="preserve">Note: </t>
        </r>
        <r>
          <rPr>
            <sz val="8"/>
            <color indexed="81"/>
            <rFont val="Tahoma"/>
            <family val="2"/>
          </rPr>
          <t>excludes assets held for disposal &amp; restricted cash &amp; equivalents</t>
        </r>
      </text>
    </comment>
    <comment ref="H16" authorId="0">
      <text>
        <r>
          <rPr>
            <b/>
            <sz val="8"/>
            <color indexed="81"/>
            <rFont val="Tahoma"/>
            <family val="2"/>
          </rPr>
          <t xml:space="preserve">Note: </t>
        </r>
        <r>
          <rPr>
            <sz val="8"/>
            <color indexed="81"/>
            <rFont val="Tahoma"/>
            <family val="2"/>
          </rPr>
          <t>excludes assets held for disposal &amp; restricted cash &amp; equivalents</t>
        </r>
      </text>
    </comment>
    <comment ref="L16" authorId="0">
      <text>
        <r>
          <rPr>
            <b/>
            <sz val="8"/>
            <color indexed="81"/>
            <rFont val="Tahoma"/>
            <family val="2"/>
          </rPr>
          <t xml:space="preserve">Note: </t>
        </r>
        <r>
          <rPr>
            <sz val="8"/>
            <color indexed="81"/>
            <rFont val="Tahoma"/>
            <family val="2"/>
          </rPr>
          <t>excludes assets held for disposal &amp; restricted cash &amp; equivalents</t>
        </r>
      </text>
    </comment>
    <comment ref="P16" authorId="0">
      <text>
        <r>
          <rPr>
            <b/>
            <sz val="8"/>
            <color indexed="81"/>
            <rFont val="Tahoma"/>
            <family val="2"/>
          </rPr>
          <t xml:space="preserve">Note: </t>
        </r>
        <r>
          <rPr>
            <sz val="8"/>
            <color indexed="81"/>
            <rFont val="Tahoma"/>
            <family val="2"/>
          </rPr>
          <t>excludes assets held for disposal &amp; restricted cash &amp; equivalents</t>
        </r>
      </text>
    </comment>
    <comment ref="T16" authorId="0">
      <text>
        <r>
          <rPr>
            <b/>
            <sz val="8"/>
            <color indexed="81"/>
            <rFont val="Tahoma"/>
            <family val="2"/>
          </rPr>
          <t xml:space="preserve">Note: </t>
        </r>
        <r>
          <rPr>
            <sz val="8"/>
            <color indexed="81"/>
            <rFont val="Tahoma"/>
            <family val="2"/>
          </rPr>
          <t>excludes assets held for disposal &amp; restricted cash &amp; equivalents</t>
        </r>
      </text>
    </comment>
    <comment ref="X16" authorId="0">
      <text>
        <r>
          <rPr>
            <b/>
            <sz val="8"/>
            <color indexed="81"/>
            <rFont val="Tahoma"/>
            <family val="2"/>
          </rPr>
          <t xml:space="preserve">Note: </t>
        </r>
        <r>
          <rPr>
            <sz val="8"/>
            <color indexed="81"/>
            <rFont val="Tahoma"/>
            <family val="2"/>
          </rPr>
          <t>excludes assets held for disposal &amp; restricted cash &amp; equivalents</t>
        </r>
      </text>
    </comment>
    <comment ref="AB16" authorId="0">
      <text>
        <r>
          <rPr>
            <b/>
            <sz val="8"/>
            <color indexed="81"/>
            <rFont val="Tahoma"/>
            <family val="2"/>
          </rPr>
          <t xml:space="preserve">Note: </t>
        </r>
        <r>
          <rPr>
            <sz val="8"/>
            <color indexed="81"/>
            <rFont val="Tahoma"/>
            <family val="2"/>
          </rPr>
          <t>excludes assets held for disposal &amp; restricted cash &amp; equivalents</t>
        </r>
      </text>
    </comment>
    <comment ref="AF16" authorId="0">
      <text>
        <r>
          <rPr>
            <b/>
            <sz val="8"/>
            <color indexed="81"/>
            <rFont val="Tahoma"/>
            <family val="2"/>
          </rPr>
          <t xml:space="preserve">Note: </t>
        </r>
        <r>
          <rPr>
            <sz val="8"/>
            <color indexed="81"/>
            <rFont val="Tahoma"/>
            <family val="2"/>
          </rPr>
          <t>excludes assets held for disposal &amp; restricted cash &amp; equivalents</t>
        </r>
      </text>
    </comment>
    <comment ref="AJ16" authorId="0">
      <text>
        <r>
          <rPr>
            <b/>
            <sz val="8"/>
            <color indexed="81"/>
            <rFont val="Tahoma"/>
            <family val="2"/>
          </rPr>
          <t xml:space="preserve">Note: </t>
        </r>
        <r>
          <rPr>
            <sz val="8"/>
            <color indexed="81"/>
            <rFont val="Tahoma"/>
            <family val="2"/>
          </rPr>
          <t>excludes assets held for disposal &amp; restricted cash &amp; equivalents</t>
        </r>
      </text>
    </comment>
    <comment ref="AN16" authorId="0">
      <text>
        <r>
          <rPr>
            <b/>
            <sz val="8"/>
            <color indexed="81"/>
            <rFont val="Tahoma"/>
            <family val="2"/>
          </rPr>
          <t xml:space="preserve">Note: </t>
        </r>
        <r>
          <rPr>
            <sz val="8"/>
            <color indexed="81"/>
            <rFont val="Tahoma"/>
            <family val="2"/>
          </rPr>
          <t>excludes assets held for disposal &amp; restricted cash &amp; equivalents</t>
        </r>
      </text>
    </comment>
    <comment ref="AR16" authorId="0">
      <text>
        <r>
          <rPr>
            <b/>
            <sz val="8"/>
            <color indexed="81"/>
            <rFont val="Tahoma"/>
            <family val="2"/>
          </rPr>
          <t xml:space="preserve">Note: </t>
        </r>
        <r>
          <rPr>
            <sz val="8"/>
            <color indexed="81"/>
            <rFont val="Tahoma"/>
            <family val="2"/>
          </rPr>
          <t>excludes assets held for disposal &amp; restricted cash &amp; equivalents</t>
        </r>
      </text>
    </comment>
    <comment ref="AV16" authorId="0">
      <text>
        <r>
          <rPr>
            <b/>
            <sz val="8"/>
            <color indexed="81"/>
            <rFont val="Tahoma"/>
            <family val="2"/>
          </rPr>
          <t xml:space="preserve">6/10/14: </t>
        </r>
        <r>
          <rPr>
            <sz val="8"/>
            <color indexed="81"/>
            <rFont val="Tahoma"/>
            <family val="2"/>
          </rPr>
          <t>Acc. Receivable + Prepaid and other current asset</t>
        </r>
      </text>
    </comment>
    <comment ref="AZ16" authorId="0">
      <text>
        <r>
          <rPr>
            <b/>
            <sz val="8"/>
            <color indexed="81"/>
            <rFont val="Tahoma"/>
            <family val="2"/>
          </rPr>
          <t xml:space="preserve">6/10/14: </t>
        </r>
        <r>
          <rPr>
            <sz val="8"/>
            <color indexed="81"/>
            <rFont val="Tahoma"/>
            <family val="2"/>
          </rPr>
          <t>Acc. Receivable + Prepaid and other current asset</t>
        </r>
      </text>
    </comment>
    <comment ref="BD16" authorId="0">
      <text>
        <r>
          <rPr>
            <b/>
            <sz val="8"/>
            <color indexed="81"/>
            <rFont val="Tahoma"/>
            <family val="2"/>
          </rPr>
          <t xml:space="preserve">6/10/14: </t>
        </r>
        <r>
          <rPr>
            <sz val="8"/>
            <color indexed="81"/>
            <rFont val="Tahoma"/>
            <family val="2"/>
          </rPr>
          <t>Acc. Receivable + Prepaid and other current asset</t>
        </r>
      </text>
    </comment>
    <comment ref="BH16" authorId="2">
      <text>
        <r>
          <rPr>
            <b/>
            <sz val="9"/>
            <color indexed="81"/>
            <rFont val="Tahoma"/>
            <family val="2"/>
          </rPr>
          <t>Baglione, Gregory  (Research):</t>
        </r>
        <r>
          <rPr>
            <sz val="9"/>
            <color indexed="81"/>
            <rFont val="Tahoma"/>
            <family val="2"/>
          </rPr>
          <t xml:space="preserve">
5/26/16
Restated prepaid and other current assets</t>
        </r>
      </text>
    </comment>
    <comment ref="D17" authorId="0">
      <text>
        <r>
          <rPr>
            <b/>
            <sz val="8"/>
            <color indexed="81"/>
            <rFont val="Tahoma"/>
            <family val="2"/>
          </rPr>
          <t xml:space="preserve">Note: </t>
        </r>
        <r>
          <rPr>
            <sz val="8"/>
            <color indexed="81"/>
            <rFont val="Tahoma"/>
            <family val="2"/>
          </rPr>
          <t>excludes assets held for disposal &amp; restricted cash &amp; equivalents</t>
        </r>
      </text>
    </comment>
    <comment ref="H17" authorId="0">
      <text>
        <r>
          <rPr>
            <b/>
            <sz val="8"/>
            <color indexed="81"/>
            <rFont val="Tahoma"/>
            <family val="2"/>
          </rPr>
          <t xml:space="preserve">Note: </t>
        </r>
        <r>
          <rPr>
            <sz val="8"/>
            <color indexed="81"/>
            <rFont val="Tahoma"/>
            <family val="2"/>
          </rPr>
          <t>excludes assets held for disposal &amp; restricted cash &amp; equivalents</t>
        </r>
      </text>
    </comment>
    <comment ref="L17" authorId="0">
      <text>
        <r>
          <rPr>
            <b/>
            <sz val="8"/>
            <color indexed="81"/>
            <rFont val="Tahoma"/>
            <family val="2"/>
          </rPr>
          <t xml:space="preserve">Note: </t>
        </r>
        <r>
          <rPr>
            <sz val="8"/>
            <color indexed="81"/>
            <rFont val="Tahoma"/>
            <family val="2"/>
          </rPr>
          <t>excludes assets held for disposal &amp; restricted cash &amp; equivalents</t>
        </r>
      </text>
    </comment>
    <comment ref="P17" authorId="0">
      <text>
        <r>
          <rPr>
            <b/>
            <sz val="8"/>
            <color indexed="81"/>
            <rFont val="Tahoma"/>
            <family val="2"/>
          </rPr>
          <t xml:space="preserve">Note: </t>
        </r>
        <r>
          <rPr>
            <sz val="8"/>
            <color indexed="81"/>
            <rFont val="Tahoma"/>
            <family val="2"/>
          </rPr>
          <t>excludes assets held for disposal &amp; restricted cash &amp; equivalents</t>
        </r>
      </text>
    </comment>
    <comment ref="T17" authorId="0">
      <text>
        <r>
          <rPr>
            <b/>
            <sz val="8"/>
            <color indexed="81"/>
            <rFont val="Tahoma"/>
            <family val="2"/>
          </rPr>
          <t xml:space="preserve">Note: </t>
        </r>
        <r>
          <rPr>
            <sz val="8"/>
            <color indexed="81"/>
            <rFont val="Tahoma"/>
            <family val="2"/>
          </rPr>
          <t>excludes assets held for disposal &amp; restricted cash &amp; equivalents</t>
        </r>
      </text>
    </comment>
    <comment ref="X17" authorId="0">
      <text>
        <r>
          <rPr>
            <b/>
            <sz val="8"/>
            <color indexed="81"/>
            <rFont val="Tahoma"/>
            <family val="2"/>
          </rPr>
          <t xml:space="preserve">Note: </t>
        </r>
        <r>
          <rPr>
            <sz val="8"/>
            <color indexed="81"/>
            <rFont val="Tahoma"/>
            <family val="2"/>
          </rPr>
          <t>excludes assets held for disposal &amp; restricted cash &amp; equivalents</t>
        </r>
      </text>
    </comment>
    <comment ref="AB17" authorId="0">
      <text>
        <r>
          <rPr>
            <b/>
            <sz val="8"/>
            <color indexed="81"/>
            <rFont val="Tahoma"/>
            <family val="2"/>
          </rPr>
          <t xml:space="preserve">Note: </t>
        </r>
        <r>
          <rPr>
            <sz val="8"/>
            <color indexed="81"/>
            <rFont val="Tahoma"/>
            <family val="2"/>
          </rPr>
          <t>excludes assets held for disposal &amp; restricted cash &amp; equivalents</t>
        </r>
      </text>
    </comment>
    <comment ref="AF17" authorId="0">
      <text>
        <r>
          <rPr>
            <b/>
            <sz val="8"/>
            <color indexed="81"/>
            <rFont val="Tahoma"/>
            <family val="2"/>
          </rPr>
          <t xml:space="preserve">Note: </t>
        </r>
        <r>
          <rPr>
            <sz val="8"/>
            <color indexed="81"/>
            <rFont val="Tahoma"/>
            <family val="2"/>
          </rPr>
          <t>excludes assets held for disposal &amp; restricted cash &amp; equivalents</t>
        </r>
      </text>
    </comment>
    <comment ref="AJ17" authorId="0">
      <text>
        <r>
          <rPr>
            <b/>
            <sz val="8"/>
            <color indexed="81"/>
            <rFont val="Tahoma"/>
            <family val="2"/>
          </rPr>
          <t xml:space="preserve">Note: </t>
        </r>
        <r>
          <rPr>
            <sz val="8"/>
            <color indexed="81"/>
            <rFont val="Tahoma"/>
            <family val="2"/>
          </rPr>
          <t>excludes assets held for disposal &amp; restricted cash &amp; equivalents</t>
        </r>
      </text>
    </comment>
    <comment ref="AN17" authorId="0">
      <text>
        <r>
          <rPr>
            <b/>
            <sz val="8"/>
            <color indexed="81"/>
            <rFont val="Tahoma"/>
            <family val="2"/>
          </rPr>
          <t xml:space="preserve">Note: </t>
        </r>
        <r>
          <rPr>
            <sz val="8"/>
            <color indexed="81"/>
            <rFont val="Tahoma"/>
            <family val="2"/>
          </rPr>
          <t>excludes assets held for disposal &amp; restricted cash &amp; equivalents</t>
        </r>
      </text>
    </comment>
    <comment ref="AR17" authorId="0">
      <text>
        <r>
          <rPr>
            <b/>
            <sz val="8"/>
            <color indexed="81"/>
            <rFont val="Tahoma"/>
            <family val="2"/>
          </rPr>
          <t xml:space="preserve">Note: </t>
        </r>
        <r>
          <rPr>
            <sz val="8"/>
            <color indexed="81"/>
            <rFont val="Tahoma"/>
            <family val="2"/>
          </rPr>
          <t>excludes assets held for disposal &amp; restricted cash &amp; equivalents</t>
        </r>
      </text>
    </comment>
    <comment ref="D18" authorId="0">
      <text>
        <r>
          <rPr>
            <b/>
            <sz val="8"/>
            <color indexed="81"/>
            <rFont val="Tahoma"/>
            <family val="2"/>
          </rPr>
          <t xml:space="preserve">Note: </t>
        </r>
        <r>
          <rPr>
            <sz val="8"/>
            <color indexed="81"/>
            <rFont val="Tahoma"/>
            <family val="2"/>
          </rPr>
          <t>excludes assets held for disposal &amp; restricted cash &amp; equivalents</t>
        </r>
      </text>
    </comment>
    <comment ref="H18" authorId="0">
      <text>
        <r>
          <rPr>
            <b/>
            <sz val="8"/>
            <color indexed="81"/>
            <rFont val="Tahoma"/>
            <family val="2"/>
          </rPr>
          <t xml:space="preserve">Note: </t>
        </r>
        <r>
          <rPr>
            <sz val="8"/>
            <color indexed="81"/>
            <rFont val="Tahoma"/>
            <family val="2"/>
          </rPr>
          <t>excludes assets held for disposal &amp; restricted cash &amp; equivalents</t>
        </r>
      </text>
    </comment>
    <comment ref="L18" authorId="0">
      <text>
        <r>
          <rPr>
            <b/>
            <sz val="8"/>
            <color indexed="81"/>
            <rFont val="Tahoma"/>
            <family val="2"/>
          </rPr>
          <t xml:space="preserve">Note: </t>
        </r>
        <r>
          <rPr>
            <sz val="8"/>
            <color indexed="81"/>
            <rFont val="Tahoma"/>
            <family val="2"/>
          </rPr>
          <t>excludes assets held for disposal &amp; restricted cash &amp; equivalents</t>
        </r>
      </text>
    </comment>
    <comment ref="P18" authorId="0">
      <text>
        <r>
          <rPr>
            <b/>
            <sz val="8"/>
            <color indexed="81"/>
            <rFont val="Tahoma"/>
            <family val="2"/>
          </rPr>
          <t xml:space="preserve">Note: </t>
        </r>
        <r>
          <rPr>
            <sz val="8"/>
            <color indexed="81"/>
            <rFont val="Tahoma"/>
            <family val="2"/>
          </rPr>
          <t>excludes assets held for disposal &amp; restricted cash &amp; equivalents</t>
        </r>
      </text>
    </comment>
    <comment ref="T18" authorId="0">
      <text>
        <r>
          <rPr>
            <b/>
            <sz val="8"/>
            <color indexed="81"/>
            <rFont val="Tahoma"/>
            <family val="2"/>
          </rPr>
          <t xml:space="preserve">Note: </t>
        </r>
        <r>
          <rPr>
            <sz val="8"/>
            <color indexed="81"/>
            <rFont val="Tahoma"/>
            <family val="2"/>
          </rPr>
          <t>excludes assets held for disposal &amp; restricted cash &amp; equivalents</t>
        </r>
      </text>
    </comment>
    <comment ref="X18" authorId="0">
      <text>
        <r>
          <rPr>
            <b/>
            <sz val="8"/>
            <color indexed="81"/>
            <rFont val="Tahoma"/>
            <family val="2"/>
          </rPr>
          <t xml:space="preserve">Note: </t>
        </r>
        <r>
          <rPr>
            <sz val="8"/>
            <color indexed="81"/>
            <rFont val="Tahoma"/>
            <family val="2"/>
          </rPr>
          <t>excludes assets held for disposal &amp; restricted cash &amp; equivalents</t>
        </r>
      </text>
    </comment>
    <comment ref="AB18" authorId="0">
      <text>
        <r>
          <rPr>
            <b/>
            <sz val="8"/>
            <color indexed="81"/>
            <rFont val="Tahoma"/>
            <family val="2"/>
          </rPr>
          <t xml:space="preserve">Note: </t>
        </r>
        <r>
          <rPr>
            <sz val="8"/>
            <color indexed="81"/>
            <rFont val="Tahoma"/>
            <family val="2"/>
          </rPr>
          <t>excludes assets held for disposal &amp; restricted cash &amp; equivalents</t>
        </r>
      </text>
    </comment>
    <comment ref="AF18" authorId="0">
      <text>
        <r>
          <rPr>
            <b/>
            <sz val="8"/>
            <color indexed="81"/>
            <rFont val="Tahoma"/>
            <family val="2"/>
          </rPr>
          <t xml:space="preserve">Note: </t>
        </r>
        <r>
          <rPr>
            <sz val="8"/>
            <color indexed="81"/>
            <rFont val="Tahoma"/>
            <family val="2"/>
          </rPr>
          <t>excludes assets held for disposal &amp; restricted cash &amp; equivalents</t>
        </r>
      </text>
    </comment>
    <comment ref="AJ18" authorId="0">
      <text>
        <r>
          <rPr>
            <b/>
            <sz val="8"/>
            <color indexed="81"/>
            <rFont val="Tahoma"/>
            <family val="2"/>
          </rPr>
          <t xml:space="preserve">Note: </t>
        </r>
        <r>
          <rPr>
            <sz val="8"/>
            <color indexed="81"/>
            <rFont val="Tahoma"/>
            <family val="2"/>
          </rPr>
          <t>excludes assets held for disposal &amp; restricted cash &amp; equivalents</t>
        </r>
      </text>
    </comment>
    <comment ref="AN18" authorId="0">
      <text>
        <r>
          <rPr>
            <b/>
            <sz val="8"/>
            <color indexed="81"/>
            <rFont val="Tahoma"/>
            <family val="2"/>
          </rPr>
          <t xml:space="preserve">Note: </t>
        </r>
        <r>
          <rPr>
            <sz val="8"/>
            <color indexed="81"/>
            <rFont val="Tahoma"/>
            <family val="2"/>
          </rPr>
          <t>excludes assets held for disposal &amp; restricted cash &amp; equivalents</t>
        </r>
      </text>
    </comment>
    <comment ref="AR18" authorId="0">
      <text>
        <r>
          <rPr>
            <b/>
            <sz val="8"/>
            <color indexed="81"/>
            <rFont val="Tahoma"/>
            <family val="2"/>
          </rPr>
          <t xml:space="preserve">Note: </t>
        </r>
        <r>
          <rPr>
            <sz val="8"/>
            <color indexed="81"/>
            <rFont val="Tahoma"/>
            <family val="2"/>
          </rPr>
          <t>excludes assets held for disposal &amp; restricted cash &amp; equivalents</t>
        </r>
      </text>
    </comment>
    <comment ref="D19" authorId="0">
      <text>
        <r>
          <rPr>
            <b/>
            <sz val="8"/>
            <color indexed="81"/>
            <rFont val="Tahoma"/>
            <family val="2"/>
          </rPr>
          <t xml:space="preserve">Note: </t>
        </r>
        <r>
          <rPr>
            <sz val="8"/>
            <color indexed="81"/>
            <rFont val="Tahoma"/>
            <family val="2"/>
          </rPr>
          <t>excludes assets held for disposal &amp; restricted cash &amp; equivalents</t>
        </r>
      </text>
    </comment>
    <comment ref="H19" authorId="0">
      <text>
        <r>
          <rPr>
            <b/>
            <sz val="8"/>
            <color indexed="81"/>
            <rFont val="Tahoma"/>
            <family val="2"/>
          </rPr>
          <t xml:space="preserve">Note: </t>
        </r>
        <r>
          <rPr>
            <sz val="8"/>
            <color indexed="81"/>
            <rFont val="Tahoma"/>
            <family val="2"/>
          </rPr>
          <t>excludes assets held for disposal &amp; restricted cash &amp; equivalents</t>
        </r>
      </text>
    </comment>
    <comment ref="L19" authorId="0">
      <text>
        <r>
          <rPr>
            <b/>
            <sz val="8"/>
            <color indexed="81"/>
            <rFont val="Tahoma"/>
            <family val="2"/>
          </rPr>
          <t xml:space="preserve">Note: </t>
        </r>
        <r>
          <rPr>
            <sz val="8"/>
            <color indexed="81"/>
            <rFont val="Tahoma"/>
            <family val="2"/>
          </rPr>
          <t>excludes assets held for disposal &amp; restricted cash &amp; equivalents</t>
        </r>
      </text>
    </comment>
    <comment ref="P19" authorId="0">
      <text>
        <r>
          <rPr>
            <b/>
            <sz val="8"/>
            <color indexed="81"/>
            <rFont val="Tahoma"/>
            <family val="2"/>
          </rPr>
          <t xml:space="preserve">Note: </t>
        </r>
        <r>
          <rPr>
            <sz val="8"/>
            <color indexed="81"/>
            <rFont val="Tahoma"/>
            <family val="2"/>
          </rPr>
          <t>excludes assets held for disposal &amp; restricted cash &amp; equivalents</t>
        </r>
      </text>
    </comment>
    <comment ref="T19" authorId="0">
      <text>
        <r>
          <rPr>
            <b/>
            <sz val="8"/>
            <color indexed="81"/>
            <rFont val="Tahoma"/>
            <family val="2"/>
          </rPr>
          <t xml:space="preserve">Note: </t>
        </r>
        <r>
          <rPr>
            <sz val="8"/>
            <color indexed="81"/>
            <rFont val="Tahoma"/>
            <family val="2"/>
          </rPr>
          <t>excludes assets held for disposal &amp; restricted cash &amp; equivalents</t>
        </r>
      </text>
    </comment>
    <comment ref="X19" authorId="0">
      <text>
        <r>
          <rPr>
            <b/>
            <sz val="8"/>
            <color indexed="81"/>
            <rFont val="Tahoma"/>
            <family val="2"/>
          </rPr>
          <t xml:space="preserve">Note: </t>
        </r>
        <r>
          <rPr>
            <sz val="8"/>
            <color indexed="81"/>
            <rFont val="Tahoma"/>
            <family val="2"/>
          </rPr>
          <t>excludes assets held for disposal &amp; restricted cash &amp; equivalents</t>
        </r>
      </text>
    </comment>
    <comment ref="AB19" authorId="0">
      <text>
        <r>
          <rPr>
            <b/>
            <sz val="8"/>
            <color indexed="81"/>
            <rFont val="Tahoma"/>
            <family val="2"/>
          </rPr>
          <t xml:space="preserve">Note: </t>
        </r>
        <r>
          <rPr>
            <sz val="8"/>
            <color indexed="81"/>
            <rFont val="Tahoma"/>
            <family val="2"/>
          </rPr>
          <t>excludes assets held for disposal &amp; restricted cash &amp; equivalents</t>
        </r>
      </text>
    </comment>
    <comment ref="AF19" authorId="0">
      <text>
        <r>
          <rPr>
            <b/>
            <sz val="8"/>
            <color indexed="81"/>
            <rFont val="Tahoma"/>
            <family val="2"/>
          </rPr>
          <t xml:space="preserve">Note: </t>
        </r>
        <r>
          <rPr>
            <sz val="8"/>
            <color indexed="81"/>
            <rFont val="Tahoma"/>
            <family val="2"/>
          </rPr>
          <t>excludes assets held for disposal &amp; restricted cash &amp; equivalents</t>
        </r>
      </text>
    </comment>
    <comment ref="AJ19" authorId="0">
      <text>
        <r>
          <rPr>
            <b/>
            <sz val="8"/>
            <color indexed="81"/>
            <rFont val="Tahoma"/>
            <family val="2"/>
          </rPr>
          <t xml:space="preserve">Note: </t>
        </r>
        <r>
          <rPr>
            <sz val="8"/>
            <color indexed="81"/>
            <rFont val="Tahoma"/>
            <family val="2"/>
          </rPr>
          <t>excludes assets held for disposal &amp; restricted cash &amp; equivalents</t>
        </r>
      </text>
    </comment>
    <comment ref="AN19" authorId="0">
      <text>
        <r>
          <rPr>
            <b/>
            <sz val="8"/>
            <color indexed="81"/>
            <rFont val="Tahoma"/>
            <family val="2"/>
          </rPr>
          <t xml:space="preserve">Note: </t>
        </r>
        <r>
          <rPr>
            <sz val="8"/>
            <color indexed="81"/>
            <rFont val="Tahoma"/>
            <family val="2"/>
          </rPr>
          <t>excludes assets held for disposal &amp; restricted cash &amp; equivalents</t>
        </r>
      </text>
    </comment>
    <comment ref="AR19" authorId="0">
      <text>
        <r>
          <rPr>
            <b/>
            <sz val="8"/>
            <color indexed="81"/>
            <rFont val="Tahoma"/>
            <family val="2"/>
          </rPr>
          <t xml:space="preserve">Note: </t>
        </r>
        <r>
          <rPr>
            <sz val="8"/>
            <color indexed="81"/>
            <rFont val="Tahoma"/>
            <family val="2"/>
          </rPr>
          <t>excludes assets held for disposal &amp; restricted cash &amp; equivalents</t>
        </r>
      </text>
    </comment>
    <comment ref="AJ20" authorId="0">
      <text>
        <r>
          <rPr>
            <b/>
            <sz val="8"/>
            <color indexed="81"/>
            <rFont val="Tahoma"/>
            <family val="2"/>
          </rPr>
          <t xml:space="preserve">Note: </t>
        </r>
        <r>
          <rPr>
            <sz val="8"/>
            <color indexed="81"/>
            <rFont val="Tahoma"/>
            <family val="2"/>
          </rPr>
          <t>excludes assets held for disposal &amp; restricted cash &amp; equivalents</t>
        </r>
      </text>
    </comment>
    <comment ref="AN25" authorId="0">
      <text>
        <r>
          <rPr>
            <b/>
            <sz val="8"/>
            <color indexed="81"/>
            <rFont val="Tahoma"/>
            <family val="2"/>
          </rPr>
          <t xml:space="preserve">Per 2012 10K: </t>
        </r>
        <r>
          <rPr>
            <sz val="8"/>
            <color indexed="81"/>
            <rFont val="Tahoma"/>
            <family val="2"/>
          </rPr>
          <t xml:space="preserve"> The increase in net cash provided by operating activities was primarily the result of our working capital management strategy employed at the end of Fiscal 2011 which accelerated accounts payable payments of $152.9 million that did not repeat during Fiscal 2012. </t>
        </r>
      </text>
    </comment>
    <comment ref="AV28" authorId="1">
      <text>
        <r>
          <rPr>
            <b/>
            <sz val="9"/>
            <color indexed="81"/>
            <rFont val="Tahoma"/>
            <family val="2"/>
          </rPr>
          <t xml:space="preserve">6/10/14: </t>
        </r>
        <r>
          <rPr>
            <sz val="9"/>
            <color indexed="81"/>
            <rFont val="Tahoma"/>
            <family val="2"/>
          </rPr>
          <t xml:space="preserve">Other current liabilities + current maturities of LT debt
</t>
        </r>
      </text>
    </comment>
    <comment ref="AZ28" authorId="1">
      <text>
        <r>
          <rPr>
            <b/>
            <sz val="9"/>
            <color indexed="81"/>
            <rFont val="Tahoma"/>
            <family val="2"/>
          </rPr>
          <t xml:space="preserve">6/10/14: </t>
        </r>
        <r>
          <rPr>
            <sz val="9"/>
            <color indexed="81"/>
            <rFont val="Tahoma"/>
            <family val="2"/>
          </rPr>
          <t xml:space="preserve">Other current liabilities + current maturities of LT debt
</t>
        </r>
      </text>
    </comment>
    <comment ref="BD28" authorId="1">
      <text>
        <r>
          <rPr>
            <b/>
            <sz val="9"/>
            <color indexed="81"/>
            <rFont val="Tahoma"/>
            <family val="2"/>
          </rPr>
          <t xml:space="preserve">6/10/14: </t>
        </r>
        <r>
          <rPr>
            <sz val="9"/>
            <color indexed="81"/>
            <rFont val="Tahoma"/>
            <family val="2"/>
          </rPr>
          <t xml:space="preserve">Other current liabilities + current maturities of LT debt
</t>
        </r>
      </text>
    </comment>
  </commentList>
</comments>
</file>

<file path=xl/comments11.xml><?xml version="1.0" encoding="utf-8"?>
<comments xmlns="http://schemas.openxmlformats.org/spreadsheetml/2006/main">
  <authors>
    <author>Duol</author>
    <author>solejay</author>
    <author>granaosc</author>
    <author>Baglione, Gregory (Research)</author>
    <author>casselau</author>
    <author>Baglione, Gregory  (Research)</author>
    <author>Roberts, Cynthia (Research)</author>
  </authors>
  <commentList>
    <comment ref="E5" authorId="0">
      <text>
        <r>
          <rPr>
            <b/>
            <sz val="8"/>
            <color indexed="81"/>
            <rFont val="Tahoma"/>
            <family val="2"/>
          </rPr>
          <t>On a 52 week basis.
Excludes the 53rd week</t>
        </r>
        <r>
          <rPr>
            <sz val="8"/>
            <color indexed="81"/>
            <rFont val="Tahoma"/>
            <family val="2"/>
          </rPr>
          <t xml:space="preserve">
</t>
        </r>
      </text>
    </comment>
    <comment ref="A8" authorId="0">
      <text>
        <r>
          <rPr>
            <b/>
            <sz val="8"/>
            <color indexed="81"/>
            <rFont val="Tahoma"/>
            <family val="2"/>
          </rPr>
          <t>Total Sales (incl. Other Rev)</t>
        </r>
      </text>
    </comment>
    <comment ref="E8" authorId="0">
      <text>
        <r>
          <rPr>
            <b/>
            <sz val="8"/>
            <color indexed="81"/>
            <rFont val="Tahoma"/>
            <family val="2"/>
          </rPr>
          <t xml:space="preserve">
53rd week added ~$54M</t>
        </r>
        <r>
          <rPr>
            <sz val="8"/>
            <color indexed="81"/>
            <rFont val="Tahoma"/>
            <family val="2"/>
          </rPr>
          <t xml:space="preserve">
</t>
        </r>
      </text>
    </comment>
    <comment ref="E11" authorId="0">
      <text>
        <r>
          <rPr>
            <b/>
            <sz val="8"/>
            <color indexed="81"/>
            <rFont val="Tahoma"/>
            <family val="2"/>
          </rPr>
          <t xml:space="preserve">53rd week added +$32M </t>
        </r>
        <r>
          <rPr>
            <sz val="8"/>
            <color indexed="81"/>
            <rFont val="Tahoma"/>
            <family val="2"/>
          </rPr>
          <t xml:space="preserve">
</t>
        </r>
      </text>
    </comment>
    <comment ref="F12" authorId="1">
      <text>
        <r>
          <rPr>
            <b/>
            <sz val="8"/>
            <color indexed="81"/>
            <rFont val="Tahoma"/>
            <family val="2"/>
          </rPr>
          <t>solejay:</t>
        </r>
        <r>
          <rPr>
            <sz val="8"/>
            <color indexed="81"/>
            <rFont val="Tahoma"/>
            <family val="2"/>
          </rPr>
          <t xml:space="preserve">
remove 12 bps to account for the reversal of the 53rd week</t>
        </r>
      </text>
    </comment>
    <comment ref="G12" authorId="1">
      <text>
        <r>
          <rPr>
            <b/>
            <sz val="8"/>
            <color indexed="81"/>
            <rFont val="Tahoma"/>
            <family val="2"/>
          </rPr>
          <t>solejay:</t>
        </r>
        <r>
          <rPr>
            <sz val="8"/>
            <color indexed="81"/>
            <rFont val="Tahoma"/>
            <family val="2"/>
          </rPr>
          <t xml:space="preserve">
remove 12 bps to account for the reversal of the 53rd week</t>
        </r>
      </text>
    </comment>
    <comment ref="H12" authorId="1">
      <text>
        <r>
          <rPr>
            <b/>
            <sz val="8"/>
            <color indexed="81"/>
            <rFont val="Tahoma"/>
            <family val="2"/>
          </rPr>
          <t>solejay:</t>
        </r>
        <r>
          <rPr>
            <sz val="8"/>
            <color indexed="81"/>
            <rFont val="Tahoma"/>
            <family val="2"/>
          </rPr>
          <t xml:space="preserve">
remove 12 bps to account for the reversal of the 53rd week</t>
        </r>
      </text>
    </comment>
    <comment ref="I12" authorId="2">
      <text>
        <r>
          <rPr>
            <b/>
            <sz val="8"/>
            <color indexed="81"/>
            <rFont val="Tahoma"/>
            <family val="2"/>
          </rPr>
          <t>granaosc:</t>
        </r>
        <r>
          <rPr>
            <sz val="8"/>
            <color indexed="81"/>
            <rFont val="Tahoma"/>
            <family val="2"/>
          </rPr>
          <t xml:space="preserve">
8/12/13: Expected GM: 39.8%</t>
        </r>
      </text>
    </comment>
    <comment ref="J12" authorId="2">
      <text>
        <r>
          <rPr>
            <sz val="8"/>
            <color indexed="81"/>
            <rFont val="Tahoma"/>
            <family val="2"/>
          </rPr>
          <t xml:space="preserve">11/22/16
We model 10-20 bps GM improvement in out-years from continued reductions to comparable inventory and improved merchandise mix.
</t>
        </r>
      </text>
    </comment>
    <comment ref="K12" authorId="2">
      <text>
        <r>
          <rPr>
            <sz val="8"/>
            <color indexed="81"/>
            <rFont val="Tahoma"/>
            <family val="2"/>
          </rPr>
          <t xml:space="preserve">11/22/16
We model 10-20 bps GM improvement in out-years from continued reductions to comparable inventory and improved merchandise mix.
</t>
        </r>
      </text>
    </comment>
    <comment ref="L12" authorId="2">
      <text>
        <r>
          <rPr>
            <sz val="8"/>
            <color indexed="81"/>
            <rFont val="Tahoma"/>
            <family val="2"/>
          </rPr>
          <t xml:space="preserve">11/22/16
We model 10-20 bps GM improvement in out-years from continued reductions to comparable inventory and improved merchandise mix.
</t>
        </r>
      </text>
    </comment>
    <comment ref="M12" authorId="2">
      <text>
        <r>
          <rPr>
            <sz val="8"/>
            <color indexed="81"/>
            <rFont val="Tahoma"/>
            <family val="2"/>
          </rPr>
          <t xml:space="preserve">11/22/16
We model 10-20 bps GM improvement in out-years from continued reductions to comparable inventory and improved merchandise mix.
</t>
        </r>
      </text>
    </comment>
    <comment ref="N12" authorId="2">
      <text>
        <r>
          <rPr>
            <sz val="8"/>
            <color indexed="81"/>
            <rFont val="Tahoma"/>
            <family val="2"/>
          </rPr>
          <t xml:space="preserve">11/22/16
We model 10-20 bps GM improvement in out-years from continued reductions to comparable inventory and improved merchandise mix.
</t>
        </r>
      </text>
    </comment>
    <comment ref="O12" authorId="2">
      <text>
        <r>
          <rPr>
            <sz val="8"/>
            <color indexed="81"/>
            <rFont val="Tahoma"/>
            <family val="2"/>
          </rPr>
          <t xml:space="preserve">11/22/16
We model 10-20 bps GM improvement in out-years from continued reductions to comparable inventory and improved merchandise mix.
</t>
        </r>
      </text>
    </comment>
    <comment ref="E14" authorId="0">
      <text>
        <r>
          <rPr>
            <b/>
            <sz val="8"/>
            <color indexed="81"/>
            <rFont val="Tahoma"/>
            <family val="2"/>
          </rPr>
          <t>53rd week added +~27M</t>
        </r>
        <r>
          <rPr>
            <sz val="8"/>
            <color indexed="81"/>
            <rFont val="Tahoma"/>
            <family val="2"/>
          </rPr>
          <t xml:space="preserve">
</t>
        </r>
      </text>
    </comment>
    <comment ref="F14" authorId="2">
      <text>
        <r>
          <rPr>
            <b/>
            <sz val="8"/>
            <color indexed="81"/>
            <rFont val="Tahoma"/>
            <family val="2"/>
          </rPr>
          <t>granaosc:</t>
        </r>
        <r>
          <rPr>
            <sz val="8"/>
            <color indexed="81"/>
            <rFont val="Tahoma"/>
            <family val="2"/>
          </rPr>
          <t xml:space="preserve">
12/8/13 SG&amp;A: $1402.7M</t>
        </r>
      </text>
    </comment>
    <comment ref="G14" authorId="2">
      <text>
        <r>
          <rPr>
            <b/>
            <sz val="8"/>
            <color indexed="81"/>
            <rFont val="Tahoma"/>
            <family val="2"/>
          </rPr>
          <t>granaosc:</t>
        </r>
        <r>
          <rPr>
            <sz val="8"/>
            <color indexed="81"/>
            <rFont val="Tahoma"/>
            <family val="2"/>
          </rPr>
          <t xml:space="preserve">
12/8/13 SG&amp;A: $1402.7M</t>
        </r>
      </text>
    </comment>
    <comment ref="H14" authorId="2">
      <text>
        <r>
          <rPr>
            <b/>
            <sz val="8"/>
            <color indexed="81"/>
            <rFont val="Tahoma"/>
            <family val="2"/>
          </rPr>
          <t>granaosc:</t>
        </r>
        <r>
          <rPr>
            <sz val="8"/>
            <color indexed="81"/>
            <rFont val="Tahoma"/>
            <family val="2"/>
          </rPr>
          <t xml:space="preserve">
12/8/13 SG&amp;A: $1402.7M</t>
        </r>
      </text>
    </comment>
    <comment ref="I14" authorId="2">
      <text>
        <r>
          <rPr>
            <b/>
            <sz val="8"/>
            <color indexed="81"/>
            <rFont val="Tahoma"/>
            <family val="2"/>
          </rPr>
          <t>granaosc:</t>
        </r>
        <r>
          <rPr>
            <sz val="8"/>
            <color indexed="81"/>
            <rFont val="Tahoma"/>
            <family val="2"/>
          </rPr>
          <t xml:space="preserve">
12/8/13 SG&amp;A: $1669.0M</t>
        </r>
      </text>
    </comment>
    <comment ref="F15" authorId="1">
      <text>
        <r>
          <rPr>
            <b/>
            <sz val="8"/>
            <color indexed="81"/>
            <rFont val="Tahoma"/>
            <family val="2"/>
          </rPr>
          <t>solejay:</t>
        </r>
        <r>
          <rPr>
            <sz val="8"/>
            <color indexed="81"/>
            <rFont val="Tahoma"/>
            <family val="2"/>
          </rPr>
          <t xml:space="preserve">
add 12 bps to account for the reversal of the 53rd week</t>
        </r>
      </text>
    </comment>
    <comment ref="G15" authorId="1">
      <text>
        <r>
          <rPr>
            <b/>
            <sz val="8"/>
            <color indexed="81"/>
            <rFont val="Tahoma"/>
            <family val="2"/>
          </rPr>
          <t>solejay:</t>
        </r>
        <r>
          <rPr>
            <sz val="8"/>
            <color indexed="81"/>
            <rFont val="Tahoma"/>
            <family val="2"/>
          </rPr>
          <t xml:space="preserve">
add 12 bps to account for the reversal of the 53rd week</t>
        </r>
      </text>
    </comment>
    <comment ref="H15" authorId="1">
      <text>
        <r>
          <rPr>
            <b/>
            <sz val="8"/>
            <color indexed="81"/>
            <rFont val="Tahoma"/>
            <family val="2"/>
          </rPr>
          <t>solejay:</t>
        </r>
        <r>
          <rPr>
            <sz val="8"/>
            <color indexed="81"/>
            <rFont val="Tahoma"/>
            <family val="2"/>
          </rPr>
          <t xml:space="preserve">
add 12 bps to account for the reversal of the 53rd week</t>
        </r>
      </text>
    </comment>
    <comment ref="J15" authorId="2">
      <text>
        <r>
          <rPr>
            <b/>
            <sz val="8"/>
            <color indexed="81"/>
            <rFont val="Tahoma"/>
            <family val="2"/>
          </rPr>
          <t>11/22/16
We model SG&amp;A to grow ~9% next year, ~1% higher given 53rd week. Management noted wages will represent an approximate $7M dollar headwind.</t>
        </r>
      </text>
    </comment>
    <comment ref="K15" authorId="3">
      <text>
        <r>
          <rPr>
            <b/>
            <sz val="9"/>
            <color indexed="81"/>
            <rFont val="Tahoma"/>
            <family val="2"/>
          </rPr>
          <t>Baglione, Gregory (Research):</t>
        </r>
        <r>
          <rPr>
            <sz val="9"/>
            <color indexed="81"/>
            <rFont val="Tahoma"/>
            <family val="2"/>
          </rPr>
          <t xml:space="preserve">
11/22/16
Given ongoing wage inflation, we expect SG&amp;A growth to remain in the 7-7.5% range going forward.</t>
        </r>
      </text>
    </comment>
    <comment ref="L15" authorId="3">
      <text>
        <r>
          <rPr>
            <b/>
            <sz val="9"/>
            <color indexed="81"/>
            <rFont val="Tahoma"/>
            <family val="2"/>
          </rPr>
          <t>Baglione, Gregory (Research):</t>
        </r>
        <r>
          <rPr>
            <sz val="9"/>
            <color indexed="81"/>
            <rFont val="Tahoma"/>
            <family val="2"/>
          </rPr>
          <t xml:space="preserve">
11/22/16
Given ongoing wage inflation, we expect SG&amp;A growth to remain in the 7-7.5% range going forward.</t>
        </r>
      </text>
    </comment>
    <comment ref="M15" authorId="3">
      <text>
        <r>
          <rPr>
            <b/>
            <sz val="9"/>
            <color indexed="81"/>
            <rFont val="Tahoma"/>
            <family val="2"/>
          </rPr>
          <t>Baglione, Gregory (Research):</t>
        </r>
        <r>
          <rPr>
            <sz val="9"/>
            <color indexed="81"/>
            <rFont val="Tahoma"/>
            <family val="2"/>
          </rPr>
          <t xml:space="preserve">
11/22/16
Given ongoing wage inflation, we expect SG&amp;A growth to remain in the 7-7.5% range going forward.</t>
        </r>
      </text>
    </comment>
    <comment ref="N15" authorId="3">
      <text>
        <r>
          <rPr>
            <b/>
            <sz val="9"/>
            <color indexed="81"/>
            <rFont val="Tahoma"/>
            <family val="2"/>
          </rPr>
          <t>Baglione, Gregory (Research):</t>
        </r>
        <r>
          <rPr>
            <sz val="9"/>
            <color indexed="81"/>
            <rFont val="Tahoma"/>
            <family val="2"/>
          </rPr>
          <t xml:space="preserve">
11/22/16
Given ongoing wage inflation, we expect SG&amp;A growth to remain in the 7-7.5% range going forward.</t>
        </r>
      </text>
    </comment>
    <comment ref="O15" authorId="3">
      <text>
        <r>
          <rPr>
            <b/>
            <sz val="9"/>
            <color indexed="81"/>
            <rFont val="Tahoma"/>
            <family val="2"/>
          </rPr>
          <t>Baglione, Gregory (Research):</t>
        </r>
        <r>
          <rPr>
            <sz val="9"/>
            <color indexed="81"/>
            <rFont val="Tahoma"/>
            <family val="2"/>
          </rPr>
          <t xml:space="preserve">
11/22/16
Given ongoing wage inflation, we expect SG&amp;A growth to remain in the 7-7.5% range going forward.</t>
        </r>
      </text>
    </comment>
    <comment ref="H16" authorId="4">
      <text>
        <r>
          <rPr>
            <b/>
            <sz val="9"/>
            <color indexed="81"/>
            <rFont val="Tahoma"/>
            <family val="2"/>
          </rPr>
          <t>casselau:</t>
        </r>
        <r>
          <rPr>
            <sz val="9"/>
            <color indexed="81"/>
            <rFont val="Tahoma"/>
            <family val="2"/>
          </rPr>
          <t xml:space="preserve">
includes utilities</t>
        </r>
      </text>
    </comment>
    <comment ref="F37" authorId="2">
      <text>
        <r>
          <rPr>
            <b/>
            <sz val="8"/>
            <color indexed="81"/>
            <rFont val="Tahoma"/>
            <family val="2"/>
          </rPr>
          <t>granaosc:</t>
        </r>
        <r>
          <rPr>
            <sz val="8"/>
            <color indexed="81"/>
            <rFont val="Tahoma"/>
            <family val="2"/>
          </rPr>
          <t xml:space="preserve">
8/12/13: Expected other revenue (expense): $43.8M</t>
        </r>
      </text>
    </comment>
    <comment ref="G37" authorId="2">
      <text>
        <r>
          <rPr>
            <b/>
            <sz val="8"/>
            <color indexed="81"/>
            <rFont val="Tahoma"/>
            <family val="2"/>
          </rPr>
          <t>granaosc:</t>
        </r>
        <r>
          <rPr>
            <sz val="8"/>
            <color indexed="81"/>
            <rFont val="Tahoma"/>
            <family val="2"/>
          </rPr>
          <t xml:space="preserve">
8/12/13: Expected other revenue (expense): $43.8M</t>
        </r>
      </text>
    </comment>
    <comment ref="H37" authorId="2">
      <text>
        <r>
          <rPr>
            <b/>
            <sz val="8"/>
            <color indexed="81"/>
            <rFont val="Tahoma"/>
            <family val="2"/>
          </rPr>
          <t>granaosc:</t>
        </r>
        <r>
          <rPr>
            <sz val="8"/>
            <color indexed="81"/>
            <rFont val="Tahoma"/>
            <family val="2"/>
          </rPr>
          <t xml:space="preserve">
8/12/13: Expected other revenue (expense): $43.8M</t>
        </r>
      </text>
    </comment>
    <comment ref="I37" authorId="2">
      <text>
        <r>
          <rPr>
            <b/>
            <sz val="8"/>
            <color indexed="81"/>
            <rFont val="Tahoma"/>
            <family val="2"/>
          </rPr>
          <t>granaosc:</t>
        </r>
        <r>
          <rPr>
            <sz val="8"/>
            <color indexed="81"/>
            <rFont val="Tahoma"/>
            <family val="2"/>
          </rPr>
          <t xml:space="preserve">
8/12/13: Expected other revenue (expense): $50.8M</t>
        </r>
      </text>
    </comment>
    <comment ref="J37" authorId="2">
      <text>
        <r>
          <rPr>
            <b/>
            <sz val="8"/>
            <color indexed="81"/>
            <rFont val="Tahoma"/>
            <family val="2"/>
          </rPr>
          <t>granaosc:</t>
        </r>
        <r>
          <rPr>
            <sz val="8"/>
            <color indexed="81"/>
            <rFont val="Tahoma"/>
            <family val="2"/>
          </rPr>
          <t xml:space="preserve">
8/12/13: Expected other revenue (expense): $53.8M</t>
        </r>
      </text>
    </comment>
    <comment ref="J43" authorId="5">
      <text>
        <r>
          <rPr>
            <b/>
            <sz val="9"/>
            <color indexed="81"/>
            <rFont val="Tahoma"/>
            <family val="2"/>
          </rPr>
          <t>Baglione, Gregory  (Research):</t>
        </r>
        <r>
          <rPr>
            <sz val="9"/>
            <color indexed="81"/>
            <rFont val="Tahoma"/>
            <family val="2"/>
          </rPr>
          <t xml:space="preserve">
8/25/16
Expect interest expense to fall $5M next year</t>
        </r>
      </text>
    </comment>
    <comment ref="K43" authorId="3">
      <text>
        <r>
          <rPr>
            <b/>
            <sz val="9"/>
            <color indexed="81"/>
            <rFont val="Tahoma"/>
            <family val="2"/>
          </rPr>
          <t>Baglione, Gregory (Research):</t>
        </r>
        <r>
          <rPr>
            <sz val="9"/>
            <color indexed="81"/>
            <rFont val="Tahoma"/>
            <family val="2"/>
          </rPr>
          <t xml:space="preserve">
We model interest expense to fall $5M per year going forward</t>
        </r>
      </text>
    </comment>
    <comment ref="L43" authorId="3">
      <text>
        <r>
          <rPr>
            <b/>
            <sz val="9"/>
            <color indexed="81"/>
            <rFont val="Tahoma"/>
            <family val="2"/>
          </rPr>
          <t>Baglione, Gregory (Research):</t>
        </r>
        <r>
          <rPr>
            <sz val="9"/>
            <color indexed="81"/>
            <rFont val="Tahoma"/>
            <family val="2"/>
          </rPr>
          <t xml:space="preserve">
We model interest expense to fall $5M per year going forward</t>
        </r>
      </text>
    </comment>
    <comment ref="M43" authorId="3">
      <text>
        <r>
          <rPr>
            <b/>
            <sz val="9"/>
            <color indexed="81"/>
            <rFont val="Tahoma"/>
            <family val="2"/>
          </rPr>
          <t>Baglione, Gregory (Research):</t>
        </r>
        <r>
          <rPr>
            <sz val="9"/>
            <color indexed="81"/>
            <rFont val="Tahoma"/>
            <family val="2"/>
          </rPr>
          <t xml:space="preserve">
We model interest expense to fall $5M per year going forward</t>
        </r>
      </text>
    </comment>
    <comment ref="N43" authorId="3">
      <text>
        <r>
          <rPr>
            <b/>
            <sz val="9"/>
            <color indexed="81"/>
            <rFont val="Tahoma"/>
            <family val="2"/>
          </rPr>
          <t>Baglione, Gregory (Research):</t>
        </r>
        <r>
          <rPr>
            <sz val="9"/>
            <color indexed="81"/>
            <rFont val="Tahoma"/>
            <family val="2"/>
          </rPr>
          <t xml:space="preserve">
We model interest expense to fall $5M per year going forward</t>
        </r>
      </text>
    </comment>
    <comment ref="O43" authorId="3">
      <text>
        <r>
          <rPr>
            <b/>
            <sz val="9"/>
            <color indexed="81"/>
            <rFont val="Tahoma"/>
            <family val="2"/>
          </rPr>
          <t>Baglione, Gregory (Research):</t>
        </r>
        <r>
          <rPr>
            <sz val="9"/>
            <color indexed="81"/>
            <rFont val="Tahoma"/>
            <family val="2"/>
          </rPr>
          <t xml:space="preserve">
We model interest expense to fall $5M per year going forward</t>
        </r>
      </text>
    </comment>
    <comment ref="J50" authorId="5">
      <text>
        <r>
          <rPr>
            <b/>
            <sz val="9"/>
            <color indexed="81"/>
            <rFont val="Tahoma"/>
            <family val="2"/>
          </rPr>
          <t>Baglione, Gregory  (Research):</t>
        </r>
        <r>
          <rPr>
            <sz val="9"/>
            <color indexed="81"/>
            <rFont val="Tahoma"/>
            <family val="2"/>
          </rPr>
          <t xml:space="preserve">
11/25/15
Per guidance tax rate closer to 38% moving forward
</t>
        </r>
      </text>
    </comment>
    <comment ref="J58" authorId="5">
      <text>
        <r>
          <rPr>
            <b/>
            <sz val="9"/>
            <color indexed="81"/>
            <rFont val="Tahoma"/>
            <family val="2"/>
          </rPr>
          <t>Baglione, Gregory  (Research):</t>
        </r>
        <r>
          <rPr>
            <sz val="9"/>
            <color indexed="81"/>
            <rFont val="Tahoma"/>
            <family val="2"/>
          </rPr>
          <t xml:space="preserve">
Assumes 1M Share repurchases
</t>
        </r>
      </text>
    </comment>
    <comment ref="K58" authorId="5">
      <text>
        <r>
          <rPr>
            <b/>
            <sz val="9"/>
            <color indexed="81"/>
            <rFont val="Tahoma"/>
            <family val="2"/>
          </rPr>
          <t>Baglione, Gregory  (Research):</t>
        </r>
        <r>
          <rPr>
            <sz val="9"/>
            <color indexed="81"/>
            <rFont val="Tahoma"/>
            <family val="2"/>
          </rPr>
          <t xml:space="preserve">
Assumes 1M Share repurchases
</t>
        </r>
      </text>
    </comment>
    <comment ref="L58" authorId="5">
      <text>
        <r>
          <rPr>
            <b/>
            <sz val="9"/>
            <color indexed="81"/>
            <rFont val="Tahoma"/>
            <family val="2"/>
          </rPr>
          <t>Baglione, Gregory  (Research):</t>
        </r>
        <r>
          <rPr>
            <sz val="9"/>
            <color indexed="81"/>
            <rFont val="Tahoma"/>
            <family val="2"/>
          </rPr>
          <t xml:space="preserve">
Assumes 1M Share repurchases
</t>
        </r>
      </text>
    </comment>
    <comment ref="M58" authorId="5">
      <text>
        <r>
          <rPr>
            <b/>
            <sz val="9"/>
            <color indexed="81"/>
            <rFont val="Tahoma"/>
            <family val="2"/>
          </rPr>
          <t>Baglione, Gregory  (Research):</t>
        </r>
        <r>
          <rPr>
            <sz val="9"/>
            <color indexed="81"/>
            <rFont val="Tahoma"/>
            <family val="2"/>
          </rPr>
          <t xml:space="preserve">
Assumes 1M Share repurchases
</t>
        </r>
      </text>
    </comment>
    <comment ref="N58" authorId="5">
      <text>
        <r>
          <rPr>
            <b/>
            <sz val="9"/>
            <color indexed="81"/>
            <rFont val="Tahoma"/>
            <family val="2"/>
          </rPr>
          <t>Baglione, Gregory  (Research):</t>
        </r>
        <r>
          <rPr>
            <sz val="9"/>
            <color indexed="81"/>
            <rFont val="Tahoma"/>
            <family val="2"/>
          </rPr>
          <t xml:space="preserve">
Assumes 1M Share repurchases
</t>
        </r>
      </text>
    </comment>
    <comment ref="O58" authorId="5">
      <text>
        <r>
          <rPr>
            <b/>
            <sz val="9"/>
            <color indexed="81"/>
            <rFont val="Tahoma"/>
            <family val="2"/>
          </rPr>
          <t>Baglione, Gregory  (Research):</t>
        </r>
        <r>
          <rPr>
            <sz val="9"/>
            <color indexed="81"/>
            <rFont val="Tahoma"/>
            <family val="2"/>
          </rPr>
          <t xml:space="preserve">
Assumes 1M Share repurchases
</t>
        </r>
      </text>
    </comment>
    <comment ref="L62" authorId="6">
      <text>
        <r>
          <rPr>
            <b/>
            <sz val="9"/>
            <color indexed="81"/>
            <rFont val="Tahoma"/>
            <family val="2"/>
          </rPr>
          <t>Roberts, Cynthia (Research):</t>
        </r>
        <r>
          <rPr>
            <sz val="9"/>
            <color indexed="81"/>
            <rFont val="Tahoma"/>
            <family val="2"/>
          </rPr>
          <t xml:space="preserve">
 estimate per 2016 10-k</t>
        </r>
      </text>
    </comment>
    <comment ref="M62" authorId="6">
      <text>
        <r>
          <rPr>
            <b/>
            <sz val="9"/>
            <color indexed="81"/>
            <rFont val="Tahoma"/>
            <family val="2"/>
          </rPr>
          <t>Roberts, Cynthia (Research):</t>
        </r>
        <r>
          <rPr>
            <sz val="9"/>
            <color indexed="81"/>
            <rFont val="Tahoma"/>
            <family val="2"/>
          </rPr>
          <t xml:space="preserve">
 estimate per 2016 10-k</t>
        </r>
      </text>
    </comment>
    <comment ref="N62" authorId="6">
      <text>
        <r>
          <rPr>
            <b/>
            <sz val="9"/>
            <color indexed="81"/>
            <rFont val="Tahoma"/>
            <family val="2"/>
          </rPr>
          <t>Roberts, Cynthia (Research):</t>
        </r>
        <r>
          <rPr>
            <sz val="9"/>
            <color indexed="81"/>
            <rFont val="Tahoma"/>
            <family val="2"/>
          </rPr>
          <t xml:space="preserve">
 estimate per 2016 10-k</t>
        </r>
      </text>
    </comment>
    <comment ref="O62" authorId="6">
      <text>
        <r>
          <rPr>
            <b/>
            <sz val="9"/>
            <color indexed="81"/>
            <rFont val="Tahoma"/>
            <family val="2"/>
          </rPr>
          <t>Roberts, Cynthia (Research):</t>
        </r>
        <r>
          <rPr>
            <sz val="9"/>
            <color indexed="81"/>
            <rFont val="Tahoma"/>
            <family val="2"/>
          </rPr>
          <t xml:space="preserve">
Assumes 7% decline from last company estimate </t>
        </r>
      </text>
    </comment>
    <comment ref="I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J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K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L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M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N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O65" authorId="5">
      <text>
        <r>
          <rPr>
            <b/>
            <sz val="9"/>
            <color indexed="81"/>
            <rFont val="Tahoma"/>
            <family val="2"/>
          </rPr>
          <t>Baglione, Gregory  (Research):</t>
        </r>
        <r>
          <rPr>
            <sz val="9"/>
            <color indexed="81"/>
            <rFont val="Tahoma"/>
            <family val="2"/>
          </rPr>
          <t xml:space="preserve">
Using the company's effective tax rate for the adjustment, per the company's footnote in it's press release</t>
        </r>
      </text>
    </comment>
    <comment ref="B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C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D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E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F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G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H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I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J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K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L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M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N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 ref="O78" authorId="5">
      <text>
        <r>
          <rPr>
            <b/>
            <sz val="9"/>
            <color indexed="81"/>
            <rFont val="Tahoma"/>
            <family val="2"/>
          </rPr>
          <t>Baglione, Gregory  (Research):</t>
        </r>
        <r>
          <rPr>
            <sz val="9"/>
            <color indexed="81"/>
            <rFont val="Tahoma"/>
            <family val="2"/>
          </rPr>
          <t xml:space="preserve">
Model reflects company's current Adjusted EBITDA calculation post IPO (prior years restated to reflect this calculation)</t>
        </r>
      </text>
    </comment>
  </commentList>
</comments>
</file>

<file path=xl/comments12.xml><?xml version="1.0" encoding="utf-8"?>
<comments xmlns="http://schemas.openxmlformats.org/spreadsheetml/2006/main">
  <authors>
    <author>balskyh</author>
    <author>Baglione, Gregory (Research)</author>
    <author>duol</author>
    <author>Turley, Amber (Research)</author>
    <author>Baglione, Gregory  (Research)</author>
    <author>Duol</author>
    <author>Roberts, Cynthia (Research)</author>
  </authors>
  <commentList>
    <comment ref="G5" authorId="0">
      <text>
        <r>
          <rPr>
            <b/>
            <sz val="8"/>
            <color indexed="81"/>
            <rFont val="Tahoma"/>
            <family val="2"/>
          </rPr>
          <t>Predecessor/Successor Presentation.  Although Burlington Coat Factory Warehouse Corporation continued as the same legal entity after the Merger Transaction, the Selected Financial Data for fiscal year 2006 provided below is presented for two periods: Predecessor and Successor, which relate to the period preceding the Merger Transaction, May 29, 2005 to April 12, 2006, and the period succeeding the Merger Transaction, April 13, 2006 to June 3, 2006, and for the twelve months ended June 3, 2007, respectively. The financial data provided refers to the operations of the Company and its subsidiaries for both the Predecessor and Successor periods.</t>
        </r>
      </text>
    </comment>
    <comment ref="H5" authorId="0">
      <text>
        <r>
          <rPr>
            <b/>
            <sz val="8"/>
            <color indexed="81"/>
            <rFont val="Tahoma"/>
            <family val="2"/>
          </rPr>
          <t>Note: Our combined results of operations for the year ended June 3, 2006 represent the addition of the Predecessor period from May 29, 2005 through April 12, 2006 and the Successor period from April 13, 2006 through June 3, 2006. This combination does not comply with GAAP or with the rules for pro forma presentation, but is presented because we believe it provides the most meaningful comparison of our results for investors as it provides annual comparability between years and is the information that management uses to make decisions on an annual basis.</t>
        </r>
      </text>
    </comment>
    <comment ref="G6" authorId="0">
      <text>
        <r>
          <rPr>
            <b/>
            <sz val="8"/>
            <color indexed="81"/>
            <rFont val="Tahoma"/>
            <family val="2"/>
          </rPr>
          <t>Predecessor/Successor Presentation.  Although Burlington Coat Factory Warehouse Corporation continued as the same legal entity after the Merger Transaction, the Selected Financial Data for fiscal year 2006 provided below is presented for two periods: Predecessor and Successor, which relate to the period preceding the Merger Transaction, May 29, 2005 to April 12, 2006, and the period succeeding the Merger Transaction, April 13, 2006 to June 3, 2006, and for the twelve months ended June 3, 2007, respectively. The financial data provided refers to the operations of the Company and its subsidiaries for both the Predecessor and Successor periods.</t>
        </r>
      </text>
    </comment>
    <comment ref="H6" authorId="0">
      <text>
        <r>
          <rPr>
            <b/>
            <sz val="8"/>
            <color indexed="81"/>
            <rFont val="Tahoma"/>
            <family val="2"/>
          </rPr>
          <t>Note: Our combined results of operations for the year ended June 3, 2006 represent the addition of the Predecessor period from May 29, 2005 through April 12, 2006 and the Successor period from April 13, 2006 through June 3, 2006. This combination does not comply with GAAP or with the rules for pro forma presentation, but is presented because we believe it provides the most meaningful comparison of our results for investors as it provides annual comparability between years and is the information that management uses to make decisions on an annual basis.</t>
        </r>
      </text>
    </comment>
    <comment ref="B8" authorId="0">
      <text>
        <r>
          <rPr>
            <b/>
            <sz val="8"/>
            <color indexed="81"/>
            <rFont val="Tahoma"/>
            <family val="2"/>
          </rPr>
          <t xml:space="preserve">Source: </t>
        </r>
        <r>
          <rPr>
            <sz val="8"/>
            <color indexed="81"/>
            <rFont val="Tahoma"/>
            <family val="2"/>
          </rPr>
          <t xml:space="preserve">Company analyst information pack </t>
        </r>
      </text>
    </comment>
    <comment ref="C8" authorId="0">
      <text>
        <r>
          <rPr>
            <b/>
            <sz val="8"/>
            <color indexed="81"/>
            <rFont val="Tahoma"/>
            <family val="2"/>
          </rPr>
          <t xml:space="preserve">Source: </t>
        </r>
        <r>
          <rPr>
            <sz val="8"/>
            <color indexed="81"/>
            <rFont val="Tahoma"/>
            <family val="2"/>
          </rPr>
          <t xml:space="preserve">Company analyst information pack </t>
        </r>
      </text>
    </comment>
    <comment ref="U8" authorId="1">
      <text>
        <r>
          <rPr>
            <b/>
            <sz val="9"/>
            <color indexed="81"/>
            <rFont val="Tahoma"/>
            <family val="2"/>
          </rPr>
          <t>Baglione, Gregory (Research):</t>
        </r>
        <r>
          <rPr>
            <sz val="9"/>
            <color indexed="81"/>
            <rFont val="Tahoma"/>
            <family val="2"/>
          </rPr>
          <t xml:space="preserve">
2012 footnotes state 53rd week added $54M sales or 1-1.5%
Raising spread to reflect the 1-1.5% 53rd week benefit</t>
        </r>
      </text>
    </comment>
    <comment ref="A10" authorId="2">
      <text>
        <r>
          <rPr>
            <b/>
            <sz val="8"/>
            <color indexed="81"/>
            <rFont val="Tahoma"/>
            <family val="2"/>
          </rPr>
          <t>No longer in use</t>
        </r>
      </text>
    </comment>
    <comment ref="A12" authorId="2">
      <text>
        <r>
          <rPr>
            <b/>
            <sz val="8"/>
            <color indexed="81"/>
            <rFont val="Tahoma"/>
            <family val="2"/>
          </rPr>
          <t xml:space="preserve">No longer in use
</t>
        </r>
      </text>
    </comment>
    <comment ref="C16" authorId="0">
      <text>
        <r>
          <rPr>
            <b/>
            <sz val="8"/>
            <color indexed="81"/>
            <rFont val="Tahoma"/>
            <family val="2"/>
          </rPr>
          <t>Net openings</t>
        </r>
      </text>
    </comment>
    <comment ref="L16" authorId="0">
      <text>
        <r>
          <rPr>
            <b/>
            <sz val="8"/>
            <color indexed="81"/>
            <rFont val="Tahoma"/>
            <family val="2"/>
          </rPr>
          <t>Net</t>
        </r>
      </text>
    </comment>
    <comment ref="Q16"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S16" authorId="3">
      <text>
        <r>
          <rPr>
            <b/>
            <sz val="9"/>
            <color indexed="81"/>
            <rFont val="Tahoma"/>
            <family val="2"/>
          </rPr>
          <t>Turley, Amber (Research):</t>
        </r>
        <r>
          <rPr>
            <sz val="9"/>
            <color indexed="81"/>
            <rFont val="Tahoma"/>
            <family val="2"/>
          </rPr>
          <t xml:space="preserve">
3/17/15: Guidance 25 net new stores</t>
        </r>
      </text>
    </comment>
    <comment ref="T16" authorId="4">
      <text>
        <r>
          <rPr>
            <b/>
            <sz val="9"/>
            <color indexed="81"/>
            <rFont val="Tahoma"/>
            <family val="2"/>
          </rPr>
          <t>Baglione, Gregory  (Research):</t>
        </r>
        <r>
          <rPr>
            <sz val="9"/>
            <color indexed="81"/>
            <rFont val="Tahoma"/>
            <family val="2"/>
          </rPr>
          <t xml:space="preserve">
11/22/16
This year, our capital plans include the completion of 12 remodels and 18 refreshes.
11/24/15
 ~ 25 new doors/ year
</t>
        </r>
      </text>
    </comment>
    <comment ref="U16" authorId="4">
      <text>
        <r>
          <rPr>
            <b/>
            <sz val="9"/>
            <color indexed="81"/>
            <rFont val="Tahoma"/>
            <family val="2"/>
          </rPr>
          <t>Baglione, Gregory  (Research):</t>
        </r>
        <r>
          <rPr>
            <sz val="9"/>
            <color indexed="81"/>
            <rFont val="Tahoma"/>
            <family val="2"/>
          </rPr>
          <t xml:space="preserve">
8/24/17: 48 new stores and 37 net new openings
3/2/17: Guidance: 44 openings, 6 relocations, 8 closures (non-productive stores)
11/22/16
Average square footage of 51K sq. ft. Plan to open approximately 30 net new stores in 2017
11/24/15
 ~ 25 new doors/ year</t>
        </r>
      </text>
    </comment>
    <comment ref="V16" authorId="4">
      <text>
        <r>
          <rPr>
            <b/>
            <sz val="9"/>
            <color indexed="81"/>
            <rFont val="Tahoma"/>
            <family val="2"/>
          </rPr>
          <t>Baglione, Gregory  (Research):</t>
        </r>
        <r>
          <rPr>
            <sz val="9"/>
            <color indexed="81"/>
            <rFont val="Tahoma"/>
            <family val="2"/>
          </rPr>
          <t xml:space="preserve">
11/24/15
 ~ 25 new doors/ year</t>
        </r>
      </text>
    </comment>
    <comment ref="R17" authorId="5">
      <text>
        <r>
          <rPr>
            <sz val="8"/>
            <color indexed="81"/>
            <rFont val="Tahoma"/>
            <family val="2"/>
          </rPr>
          <t>To match Co's store count forecast</t>
        </r>
      </text>
    </comment>
    <comment ref="U17" authorId="4">
      <text>
        <r>
          <rPr>
            <b/>
            <sz val="9"/>
            <color indexed="81"/>
            <rFont val="Tahoma"/>
            <family val="2"/>
          </rPr>
          <t>Baglione, Gregory  (Research):</t>
        </r>
        <r>
          <rPr>
            <sz val="9"/>
            <color indexed="81"/>
            <rFont val="Tahoma"/>
            <family val="2"/>
          </rPr>
          <t xml:space="preserve">
8/24/17: 48 new stores and 37 net new openings
3/2/17: Guidance: 44 openings, 6 relocations, 8 closures (non-productive stores)
11/22/16
Average square footage of 51K sq. ft. Plan to open approximately 30 net new stores in 2017
11/24/15
 ~ 25 new doors/ year</t>
        </r>
      </text>
    </comment>
    <comment ref="I18" authorId="0">
      <text>
        <r>
          <rPr>
            <b/>
            <sz val="8"/>
            <color indexed="81"/>
            <rFont val="Tahoma"/>
            <family val="2"/>
          </rPr>
          <t>Note:</t>
        </r>
        <r>
          <rPr>
            <sz val="8"/>
            <color indexed="81"/>
            <rFont val="Tahoma"/>
            <family val="2"/>
          </rPr>
          <t xml:space="preserve"> Inclusive of three stores that closed because of hurricane damage, which reopened in 2007.</t>
        </r>
      </text>
    </comment>
    <comment ref="Q18" authorId="0">
      <text>
        <r>
          <rPr>
            <b/>
            <sz val="8"/>
            <color indexed="81"/>
            <rFont val="Tahoma"/>
            <family val="2"/>
          </rPr>
          <t xml:space="preserve">Per 10K: </t>
        </r>
        <r>
          <rPr>
            <sz val="8"/>
            <color indexed="81"/>
            <rFont val="Tahoma"/>
            <family val="2"/>
          </rPr>
          <t xml:space="preserve">During the fiscal year ending February 1, 2014 (Fiscal 2013), we plan to open between 20 and 28 new stores. </t>
        </r>
      </text>
    </comment>
    <comment ref="B31" authorId="0">
      <text>
        <r>
          <rPr>
            <b/>
            <sz val="8"/>
            <color indexed="81"/>
            <rFont val="Tahoma"/>
            <family val="2"/>
          </rPr>
          <t xml:space="preserve">Per 10K:  </t>
        </r>
        <r>
          <rPr>
            <sz val="8"/>
            <color indexed="81"/>
            <rFont val="Tahoma"/>
            <family val="2"/>
          </rPr>
          <t>Most of our stores are ~80,000 square feet</t>
        </r>
      </text>
    </comment>
    <comment ref="C31" authorId="0">
      <text>
        <r>
          <rPr>
            <b/>
            <sz val="8"/>
            <color indexed="81"/>
            <rFont val="Tahoma"/>
            <family val="2"/>
          </rPr>
          <t xml:space="preserve">Per 10K:  </t>
        </r>
        <r>
          <rPr>
            <sz val="8"/>
            <color indexed="81"/>
            <rFont val="Tahoma"/>
            <family val="2"/>
          </rPr>
          <t>Most of our stores are ~80,000 square feet</t>
        </r>
      </text>
    </comment>
    <comment ref="D31" authorId="0">
      <text>
        <r>
          <rPr>
            <b/>
            <sz val="8"/>
            <color indexed="81"/>
            <rFont val="Tahoma"/>
            <family val="2"/>
          </rPr>
          <t xml:space="preserve">Per 10K:  </t>
        </r>
        <r>
          <rPr>
            <sz val="8"/>
            <color indexed="81"/>
            <rFont val="Tahoma"/>
            <family val="2"/>
          </rPr>
          <t>Most of our stores are ~80,000 square feet</t>
        </r>
      </text>
    </comment>
    <comment ref="E31" authorId="0">
      <text>
        <r>
          <rPr>
            <b/>
            <sz val="8"/>
            <color indexed="81"/>
            <rFont val="Tahoma"/>
            <family val="2"/>
          </rPr>
          <t xml:space="preserve">Per 10K:  </t>
        </r>
        <r>
          <rPr>
            <sz val="8"/>
            <color indexed="81"/>
            <rFont val="Tahoma"/>
            <family val="2"/>
          </rPr>
          <t>Most of our stores are ~80,000 square feet</t>
        </r>
      </text>
    </comment>
    <comment ref="F31" authorId="0">
      <text>
        <r>
          <rPr>
            <b/>
            <sz val="8"/>
            <color indexed="81"/>
            <rFont val="Tahoma"/>
            <family val="2"/>
          </rPr>
          <t xml:space="preserve">Per 10K:  </t>
        </r>
        <r>
          <rPr>
            <sz val="8"/>
            <color indexed="81"/>
            <rFont val="Tahoma"/>
            <family val="2"/>
          </rPr>
          <t>Most of our stores are ~80,000 square feet</t>
        </r>
      </text>
    </comment>
    <comment ref="G31" authorId="0">
      <text>
        <r>
          <rPr>
            <b/>
            <sz val="8"/>
            <color indexed="81"/>
            <rFont val="Tahoma"/>
            <family val="2"/>
          </rPr>
          <t xml:space="preserve">Per 10K:  </t>
        </r>
        <r>
          <rPr>
            <sz val="8"/>
            <color indexed="81"/>
            <rFont val="Tahoma"/>
            <family val="2"/>
          </rPr>
          <t>Most of our stores are ~80,000 square feet</t>
        </r>
      </text>
    </comment>
    <comment ref="H31" authorId="0">
      <text>
        <r>
          <rPr>
            <b/>
            <sz val="8"/>
            <color indexed="81"/>
            <rFont val="Tahoma"/>
            <family val="2"/>
          </rPr>
          <t xml:space="preserve">Per 10K:  </t>
        </r>
        <r>
          <rPr>
            <sz val="8"/>
            <color indexed="81"/>
            <rFont val="Tahoma"/>
            <family val="2"/>
          </rPr>
          <t>Most of our stores are ~80,000 square feet</t>
        </r>
      </text>
    </comment>
    <comment ref="I31" authorId="0">
      <text>
        <r>
          <rPr>
            <b/>
            <sz val="8"/>
            <color indexed="81"/>
            <rFont val="Tahoma"/>
            <family val="2"/>
          </rPr>
          <t xml:space="preserve">Per 10K:  </t>
        </r>
        <r>
          <rPr>
            <sz val="8"/>
            <color indexed="81"/>
            <rFont val="Tahoma"/>
            <family val="2"/>
          </rPr>
          <t>Most of our stores are ~80,000 square feet</t>
        </r>
      </text>
    </comment>
    <comment ref="J31" authorId="0">
      <text>
        <r>
          <rPr>
            <b/>
            <sz val="8"/>
            <color indexed="81"/>
            <rFont val="Tahoma"/>
            <family val="2"/>
          </rPr>
          <t xml:space="preserve">Per 10K:  </t>
        </r>
        <r>
          <rPr>
            <sz val="8"/>
            <color indexed="81"/>
            <rFont val="Tahoma"/>
            <family val="2"/>
          </rPr>
          <t>Most of our stores are ~80,000 square feet</t>
        </r>
      </text>
    </comment>
    <comment ref="K31" authorId="0">
      <text>
        <r>
          <rPr>
            <b/>
            <sz val="8"/>
            <color indexed="81"/>
            <rFont val="Tahoma"/>
            <family val="2"/>
          </rPr>
          <t xml:space="preserve">Per 10K:  </t>
        </r>
        <r>
          <rPr>
            <sz val="8"/>
            <color indexed="81"/>
            <rFont val="Tahoma"/>
            <family val="2"/>
          </rPr>
          <t>Most of our stores are ~80,000 square feet</t>
        </r>
      </text>
    </comment>
    <comment ref="L31" authorId="0">
      <text>
        <r>
          <rPr>
            <b/>
            <sz val="8"/>
            <color indexed="81"/>
            <rFont val="Tahoma"/>
            <family val="2"/>
          </rPr>
          <t xml:space="preserve">Per 10K:  </t>
        </r>
        <r>
          <rPr>
            <sz val="8"/>
            <color indexed="81"/>
            <rFont val="Tahoma"/>
            <family val="2"/>
          </rPr>
          <t>Most of our stores are ~80,000 square feet</t>
        </r>
      </text>
    </comment>
    <comment ref="M31" authorId="0">
      <text>
        <r>
          <rPr>
            <b/>
            <sz val="8"/>
            <color indexed="81"/>
            <rFont val="Tahoma"/>
            <family val="2"/>
          </rPr>
          <t xml:space="preserve">Per 10K:  </t>
        </r>
        <r>
          <rPr>
            <sz val="8"/>
            <color indexed="81"/>
            <rFont val="Tahoma"/>
            <family val="2"/>
          </rPr>
          <t>Most of our stores are ~80,000 square feet</t>
        </r>
      </text>
    </comment>
    <comment ref="N31" authorId="0">
      <text>
        <r>
          <rPr>
            <b/>
            <sz val="8"/>
            <color indexed="81"/>
            <rFont val="Tahoma"/>
            <family val="2"/>
          </rPr>
          <t xml:space="preserve">Per 10K:  </t>
        </r>
        <r>
          <rPr>
            <sz val="8"/>
            <color indexed="81"/>
            <rFont val="Tahoma"/>
            <family val="2"/>
          </rPr>
          <t>Most of our stores are ~80,000 square feet</t>
        </r>
      </text>
    </comment>
    <comment ref="P31" authorId="0">
      <text>
        <r>
          <rPr>
            <b/>
            <sz val="8"/>
            <color indexed="81"/>
            <rFont val="Tahoma"/>
            <family val="2"/>
          </rPr>
          <t xml:space="preserve">Per 10K:  </t>
        </r>
        <r>
          <rPr>
            <sz val="8"/>
            <color indexed="81"/>
            <rFont val="Tahoma"/>
            <family val="2"/>
          </rPr>
          <t>Most of our stores are ~80,000 square feet</t>
        </r>
      </text>
    </comment>
    <comment ref="R31" authorId="0">
      <text>
        <r>
          <rPr>
            <b/>
            <sz val="8"/>
            <color indexed="81"/>
            <rFont val="Tahoma"/>
            <family val="2"/>
          </rPr>
          <t xml:space="preserve">Per 10K:  </t>
        </r>
        <r>
          <rPr>
            <sz val="8"/>
            <color indexed="81"/>
            <rFont val="Tahoma"/>
            <family val="2"/>
          </rPr>
          <t>Most of our stores are ~80,000 square feet (mgmt sees oppty for 60K sq ft stores)
Per "Analyst Questions": expect new store sq ft in the range of low 60k to low 70k</t>
        </r>
      </text>
    </comment>
    <comment ref="S31" authorId="0">
      <text>
        <r>
          <rPr>
            <b/>
            <sz val="8"/>
            <color indexed="81"/>
            <rFont val="Tahoma"/>
            <family val="2"/>
          </rPr>
          <t xml:space="preserve">Per 10K:  </t>
        </r>
        <r>
          <rPr>
            <sz val="8"/>
            <color indexed="81"/>
            <rFont val="Tahoma"/>
            <family val="2"/>
          </rPr>
          <t>Most of our stores are ~80,000 square feet (mgmt sees oppty for 60K sq ft stores)
Per "Analyst Questions": expect new store sq ft in the range of low 60k to low 70k</t>
        </r>
      </text>
    </comment>
    <comment ref="T31" authorId="0">
      <text>
        <r>
          <rPr>
            <b/>
            <sz val="8"/>
            <color indexed="81"/>
            <rFont val="Tahoma"/>
            <family val="2"/>
          </rPr>
          <t xml:space="preserve">Per 10K:  </t>
        </r>
        <r>
          <rPr>
            <sz val="8"/>
            <color indexed="81"/>
            <rFont val="Tahoma"/>
            <family val="2"/>
          </rPr>
          <t>Most of our stores are ~80,000 square feet (mgmt sees oppty for 60K sq ft stores)
Per "Analyst Questions": expect new store sq ft in the range of low 60k to low 70k</t>
        </r>
      </text>
    </comment>
    <comment ref="U31" authorId="0">
      <text>
        <r>
          <rPr>
            <b/>
            <sz val="8"/>
            <color indexed="81"/>
            <rFont val="Tahoma"/>
            <family val="2"/>
          </rPr>
          <t xml:space="preserve">3/9/18: per management 2017 ending sq ft 45.7M and average store opening size 43,000 sq ft
Per 10K:  </t>
        </r>
        <r>
          <rPr>
            <sz val="8"/>
            <color indexed="81"/>
            <rFont val="Tahoma"/>
            <family val="2"/>
          </rPr>
          <t>Most of our stores are ~80,000 square feet (mgmt sees oppty for 60K sq ft stores)
Per "Analyst Questions": expect new store sq ft in the range of low 60k to low 70k</t>
        </r>
      </text>
    </comment>
    <comment ref="V31" authorId="0">
      <text>
        <r>
          <rPr>
            <b/>
            <sz val="8"/>
            <color indexed="81"/>
            <rFont val="Tahoma"/>
            <family val="2"/>
          </rPr>
          <t xml:space="preserve">3/2/17: </t>
        </r>
        <r>
          <rPr>
            <sz val="8"/>
            <color indexed="81"/>
            <rFont val="Tahoma"/>
            <family val="2"/>
          </rPr>
          <t>Per 4Q16 transcript, new stores averaging 45k sq ft</t>
        </r>
        <r>
          <rPr>
            <b/>
            <sz val="8"/>
            <color indexed="81"/>
            <rFont val="Tahoma"/>
            <family val="2"/>
          </rPr>
          <t xml:space="preserve">
Per 10K:  </t>
        </r>
        <r>
          <rPr>
            <sz val="8"/>
            <color indexed="81"/>
            <rFont val="Tahoma"/>
            <family val="2"/>
          </rPr>
          <t>Most of our stores are ~80,000 square feet (mgmt sees oppty for 60K sq ft stores)
Per "Analyst Questions": expect new store sq ft in the range of low 60k to low 70k</t>
        </r>
      </text>
    </comment>
    <comment ref="W31" authorId="0">
      <text>
        <r>
          <rPr>
            <b/>
            <sz val="8"/>
            <color indexed="81"/>
            <rFont val="Tahoma"/>
            <family val="2"/>
          </rPr>
          <t xml:space="preserve">3/2/17: </t>
        </r>
        <r>
          <rPr>
            <sz val="8"/>
            <color indexed="81"/>
            <rFont val="Tahoma"/>
            <family val="2"/>
          </rPr>
          <t>Per 4Q16 transcript, new stores averaging 45k sq ft</t>
        </r>
        <r>
          <rPr>
            <b/>
            <sz val="8"/>
            <color indexed="81"/>
            <rFont val="Tahoma"/>
            <family val="2"/>
          </rPr>
          <t xml:space="preserve">
Per 10K:  </t>
        </r>
        <r>
          <rPr>
            <sz val="8"/>
            <color indexed="81"/>
            <rFont val="Tahoma"/>
            <family val="2"/>
          </rPr>
          <t>Most of our stores are ~80,000 square feet (mgmt sees oppty for 60K sq ft stores)
Per "Analyst Questions": expect new store sq ft in the range of low 60k to low 70k</t>
        </r>
      </text>
    </comment>
    <comment ref="X31" authorId="0">
      <text>
        <r>
          <rPr>
            <b/>
            <sz val="8"/>
            <color indexed="81"/>
            <rFont val="Tahoma"/>
            <family val="2"/>
          </rPr>
          <t xml:space="preserve">3/2/17: </t>
        </r>
        <r>
          <rPr>
            <sz val="8"/>
            <color indexed="81"/>
            <rFont val="Tahoma"/>
            <family val="2"/>
          </rPr>
          <t>Per 4Q16 transcript, new stores averaging 45k sq ft</t>
        </r>
        <r>
          <rPr>
            <b/>
            <sz val="8"/>
            <color indexed="81"/>
            <rFont val="Tahoma"/>
            <family val="2"/>
          </rPr>
          <t xml:space="preserve">
Per 10K:  </t>
        </r>
        <r>
          <rPr>
            <sz val="8"/>
            <color indexed="81"/>
            <rFont val="Tahoma"/>
            <family val="2"/>
          </rPr>
          <t>Most of our stores are ~80,000 square feet (mgmt sees oppty for 60K sq ft stores)
Per "Analyst Questions": expect new store sq ft in the range of low 60k to low 70k</t>
        </r>
      </text>
    </comment>
    <comment ref="Y31" authorId="0">
      <text>
        <r>
          <rPr>
            <b/>
            <sz val="8"/>
            <color indexed="81"/>
            <rFont val="Tahoma"/>
            <family val="2"/>
          </rPr>
          <t xml:space="preserve">3/2/17: </t>
        </r>
        <r>
          <rPr>
            <sz val="8"/>
            <color indexed="81"/>
            <rFont val="Tahoma"/>
            <family val="2"/>
          </rPr>
          <t>Per 4Q16 transcript, new stores averaging 45k sq ft</t>
        </r>
        <r>
          <rPr>
            <b/>
            <sz val="8"/>
            <color indexed="81"/>
            <rFont val="Tahoma"/>
            <family val="2"/>
          </rPr>
          <t xml:space="preserve">
Per 10K:  </t>
        </r>
        <r>
          <rPr>
            <sz val="8"/>
            <color indexed="81"/>
            <rFont val="Tahoma"/>
            <family val="2"/>
          </rPr>
          <t>Most of our stores are ~80,000 square feet (mgmt sees oppty for 60K sq ft stores)
Per "Analyst Questions": expect new store sq ft in the range of low 60k to low 70k</t>
        </r>
      </text>
    </comment>
    <comment ref="Z31" authorId="0">
      <text>
        <r>
          <rPr>
            <b/>
            <sz val="8"/>
            <color indexed="81"/>
            <rFont val="Tahoma"/>
            <family val="2"/>
          </rPr>
          <t xml:space="preserve">3/2/17: </t>
        </r>
        <r>
          <rPr>
            <sz val="8"/>
            <color indexed="81"/>
            <rFont val="Tahoma"/>
            <family val="2"/>
          </rPr>
          <t>Per 4Q16 transcript, new stores averaging 45k sq ft</t>
        </r>
        <r>
          <rPr>
            <b/>
            <sz val="8"/>
            <color indexed="81"/>
            <rFont val="Tahoma"/>
            <family val="2"/>
          </rPr>
          <t xml:space="preserve">
Per 10K:  </t>
        </r>
        <r>
          <rPr>
            <sz val="8"/>
            <color indexed="81"/>
            <rFont val="Tahoma"/>
            <family val="2"/>
          </rPr>
          <t>Most of our stores are ~80,000 square feet (mgmt sees oppty for 60K sq ft stores)
Per "Analyst Questions": expect new store sq ft in the range of low 60k to low 70k</t>
        </r>
      </text>
    </comment>
    <comment ref="B34" authorId="0">
      <text>
        <r>
          <rPr>
            <b/>
            <sz val="8"/>
            <color indexed="81"/>
            <rFont val="Tahoma"/>
            <family val="2"/>
          </rPr>
          <t xml:space="preserve">Per 10K:  </t>
        </r>
        <r>
          <rPr>
            <sz val="8"/>
            <color indexed="81"/>
            <rFont val="Tahoma"/>
            <family val="2"/>
          </rPr>
          <t>Most of our stores are ~80,000 square feet</t>
        </r>
      </text>
    </comment>
    <comment ref="C34" authorId="0">
      <text>
        <r>
          <rPr>
            <b/>
            <sz val="8"/>
            <color indexed="81"/>
            <rFont val="Tahoma"/>
            <family val="2"/>
          </rPr>
          <t xml:space="preserve">Per 10K:  </t>
        </r>
        <r>
          <rPr>
            <sz val="8"/>
            <color indexed="81"/>
            <rFont val="Tahoma"/>
            <family val="2"/>
          </rPr>
          <t>Most of our stores are ~80,000 square feet</t>
        </r>
      </text>
    </comment>
    <comment ref="D34" authorId="0">
      <text>
        <r>
          <rPr>
            <b/>
            <sz val="8"/>
            <color indexed="81"/>
            <rFont val="Tahoma"/>
            <family val="2"/>
          </rPr>
          <t xml:space="preserve">Per 10K:  </t>
        </r>
        <r>
          <rPr>
            <sz val="8"/>
            <color indexed="81"/>
            <rFont val="Tahoma"/>
            <family val="2"/>
          </rPr>
          <t>Most of our stores are ~80,000 square feet</t>
        </r>
      </text>
    </comment>
    <comment ref="E34" authorId="0">
      <text>
        <r>
          <rPr>
            <b/>
            <sz val="8"/>
            <color indexed="81"/>
            <rFont val="Tahoma"/>
            <family val="2"/>
          </rPr>
          <t xml:space="preserve">Per 10K:  </t>
        </r>
        <r>
          <rPr>
            <sz val="8"/>
            <color indexed="81"/>
            <rFont val="Tahoma"/>
            <family val="2"/>
          </rPr>
          <t>Most of our stores are ~80,000 square feet</t>
        </r>
      </text>
    </comment>
    <comment ref="F34" authorId="0">
      <text>
        <r>
          <rPr>
            <b/>
            <sz val="8"/>
            <color indexed="81"/>
            <rFont val="Tahoma"/>
            <family val="2"/>
          </rPr>
          <t xml:space="preserve">Per 10K:  </t>
        </r>
        <r>
          <rPr>
            <sz val="8"/>
            <color indexed="81"/>
            <rFont val="Tahoma"/>
            <family val="2"/>
          </rPr>
          <t>Most of our stores are ~80,000 square feet</t>
        </r>
      </text>
    </comment>
    <comment ref="G34" authorId="0">
      <text>
        <r>
          <rPr>
            <b/>
            <sz val="8"/>
            <color indexed="81"/>
            <rFont val="Tahoma"/>
            <family val="2"/>
          </rPr>
          <t xml:space="preserve">Per 10K:  </t>
        </r>
        <r>
          <rPr>
            <sz val="8"/>
            <color indexed="81"/>
            <rFont val="Tahoma"/>
            <family val="2"/>
          </rPr>
          <t>Most of our stores are ~80,000 square feet</t>
        </r>
      </text>
    </comment>
    <comment ref="H34" authorId="0">
      <text>
        <r>
          <rPr>
            <b/>
            <sz val="8"/>
            <color indexed="81"/>
            <rFont val="Tahoma"/>
            <family val="2"/>
          </rPr>
          <t xml:space="preserve">Per 10K:  </t>
        </r>
        <r>
          <rPr>
            <sz val="8"/>
            <color indexed="81"/>
            <rFont val="Tahoma"/>
            <family val="2"/>
          </rPr>
          <t>Most of our stores are ~80,000 square feet</t>
        </r>
      </text>
    </comment>
    <comment ref="I34" authorId="0">
      <text>
        <r>
          <rPr>
            <b/>
            <sz val="8"/>
            <color indexed="81"/>
            <rFont val="Tahoma"/>
            <family val="2"/>
          </rPr>
          <t xml:space="preserve">Per 10K:  </t>
        </r>
        <r>
          <rPr>
            <sz val="8"/>
            <color indexed="81"/>
            <rFont val="Tahoma"/>
            <family val="2"/>
          </rPr>
          <t>Most of our stores are ~80,000 square feet</t>
        </r>
      </text>
    </comment>
    <comment ref="J34" authorId="0">
      <text>
        <r>
          <rPr>
            <b/>
            <sz val="8"/>
            <color indexed="81"/>
            <rFont val="Tahoma"/>
            <family val="2"/>
          </rPr>
          <t xml:space="preserve">Per 10K:  </t>
        </r>
        <r>
          <rPr>
            <sz val="8"/>
            <color indexed="81"/>
            <rFont val="Tahoma"/>
            <family val="2"/>
          </rPr>
          <t>Most of our stores are ~80,000 square feet</t>
        </r>
      </text>
    </comment>
    <comment ref="K34" authorId="0">
      <text>
        <r>
          <rPr>
            <b/>
            <sz val="8"/>
            <color indexed="81"/>
            <rFont val="Tahoma"/>
            <family val="2"/>
          </rPr>
          <t xml:space="preserve">Per 10K:  </t>
        </r>
        <r>
          <rPr>
            <sz val="8"/>
            <color indexed="81"/>
            <rFont val="Tahoma"/>
            <family val="2"/>
          </rPr>
          <t>Most of our stores are ~80,000 square feet</t>
        </r>
      </text>
    </comment>
    <comment ref="Q34" authorId="6">
      <text>
        <r>
          <rPr>
            <b/>
            <sz val="9"/>
            <color indexed="81"/>
            <rFont val="Tahoma"/>
            <family val="2"/>
          </rPr>
          <t>Roberts, Cynthia (Research):</t>
        </r>
        <r>
          <rPr>
            <sz val="9"/>
            <color indexed="81"/>
            <rFont val="Tahoma"/>
            <family val="2"/>
          </rPr>
          <t xml:space="preserve">
per 10-k: average store size is approximately 80,000 square feet</t>
        </r>
      </text>
    </comment>
    <comment ref="R34" authorId="6">
      <text>
        <r>
          <rPr>
            <b/>
            <sz val="9"/>
            <color indexed="81"/>
            <rFont val="Tahoma"/>
            <family val="2"/>
          </rPr>
          <t>Roberts, Cynthia (Research):</t>
        </r>
        <r>
          <rPr>
            <sz val="9"/>
            <color indexed="81"/>
            <rFont val="Tahoma"/>
            <family val="2"/>
          </rPr>
          <t xml:space="preserve">
per 10-k: average store size is approximately 78,000 square feet</t>
        </r>
      </text>
    </comment>
    <comment ref="S34" authorId="6">
      <text>
        <r>
          <rPr>
            <b/>
            <sz val="9"/>
            <color indexed="81"/>
            <rFont val="Tahoma"/>
            <family val="2"/>
          </rPr>
          <t>Roberts, Cynthia (Research):</t>
        </r>
        <r>
          <rPr>
            <sz val="9"/>
            <color indexed="81"/>
            <rFont val="Tahoma"/>
            <family val="2"/>
          </rPr>
          <t xml:space="preserve">
per 10-k: average store size is approximately 77,000 square feet</t>
        </r>
      </text>
    </comment>
    <comment ref="T34" authorId="6">
      <text>
        <r>
          <rPr>
            <b/>
            <sz val="9"/>
            <color indexed="81"/>
            <rFont val="Tahoma"/>
            <family val="2"/>
          </rPr>
          <t>Roberts, Cynthia (Research):</t>
        </r>
        <r>
          <rPr>
            <sz val="9"/>
            <color indexed="81"/>
            <rFont val="Tahoma"/>
            <family val="2"/>
          </rPr>
          <t xml:space="preserve">
per 10-k: average store size is approximately 76,000 square feet</t>
        </r>
      </text>
    </comment>
    <comment ref="U34" authorId="6">
      <text>
        <r>
          <rPr>
            <b/>
            <sz val="9"/>
            <color indexed="81"/>
            <rFont val="Tahoma"/>
            <family val="2"/>
          </rPr>
          <t>Roberts, Cynthia (Research):</t>
        </r>
        <r>
          <rPr>
            <sz val="9"/>
            <color indexed="81"/>
            <rFont val="Tahoma"/>
            <family val="2"/>
          </rPr>
          <t xml:space="preserve">
per 10-k: average store size is approximately 74,000 sq ft</t>
        </r>
      </text>
    </comment>
    <comment ref="P37" authorId="0">
      <text>
        <r>
          <rPr>
            <b/>
            <sz val="8"/>
            <color indexed="81"/>
            <rFont val="Tahoma"/>
            <family val="2"/>
          </rPr>
          <t xml:space="preserve">Per </t>
        </r>
        <r>
          <rPr>
            <sz val="8"/>
            <color indexed="81"/>
            <rFont val="Tahoma"/>
            <family val="2"/>
          </rPr>
          <t>Analyst Information Pack sales / psf are $127 (per selling sf?)</t>
        </r>
      </text>
    </comment>
    <comment ref="T40" authorId="1">
      <text>
        <r>
          <rPr>
            <b/>
            <sz val="9"/>
            <color indexed="81"/>
            <rFont val="Tahoma"/>
            <family val="2"/>
          </rPr>
          <t>Baglione, Gregory (Research):</t>
        </r>
        <r>
          <rPr>
            <sz val="9"/>
            <color indexed="81"/>
            <rFont val="Tahoma"/>
            <family val="2"/>
          </rPr>
          <t xml:space="preserve">
11/22/16
FY comp benefitted 50 bps from taking beauty business back in house.</t>
        </r>
      </text>
    </comment>
    <comment ref="U42" authorId="5">
      <text>
        <r>
          <rPr>
            <sz val="8"/>
            <color indexed="81"/>
            <rFont val="Tahoma"/>
            <family val="2"/>
          </rPr>
          <t>Manual Adj. to match Co's future yr Sales estimates</t>
        </r>
        <r>
          <rPr>
            <sz val="8"/>
            <color indexed="81"/>
            <rFont val="Tahoma"/>
            <family val="2"/>
          </rPr>
          <t xml:space="preserve">
</t>
        </r>
      </text>
    </comment>
  </commentList>
</comments>
</file>

<file path=xl/comments13.xml><?xml version="1.0" encoding="utf-8"?>
<comments xmlns="http://schemas.openxmlformats.org/spreadsheetml/2006/main">
  <authors>
    <author>duol</author>
  </authors>
  <commentList>
    <comment ref="L3" authorId="0">
      <text>
        <r>
          <rPr>
            <b/>
            <sz val="8"/>
            <color indexed="81"/>
            <rFont val="Tahoma"/>
            <family val="2"/>
          </rPr>
          <t xml:space="preserve">Source: Yahoo
</t>
        </r>
        <r>
          <rPr>
            <sz val="8"/>
            <color indexed="81"/>
            <rFont val="Tahoma"/>
            <family val="2"/>
          </rPr>
          <t xml:space="preserve">
</t>
        </r>
      </text>
    </comment>
  </commentList>
</comments>
</file>

<file path=xl/comments14.xml><?xml version="1.0" encoding="utf-8"?>
<comments xmlns="http://schemas.openxmlformats.org/spreadsheetml/2006/main">
  <authors>
    <author>duol</author>
  </authors>
  <commentList>
    <comment ref="T3" authorId="0">
      <text>
        <r>
          <rPr>
            <b/>
            <sz val="8"/>
            <color indexed="81"/>
            <rFont val="Tahoma"/>
            <family val="2"/>
          </rPr>
          <t xml:space="preserve">Source: Yahoo
</t>
        </r>
        <r>
          <rPr>
            <sz val="8"/>
            <color indexed="81"/>
            <rFont val="Tahoma"/>
            <family val="2"/>
          </rPr>
          <t xml:space="preserve">
</t>
        </r>
      </text>
    </comment>
  </commentList>
</comments>
</file>

<file path=xl/comments15.xml><?xml version="1.0" encoding="utf-8"?>
<comments xmlns="http://schemas.openxmlformats.org/spreadsheetml/2006/main">
  <authors>
    <author>balskyh</author>
    <author>Baglione, Gregory  (Research)</author>
    <author>DL</author>
    <author>duol</author>
  </authors>
  <commentList>
    <comment ref="D8" authorId="0">
      <text>
        <r>
          <rPr>
            <sz val="8"/>
            <color indexed="81"/>
            <rFont val="Tahoma"/>
            <family val="2"/>
          </rPr>
          <t>Qtr end Aug 31</t>
        </r>
      </text>
    </comment>
    <comment ref="F8" authorId="0">
      <text>
        <r>
          <rPr>
            <sz val="8"/>
            <color indexed="81"/>
            <rFont val="Tahoma"/>
            <family val="2"/>
          </rPr>
          <t>Qtr end Aug 31</t>
        </r>
      </text>
    </comment>
    <comment ref="H8" authorId="0">
      <text>
        <r>
          <rPr>
            <sz val="8"/>
            <color indexed="81"/>
            <rFont val="Tahoma"/>
            <family val="2"/>
          </rPr>
          <t>Qtr end Aug 31</t>
        </r>
      </text>
    </comment>
    <comment ref="J8" authorId="0">
      <text>
        <r>
          <rPr>
            <b/>
            <sz val="8"/>
            <color indexed="81"/>
            <rFont val="Tahoma"/>
            <family val="2"/>
          </rPr>
          <t>Qtr end Nov 30,</t>
        </r>
      </text>
    </comment>
    <comment ref="L8" authorId="0">
      <text>
        <r>
          <rPr>
            <sz val="8"/>
            <color indexed="81"/>
            <rFont val="Tahoma"/>
            <family val="2"/>
          </rPr>
          <t>Qtr end Aug 31</t>
        </r>
      </text>
    </comment>
    <comment ref="N8" authorId="0">
      <text>
        <r>
          <rPr>
            <sz val="8"/>
            <color indexed="81"/>
            <rFont val="Tahoma"/>
            <family val="2"/>
          </rPr>
          <t>Qtr end Aug 31</t>
        </r>
      </text>
    </comment>
    <comment ref="P8" authorId="0">
      <text>
        <r>
          <rPr>
            <sz val="8"/>
            <color indexed="81"/>
            <rFont val="Tahoma"/>
            <family val="2"/>
          </rPr>
          <t>Qtr end Aug 31</t>
        </r>
      </text>
    </comment>
    <comment ref="S8" authorId="0">
      <text>
        <r>
          <rPr>
            <b/>
            <sz val="8"/>
            <color indexed="81"/>
            <rFont val="Tahoma"/>
            <family val="2"/>
          </rPr>
          <t xml:space="preserve">Note: </t>
        </r>
        <r>
          <rPr>
            <sz val="8"/>
            <color indexed="81"/>
            <rFont val="Tahoma"/>
            <family val="2"/>
          </rPr>
          <t>excludes restricted cash</t>
        </r>
      </text>
    </comment>
    <comment ref="U8" authorId="0">
      <text>
        <r>
          <rPr>
            <b/>
            <sz val="8"/>
            <color indexed="81"/>
            <rFont val="Tahoma"/>
            <family val="2"/>
          </rPr>
          <t xml:space="preserve">Note: </t>
        </r>
        <r>
          <rPr>
            <sz val="8"/>
            <color indexed="81"/>
            <rFont val="Tahoma"/>
            <family val="2"/>
          </rPr>
          <t>excludes restricted cash</t>
        </r>
      </text>
    </comment>
    <comment ref="W8" authorId="0">
      <text>
        <r>
          <rPr>
            <b/>
            <sz val="8"/>
            <color indexed="81"/>
            <rFont val="Tahoma"/>
            <family val="2"/>
          </rPr>
          <t xml:space="preserve">Note: </t>
        </r>
        <r>
          <rPr>
            <sz val="8"/>
            <color indexed="81"/>
            <rFont val="Tahoma"/>
            <family val="2"/>
          </rPr>
          <t>excludes restricted cash</t>
        </r>
      </text>
    </comment>
    <comment ref="Y8" authorId="0">
      <text>
        <r>
          <rPr>
            <b/>
            <sz val="8"/>
            <color indexed="81"/>
            <rFont val="Tahoma"/>
            <family val="2"/>
          </rPr>
          <t xml:space="preserve">Note: </t>
        </r>
        <r>
          <rPr>
            <sz val="8"/>
            <color indexed="81"/>
            <rFont val="Tahoma"/>
            <family val="2"/>
          </rPr>
          <t>excludes restricted cash</t>
        </r>
      </text>
    </comment>
    <comment ref="D9" authorId="0">
      <text>
        <r>
          <rPr>
            <b/>
            <sz val="8"/>
            <color indexed="81"/>
            <rFont val="Tahoma"/>
            <family val="2"/>
          </rPr>
          <t>Qtr end Nov 30,</t>
        </r>
      </text>
    </comment>
    <comment ref="F9" authorId="0">
      <text>
        <r>
          <rPr>
            <b/>
            <sz val="8"/>
            <color indexed="81"/>
            <rFont val="Tahoma"/>
            <family val="2"/>
          </rPr>
          <t>Qtr end Nov 30,</t>
        </r>
      </text>
    </comment>
    <comment ref="H9" authorId="0">
      <text>
        <r>
          <rPr>
            <b/>
            <sz val="8"/>
            <color indexed="81"/>
            <rFont val="Tahoma"/>
            <family val="2"/>
          </rPr>
          <t>Qtr end Nov 30,</t>
        </r>
      </text>
    </comment>
    <comment ref="J9" authorId="0">
      <text>
        <r>
          <rPr>
            <b/>
            <sz val="8"/>
            <color indexed="81"/>
            <rFont val="Tahoma"/>
            <family val="2"/>
          </rPr>
          <t>Qtr end Nov 30,</t>
        </r>
      </text>
    </comment>
    <comment ref="L9" authorId="0">
      <text>
        <r>
          <rPr>
            <b/>
            <sz val="8"/>
            <color indexed="81"/>
            <rFont val="Tahoma"/>
            <family val="2"/>
          </rPr>
          <t>Qtr end Nov 30,</t>
        </r>
      </text>
    </comment>
    <comment ref="N9" authorId="0">
      <text>
        <r>
          <rPr>
            <b/>
            <sz val="8"/>
            <color indexed="81"/>
            <rFont val="Tahoma"/>
            <family val="2"/>
          </rPr>
          <t>Qtr end Nov 30,</t>
        </r>
      </text>
    </comment>
    <comment ref="P9" authorId="0">
      <text>
        <r>
          <rPr>
            <b/>
            <sz val="8"/>
            <color indexed="81"/>
            <rFont val="Tahoma"/>
            <family val="2"/>
          </rPr>
          <t>Qtr end Nov 30,</t>
        </r>
      </text>
    </comment>
    <comment ref="S9" authorId="0">
      <text>
        <r>
          <rPr>
            <b/>
            <sz val="8"/>
            <color indexed="81"/>
            <rFont val="Tahoma"/>
            <family val="2"/>
          </rPr>
          <t xml:space="preserve">Note: </t>
        </r>
        <r>
          <rPr>
            <sz val="8"/>
            <color indexed="81"/>
            <rFont val="Tahoma"/>
            <family val="2"/>
          </rPr>
          <t>excludes restricted cash</t>
        </r>
      </text>
    </comment>
    <comment ref="U9" authorId="0">
      <text>
        <r>
          <rPr>
            <b/>
            <sz val="8"/>
            <color indexed="81"/>
            <rFont val="Tahoma"/>
            <family val="2"/>
          </rPr>
          <t xml:space="preserve">Note: </t>
        </r>
        <r>
          <rPr>
            <sz val="8"/>
            <color indexed="81"/>
            <rFont val="Tahoma"/>
            <family val="2"/>
          </rPr>
          <t>excludes restricted cash</t>
        </r>
      </text>
    </comment>
    <comment ref="W9" authorId="0">
      <text>
        <r>
          <rPr>
            <b/>
            <sz val="8"/>
            <color indexed="81"/>
            <rFont val="Tahoma"/>
            <family val="2"/>
          </rPr>
          <t xml:space="preserve">Note: </t>
        </r>
        <r>
          <rPr>
            <sz val="8"/>
            <color indexed="81"/>
            <rFont val="Tahoma"/>
            <family val="2"/>
          </rPr>
          <t>excludes restricted cash</t>
        </r>
      </text>
    </comment>
    <comment ref="Y9" authorId="0">
      <text>
        <r>
          <rPr>
            <b/>
            <sz val="8"/>
            <color indexed="81"/>
            <rFont val="Tahoma"/>
            <family val="2"/>
          </rPr>
          <t xml:space="preserve">Note: </t>
        </r>
        <r>
          <rPr>
            <sz val="8"/>
            <color indexed="81"/>
            <rFont val="Tahoma"/>
            <family val="2"/>
          </rPr>
          <t>excludes restricted cash</t>
        </r>
      </text>
    </comment>
    <comment ref="D10" authorId="0">
      <text>
        <r>
          <rPr>
            <b/>
            <sz val="8"/>
            <color indexed="81"/>
            <rFont val="Tahoma"/>
            <family val="2"/>
          </rPr>
          <t>Qtr end Feb 28</t>
        </r>
      </text>
    </comment>
    <comment ref="F10" authorId="0">
      <text>
        <r>
          <rPr>
            <b/>
            <sz val="8"/>
            <color indexed="81"/>
            <rFont val="Tahoma"/>
            <family val="2"/>
          </rPr>
          <t>Qtr end Feb 28</t>
        </r>
      </text>
    </comment>
    <comment ref="H10" authorId="0">
      <text>
        <r>
          <rPr>
            <b/>
            <sz val="8"/>
            <color indexed="81"/>
            <rFont val="Tahoma"/>
            <family val="2"/>
          </rPr>
          <t>Qtr end Feb 28</t>
        </r>
      </text>
    </comment>
    <comment ref="J10" authorId="0">
      <text>
        <r>
          <rPr>
            <b/>
            <sz val="8"/>
            <color indexed="81"/>
            <rFont val="Tahoma"/>
            <family val="2"/>
          </rPr>
          <t>Qtr end Feb 28</t>
        </r>
      </text>
    </comment>
    <comment ref="L10" authorId="0">
      <text>
        <r>
          <rPr>
            <b/>
            <sz val="8"/>
            <color indexed="81"/>
            <rFont val="Tahoma"/>
            <family val="2"/>
          </rPr>
          <t>Qtr end Feb 28</t>
        </r>
      </text>
    </comment>
    <comment ref="N10" authorId="0">
      <text>
        <r>
          <rPr>
            <b/>
            <sz val="8"/>
            <color indexed="81"/>
            <rFont val="Tahoma"/>
            <family val="2"/>
          </rPr>
          <t>Qtr end Feb 28</t>
        </r>
      </text>
    </comment>
    <comment ref="P10" authorId="0">
      <text>
        <r>
          <rPr>
            <b/>
            <sz val="8"/>
            <color indexed="81"/>
            <rFont val="Tahoma"/>
            <family val="2"/>
          </rPr>
          <t xml:space="preserve">Qtr end Feb 28
</t>
        </r>
        <r>
          <rPr>
            <sz val="8"/>
            <color indexed="81"/>
            <rFont val="Tahoma"/>
            <family val="2"/>
          </rPr>
          <t>includes investment in Money Market Fund</t>
        </r>
      </text>
    </comment>
    <comment ref="S10" authorId="0">
      <text>
        <r>
          <rPr>
            <b/>
            <sz val="8"/>
            <color indexed="81"/>
            <rFont val="Tahoma"/>
            <family val="2"/>
          </rPr>
          <t xml:space="preserve">Note: </t>
        </r>
        <r>
          <rPr>
            <sz val="8"/>
            <color indexed="81"/>
            <rFont val="Tahoma"/>
            <family val="2"/>
          </rPr>
          <t>excludes restricted cash</t>
        </r>
      </text>
    </comment>
    <comment ref="U10" authorId="0">
      <text>
        <r>
          <rPr>
            <b/>
            <sz val="8"/>
            <color indexed="81"/>
            <rFont val="Tahoma"/>
            <family val="2"/>
          </rPr>
          <t xml:space="preserve">Note: </t>
        </r>
        <r>
          <rPr>
            <sz val="8"/>
            <color indexed="81"/>
            <rFont val="Tahoma"/>
            <family val="2"/>
          </rPr>
          <t>excludes restricted cash</t>
        </r>
      </text>
    </comment>
    <comment ref="W10" authorId="0">
      <text>
        <r>
          <rPr>
            <b/>
            <sz val="8"/>
            <color indexed="81"/>
            <rFont val="Tahoma"/>
            <family val="2"/>
          </rPr>
          <t xml:space="preserve">Note: </t>
        </r>
        <r>
          <rPr>
            <sz val="8"/>
            <color indexed="81"/>
            <rFont val="Tahoma"/>
            <family val="2"/>
          </rPr>
          <t>excludes restricted cash</t>
        </r>
      </text>
    </comment>
    <comment ref="Y10" authorId="0">
      <text>
        <r>
          <rPr>
            <b/>
            <sz val="8"/>
            <color indexed="81"/>
            <rFont val="Tahoma"/>
            <family val="2"/>
          </rPr>
          <t xml:space="preserve">Note: </t>
        </r>
        <r>
          <rPr>
            <sz val="8"/>
            <color indexed="81"/>
            <rFont val="Tahoma"/>
            <family val="2"/>
          </rPr>
          <t>excludes restricted cash</t>
        </r>
      </text>
    </comment>
    <comment ref="S11" authorId="0">
      <text>
        <r>
          <rPr>
            <b/>
            <sz val="8"/>
            <color indexed="81"/>
            <rFont val="Tahoma"/>
            <family val="2"/>
          </rPr>
          <t xml:space="preserve">Note: </t>
        </r>
        <r>
          <rPr>
            <sz val="8"/>
            <color indexed="81"/>
            <rFont val="Tahoma"/>
            <family val="2"/>
          </rPr>
          <t>excludes restricted cash</t>
        </r>
      </text>
    </comment>
    <comment ref="U11" authorId="0">
      <text>
        <r>
          <rPr>
            <b/>
            <sz val="8"/>
            <color indexed="81"/>
            <rFont val="Tahoma"/>
            <family val="2"/>
          </rPr>
          <t xml:space="preserve">Note: </t>
        </r>
        <r>
          <rPr>
            <sz val="8"/>
            <color indexed="81"/>
            <rFont val="Tahoma"/>
            <family val="2"/>
          </rPr>
          <t>excludes restricted cash</t>
        </r>
      </text>
    </comment>
    <comment ref="W11" authorId="0">
      <text>
        <r>
          <rPr>
            <b/>
            <sz val="8"/>
            <color indexed="81"/>
            <rFont val="Tahoma"/>
            <family val="2"/>
          </rPr>
          <t xml:space="preserve">Note: </t>
        </r>
        <r>
          <rPr>
            <sz val="8"/>
            <color indexed="81"/>
            <rFont val="Tahoma"/>
            <family val="2"/>
          </rPr>
          <t>excludes restricted cash</t>
        </r>
      </text>
    </comment>
    <comment ref="Y11" authorId="0">
      <text>
        <r>
          <rPr>
            <b/>
            <sz val="8"/>
            <color indexed="81"/>
            <rFont val="Tahoma"/>
            <family val="2"/>
          </rPr>
          <t xml:space="preserve">Note: </t>
        </r>
        <r>
          <rPr>
            <sz val="8"/>
            <color indexed="81"/>
            <rFont val="Tahoma"/>
            <family val="2"/>
          </rPr>
          <t>excludes restricted cash</t>
        </r>
      </text>
    </comment>
    <comment ref="AE29" authorId="1">
      <text>
        <r>
          <rPr>
            <b/>
            <sz val="9"/>
            <color indexed="81"/>
            <rFont val="Tahoma"/>
            <family val="2"/>
          </rPr>
          <t>Baglione, Gregory  (Research):</t>
        </r>
        <r>
          <rPr>
            <sz val="9"/>
            <color indexed="81"/>
            <rFont val="Tahoma"/>
            <family val="2"/>
          </rPr>
          <t xml:space="preserve">
8/27/15 Expect leverage at year end 2.5x EBITDA or below</t>
        </r>
      </text>
    </comment>
    <comment ref="AA38" authorId="2">
      <text>
        <r>
          <rPr>
            <b/>
            <sz val="9"/>
            <color indexed="81"/>
            <rFont val="Tahoma"/>
            <family val="2"/>
          </rPr>
          <t xml:space="preserve">6/10/14: </t>
        </r>
        <r>
          <rPr>
            <sz val="9"/>
            <color indexed="81"/>
            <rFont val="Tahoma"/>
            <family val="2"/>
          </rPr>
          <t xml:space="preserve">Total Stockholders' Deficit + Common stock, Class L
</t>
        </r>
      </text>
    </comment>
    <comment ref="Y40" authorId="3">
      <text>
        <r>
          <rPr>
            <b/>
            <sz val="8"/>
            <color indexed="81"/>
            <rFont val="Tahoma"/>
            <family val="2"/>
          </rPr>
          <t>-1,139,011 As of Dec 9 2013</t>
        </r>
      </text>
    </comment>
  </commentList>
</comments>
</file>

<file path=xl/comments16.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comments17.xml><?xml version="1.0" encoding="utf-8"?>
<comments xmlns="http://schemas.openxmlformats.org/spreadsheetml/2006/main">
  <authors>
    <author>duol</author>
    <author>balskyh</author>
    <author>Turley, Amber (Research)</author>
    <author>DL</author>
    <author>Mains, Spencer (Research)</author>
    <author>granaosc</author>
  </authors>
  <commentList>
    <comment ref="F14" authorId="0">
      <text>
        <r>
          <rPr>
            <b/>
            <sz val="8"/>
            <color indexed="81"/>
            <rFont val="Tahoma"/>
            <family val="2"/>
          </rPr>
          <t xml:space="preserve">09/16/2013: 862.0M </t>
        </r>
        <r>
          <rPr>
            <sz val="8"/>
            <color indexed="81"/>
            <rFont val="Tahoma"/>
            <family val="2"/>
          </rPr>
          <t xml:space="preserve">balance as of Aug 3, 2013 per S1
</t>
        </r>
      </text>
    </comment>
    <comment ref="K14" authorId="0">
      <text>
        <r>
          <rPr>
            <b/>
            <sz val="8"/>
            <color indexed="81"/>
            <rFont val="Tahoma"/>
            <family val="2"/>
          </rPr>
          <t xml:space="preserve">09/16/2013: 862.0M </t>
        </r>
        <r>
          <rPr>
            <sz val="8"/>
            <color indexed="81"/>
            <rFont val="Tahoma"/>
            <family val="2"/>
          </rPr>
          <t xml:space="preserve">balance as of Aug 3, 2013 per S1
</t>
        </r>
      </text>
    </comment>
    <comment ref="H15" authorId="1">
      <text>
        <r>
          <rPr>
            <b/>
            <sz val="8"/>
            <color indexed="81"/>
            <rFont val="Tahoma"/>
            <family val="2"/>
          </rPr>
          <t xml:space="preserve">Per 2012 10K: </t>
        </r>
        <r>
          <rPr>
            <sz val="8"/>
            <color indexed="81"/>
            <rFont val="Tahoma"/>
            <family val="2"/>
          </rPr>
          <t xml:space="preserve">As a result of the First Amendment transaction, </t>
        </r>
        <r>
          <rPr>
            <b/>
            <sz val="8"/>
            <color indexed="81"/>
            <rFont val="Tahoma"/>
            <family val="2"/>
          </rPr>
          <t>mandatory quarterly payments of $2.4 million are payable as of the last day of each quarter</t>
        </r>
        <r>
          <rPr>
            <sz val="8"/>
            <color indexed="81"/>
            <rFont val="Tahoma"/>
            <family val="2"/>
          </rPr>
          <t xml:space="preserve">. Based on the Company’s available free cash flow for Fiscal 2011, the Company made a payment of $7.0 million in April 2012. The Company elected to make prepayments of $9.5 million in May 2012 and $70.0 million in January 2013 which offset the mandatory quarterly payments through the maturity of the Term Loan Facility. </t>
        </r>
        <r>
          <rPr>
            <b/>
            <sz val="8"/>
            <color indexed="81"/>
            <rFont val="Tahoma"/>
            <family val="2"/>
          </rPr>
          <t xml:space="preserve">Beginning with the fiscal year ending on February 2, 2013, at the end of each fiscal year, BCFW is required to make a payment based on its available free cash flow (as defined in the credit agreement governing the Term Loan Facility). </t>
        </r>
        <r>
          <rPr>
            <sz val="8"/>
            <color indexed="81"/>
            <rFont val="Tahoma"/>
            <family val="2"/>
          </rPr>
          <t>As a result of the $70.0 million prepayment made in January 2013, the Company was not required to make a free cash flow payment in Fiscal 2012.</t>
        </r>
      </text>
    </comment>
    <comment ref="M15" authorId="1">
      <text>
        <r>
          <rPr>
            <b/>
            <sz val="8"/>
            <color indexed="81"/>
            <rFont val="Tahoma"/>
            <family val="2"/>
          </rPr>
          <t xml:space="preserve">Per 2012 10K: </t>
        </r>
        <r>
          <rPr>
            <sz val="8"/>
            <color indexed="81"/>
            <rFont val="Tahoma"/>
            <family val="2"/>
          </rPr>
          <t xml:space="preserve">As a result of the First Amendment transaction, </t>
        </r>
        <r>
          <rPr>
            <b/>
            <sz val="8"/>
            <color indexed="81"/>
            <rFont val="Tahoma"/>
            <family val="2"/>
          </rPr>
          <t>mandatory quarterly payments of $2.4 million are payable as of the last day of each quarter</t>
        </r>
        <r>
          <rPr>
            <sz val="8"/>
            <color indexed="81"/>
            <rFont val="Tahoma"/>
            <family val="2"/>
          </rPr>
          <t xml:space="preserve">. Based on the Company’s available free cash flow for Fiscal 2011, the Company made a payment of $7.0 million in April 2012. The Company elected to make prepayments of $9.5 million in May 2012 and $70.0 million in January 2013 which offset the mandatory quarterly payments through the maturity of the Term Loan Facility. </t>
        </r>
        <r>
          <rPr>
            <b/>
            <sz val="8"/>
            <color indexed="81"/>
            <rFont val="Tahoma"/>
            <family val="2"/>
          </rPr>
          <t xml:space="preserve">Beginning with the fiscal year ending on February 2, 2013, at the end of each fiscal year, BCFW is required to make a payment based on its available free cash flow (as defined in the credit agreement governing the Term Loan Facility). </t>
        </r>
        <r>
          <rPr>
            <sz val="8"/>
            <color indexed="81"/>
            <rFont val="Tahoma"/>
            <family val="2"/>
          </rPr>
          <t>As a result of the $70.0 million prepayment made in January 2013, the Company was not required to make a free cash flow payment in Fiscal 2012.</t>
        </r>
      </text>
    </comment>
    <comment ref="R15" authorId="1">
      <text>
        <r>
          <rPr>
            <b/>
            <sz val="8"/>
            <color indexed="81"/>
            <rFont val="Tahoma"/>
            <family val="2"/>
          </rPr>
          <t xml:space="preserve">Per 2012 10K: </t>
        </r>
        <r>
          <rPr>
            <sz val="8"/>
            <color indexed="81"/>
            <rFont val="Tahoma"/>
            <family val="2"/>
          </rPr>
          <t xml:space="preserve">As a result of the First Amendment transaction, </t>
        </r>
        <r>
          <rPr>
            <b/>
            <sz val="8"/>
            <color indexed="81"/>
            <rFont val="Tahoma"/>
            <family val="2"/>
          </rPr>
          <t>mandatory quarterly payments of $2.4 million are payable as of the last day of each quarter</t>
        </r>
        <r>
          <rPr>
            <sz val="8"/>
            <color indexed="81"/>
            <rFont val="Tahoma"/>
            <family val="2"/>
          </rPr>
          <t xml:space="preserve">. Based on the Company’s available free cash flow for Fiscal 2011, the Company made a payment of $7.0 million in April 2012. The Company elected to make prepayments of $9.5 million in May 2012 and $70.0 million in January 2013 which offset the mandatory quarterly payments through the maturity of the Term Loan Facility. </t>
        </r>
        <r>
          <rPr>
            <b/>
            <sz val="8"/>
            <color indexed="81"/>
            <rFont val="Tahoma"/>
            <family val="2"/>
          </rPr>
          <t xml:space="preserve">Beginning with the fiscal year ending on February 2, 2013, at the end of each fiscal year, BCFW is required to make a payment based on its available free cash flow (as defined in the credit agreement governing the Term Loan Facility). </t>
        </r>
        <r>
          <rPr>
            <sz val="8"/>
            <color indexed="81"/>
            <rFont val="Tahoma"/>
            <family val="2"/>
          </rPr>
          <t>As a result of the $70.0 million prepayment made in January 2013, the Company was not required to make a free cash flow payment in Fiscal 2012.</t>
        </r>
      </text>
    </comment>
    <comment ref="S15" authorId="1">
      <text>
        <r>
          <rPr>
            <b/>
            <sz val="8"/>
            <color indexed="81"/>
            <rFont val="Tahoma"/>
            <family val="2"/>
          </rPr>
          <t xml:space="preserve">Per 2012 10K: </t>
        </r>
        <r>
          <rPr>
            <sz val="8"/>
            <color indexed="81"/>
            <rFont val="Tahoma"/>
            <family val="2"/>
          </rPr>
          <t xml:space="preserve">As a result of the First Amendment transaction, </t>
        </r>
        <r>
          <rPr>
            <b/>
            <sz val="8"/>
            <color indexed="81"/>
            <rFont val="Tahoma"/>
            <family val="2"/>
          </rPr>
          <t>mandatory quarterly payments of $2.4 million are payable as of the last day of each quarter</t>
        </r>
        <r>
          <rPr>
            <sz val="8"/>
            <color indexed="81"/>
            <rFont val="Tahoma"/>
            <family val="2"/>
          </rPr>
          <t xml:space="preserve">. Based on the Company’s available free cash flow for Fiscal 2011, the Company made a payment of $7.0 million in April 2012. The Company elected to make prepayments of $9.5 million in May 2012 and $70.0 million in January 2013 which offset the mandatory quarterly payments through the maturity of the Term Loan Facility. </t>
        </r>
        <r>
          <rPr>
            <b/>
            <sz val="8"/>
            <color indexed="81"/>
            <rFont val="Tahoma"/>
            <family val="2"/>
          </rPr>
          <t xml:space="preserve">Beginning with the fiscal year ending on February 2, 2013, at the end of each fiscal year, BCFW is required to make a payment based on its available free cash flow (as defined in the credit agreement governing the Term Loan Facility). </t>
        </r>
        <r>
          <rPr>
            <sz val="8"/>
            <color indexed="81"/>
            <rFont val="Tahoma"/>
            <family val="2"/>
          </rPr>
          <t>As a result of the $70.0 million prepayment made in January 2013, the Company was not required to make a free cash flow payment in Fiscal 2012.</t>
        </r>
      </text>
    </comment>
    <comment ref="U15" authorId="0">
      <text>
        <r>
          <rPr>
            <b/>
            <sz val="8"/>
            <color indexed="81"/>
            <rFont val="Tahoma"/>
            <family val="2"/>
          </rPr>
          <t>duol:</t>
        </r>
        <r>
          <rPr>
            <sz val="8"/>
            <color indexed="81"/>
            <rFont val="Tahoma"/>
            <family val="2"/>
          </rPr>
          <t xml:space="preserve">
Need to ask about payments based on available FCF (see cell note)?</t>
        </r>
      </text>
    </comment>
    <comment ref="D18" authorId="1">
      <text>
        <r>
          <rPr>
            <sz val="8"/>
            <color indexed="81"/>
            <rFont val="Tahoma"/>
            <family val="2"/>
          </rPr>
          <t>L + 4.3% (w/ 1.3% floor) 
Per 10K: At 2/2/13 borrowing rate on term loan was 5.5%</t>
        </r>
      </text>
    </comment>
    <comment ref="H18" authorId="1">
      <text>
        <r>
          <rPr>
            <sz val="8"/>
            <color indexed="81"/>
            <rFont val="Tahoma"/>
            <family val="2"/>
          </rPr>
          <t>Note: LIBOR+ 3.3% (with floor of 1.0%) per 2013 10-K. 
Per 10-K Note 9: "At February 1, 2014 and February 2, 2013, the Company’s borrowing rates related to the Term Loan Facility were 4.3% and 5.5%, respectively."
Note: 5.5% @ May 4, 2013
L + 4.3% (w/ 1.3% floor) 
Per 10K: At 2/2/13 borrowing rate on term loan was 5.5%</t>
        </r>
      </text>
    </comment>
    <comment ref="I18" authorId="2">
      <text>
        <r>
          <rPr>
            <b/>
            <sz val="9"/>
            <color indexed="81"/>
            <rFont val="Tahoma"/>
            <family val="2"/>
          </rPr>
          <t>Turley, Amber (Research):</t>
        </r>
        <r>
          <rPr>
            <sz val="9"/>
            <color indexed="81"/>
            <rFont val="Tahoma"/>
            <family val="2"/>
          </rPr>
          <t xml:space="preserve">
per 1Q 10-Q pg 17 as of May 3, 2014 borrowing rates were 4.3%</t>
        </r>
      </text>
    </comment>
    <comment ref="J18" authorId="2">
      <text>
        <r>
          <rPr>
            <b/>
            <sz val="9"/>
            <color indexed="81"/>
            <rFont val="Tahoma"/>
            <family val="2"/>
          </rPr>
          <t>Turley, Amber (Research):</t>
        </r>
        <r>
          <rPr>
            <sz val="9"/>
            <color indexed="81"/>
            <rFont val="Tahoma"/>
            <family val="2"/>
          </rPr>
          <t xml:space="preserve">
per 10-Q pg. 9: As of 8/2/14 borrowing rate 4.25%</t>
        </r>
      </text>
    </comment>
    <comment ref="K18" authorId="3">
      <text>
        <r>
          <rPr>
            <b/>
            <sz val="9"/>
            <color indexed="81"/>
            <rFont val="Tahoma"/>
            <family val="2"/>
          </rPr>
          <t>DL:</t>
        </r>
        <r>
          <rPr>
            <sz val="9"/>
            <color indexed="81"/>
            <rFont val="Tahoma"/>
            <family val="2"/>
          </rPr>
          <t xml:space="preserve">
At the indicative pricing of 3.0% to 3.25% plus a 1% LIBOR floor,</t>
        </r>
      </text>
    </comment>
    <comment ref="M18" authorId="3">
      <text>
        <r>
          <rPr>
            <b/>
            <sz val="9"/>
            <color indexed="81"/>
            <rFont val="Tahoma"/>
            <family val="2"/>
          </rPr>
          <t>turleamb:</t>
        </r>
        <r>
          <rPr>
            <sz val="9"/>
            <color indexed="81"/>
            <rFont val="Tahoma"/>
            <family val="2"/>
          </rPr>
          <t xml:space="preserve"> avg borrowing rate was 4.25%</t>
        </r>
        <r>
          <rPr>
            <b/>
            <sz val="9"/>
            <color indexed="81"/>
            <rFont val="Tahoma"/>
            <family val="2"/>
          </rPr>
          <t xml:space="preserve">
</t>
        </r>
        <r>
          <rPr>
            <sz val="9"/>
            <color indexed="81"/>
            <rFont val="Tahoma"/>
            <family val="2"/>
          </rPr>
          <t>Interest rates for the Term Loan Facility are based on: (i) for LIBOR rate loans for any interest period, at a rate per annum equal to the greater of (x) the LIBOR rate, as determined by the Term Loan Facility Administrative Agent, for such interest period multiplied by the Statutory Reserve Rate (as defined in the Term Loan Credit Agreement) and (y) 1.00% (the Term Loan Adjusted LIBOR Rate), plus an applicable margin; and (ii) for prime rate loans, a rate per annum equal to the highest of (a) the variable annual rate of interest then announced by JPMorgan Chase Bank, N.A. at its head office as its “prime rate,” (b) the federal funds rate in effect on such date plus 0.50% per annum, and (c) the Term Loan Adjusted LIBOR Rate for the applicable class of term loans for one-month plus 1.00%, plus, in each case, an applicable margin</t>
        </r>
        <r>
          <rPr>
            <b/>
            <sz val="9"/>
            <color indexed="81"/>
            <rFont val="Tahoma"/>
            <family val="2"/>
          </rPr>
          <t xml:space="preserve">
DL:</t>
        </r>
        <r>
          <rPr>
            <sz val="9"/>
            <color indexed="81"/>
            <rFont val="Tahoma"/>
            <family val="2"/>
          </rPr>
          <t xml:space="preserve">
At the indicative pricing of 3.0% to 3.25% plus a 1% LIBOR floor,</t>
        </r>
      </text>
    </comment>
    <comment ref="N18" authorId="4">
      <text>
        <r>
          <rPr>
            <b/>
            <sz val="9"/>
            <color indexed="81"/>
            <rFont val="Tahoma"/>
            <family val="2"/>
          </rPr>
          <t>Mains, Spencer (Research):</t>
        </r>
        <r>
          <rPr>
            <sz val="9"/>
            <color indexed="81"/>
            <rFont val="Tahoma"/>
            <family val="2"/>
          </rPr>
          <t xml:space="preserve">
Avg interest rate of 4.3% per 10-Q page 29.  At the end of the quarter, we converted $800M of the $1.2B term loan outstanding to a fixed rate of 4.9% by executing an interest rate swap.  The remaining ouststanding term loan of $317M remains at the floating rate of 4.25%, tied to the LIBOR index with a floor of 1%.</t>
        </r>
      </text>
    </comment>
    <comment ref="F24" authorId="0">
      <text>
        <r>
          <rPr>
            <b/>
            <sz val="8"/>
            <color indexed="81"/>
            <rFont val="Tahoma"/>
            <family val="2"/>
          </rPr>
          <t xml:space="preserve">09/16/2013: 450.0M </t>
        </r>
        <r>
          <rPr>
            <sz val="8"/>
            <color indexed="81"/>
            <rFont val="Tahoma"/>
            <family val="2"/>
          </rPr>
          <t xml:space="preserve">balance as of Aug 3, 2013 per S1
</t>
        </r>
      </text>
    </comment>
    <comment ref="K24" authorId="0">
      <text>
        <r>
          <rPr>
            <b/>
            <sz val="8"/>
            <color indexed="81"/>
            <rFont val="Tahoma"/>
            <family val="2"/>
          </rPr>
          <t xml:space="preserve">09/16/2013: 450.0M </t>
        </r>
        <r>
          <rPr>
            <sz val="8"/>
            <color indexed="81"/>
            <rFont val="Tahoma"/>
            <family val="2"/>
          </rPr>
          <t xml:space="preserve">balance as of Aug 3, 2013 per S1
</t>
        </r>
      </text>
    </comment>
    <comment ref="C28" authorId="1">
      <text>
        <r>
          <rPr>
            <sz val="8"/>
            <color indexed="81"/>
            <rFont val="Tahoma"/>
            <family val="2"/>
          </rPr>
          <t xml:space="preserve">10%; paid semi-annually on 8/15 and 2/15 </t>
        </r>
      </text>
    </comment>
    <comment ref="D28" authorId="1">
      <text>
        <r>
          <rPr>
            <sz val="8"/>
            <color indexed="81"/>
            <rFont val="Tahoma"/>
            <family val="2"/>
          </rPr>
          <t xml:space="preserve">10%; paid semi-annually on 8/15 and 2/15 </t>
        </r>
      </text>
    </comment>
    <comment ref="E28" authorId="1">
      <text>
        <r>
          <rPr>
            <sz val="8"/>
            <color indexed="81"/>
            <rFont val="Tahoma"/>
            <family val="2"/>
          </rPr>
          <t xml:space="preserve">10%; paid semi-annually on 8/15 and 2/15 </t>
        </r>
      </text>
    </comment>
    <comment ref="F28" authorId="1">
      <text>
        <r>
          <rPr>
            <sz val="8"/>
            <color indexed="81"/>
            <rFont val="Tahoma"/>
            <family val="2"/>
          </rPr>
          <t xml:space="preserve">10%; paid semi-annually on 8/15 and 2/15 </t>
        </r>
      </text>
    </comment>
    <comment ref="G28" authorId="1">
      <text>
        <r>
          <rPr>
            <sz val="8"/>
            <color indexed="81"/>
            <rFont val="Tahoma"/>
            <family val="2"/>
          </rPr>
          <t xml:space="preserve">10%; paid semi-annually on 8/15 and 2/15 </t>
        </r>
      </text>
    </comment>
    <comment ref="H28" authorId="1">
      <text>
        <r>
          <rPr>
            <sz val="8"/>
            <color indexed="81"/>
            <rFont val="Tahoma"/>
            <family val="2"/>
          </rPr>
          <t xml:space="preserve">10%; paid semi-annually on 8/15 and 2/15 </t>
        </r>
      </text>
    </comment>
    <comment ref="I28" authorId="1">
      <text>
        <r>
          <rPr>
            <sz val="8"/>
            <color indexed="81"/>
            <rFont val="Tahoma"/>
            <family val="2"/>
          </rPr>
          <t xml:space="preserve">10%; paid semi-annually on 8/15 and 2/15 </t>
        </r>
      </text>
    </comment>
    <comment ref="J28" authorId="1">
      <text>
        <r>
          <rPr>
            <sz val="8"/>
            <color indexed="81"/>
            <rFont val="Tahoma"/>
            <family val="2"/>
          </rPr>
          <t xml:space="preserve">10%; paid semi-annually on 8/15 and 2/15 </t>
        </r>
      </text>
    </comment>
    <comment ref="K28" authorId="1">
      <text>
        <r>
          <rPr>
            <sz val="8"/>
            <color indexed="81"/>
            <rFont val="Tahoma"/>
            <family val="2"/>
          </rPr>
          <t xml:space="preserve">10%; paid semi-annually on 8/15 and 2/15 </t>
        </r>
      </text>
    </comment>
    <comment ref="L28" authorId="1">
      <text>
        <r>
          <rPr>
            <sz val="8"/>
            <color indexed="81"/>
            <rFont val="Tahoma"/>
            <family val="2"/>
          </rPr>
          <t xml:space="preserve">10%; paid semi-annually on 8/15 and 2/15 </t>
        </r>
      </text>
    </comment>
    <comment ref="M28" authorId="1">
      <text>
        <r>
          <rPr>
            <sz val="8"/>
            <color indexed="81"/>
            <rFont val="Tahoma"/>
            <family val="2"/>
          </rPr>
          <t xml:space="preserve">10%; paid semi-annually on 8/15 and 2/15 </t>
        </r>
      </text>
    </comment>
    <comment ref="H33" authorId="2">
      <text>
        <r>
          <rPr>
            <b/>
            <sz val="9"/>
            <color indexed="81"/>
            <rFont val="Tahoma"/>
            <family val="2"/>
          </rPr>
          <t>Turley, Amber (Research):</t>
        </r>
        <r>
          <rPr>
            <sz val="9"/>
            <color indexed="81"/>
            <rFont val="Tahoma"/>
            <family val="2"/>
          </rPr>
          <t xml:space="preserve">
per 2013 10-k: subject to the satisfaction of certain conditions, the Company may increase the aggregate amount of commitments up to $900.0 million</t>
        </r>
      </text>
    </comment>
    <comment ref="F35" authorId="0">
      <text>
        <r>
          <rPr>
            <b/>
            <sz val="8"/>
            <color indexed="81"/>
            <rFont val="Tahoma"/>
            <family val="2"/>
          </rPr>
          <t xml:space="preserve">09/16/2013: 15.0M </t>
        </r>
        <r>
          <rPr>
            <sz val="8"/>
            <color indexed="81"/>
            <rFont val="Tahoma"/>
            <family val="2"/>
          </rPr>
          <t xml:space="preserve">balance as of Aug 3, 2013 per S1
</t>
        </r>
      </text>
    </comment>
    <comment ref="K35" authorId="0">
      <text>
        <r>
          <rPr>
            <b/>
            <sz val="8"/>
            <color indexed="81"/>
            <rFont val="Tahoma"/>
            <family val="2"/>
          </rPr>
          <t xml:space="preserve">09/16/2013: 15.0M </t>
        </r>
        <r>
          <rPr>
            <sz val="8"/>
            <color indexed="81"/>
            <rFont val="Tahoma"/>
            <family val="2"/>
          </rPr>
          <t xml:space="preserve">balance as of Aug 3, 2013 per S1
</t>
        </r>
      </text>
    </comment>
    <comment ref="C39" authorId="1">
      <text>
        <r>
          <rPr>
            <sz val="8"/>
            <color indexed="81"/>
            <rFont val="Tahoma"/>
            <family val="2"/>
          </rPr>
          <t>L + spread based on avg outstanding balance
Per 10K: At January 28, 2012, the Company’s borrowing rate related to the ABL Line of Credit was 2.2%.</t>
        </r>
      </text>
    </comment>
    <comment ref="H39" authorId="1">
      <text>
        <r>
          <rPr>
            <sz val="8"/>
            <color indexed="81"/>
            <rFont val="Tahoma"/>
            <family val="2"/>
          </rPr>
          <t>Per 2013 10-K:  Interest rates under the amended and restated credit agreement are based on LIBO rates as determined by the administrative agent plus an applicable margin of 1.75% to 2.25% based on daily availability, or various prime rate loan options plus an applicable margin of 0.75% to 1.25% based on daily availability. The fee on the average daily balance of unused loan commitments is 0.375%.  Average borrowings under the ABL Line of Credit amounted to $35.4 million at an average interest rate of 2.1% during Fiscal 2013.
L + spread based on avg outstanding balance
Per 10K: At January 28, 2012, the Company’s borrowing rate related to the ABL Line of Credit was 2.2%.
Per 1Q 10Q: At May 4, 2013 @ 2.0%</t>
        </r>
      </text>
    </comment>
    <comment ref="I39" authorId="2">
      <text>
        <r>
          <rPr>
            <b/>
            <sz val="9"/>
            <color indexed="81"/>
            <rFont val="Tahoma"/>
            <family val="2"/>
          </rPr>
          <t>Turley, Amber (Research):</t>
        </r>
        <r>
          <rPr>
            <sz val="9"/>
            <color indexed="81"/>
            <rFont val="Tahoma"/>
            <family val="2"/>
          </rPr>
          <t xml:space="preserve">
per 1Q 10-Q pg 19: avg interest rate 1.9%. Avg borrowings during 3 month period was $8.9M</t>
        </r>
      </text>
    </comment>
    <comment ref="J39" authorId="2">
      <text>
        <r>
          <rPr>
            <b/>
            <sz val="9"/>
            <color indexed="81"/>
            <rFont val="Tahoma"/>
            <family val="2"/>
          </rPr>
          <t>Turley, Amber (Research):</t>
        </r>
        <r>
          <rPr>
            <sz val="9"/>
            <color indexed="81"/>
            <rFont val="Tahoma"/>
            <family val="2"/>
          </rPr>
          <t xml:space="preserve">
per 10-Q pg 10: avg borrowings over 3 months was $15.9M at avg interest rate of 1.9%</t>
        </r>
      </text>
    </comment>
    <comment ref="K39" authorId="2">
      <text>
        <r>
          <rPr>
            <b/>
            <sz val="9"/>
            <color indexed="81"/>
            <rFont val="Tahoma"/>
            <family val="2"/>
          </rPr>
          <t>Turley, Amber (Research):</t>
        </r>
        <r>
          <rPr>
            <sz val="9"/>
            <color indexed="81"/>
            <rFont val="Tahoma"/>
            <family val="2"/>
          </rPr>
          <t xml:space="preserve">
per 10-q pg 11: avg borrowing in period ended 11/1/14 was $226.5M at an avg interest rate of 1.7%</t>
        </r>
      </text>
    </comment>
    <comment ref="M39" authorId="1">
      <text>
        <r>
          <rPr>
            <sz val="8"/>
            <color indexed="81"/>
            <rFont val="Tahoma"/>
            <family val="2"/>
          </rPr>
          <t>L + spread based on avg outstanding balance</t>
        </r>
      </text>
    </comment>
    <comment ref="R39" authorId="1">
      <text>
        <r>
          <rPr>
            <sz val="8"/>
            <color indexed="81"/>
            <rFont val="Tahoma"/>
            <family val="2"/>
          </rPr>
          <t>L + spread based on avg outstanding balance</t>
        </r>
      </text>
    </comment>
    <comment ref="S39" authorId="1">
      <text>
        <r>
          <rPr>
            <sz val="8"/>
            <color indexed="81"/>
            <rFont val="Tahoma"/>
            <family val="2"/>
          </rPr>
          <t>L + spread based on avg outstanding balance</t>
        </r>
      </text>
    </comment>
    <comment ref="T39" authorId="1">
      <text>
        <r>
          <rPr>
            <sz val="8"/>
            <color indexed="81"/>
            <rFont val="Tahoma"/>
            <family val="2"/>
          </rPr>
          <t>L + spread based on avg outstanding balance</t>
        </r>
      </text>
    </comment>
    <comment ref="U39" authorId="1">
      <text>
        <r>
          <rPr>
            <sz val="8"/>
            <color indexed="81"/>
            <rFont val="Tahoma"/>
            <family val="2"/>
          </rPr>
          <t>L + spread based on avg outstanding balance</t>
        </r>
      </text>
    </comment>
    <comment ref="C42" authorId="1">
      <text>
        <r>
          <rPr>
            <b/>
            <sz val="8"/>
            <color indexed="81"/>
            <rFont val="Tahoma"/>
            <family val="2"/>
          </rPr>
          <t>The fee on the average daily balance of unused loan commitments is 0.375%</t>
        </r>
      </text>
    </comment>
    <comment ref="F47" authorId="0">
      <text>
        <r>
          <rPr>
            <b/>
            <sz val="8"/>
            <color indexed="81"/>
            <rFont val="Tahoma"/>
            <family val="2"/>
          </rPr>
          <t xml:space="preserve">09/16/2013: 23.6M </t>
        </r>
        <r>
          <rPr>
            <sz val="8"/>
            <color indexed="81"/>
            <rFont val="Tahoma"/>
            <family val="2"/>
          </rPr>
          <t xml:space="preserve">balance as of Aug 3, 2013 per S1
</t>
        </r>
      </text>
    </comment>
    <comment ref="K47" authorId="0">
      <text>
        <r>
          <rPr>
            <b/>
            <sz val="8"/>
            <color indexed="81"/>
            <rFont val="Tahoma"/>
            <family val="2"/>
          </rPr>
          <t xml:space="preserve">09/16/2013: 23.6M </t>
        </r>
        <r>
          <rPr>
            <sz val="8"/>
            <color indexed="81"/>
            <rFont val="Tahoma"/>
            <family val="2"/>
          </rPr>
          <t xml:space="preserve">balance as of Aug 3, 2013 per S1
</t>
        </r>
      </text>
    </comment>
    <comment ref="H51" authorId="1">
      <text>
        <r>
          <rPr>
            <b/>
            <sz val="8"/>
            <color indexed="81"/>
            <rFont val="Tahoma"/>
            <family val="2"/>
          </rPr>
          <t>Note: Interest expense per 2012 10K (pg 57)</t>
        </r>
      </text>
    </comment>
    <comment ref="M51" authorId="1">
      <text>
        <r>
          <rPr>
            <b/>
            <sz val="8"/>
            <color indexed="81"/>
            <rFont val="Tahoma"/>
            <family val="2"/>
          </rPr>
          <t>Note: Interest expense per 2012 10K (pg 57)</t>
        </r>
      </text>
    </comment>
    <comment ref="R51" authorId="1">
      <text>
        <r>
          <rPr>
            <b/>
            <sz val="8"/>
            <color indexed="81"/>
            <rFont val="Tahoma"/>
            <family val="2"/>
          </rPr>
          <t>Note: Interest expense per 2012 10K (pg 57)</t>
        </r>
      </text>
    </comment>
    <comment ref="S51" authorId="1">
      <text>
        <r>
          <rPr>
            <b/>
            <sz val="8"/>
            <color indexed="81"/>
            <rFont val="Tahoma"/>
            <family val="2"/>
          </rPr>
          <t>Note: Interest expense per 2012 10K (pg 57)</t>
        </r>
      </text>
    </comment>
    <comment ref="T51" authorId="1">
      <text>
        <r>
          <rPr>
            <b/>
            <sz val="8"/>
            <color indexed="81"/>
            <rFont val="Tahoma"/>
            <family val="2"/>
          </rPr>
          <t>Note: Interest expense per 2012 10K (pg 57)</t>
        </r>
      </text>
    </comment>
    <comment ref="H54" authorId="2">
      <text>
        <r>
          <rPr>
            <b/>
            <sz val="9"/>
            <color indexed="81"/>
            <rFont val="Tahoma"/>
            <family val="2"/>
          </rPr>
          <t>Turley, Amber (Research):</t>
        </r>
        <r>
          <rPr>
            <sz val="9"/>
            <color indexed="81"/>
            <rFont val="Tahoma"/>
            <family val="2"/>
          </rPr>
          <t xml:space="preserve">
semi-annual payments on 2/15 and 8/15</t>
        </r>
      </text>
    </comment>
    <comment ref="F56" authorId="0">
      <text>
        <r>
          <rPr>
            <b/>
            <sz val="8"/>
            <color indexed="81"/>
            <rFont val="Tahoma"/>
            <family val="2"/>
          </rPr>
          <t xml:space="preserve">09/16/2013: 343.7M </t>
        </r>
        <r>
          <rPr>
            <sz val="8"/>
            <color indexed="81"/>
            <rFont val="Tahoma"/>
            <family val="2"/>
          </rPr>
          <t xml:space="preserve">balance as of Aug 3, 2013 per S1
</t>
        </r>
      </text>
    </comment>
    <comment ref="K56" authorId="0">
      <text>
        <r>
          <rPr>
            <b/>
            <sz val="8"/>
            <color indexed="81"/>
            <rFont val="Tahoma"/>
            <family val="2"/>
          </rPr>
          <t xml:space="preserve">09/16/2013: 343.7M </t>
        </r>
        <r>
          <rPr>
            <sz val="8"/>
            <color indexed="81"/>
            <rFont val="Tahoma"/>
            <family val="2"/>
          </rPr>
          <t xml:space="preserve">balance as of Aug 3, 2013 per S1
</t>
        </r>
      </text>
    </comment>
    <comment ref="D57" authorId="1">
      <text>
        <r>
          <rPr>
            <b/>
            <sz val="8"/>
            <color indexed="81"/>
            <rFont val="Tahoma"/>
            <family val="2"/>
          </rPr>
          <t xml:space="preserve">Note: </t>
        </r>
        <r>
          <rPr>
            <sz val="8"/>
            <color indexed="81"/>
            <rFont val="Tahoma"/>
            <family val="2"/>
          </rPr>
          <t>Debt issued 2/20/13</t>
        </r>
      </text>
    </comment>
    <comment ref="D60" authorId="1">
      <text>
        <r>
          <rPr>
            <sz val="8"/>
            <color indexed="81"/>
            <rFont val="Tahoma"/>
            <family val="2"/>
          </rPr>
          <t xml:space="preserve">Interest is payable on the Senior Notes on each February 15 and August 15, commencing August 15, 2013. The first interest payment on the 2018 Notes will be payable in cash. For each interest period thereafter, the Issuers will be required to pay interest on the 2018 Notes entirely in cash, unless certain conditions are satisfied, in which case the Issuers will be entitled to pay, to the extent described in the indenture governing the 2018 Notes, interest on the 2018 Notes by increasing the principal amount of the 2018 Notes or by issuing new notes (such increase being referred to herein as PIK interest). Cash interest on the 2018 Notes will accrue at the rate of 9.00% per annum. PIK interest on the 2018 Notes will accrue at the rate of 9.75% per annum. The Company intends to pay Indirect Parent a semi-annual dividend in order for Indirect Parent to make payment on the semi-annual cash interest. </t>
        </r>
      </text>
    </comment>
    <comment ref="I60" authorId="1">
      <text>
        <r>
          <rPr>
            <sz val="8"/>
            <color indexed="81"/>
            <rFont val="Tahoma"/>
            <family val="2"/>
          </rPr>
          <t xml:space="preserve">Interest is payable on the Senior Notes on each February 15 and August 15, commencing August 15, 2013. The first interest payment on the 2018 Notes will be payable in cash. For each interest period thereafter, the Issuers will be required to pay interest on the 2018 Notes entirely in cash, unless certain conditions are satisfied, in which case the Issuers will be entitled to pay, to the extent described in the indenture governing the 2018 Notes, interest on the 2018 Notes by increasing the principal amount of the 2018 Notes or by issuing new notes (such increase being referred to herein as PIK interest). Cash interest on the 2018 Notes will accrue at the rate of 9.00% per annum. PIK interest on the 2018 Notes will accrue at the rate of 9.75% per annum. The Company intends to pay Indirect Parent a semi-annual dividend in order for Indirect Parent to make payment on the semi-annual cash interest. </t>
        </r>
      </text>
    </comment>
    <comment ref="H64" authorId="5">
      <text>
        <r>
          <rPr>
            <b/>
            <sz val="8"/>
            <color indexed="81"/>
            <rFont val="Tahoma"/>
            <family val="2"/>
          </rPr>
          <t>granaosc:</t>
        </r>
        <r>
          <rPr>
            <sz val="8"/>
            <color indexed="81"/>
            <rFont val="Tahoma"/>
            <family val="2"/>
          </rPr>
          <t xml:space="preserve">
12/8/13 Interest expense: $132.3M</t>
        </r>
      </text>
    </comment>
    <comment ref="M64" authorId="5">
      <text>
        <r>
          <rPr>
            <b/>
            <sz val="8"/>
            <color indexed="81"/>
            <rFont val="Tahoma"/>
            <family val="2"/>
          </rPr>
          <t>granaosc:</t>
        </r>
        <r>
          <rPr>
            <sz val="8"/>
            <color indexed="81"/>
            <rFont val="Tahoma"/>
            <family val="2"/>
          </rPr>
          <t xml:space="preserve">
12/8/13 Interest expense: $113.4M</t>
        </r>
      </text>
    </comment>
    <comment ref="R64" authorId="5">
      <text>
        <r>
          <rPr>
            <b/>
            <sz val="8"/>
            <color indexed="81"/>
            <rFont val="Tahoma"/>
            <family val="2"/>
          </rPr>
          <t>granaosc:</t>
        </r>
        <r>
          <rPr>
            <sz val="8"/>
            <color indexed="81"/>
            <rFont val="Tahoma"/>
            <family val="2"/>
          </rPr>
          <t xml:space="preserve">
12/8/13 Interest expense: $111.7M
</t>
        </r>
        <r>
          <rPr>
            <b/>
            <sz val="8"/>
            <color indexed="81"/>
            <rFont val="Tahoma"/>
            <family val="2"/>
          </rPr>
          <t>09/14/13:</t>
        </r>
        <r>
          <rPr>
            <sz val="8"/>
            <color indexed="81"/>
            <rFont val="Tahoma"/>
            <family val="2"/>
          </rPr>
          <t xml:space="preserve"> Added $2.4M of additional interest expense</t>
        </r>
      </text>
    </comment>
    <comment ref="S64" authorId="5">
      <text>
        <r>
          <rPr>
            <b/>
            <sz val="8"/>
            <color indexed="81"/>
            <rFont val="Tahoma"/>
            <family val="2"/>
          </rPr>
          <t>granaosc:</t>
        </r>
        <r>
          <rPr>
            <sz val="8"/>
            <color indexed="81"/>
            <rFont val="Tahoma"/>
            <family val="2"/>
          </rPr>
          <t xml:space="preserve">
12/8/13 Interest expense: $110.6M
</t>
        </r>
        <r>
          <rPr>
            <b/>
            <sz val="8"/>
            <color indexed="81"/>
            <rFont val="Tahoma"/>
            <family val="2"/>
          </rPr>
          <t xml:space="preserve">09/14/13: </t>
        </r>
        <r>
          <rPr>
            <sz val="8"/>
            <color indexed="81"/>
            <rFont val="Tahoma"/>
            <family val="2"/>
          </rPr>
          <t>Added $2.4M of additional interest expense</t>
        </r>
      </text>
    </comment>
    <comment ref="T64" authorId="5">
      <text>
        <r>
          <rPr>
            <b/>
            <sz val="8"/>
            <color indexed="81"/>
            <rFont val="Tahoma"/>
            <family val="2"/>
          </rPr>
          <t>granaosc:</t>
        </r>
        <r>
          <rPr>
            <sz val="8"/>
            <color indexed="81"/>
            <rFont val="Tahoma"/>
            <family val="2"/>
          </rPr>
          <t xml:space="preserve">
12/8/13 Interest expense: $99.9M
</t>
        </r>
        <r>
          <rPr>
            <b/>
            <sz val="8"/>
            <color indexed="81"/>
            <rFont val="Tahoma"/>
            <family val="2"/>
          </rPr>
          <t xml:space="preserve">09/14/13: </t>
        </r>
        <r>
          <rPr>
            <sz val="8"/>
            <color indexed="81"/>
            <rFont val="Tahoma"/>
            <family val="2"/>
          </rPr>
          <t>Added $2.4M of additional interest expense</t>
        </r>
      </text>
    </comment>
    <comment ref="U64" authorId="5">
      <text>
        <r>
          <rPr>
            <b/>
            <sz val="8"/>
            <color indexed="81"/>
            <rFont val="Tahoma"/>
            <family val="2"/>
          </rPr>
          <t xml:space="preserve">09/14/13: </t>
        </r>
        <r>
          <rPr>
            <sz val="8"/>
            <color indexed="81"/>
            <rFont val="Tahoma"/>
            <family val="2"/>
          </rPr>
          <t>Added $2.4M of additional interest expense</t>
        </r>
      </text>
    </comment>
  </commentList>
</comments>
</file>

<file path=xl/comments18.xml><?xml version="1.0" encoding="utf-8"?>
<comments xmlns="http://schemas.openxmlformats.org/spreadsheetml/2006/main">
  <authors>
    <author>shysunm</author>
    <author>viranswe</author>
    <author>Ben Bei</author>
  </authors>
  <commentList>
    <comment ref="X14" authorId="0">
      <text>
        <r>
          <rPr>
            <b/>
            <sz val="8"/>
            <color indexed="81"/>
            <rFont val="Tahoma"/>
            <family val="2"/>
          </rPr>
          <t>Compounding factor</t>
        </r>
        <r>
          <rPr>
            <sz val="8"/>
            <color indexed="81"/>
            <rFont val="Tahoma"/>
            <family val="2"/>
          </rPr>
          <t xml:space="preserve">
</t>
        </r>
      </text>
    </comment>
    <comment ref="W15" authorId="0">
      <text>
        <r>
          <rPr>
            <b/>
            <sz val="8"/>
            <color indexed="81"/>
            <rFont val="Tahoma"/>
            <family val="2"/>
          </rPr>
          <t>Please input the correct value, if this is incorrect</t>
        </r>
        <r>
          <rPr>
            <sz val="8"/>
            <color indexed="81"/>
            <rFont val="Tahoma"/>
            <family val="2"/>
          </rPr>
          <t xml:space="preserve">
</t>
        </r>
      </text>
    </comment>
    <comment ref="R20" authorId="0">
      <text>
        <r>
          <rPr>
            <b/>
            <sz val="8"/>
            <color indexed="81"/>
            <rFont val="Tahoma"/>
            <family val="2"/>
          </rPr>
          <t>Ticker</t>
        </r>
        <r>
          <rPr>
            <sz val="8"/>
            <color indexed="81"/>
            <rFont val="Tahoma"/>
            <family val="2"/>
          </rPr>
          <t xml:space="preserve">
</t>
        </r>
      </text>
    </comment>
    <comment ref="R21" authorId="0">
      <text>
        <r>
          <rPr>
            <b/>
            <sz val="8"/>
            <color indexed="81"/>
            <rFont val="Tahoma"/>
            <family val="2"/>
          </rPr>
          <t>Company name</t>
        </r>
        <r>
          <rPr>
            <sz val="8"/>
            <color indexed="81"/>
            <rFont val="Tahoma"/>
            <family val="2"/>
          </rPr>
          <t xml:space="preserve">
</t>
        </r>
      </text>
    </comment>
    <comment ref="AD25" authorId="0">
      <text>
        <r>
          <rPr>
            <b/>
            <sz val="8"/>
            <color indexed="81"/>
            <rFont val="Tahoma"/>
            <family val="2"/>
          </rPr>
          <t xml:space="preserve">Shares outstanding at BOP of rngStartYear
</t>
        </r>
        <r>
          <rPr>
            <sz val="8"/>
            <color indexed="81"/>
            <rFont val="Tahoma"/>
            <family val="2"/>
          </rPr>
          <t xml:space="preserve">
</t>
        </r>
      </text>
    </comment>
    <comment ref="C148" authorId="1">
      <text>
        <r>
          <rPr>
            <sz val="8"/>
            <color indexed="81"/>
            <rFont val="Tahoma"/>
            <family val="2"/>
          </rPr>
          <t xml:space="preserve">To value investments  separately rather than as part of overall cash flow valuation above
</t>
        </r>
      </text>
    </comment>
    <comment ref="E155" authorId="1">
      <text>
        <r>
          <rPr>
            <sz val="8"/>
            <color indexed="81"/>
            <rFont val="Tahoma"/>
            <family val="2"/>
          </rPr>
          <t>Please insert fair value to view SOTP valuation</t>
        </r>
      </text>
    </comment>
    <comment ref="E190" authorId="1">
      <text>
        <r>
          <rPr>
            <sz val="8"/>
            <color indexed="81"/>
            <rFont val="Tahoma"/>
            <family val="2"/>
          </rPr>
          <t>Please insert fair value to view SOTP valuation</t>
        </r>
      </text>
    </comment>
    <comment ref="E215" authorId="1">
      <text>
        <r>
          <rPr>
            <sz val="8"/>
            <color indexed="81"/>
            <rFont val="Tahoma"/>
            <family val="2"/>
          </rPr>
          <t xml:space="preserve">Please insert fair value to view SOTP valuation
</t>
        </r>
      </text>
    </comment>
    <comment ref="B250" authorId="2">
      <text>
        <r>
          <rPr>
            <sz val="8"/>
            <color indexed="81"/>
            <rFont val="Tahoma"/>
            <family val="2"/>
          </rPr>
          <t>This rate is used to calculate interest income to be removed due to removal of cash</t>
        </r>
      </text>
    </comment>
    <comment ref="C339" authorId="0">
      <text>
        <r>
          <rPr>
            <b/>
            <sz val="8"/>
            <color indexed="81"/>
            <rFont val="Tahoma"/>
            <family val="2"/>
          </rPr>
          <t>Explicit Period</t>
        </r>
        <r>
          <rPr>
            <sz val="8"/>
            <color indexed="81"/>
            <rFont val="Tahoma"/>
            <family val="2"/>
          </rPr>
          <t xml:space="preserve">
</t>
        </r>
      </text>
    </comment>
    <comment ref="C340" authorId="0">
      <text>
        <r>
          <rPr>
            <b/>
            <sz val="8"/>
            <color indexed="81"/>
            <rFont val="Tahoma"/>
            <family val="2"/>
          </rPr>
          <t>Transition Period</t>
        </r>
      </text>
    </comment>
    <comment ref="C341" authorId="0">
      <text>
        <r>
          <rPr>
            <b/>
            <sz val="8"/>
            <color indexed="81"/>
            <rFont val="Tahoma"/>
            <family val="2"/>
          </rPr>
          <t>Steady State</t>
        </r>
        <r>
          <rPr>
            <sz val="8"/>
            <color indexed="81"/>
            <rFont val="Tahoma"/>
            <family val="2"/>
          </rPr>
          <t xml:space="preserve">
</t>
        </r>
      </text>
    </comment>
  </commentList>
</comments>
</file>

<file path=xl/comments19.xml><?xml version="1.0" encoding="utf-8"?>
<comments xmlns="http://schemas.openxmlformats.org/spreadsheetml/2006/main">
  <authors>
    <author>sancfa</author>
  </authors>
  <commentList>
    <comment ref="A1" authorId="0">
      <text>
        <r>
          <rPr>
            <b/>
            <sz val="8"/>
            <color indexed="81"/>
            <rFont val="Tahoma"/>
            <family val="2"/>
          </rPr>
          <t>卟䙄_x0001_＀＀䷧\啌啌坞当䕒呎䱁佟彐卌彅塅⡐㄰㈯〰ⰸ㄰㈯〰ⰸⰬ䌬䑁䀩䅃剟彔䕒呎䵟义䕟偘〨⼱〲㠰〬⼱〲㠰ⰬⰬ䅃⥄_x0018_＀＀_x0018_＀＀_x0008_＀＀_x0001_＀＀_x0001_＀＀豀碵꼝쐕䷧&amp;啌啌坞当义彔䅒䕔㕟䅙䝖〨⼱〲㠰ⰬⰬ䅃⥄_x0018_＀＀_x0018_＀＀_x0008_＀＀_x0001_＀＀_x0001_＀＀豀碵꼝쐕䷧_x000F_啌啌坞当佃也䵁책1＀＀_x0018_＀＀!＀＀_x0001_＀＀_x0008_＀＀啌啌䕌位⁎呁䱈呅䍉⁁义佃偒剏呁䑅찀䷧\啌啌坞当䕒呎䱁佟彐卌彅塅⡐㄰㈯〰ⰷ㄰㈯〰ⰷⰬ䌬䑁䀩䅃剟彔䕒呎䵟义䕟偘〨⼱〲㜰〬⼱〲㜰ⰬⰬ䅃⥄_x0018_＀＀_x0018_＀＀_x0008_＀＀_x0001_＀＀_x0001_＀＀豀碵꼝쐕_xDF52_仧_x0014_刣晥敲桳帣南䍟彏䅎䕍_x0014_＀＀_x0018_＀＀_x0004_＀＀_x0001_＀＀_x0008_＀＀乀A䷧&amp;啌啌坞当义彔䅒䕔㕟䅙䝖〨⼱〲㌰ⰬⰬ䅃⥄_x0018_＀＀_x0018_＀＀_x0008_＀＀_x0001_＀＀_x0001_＀＀豀碵꼝쐕䷧_x0018_啌啌坞当奆⡃⤰䍀彁奆⡃⤰_x0018_＀＀_x0018_＀＀_x0008_＀＀_x0001_＀＀_x0008_＀＀㄰㈯㄰1䷧&amp;啌啌坞当义彔䅒䕔㕟䅙䝖〨⼱〲㤰ⰬⰬ䅃⥄_x0018_＀＀_x0018_＀＀_x0008_＀＀_x0001_＀＀_x0001_＀＀豀碵꼝쐕䷧&amp;啌啌坞当义彔䅒䕔㕟䅙䝖〨⼱〲㐰ⰬⰬ䅃⥄_x0018_＀＀_x0018_＀＀_x0008_＀＀_x0001_＀＀_x0001_＀＀豀碵꼝쐕䷧\啌啌坞当䕒呎䱁佟彐卌彅塅⡐㄰㈯〰ⰶ㄰㈯〰ⰶⰬ䌬䑁䀩䅃剟彔䕒呎䵟义䕟偘〨⼱〲㘰〬⼱〲㘰ⰬⰬ䅃⥄_x0018_＀＀_x0018_＀＀_x0008_＀＀_x0001_＀＀_x0001_＀＀豀碵꼝쐕䷧&amp;啌啌坞当义彔䅒䕔㕟䅙䝖〨⼱〲〱ⰬⰬ䅃⥄_x0018_＀＀_x0018_＀＀_x0008_＀＀_x0001_＀＀_x0001_＀＀豀碵꼝쐕䷧0啌啌坞当䕌十彅佃䵍呉奟ㅒ〨⼱〲㌰〬⼱〲㌰ⰬⰬ䅃⥄_x0018_＀＀_x0018_＀＀_x0008_＀＀_x0001_＀＀_x0001_＀＀豀碵꼝쐕䷧0啌啌坞当䕌十彅佃䵍呉奟ㅒ〨⼱〲㐰〬⼱〲㐰ⰬⰬ䅃⥄_x0018_＀＀_x0018_＀＀_x0008_＀＀_x0001_＀＀_x0001_＀＀豀碵꼝쐕䷧0啌啌坞当䕌十彅佃䵍呉奟ㅒ〨⼱〲㔰〬⼱〲㔰ⰬⰬ䅃⥄_x0018_＀＀_x0018_＀＀_x0008_＀＀_x0001_＀＀_x0001_＀＀豀碵꼝쐕䷧0啌啌坞当䕌十彅佃䵍呉奟ㅒ〨⼱〲㘰〬⼱〲㘰ⰬⰬ䅃⥄_x0018_＀＀_x0018_＀＀_x0008_＀＀_x0001_＀＀_x0001_＀＀豀碵꼝쐕䷧0啌啌坞当䕌十彅佃䵍呉奟ㅒ〨⼱〲㜰〬⼱〲㜰ⰬⰬ䅃⥄_x0018_＀＀_x0018_＀＀_x0008_＀＀_x0001_＀＀_x0001_＀＀଻矪븻䀤䷧0啌啌坞当䕌十彅佃䵍呉㕟剙〨⼱〲㌰〬⼱〲㌰ⰬⰬ䅃⥄_x0018_＀＀_x0018_＀＀_x0008_＀＀_x0001_＀＀_x0001_＀＀豀碵꼝쐕䷧0啌啌坞当䕌十彅佃䵍呉奟ㅒ〨⼱〲㠰〬⼱〲㠰ⰬⰬ䅃⥄_x0018_＀＀_x0018_＀＀_x0008_＀＀_x0001_＀＀_x0001_＀＀㦧앿䀰䷧0啌啌坞当䕌十彅佃䵍呉㕟剙〨⼱〲㐰〬⼱〲㐰ⰬⰬ䅃⥄_x0018_＀＀_x0018_＀＀_x0008_＀＀_x0001_＀＀_x0001_＀＀豀碵꼝쐕䷧0啌啌坞当䕌十彅佃䵍呉奟ㅒ〨⼱〲㤰〬⼱〲㤰ⰬⰬ䅃⥄_x0018_＀＀_x0018_＀＀_x0008_＀＀_x0001_＀＀_x0001_＀＀막揝춚䀽䷧0啌啌坞当䕌十彅佃䵍呉㕟剙〨⼱〲㔰〬⼱〲㔰ⰬⰬ䅃⥄_x0018_＀＀_x0018_＀＀_x0008_＀＀_x0001_＀＀_x0001_＀＀豀碵꼝쐕䷧0啌啌坞当䕌十彅佃䵍呉㕟剙〨⼱〲㘰〬⼱〲㘰ⰬⰬ䅃⥄_x0018_＀＀_x0018_＀＀_x0008_＀＀_x0001_＀＀_x0001_＀＀豀碵꼝쐕䷧0啌啌坞当䕌十彅佃䵍呉㕟剙〨⼱〲㜰〬⼱〲㜰ⰬⰬ䅃⥄_x0018_＀＀_x0018_＀＀_x0008_＀＀_x0001_＀＀_x0001_＀＀豀碵꼝쐕䷧0啌啌坞当䕌十彅佃䵍呉㕟剙〨⼱〲㠰〬⼱〲㠰ⰬⰬ䅃⥄_x0018_＀＀_x0018_＀＀_x0008_＀＀_x0001_＀＀_x0001_＀＀Ꮻ知޿䁔䷧0啌啌坞当䕌十彅佃䵍呉㕟剙〨⼱〲㤰〬⼱〲㤰ⰬⰬ䅃⥄_x0018_＀＀_x0018_＀＀_x0008_＀＀_x0001_＀＀_x0001_＀＀懢⨏Ꟈ䁜䷧0啌啌坞当䕌十彅佃䵍呉奟ㅒ〨⼱〲〱〬⼱〲〱ⰬⰬ䅃⥄_x0018_＀＀_x0018_＀＀_x0008_＀＀_x0001_＀＀_x0001_＀＀锭⎷麜䀿䷧0啌啌坞当䕌十彅佃䵍呉奟ㅒ〨⼱〲ㄱ〬⼱〲ㄱⰬⰬ䅃⥄_x0018_＀＀_x0018_＀＀_x0008_＀＀_x0001_＀＀_x0001_＀＀牠좣罚䁂䷧\啌啌坞当䕒呎䱁佟彐卌彅塅⡐㄰㈯〰ⰵ㄰㈯〰ⰵⰬ䌬䑁䀩䅃剟彔䕒呎䵟义䕟偘〨⼱〲㔰〬⼱〲㔰ⰬⰬ䅃⥄_x0018_＀＀_x0018_＀＀_x0008_＀＀_x0001_＀＀_x0001_＀＀豀碵꼝쐕䷧0啌啌坞当䕌十彅佃䵍呉㕟剙〨⼱〲〱〬⼱〲〱ⰬⰬ䅃⥄_x0018_＀＀_x0018_＀＀_x0008_＀＀_x0001_＀＀_x0001_＀＀녆틜_xDE6A_䁐䷧0啌啌坞当䕌十彅佃䵍呉奟㉒〨⼱〲㌰〬⼱〲㌰ⰬⰬ䅃⥄_x0018_＀＀_x0018_＀＀_x0008_＀＀_x0001_＀＀_x0001_＀＀豀碵꼝쐕䷧0啌啌坞当䕌十彅佃䵍呉㕟剙〨⼱〲ㄱ〬⼱〲ㄱⰬⰬ䅃⥄_x0018_＀＀_x0018_＀＀_x0008_＀＀_x0001_＀＀_x0001_＀＀澨펙≥䁒䷧0啌啌坞当䕌十彅佃䵍呉奟㉒〨⼱〲㐰〬⼱〲㐰ⰬⰬ䅃⥄_x0018_＀＀_x0018_＀＀_x0008_＀＀_x0001_＀＀_x0001_＀＀豀碵꼝쐕䷧0啌啌坞当䕌十彅佃䵍呉奟㉒〨⼱〲㔰〬⼱〲㔰ⰬⰬ䅃⥄_x0018_＀＀_x0018_＀＀_x0008_＀＀_x0001_＀＀_x0001_＀＀豀碵꼝쐕䷧0啌啌坞当䕌十彅佃䵍呉奟㉒〨⼱〲㘰〬⼱〲㘰ⰬⰬ䅃⥄_x0018_＀＀_x0018_＀＀_x0008_＀＀_x0001_＀＀_x0001_＀＀豀碵꼝쐕䷧0啌啌坞当䕌十彅佃䵍呉奟㉒〨⼱〲㜰〬⼱〲㜰ⰬⰬ䅃⥄_x0018_＀＀_x0018_＀＀_x0008_＀＀_x0001_＀＀_x0001_＀＀甁⥽䀧_xDF53_仧_x001D_刣晥敲桳帣南䙟䍙〨䀩䅃䙟䍙〨착_x0014_＀＀_x0018_＀＀_x0004_＀＀_x0001_＀＀_x0008_＀＀乀A䷧0啌啌坞当䕌十彅佃䵍呉奟㉒〨⼱〲㠰〬⼱〲㠰ⰬⰬ䅃⥄_x0018_＀＀_x0018_＀＀_x0008_＀＀_x0001_＀＀_x0001_＀＀倅ȩ⃞䀴䷧0啌啌坞当䕌十彅佃䵍呉奟㉒〨⼱〲㤰〬⼱〲㤰ⰬⰬ䅃⥄_x0018_＀＀_x0018_＀＀_x0008_＀＀_x0001_＀＀_x0001_＀＀ඐꜷ䀾䷧0啌啌坞当䕌十彅佃䵍呉奟㉒〨⼱〲〱〬⼱〲〱ⰬⰬ䅃⥄_x0018_＀＀_x0018_＀＀_x0008_＀＀_x0001_＀＀_x0001_＀＀寀䄠䏱䀿䷧0啌啌坞当䕌十彅佃䵍呉奟㉒〨⼱〲ㄱ〬⼱〲ㄱⰬⰬ䅃⥄_x0018_＀＀_x0018_＀＀_x0008_＀＀_x0001_＀＀_x0001_＀＀ꏤᧅ⻃䁂䷧0啌啌坞当䕌十彅佃䵍呉奟㍒〨⼱〲㘰〬⼱〲㘰ⰬⰬ䅃⥄_x0018_＀＀_x0018_＀＀_x0008_＀＀_x0001_＀＀_x0001_＀＀豀碵꼝쐕䷧&amp;啌啌坞当义彔䅒䕔㕟䅙䝖〨⼱〲㔰ⰬⰬ䅃⥄_x0018_＀＀_x0018_＀＀_x0008_＀＀_x0001_＀＀_x0001_＀＀豀碵꼝쐕䷧0啌啌坞当䕌十彅佃䵍呉奟㍒〨⼱〲㜰〬⼱〲㜰ⰬⰬ䅃⥄_x0018_＀＀_x0018_＀＀_x0008_＀＀_x0001_＀＀_x0001_＀＀霧_xD8FC_嫯䀥䷧0啌啌坞当䕌十彅佃䵍呉奟㍒〨⼱〲㠰〬⼱〲㠰ⰬⰬ䅃⥄_x0018_＀＀_x0018_＀＀_x0008_＀＀_x0001_＀＀_x0001_＀＀翟㰒們䀳䷧0啌啌坞当䕌十彅佃䵍呉奟㍒〨⼱〲㤰〬⼱〲㤰ⰬⰬ䅃⥄_x0018_＀＀_x0018_＀＀_x0008_＀＀_x0001_＀＀_x0001_＀＀岉完㦮䀽䷧_x001C_啌啌䵞彗䅔彘䅒䕔丨坏Ⱜ∬偒⤢_x0018_＀＀_x0018_＀＀_x0008_＀＀_x0001_＀＀_x0001_＀＀濒ݟ꧎䁀䷧&amp;啌啌坞当义彔䅒䕔㕟䅙䝖〨⼱〲ㄱⰬⰬ䅃⥄_x0018_＀＀_x0018_＀＀_x0008_＀＀_x0001_＀＀_x0001_＀＀豀碵꼝쐕䷧0啌啌坞当䕌十彅佃䵍呉奟㍒〨⼱〲㌰〬⼱〲㌰ⰬⰬ䅃⥄_x0018_＀＀_x0018_＀＀_x0008_＀＀_x0001_＀＀_x0001_＀＀豀碵꼝쐕䷧0啌啌坞当䕌十彅佃䵍呉奟㍒〨⼱〲㐰〬⼱〲㐰ⰬⰬ䅃⥄_x0018_＀＀_x0018_＀＀_x0008_＀＀_x0001_＀＀_x0001_＀＀豀碵꼝쐕䷧0啌啌坞当䕌十彅佃䵍呉奟㍒〨⼱〲㔰〬⼱〲㔰ⰬⰬ䅃⥄_x0018_＀＀_x0018_＀＀_x0008_＀＀_x0001_＀＀_x0001_＀＀豀碵꼝쐕䷧\啌啌坞当䕒呎䱁佟彐卌彅塅⡐㄰㈯〰ⰴ㄰㈯〰ⰴⰬ䌬䑁䀩䅃剟彔䕒呎䵟义䕟偘〨⼱〲㐰〬⼱〲㐰ⰬⰬ䅃⥄_x0018_＀＀_x0018_＀＀_x0008_＀＀_x0001_＀＀_x0001_＀＀豀碵꼝쐕䷧\啌啌坞当䕒呎䱁佟彐卌彅塅⡐㄰㈯㄰ⰱ㄰㈯㄰ⰱⰬ䌬䑁䀩䅃剟彔䕒呎䵟义䕟偘〨⼱〲ㄱ〬⼱〲ㄱⰬⰬ䅃⥄_x0018_＀＀_x0018_＀＀_x0008_＀＀_x0001_＀＀_x0001_＀＀过ꍂ厅䁋䷧0啌啌坞当䕌十彅佃䵍呉奟㍒〨⼱〲〱〬⼱〲〱ⰬⰬ䅃⥄_x0018_＀＀_x0018_＀＀_x0008_＀＀_x0001_＀＀_x0001_＀＀䣔䃭䀿䷧0啌啌坞当䕌十彅佃䵍呉奟㍒〨⼱〲ㄱ〬⼱〲ㄱⰬⰬ䅃⥄_x0018_＀＀_x0018_＀＀_x0008_＀＀_x0001_＀＀_x0001_＀＀쿭_xDD45_䁁䷧0啌啌坞当䕌十彅佃䵍呉奟㑒〨⼱〲㌰〬⼱〲㌰ⰬⰬ䅃⥄_x0018_＀＀_x0018_＀＀_x0008_＀＀_x0001_＀＀_x0001_＀＀豀碵꼝쐕䷧0啌啌坞当䕌十彅佃䵍呉奟㑒〨⼱〲㐰〬⼱〲㐰ⰬⰬ䅃⥄_x0018_＀＀_x0018_＀＀_x0008_＀＀_x0001_＀＀_x0001_＀＀豀碵꼝쐕䷧0啌啌坞当䕌十彅佃䵍呉奟㑒〨⼱〲㔰〬⼱〲㔰ⰬⰬ䅃⥄_x0018_＀＀_x0018_＀＀_x0008_＀＀_x0001_＀＀_x0001_＀＀豀碵꼝쐕䷧0啌啌坞当䕌十彅佃䵍呉奟㑒〨⼱〲㘰〬⼱〲㘰ⰬⰬ䅃⥄_x0018_＀＀_x0018_＀＀_x0008_＀＀_x0001_＀＀_x0001_＀＀豀碵꼝쐕䷧0啌啌坞当䕌十彅佃䵍呉奟㑒〨⼱〲㜰〬⼱〲㜰ⰬⰬ䅃⥄_x0018_＀＀_x0018_＀＀_x0008_＀＀_x0001_＀＀_x0001_＀＀⮳丼椢䀡䷧0啌啌坞当䕌十彅佃䵍呉奟㑒〨⼱〲㠰〬⼱〲㠰ⰬⰬ䅃⥄_x0018_＀＀_x0018_＀＀_x0008_＀＀_x0001_＀＀_x0001_＀＀ᢅㅜ괫䀱䷧0啌啌坞当䕌十彅佃䵍呉奟㑒〨⼱〲㤰〬⼱〲㤰ⰬⰬ䅃⥄_x0018_＀＀_x0018_＀＀_x0008_＀＀_x0001_＀＀_x0001_＀＀✱䥛䀽䷧\啌啌坞当䕒呎䱁佟彐卌彅塅⡐㄰㈯〰ⰳ㄰㈯〰ⰳⰬ䌬䑁䀩䅃剟彔䕒呎䵟义䕟偘〨⼱〲㌰〬⼱〲㌰ⰬⰬ䅃⥄_x0018_＀＀_x0018_＀＀_x0008_＀＀_x0001_＀＀_x0001_＀＀豀碵꼝쐕䷧0啌啌坞当䕌十彅佃䵍呉奟㑒〨⼱〲〱〬⼱〲〱ⰬⰬ䅃⥄_x0018_＀＀_x0018_＀＀_x0008_＀＀_x0001_＀＀_x0001_＀＀৪㱋베䀾䷧0啌啌坞当䕌十彅佃䵍呉奟㑒〨⼱〲ㄱ〬⼱〲ㄱⰬⰬ䅃⥄_x0018_＀＀_x0018_＀＀_x0008_＀＀_x0001_＀＀_x0001_＀＀▁녗ꟸ䁁䷧_x0013_啌啌坞当卉彏佃䕄〨착_x0014_＀＀_x0018_＀＀_x0004_＀＀_x0001_＀＀_x0008_＀＀䅃D䷧0啌啌坞当䕌十彅佃䵍呉奟㕒〨⼱〲㌰〬⼱〲㌰ⰬⰬ䅃⥄_x0018_＀＀_x0018_＀＀_x0008_＀＀_x0001_＀＀_x0001_＀＀豀碵꼝쐕䷧&amp;啌啌坞当义彔䅒䕔㕟䅙䝖〨⼱〲㘰ⰬⰬ䅃⥄_x0018_＀＀_x0018_＀＀_x0008_＀＀_x0001_＀＀_x0001_＀＀豀碵꼝쐕䷧0啌啌坞当䕌十彅佃䵍呉奟㕒〨⼱〲㐰〬⼱〲㐰ⰬⰬ䅃⥄_x0018_＀＀_x0018_＀＀_x0008_＀＀_x0001_＀＀_x0001_＀＀豀碵꼝쐕䷧0啌啌坞当䕌十彅佃䵍呉奟㕒〨⼱〲㔰〬⼱〲㔰ⰬⰬ䅃⥄_x0018_＀＀_x0018_＀＀_x0008_＀＀_x0001_＀＀_x0001_＀＀豀碵꼝쐕䷧0啌啌坞当䕌十彅佃䵍呉奟㕒〨⼱〲㘰〬⼱〲㘰ⰬⰬ䅃⥄_x0018_＀＀_x0018_＀＀_x0008_＀＀_x0001_＀＀_x0001_＀＀豀碵꼝쐕䷧0啌啌坞当䕌十彅佃䵍呉奟㕒〨⼱〲㜰〬⼱〲㜰ⰬⰬ䅃⥄_x0018_＀＀_x0018_＀＀_x0008_＀＀_x0001_＀＀_x0001_＀＀먖㥫烲䁄䷧0啌啌坞当䕌十彅佃䵍呉奟㕒〨⼱〲㠰〬⼱〲㠰ⰬⰬ䅃⥄_x0018_＀＀_x0018_＀＀_x0008_＀＀_x0001_＀＀_x0001_＀＀Ꚃ鳊韓䀱䷧0啌啌坞当䕌十彅佃䵍呉奟㕒〨⼱〲㤰〬⼱〲㤰ⰬⰬ䅃⥄_x0018_＀＀_x0018_＀＀_x0008_＀＀_x0001_＀＀_x0001_＀＀霡䠀ῢ䀽䷧\啌啌坞当䕒呎䱁佟彐卌彅塅⡐㄰㈯㄰ⰰ㄰㈯㄰ⰰⰬ䌬䑁䀩䅃剟彔䕒呎䵟义䕟偘〨⼱〲〱〬⼱〲〱ⰬⰬ䅃⥄_x0018_＀＀_x0018_＀＀_x0008_＀＀_x0001_＀＀_x0001_＀＀≋䭞䬆䁇䷧0啌啌坞当䕌十彅佃䵍呉奟㕒〨⼱〲〱〬⼱〲〱ⰬⰬ䅃⥄_x0018_＀＀_x0018_＀＀_x0008_＀＀_x0001_＀＀_x0001_＀＀㘑봼Ꙓ䀽䷧0啌啌坞当䕌十彅佃䵍呉奟㕒〨⼱〲ㄱ〬⼱〲ㄱⰬⰬ䅃⥄_x0018_＀＀_x0018_＀＀_x0008_＀＀_x0001_＀＀_x0001_＀＀㏗掄➖䁀䷧(啌啌坞当义彔䅒䕔〨⼱〲㐰〬⼱〲㐰ⰬⰬ䅃⥄_x0018_＀＀_x0018_＀＀_x0008_＀＀_x0001_＀＀_x0001_＀＀豀碵꼝쐕䷧(啌啌坞当义彔䅒䕔〨⼱〲㔰〬⼱〲㔰ⰬⰬ䅃⥄_x0018_＀＀_x0018_＀＀_x0008_＀＀_x0001_＀＀_x0001_＀＀豀碵꼝쐕䷧&amp;啌啌坞当义彔䅒䕔㕟䅙䝖〨⼱〲㜰ⰬⰬ䅃⥄_x0018_＀＀_x0018_＀＀_x0008_＀＀_x0001_＀＀_x0001_＀＀豀碵꼝쐕䷧(啌啌坞当义彔䅒䕔〨⼱〲㘰〬⼱〲㘰ⰬⰬ䅃⥄_x0018_＀＀_x0018_＀＀_x0008_＀＀_x0001_＀＀_x0001_＀＀豀碵꼝쐕䷧(啌啌坞当义彔䅒䕔〨⼱〲㜰〬⼱〲㜰ⰬⰬ䅃⥄_x0018_＀＀_x0018_＀＀_x0008_＀＀_x0001_＀＀_x0001_＀＀豀碵꼝쐕䷧(啌啌坞当义彔䅒䕔〨⼱〲㠰〬⼱〲㠰ⰬⰬ䅃⥄_x0018_＀＀_x0018_＀＀_x0008_＀＀_x0001_＀＀_x0001_＀＀豀碵꼝쐕䷧(啌啌坞当义彔䅒䕔〨⼱〲㤰〬⼱〲㤰ⰬⰬ䅃⥄_x0018_＀＀_x0018_＀＀_x0008_＀＀_x0001_＀＀_x0001_＀＀豀碵꼝쐕䷧\啌啌坞当䕒呎䱁佟彐卌彅塅⡐㄰㈯〰ⰹ㄰㈯〰ⰹⰬ䌬䑁䀩䅃剟彔䕒呎䵟义䕟偘〨⼱〲㤰〬⼱〲㤰ⰬⰬ䅃⥄_x0018_＀＀_x0018_＀＀_x0008_＀＀_x0001_＀＀_x0001_＀＀豀碵꼝쐕䷧(啌啌坞当义彔䅒䕔〨⼱〲〱〬⼱〲〱ⰬⰬ䅃⥄_x0018_＀＀_x0018_＀＀_x0008_＀＀_x0001_＀＀_x0001_＀＀豀碵꼝쐕䷧(啌啌坞当义彔䅒䕔〨⼱〲ㄱ〬⼱〲ㄱⰬⰬ䅃⥄_x0018_＀＀_x0018_＀＀_x0008_＀＀_x0001_＀＀_x0001_＀＀豀碵꼝쐕_xDF53_仧_x0018_刣晥敲桳帣南䥟体䍟䑏⡅⤰_x0014_＀＀_x0018_＀＀_x0004_＀＀_x0001_＀＀_x0008_＀＀乀A</t>
        </r>
      </text>
    </comment>
    <comment ref="B1" authorId="0">
      <text>
        <r>
          <rPr>
            <b/>
            <sz val="8"/>
            <color indexed="81"/>
            <rFont val="Tahoma"/>
            <family val="2"/>
          </rPr>
          <t>4046</t>
        </r>
      </text>
    </comment>
  </commentList>
</comments>
</file>

<file path=xl/comments20.xml><?xml version="1.0" encoding="utf-8"?>
<comments xmlns="http://schemas.openxmlformats.org/spreadsheetml/2006/main">
  <authors>
    <author>Roberts, Cynthia (Research)</author>
  </authors>
  <commentList>
    <comment ref="G5" authorId="0">
      <text>
        <r>
          <rPr>
            <b/>
            <sz val="9"/>
            <color indexed="81"/>
            <rFont val="Tahoma"/>
            <family val="2"/>
          </rPr>
          <t>Roberts, Cynthia (Research):</t>
        </r>
        <r>
          <rPr>
            <sz val="9"/>
            <color indexed="81"/>
            <rFont val="Tahoma"/>
            <family val="2"/>
          </rPr>
          <t xml:space="preserve">
+2% comp and +4% comp/total sales spread</t>
        </r>
      </text>
    </comment>
    <comment ref="H5" authorId="0">
      <text>
        <r>
          <rPr>
            <b/>
            <sz val="9"/>
            <color indexed="81"/>
            <rFont val="Tahoma"/>
            <family val="2"/>
          </rPr>
          <t>Roberts, Cynthia (Research):</t>
        </r>
        <r>
          <rPr>
            <sz val="9"/>
            <color indexed="81"/>
            <rFont val="Tahoma"/>
            <family val="2"/>
          </rPr>
          <t xml:space="preserve">
Assumes revenue loss of ~$21M related to calendar shift, where the quarter loses calendar days equivalent to 2017 August Week 1 and gains calendar days equivalent to 2017 Novemeber Week 1.
We estimate August week 1 is 9% of 3Q ($130M) and November week 1 is 9% of of 4Q ($109M)
Assumes underlying +3% comp and +5% comp/total sales spread</t>
        </r>
      </text>
    </comment>
    <comment ref="C9" authorId="0">
      <text>
        <r>
          <rPr>
            <b/>
            <sz val="9"/>
            <color indexed="81"/>
            <rFont val="Tahoma"/>
            <family val="2"/>
          </rPr>
          <t>Roberts, Cynthia (Research):</t>
        </r>
        <r>
          <rPr>
            <sz val="9"/>
            <color indexed="81"/>
            <rFont val="Tahoma"/>
            <family val="2"/>
          </rPr>
          <t xml:space="preserve">
+3% comp and +5% comp/total sales spread</t>
        </r>
      </text>
    </comment>
    <comment ref="G9" authorId="0">
      <text>
        <r>
          <rPr>
            <b/>
            <sz val="9"/>
            <color indexed="81"/>
            <rFont val="Tahoma"/>
            <family val="2"/>
          </rPr>
          <t>Roberts, Cynthia (Research):</t>
        </r>
        <r>
          <rPr>
            <sz val="9"/>
            <color indexed="81"/>
            <rFont val="Tahoma"/>
            <family val="2"/>
          </rPr>
          <t xml:space="preserve">
+3% comp and +5% comp/total sales spread</t>
        </r>
      </text>
    </comment>
    <comment ref="H9" authorId="0">
      <text>
        <r>
          <rPr>
            <b/>
            <sz val="9"/>
            <color indexed="81"/>
            <rFont val="Tahoma"/>
            <family val="2"/>
          </rPr>
          <t>Roberts, Cynthia (Research):</t>
        </r>
        <r>
          <rPr>
            <sz val="9"/>
            <color indexed="81"/>
            <rFont val="Tahoma"/>
            <family val="2"/>
          </rPr>
          <t xml:space="preserve">
Reversal of 53rd week, quarter loses calendar days equivalent to 2017 November Week 1.
We estimate November week 1 is 9% of 4Q sales ($109M) 
Assumes underlying +3% comp and +5% comp/total sales spread</t>
        </r>
      </text>
    </comment>
  </commentList>
</comments>
</file>

<file path=xl/sharedStrings.xml><?xml version="1.0" encoding="utf-8"?>
<sst xmlns="http://schemas.openxmlformats.org/spreadsheetml/2006/main" count="5509" uniqueCount="1467">
  <si>
    <t>This sheet contains Factset binary data for use with this workbook's =FDS codes.  Modifying the worksheet's contents may damage the workbook's =FDS functionality.</t>
  </si>
  <si>
    <t>$</t>
  </si>
  <si>
    <t>LULU.O,mscalc:closePriceCurrencyCalc</t>
  </si>
  <si>
    <t>LULU.O,mscalc:sedolCodeCalc</t>
  </si>
  <si>
    <t>LULU.O,mscalc:targetPrice,,,,USD</t>
  </si>
  <si>
    <t>B23FN39</t>
  </si>
  <si>
    <t>Floor Space</t>
  </si>
  <si>
    <t>Statutory Tax Rate</t>
  </si>
  <si>
    <t>LULU.O,mscalc:factsetIdCalc</t>
  </si>
  <si>
    <t>LULU</t>
  </si>
  <si>
    <t>Balance Check</t>
  </si>
  <si>
    <t>Cash and Equivalents</t>
  </si>
  <si>
    <t>Inventories</t>
  </si>
  <si>
    <t>Prepaid Expenses and Other</t>
  </si>
  <si>
    <t>Net PP&amp;E</t>
  </si>
  <si>
    <t>Accounts Payable</t>
  </si>
  <si>
    <t>Income Taxes Payable</t>
  </si>
  <si>
    <t>Total Current Liabilities</t>
  </si>
  <si>
    <t>Other Liabilities</t>
  </si>
  <si>
    <t>Total Long-Term Liabilities</t>
  </si>
  <si>
    <t>Total Shareholders' Equity</t>
  </si>
  <si>
    <t>Receivables</t>
  </si>
  <si>
    <t>Total Current Assets</t>
  </si>
  <si>
    <t>Liabilities and Shareholders' Equity</t>
  </si>
  <si>
    <t>TOTAL LIABILITIES</t>
  </si>
  <si>
    <t>Common Stock</t>
  </si>
  <si>
    <t>Additional Paid-in Capital</t>
  </si>
  <si>
    <t>Retained Earnings</t>
  </si>
  <si>
    <t>Accumulated Other Comprehensive Income</t>
  </si>
  <si>
    <t>Avg. Net Sales Per Store ($MM)</t>
  </si>
  <si>
    <t>Avg. Retail Sales Per Store ($MM)</t>
  </si>
  <si>
    <t>% Increase</t>
  </si>
  <si>
    <t>2. Cost of Goods Sold</t>
  </si>
  <si>
    <t>3. SG&amp;A Expense</t>
  </si>
  <si>
    <t>% Operating Margin</t>
  </si>
  <si>
    <t>% Tax Rate</t>
  </si>
  <si>
    <t>% Net Margin</t>
  </si>
  <si>
    <t>2014E</t>
  </si>
  <si>
    <t>2015E</t>
  </si>
  <si>
    <t>Net Sales ($MM)</t>
  </si>
  <si>
    <t>% Chg. from LY</t>
  </si>
  <si>
    <t>% Chg. Avg. Units</t>
  </si>
  <si>
    <t>CAGR</t>
  </si>
  <si>
    <t># Stores Open BOY</t>
  </si>
  <si>
    <t>+ New Store Openings</t>
  </si>
  <si>
    <t># Stores Open EOY</t>
  </si>
  <si>
    <t>Avg. # Open</t>
  </si>
  <si>
    <t>Comparable-Store Sales</t>
  </si>
  <si>
    <t>New Space Productivity</t>
  </si>
  <si>
    <t>Operating Profit ($MM)</t>
  </si>
  <si>
    <t>($ millions except per share data)</t>
  </si>
  <si>
    <t>Avg. Store Size (Gross Sq. Ft.)</t>
  </si>
  <si>
    <t>Ending Gross Sq. Ft. (MM)</t>
  </si>
  <si>
    <t>(a) Projected sales figures exclude Internet sales.</t>
  </si>
  <si>
    <t>% Gross Margin</t>
  </si>
  <si>
    <t>% of Sales</t>
  </si>
  <si>
    <t>% Margin</t>
  </si>
  <si>
    <t>Total/Comp</t>
  </si>
  <si>
    <t>Non-Comp.</t>
  </si>
  <si>
    <t>Spread</t>
  </si>
  <si>
    <t>No. of Stores</t>
  </si>
  <si>
    <t>Space</t>
  </si>
  <si>
    <t>Average</t>
  </si>
  <si>
    <t>1st Qtr</t>
  </si>
  <si>
    <t>2nd Qtr</t>
  </si>
  <si>
    <t>3rd Qtr</t>
  </si>
  <si>
    <t>4th Qtr</t>
  </si>
  <si>
    <t>Year</t>
  </si>
  <si>
    <t>Store</t>
  </si>
  <si>
    <t xml:space="preserve">Per Avg. </t>
  </si>
  <si>
    <t xml:space="preserve">Percent </t>
  </si>
  <si>
    <t>Change</t>
  </si>
  <si>
    <t>Square Footage</t>
  </si>
  <si>
    <t>Per Avg.</t>
  </si>
  <si>
    <t>Square Footage Analysis</t>
  </si>
  <si>
    <t>Store Analysis</t>
  </si>
  <si>
    <t>Sales (mm) (a)</t>
  </si>
  <si>
    <t>Sales (mm, except per foot data) (a)</t>
  </si>
  <si>
    <t>Source: Company reports and Morgan Stanley estimates.</t>
  </si>
  <si>
    <t>Apr</t>
  </si>
  <si>
    <t>Jul</t>
  </si>
  <si>
    <t>Oct</t>
  </si>
  <si>
    <t>Jan</t>
  </si>
  <si>
    <t>2009A</t>
  </si>
  <si>
    <t>2010A</t>
  </si>
  <si>
    <t xml:space="preserve">  Year</t>
  </si>
  <si>
    <t xml:space="preserve">Quarterly Operating Results and Financial Analysis </t>
  </si>
  <si>
    <t>6 Mos.</t>
  </si>
  <si>
    <t>9 Mos.</t>
  </si>
  <si>
    <t>3. Selling, General and Administrative Expense (% of Sales)</t>
  </si>
  <si>
    <t>NA</t>
  </si>
  <si>
    <t>For the fiscal year ending January 31 of the following year</t>
  </si>
  <si>
    <t>($ in millions except per share data)</t>
  </si>
  <si>
    <t>2008A</t>
  </si>
  <si>
    <t>2007A</t>
  </si>
  <si>
    <t>2006A</t>
  </si>
  <si>
    <t>2005A</t>
  </si>
  <si>
    <t>ND</t>
  </si>
  <si>
    <t>Sales</t>
  </si>
  <si>
    <t>Comp-</t>
  </si>
  <si>
    <t>Stores</t>
  </si>
  <si>
    <t>Other</t>
  </si>
  <si>
    <t>%</t>
  </si>
  <si>
    <t>Avg. Gross Sq. Ft. (MM)</t>
  </si>
  <si>
    <t>Retail Sales ($MM)</t>
  </si>
  <si>
    <t>1Q</t>
  </si>
  <si>
    <t>2Q</t>
  </si>
  <si>
    <t>3Q</t>
  </si>
  <si>
    <t>4Q</t>
  </si>
  <si>
    <t>Inventory (Y-o-Y % Change vs. % Sales Growth)</t>
  </si>
  <si>
    <t>Less: Accounts Payable (Y-o-Y % Change vs. % Sales Growth)</t>
  </si>
  <si>
    <t>($ millions)</t>
  </si>
  <si>
    <t>Cash &amp; Equivalents</t>
  </si>
  <si>
    <t>Short-Term Debt</t>
  </si>
  <si>
    <t>Long-Term Debt</t>
  </si>
  <si>
    <t>Total Debt</t>
  </si>
  <si>
    <t>Net Debt (Total Debt Less Cash)</t>
  </si>
  <si>
    <t>Shareholders' Equity</t>
  </si>
  <si>
    <t>Total Capital</t>
  </si>
  <si>
    <t>Total Debt as % of Total Capital</t>
  </si>
  <si>
    <t>Net Debt as % of Total Capital</t>
  </si>
  <si>
    <t>Source: Company reports.</t>
  </si>
  <si>
    <t>% Change</t>
  </si>
  <si>
    <t>TOTAL ASSETS</t>
  </si>
  <si>
    <t>Inventory</t>
  </si>
  <si>
    <t>Cost of</t>
  </si>
  <si>
    <t>End of</t>
  </si>
  <si>
    <t>Prior</t>
  </si>
  <si>
    <t>Following</t>
  </si>
  <si>
    <t>Goods Sold</t>
  </si>
  <si>
    <t>Quarter</t>
  </si>
  <si>
    <t>Prior Year</t>
  </si>
  <si>
    <t>Balance Sheet</t>
  </si>
  <si>
    <t>Assets</t>
  </si>
  <si>
    <t>x</t>
  </si>
  <si>
    <t>TOTAL LIABILITIES AND S/H EQUITY</t>
  </si>
  <si>
    <t>Open</t>
  </si>
  <si>
    <t>Y-o-Y</t>
  </si>
  <si>
    <t>At</t>
  </si>
  <si>
    <t>at End</t>
  </si>
  <si>
    <t>per</t>
  </si>
  <si>
    <t>of Quarter</t>
  </si>
  <si>
    <t>Sq. Ft.</t>
  </si>
  <si>
    <t>vs.</t>
  </si>
  <si>
    <t>Inventory vs.</t>
  </si>
  <si>
    <t>Quarterly</t>
  </si>
  <si>
    <t>Turnover Analysis</t>
  </si>
  <si>
    <t>Average (a)</t>
  </si>
  <si>
    <t>Quarter (b)</t>
  </si>
  <si>
    <t>on Hand</t>
  </si>
  <si>
    <t>Days Inventory</t>
  </si>
  <si>
    <t>Avg. (a)</t>
  </si>
  <si>
    <t>Qtr (b)</t>
  </si>
  <si>
    <t>Follow</t>
  </si>
  <si>
    <t>Minority Interest</t>
  </si>
  <si>
    <t>Ratio calculations:</t>
  </si>
  <si>
    <t>COGS</t>
  </si>
  <si>
    <t>SG&amp;A</t>
  </si>
  <si>
    <t>Net Income</t>
  </si>
  <si>
    <t>A/R / Sales</t>
  </si>
  <si>
    <t>Merchandise Inventory / Sales</t>
  </si>
  <si>
    <t>A/P / Inventory</t>
  </si>
  <si>
    <t>Income Taxes Payable / Net Income</t>
  </si>
  <si>
    <t>Prepaid Expenses / Sales</t>
  </si>
  <si>
    <t>Cash Per Share</t>
  </si>
  <si>
    <t>Cash Flow Statement</t>
  </si>
  <si>
    <t>2004A</t>
  </si>
  <si>
    <t>Depreciation and Amortization</t>
  </si>
  <si>
    <t>Capital Expenditures</t>
  </si>
  <si>
    <t>Proceeds from Stock Option Exercise</t>
  </si>
  <si>
    <t>Dividends Paid</t>
  </si>
  <si>
    <t>TOTAL OPERATING SOURCES</t>
  </si>
  <si>
    <t>Net Working Capital</t>
  </si>
  <si>
    <t>TOTAL OPERATING USES</t>
  </si>
  <si>
    <t>INTERNAL CASH GENERATION (FUNDS NEEDED)</t>
  </si>
  <si>
    <t>TOTAL EXTERNAL SOURCES</t>
  </si>
  <si>
    <t>Beginning Cash Balance</t>
  </si>
  <si>
    <t>Increase (Decrease) in Cash</t>
  </si>
  <si>
    <t>Increase (Decrease) in</t>
  </si>
  <si>
    <t>(Increase) Decrease in</t>
  </si>
  <si>
    <t>Ending Cash Balance</t>
  </si>
  <si>
    <t>Total External Sources &amp; Cash</t>
  </si>
  <si>
    <t>Net Income (Loss) from Discontinued Op.</t>
  </si>
  <si>
    <t>Capex / Sales</t>
  </si>
  <si>
    <t>Cash Flow Per Share</t>
  </si>
  <si>
    <t>Income Statement</t>
  </si>
  <si>
    <t>Total Sales</t>
  </si>
  <si>
    <t>Cost of Goods Sold</t>
  </si>
  <si>
    <t>Gross Profit</t>
  </si>
  <si>
    <t>SG&amp;A Expense</t>
  </si>
  <si>
    <t>Depreciation &amp; Amortization</t>
  </si>
  <si>
    <t>Operating Income</t>
  </si>
  <si>
    <t>Pretax Income</t>
  </si>
  <si>
    <t>Taxes</t>
  </si>
  <si>
    <t>Net Income from Operations</t>
  </si>
  <si>
    <t>Extraordinary Gain/Loss</t>
  </si>
  <si>
    <t>Earnings Per Share</t>
  </si>
  <si>
    <t>Average Diluted Shares</t>
  </si>
  <si>
    <t>Average Basic Shares</t>
  </si>
  <si>
    <t>Interest and Other Exp/(Inc)</t>
  </si>
  <si>
    <t>Operating EPS</t>
  </si>
  <si>
    <t>End of Period Shares</t>
  </si>
  <si>
    <t>EBITDA</t>
  </si>
  <si>
    <t>Margin Analysis</t>
  </si>
  <si>
    <t>Gross Margin</t>
  </si>
  <si>
    <t>Expense Ratio</t>
  </si>
  <si>
    <t>Operating Margin</t>
  </si>
  <si>
    <t>Pretax Margin</t>
  </si>
  <si>
    <t>Tax Rate</t>
  </si>
  <si>
    <t>Net Margin</t>
  </si>
  <si>
    <t>Year-Over-Year Growth</t>
  </si>
  <si>
    <t>Comparable Store Sales</t>
  </si>
  <si>
    <t>Quarterly Results and Estimates</t>
  </si>
  <si>
    <t>Annual Data (Year-end)</t>
  </si>
  <si>
    <t>Store Count</t>
  </si>
  <si>
    <t>Total Sq Ft (millions)</t>
  </si>
  <si>
    <t>Total Sq Ft Growth</t>
  </si>
  <si>
    <t>Avg Size</t>
  </si>
  <si>
    <t>Sales / Avg Sq Ft</t>
  </si>
  <si>
    <t>USD</t>
  </si>
  <si>
    <t>ElementName</t>
  </si>
  <si>
    <t>ScaleOverride</t>
  </si>
  <si>
    <t>UnitOverride</t>
  </si>
  <si>
    <t>ReverseSign</t>
  </si>
  <si>
    <t>IsDrivingAssumption</t>
  </si>
  <si>
    <t>SegmentID</t>
  </si>
  <si>
    <t>2. Cost of Goods Sold (% Gross Margin)</t>
  </si>
  <si>
    <t>,mscalc:closePriceCurrencyCalc</t>
  </si>
  <si>
    <t>,mscalc:sedolCodeCalc</t>
  </si>
  <si>
    <t>,mscalc:targetPrice,,,,USD</t>
  </si>
  <si>
    <t>LULU.O,mscalc:targetPrice</t>
  </si>
  <si>
    <t>Inventory Turnover</t>
  </si>
  <si>
    <t>Payables / Inventory</t>
  </si>
  <si>
    <t>Debt to Total Capital</t>
  </si>
  <si>
    <t>Return on Equity</t>
  </si>
  <si>
    <t>BASE CASE</t>
  </si>
  <si>
    <t>Base Case Sales Comp Spread</t>
  </si>
  <si>
    <t>Bull Case Sales Comp Spread</t>
  </si>
  <si>
    <t>BULL CASE</t>
  </si>
  <si>
    <t>BEAR CASE</t>
  </si>
  <si>
    <t>Interest Expense</t>
  </si>
  <si>
    <t>LULU.O,mscalc:defaultCurrencyCalc</t>
  </si>
  <si>
    <t>2011A</t>
  </si>
  <si>
    <t>Bear Case Sales Comp Spread</t>
  </si>
  <si>
    <t>2016E</t>
  </si>
  <si>
    <t>2017E</t>
  </si>
  <si>
    <t>3 year cumulative comp</t>
  </si>
  <si>
    <t>2012A</t>
  </si>
  <si>
    <t>INTERACTIVE</t>
  </si>
  <si>
    <t>Bull</t>
  </si>
  <si>
    <t>Base</t>
  </si>
  <si>
    <t>Bear</t>
  </si>
  <si>
    <t>2000A</t>
  </si>
  <si>
    <t>2001A</t>
  </si>
  <si>
    <t>2002A</t>
  </si>
  <si>
    <t>2003A</t>
  </si>
  <si>
    <t>Revenue</t>
  </si>
  <si>
    <t>Occupancy Expense</t>
  </si>
  <si>
    <t>Other Sales ($MM)</t>
  </si>
  <si>
    <t>Fiscal Year-End January 31,</t>
  </si>
  <si>
    <t>Fiscal Year-End May 31,</t>
  </si>
  <si>
    <t>2009R</t>
  </si>
  <si>
    <t>- Store Closings</t>
  </si>
  <si>
    <t>ProForma</t>
  </si>
  <si>
    <t xml:space="preserve"> </t>
  </si>
  <si>
    <t>Restated</t>
  </si>
  <si>
    <t>Predecessor</t>
  </si>
  <si>
    <t>Retail Sales Per Avg Gross Sq Ft</t>
  </si>
  <si>
    <t>Amortization and Write-Off of Debt Issuance Costs</t>
  </si>
  <si>
    <t>Impairment Charges—Long-Lived Assets</t>
  </si>
  <si>
    <t>Accretion of Senior Notes and Senior Discount Notes</t>
  </si>
  <si>
    <t>Interest Rate Cap Contracts-Adjustment to Market</t>
  </si>
  <si>
    <t>Provision for Losses on Accounts Receivable</t>
  </si>
  <si>
    <t>Deferred Income Taxes (Benefit)/Provision</t>
  </si>
  <si>
    <t>Loss on Disposition of Fixed Assets and Leasehold Improvements</t>
  </si>
  <si>
    <t>Gain on Investments in Money Market Fund</t>
  </si>
  <si>
    <t>Loss on Extinguishment of Debt—Write-off of Deferred Financing Fees</t>
  </si>
  <si>
    <t>Non-Cash Stock Compensation Expense</t>
  </si>
  <si>
    <t>Non-Cash Rent Expense</t>
  </si>
  <si>
    <t>Excess Tax Benefit from Stock Based Compensation</t>
  </si>
  <si>
    <t>Other Current Liabilities and Income Tax Payable</t>
  </si>
  <si>
    <t>Deferred Rent Incentives</t>
  </si>
  <si>
    <t>Change in Restricted Cash and Cash Equivalents</t>
  </si>
  <si>
    <t>Lease Acquisition Costs</t>
  </si>
  <si>
    <t>Proceeds from Long Term Debt - ABL</t>
  </si>
  <si>
    <t>Principal Repayments on Long Term Debt - ABL</t>
  </si>
  <si>
    <t>Principal Repayments on Long Term Debt - Other</t>
  </si>
  <si>
    <t>Proceeds from Long Term Debt - Other</t>
  </si>
  <si>
    <t>Debt Issuance Costs</t>
  </si>
  <si>
    <t>Proceeds (Expenses) From Sale of P&amp;E, Assets Held for Sale, Partnership Interest</t>
  </si>
  <si>
    <t>Equity Investments</t>
  </si>
  <si>
    <t>Pro Forma</t>
  </si>
  <si>
    <t>Acquisition of BCFWC</t>
  </si>
  <si>
    <t>Issuance of Common Stock</t>
  </si>
  <si>
    <t>Purchase of Interest Rate Cap Contract</t>
  </si>
  <si>
    <t>Unrealized Loss on Investments</t>
  </si>
  <si>
    <t>Treasury Stock Transactions</t>
  </si>
  <si>
    <t>Deferred Tax Assets</t>
  </si>
  <si>
    <t>Long-Term Investments</t>
  </si>
  <si>
    <t xml:space="preserve">Current Maturities of Long Term Debt </t>
  </si>
  <si>
    <t xml:space="preserve">Long Term Debt </t>
  </si>
  <si>
    <t>Treasury Stock at Cost</t>
  </si>
  <si>
    <t>Other Current Liabilities</t>
  </si>
  <si>
    <t>Restricted Cash and Equivalents</t>
  </si>
  <si>
    <t>Investments</t>
  </si>
  <si>
    <t>Goodwill, Intangible Assets &amp; Tradenames</t>
  </si>
  <si>
    <t>Other Non-Current Assets (incl. favorable leases)</t>
  </si>
  <si>
    <t xml:space="preserve">
Deferred Tax Liabilities</t>
  </si>
  <si>
    <t>Fiscal Year Ending January 31,</t>
  </si>
  <si>
    <t>Fiscal Year Ending May 31,</t>
  </si>
  <si>
    <t>Year Ending January 31,</t>
  </si>
  <si>
    <t>Interest Expense (Income)</t>
  </si>
  <si>
    <t>NM</t>
  </si>
  <si>
    <t xml:space="preserve">NA </t>
  </si>
  <si>
    <t>($ qilliqns)</t>
  </si>
  <si>
    <t>Squrce: Cqqpany repqrts and qqrgan Stanley estiqates.</t>
  </si>
  <si>
    <t>Plus: Receivables and other Current Assets (Y-o-Y % Change vs. % Sales Growth)</t>
  </si>
  <si>
    <t>Equals: "Operating" Worqing Capital (Y-o-Y % Change vs. % Sales Growth)</t>
  </si>
  <si>
    <t>May</t>
  </si>
  <si>
    <t>Nov</t>
  </si>
  <si>
    <t>Aug</t>
  </si>
  <si>
    <t>Feb</t>
  </si>
  <si>
    <t>Annual Earnings Model, Fiscal 2002A-2017E</t>
  </si>
  <si>
    <t>Debt Service and Maturity Schedule</t>
  </si>
  <si>
    <t>Ending Balance</t>
  </si>
  <si>
    <t>Beginning Balance</t>
  </si>
  <si>
    <t>Senior Secured Term Loan Facility</t>
  </si>
  <si>
    <t>Maturity Date</t>
  </si>
  <si>
    <t>Interest Rate</t>
  </si>
  <si>
    <t>Maturity / Repayment</t>
  </si>
  <si>
    <t>ABL Senior Secured Revolving Facility</t>
  </si>
  <si>
    <t>Facility Size</t>
  </si>
  <si>
    <t>Capital Lease Obligation</t>
  </si>
  <si>
    <t>Commitment Fee %</t>
  </si>
  <si>
    <t>Interest Expense $</t>
  </si>
  <si>
    <t>Average Unused Balance</t>
  </si>
  <si>
    <t>Interest Expense (incl. Commit. Fee)</t>
  </si>
  <si>
    <t>Per 10K: Estimated cash required to make minimum debt service payments (including principal and interest) for these debt obligations amounts to $92.9 million for the fiscal year ending February 1, 2014</t>
  </si>
  <si>
    <t xml:space="preserve">  Interest Rate</t>
  </si>
  <si>
    <t>Change in cash due to restatements</t>
  </si>
  <si>
    <t>Adjusted EBITDA</t>
  </si>
  <si>
    <t>2018E</t>
  </si>
  <si>
    <t>Senior Notes due 2018 (Holdco Note)</t>
  </si>
  <si>
    <t>Other (sum)</t>
  </si>
  <si>
    <t>Note: Changed reporting calendar year-end in 2010 (from May to Jan). 2012 is based on a 52-week year (excluding the actual 53rd week)</t>
  </si>
  <si>
    <t>2 year avg. comp</t>
  </si>
  <si>
    <t>Old Int Exp</t>
  </si>
  <si>
    <t>OLD Total Debt</t>
  </si>
  <si>
    <t>Diff:</t>
  </si>
  <si>
    <t>Adj. EBITDA</t>
  </si>
  <si>
    <t>Repayment excl. ABL</t>
  </si>
  <si>
    <t xml:space="preserve">Other revenue consists of "rental income from leased departments, subleased rental income, layaway, alterations, other service charges, and miscellaneous revenue items" </t>
  </si>
  <si>
    <t>Other income is "investment income, gains and losses on disposition of assets, breakage income and other miscellaneous items"</t>
  </si>
  <si>
    <t>5. Adjusted EBITDA</t>
  </si>
  <si>
    <t>6. Depreciation and Amortization (% of Sales)</t>
  </si>
  <si>
    <t xml:space="preserve">9. Interest Expense (Income) (% of Sales) </t>
  </si>
  <si>
    <t>10. Pretax Income (Loss) (% Margin)</t>
  </si>
  <si>
    <t>12. GAAP Net Earnings (% Net Margin) / % Change</t>
  </si>
  <si>
    <t>11. Income Taxes/(Credit) (% Tax Rate)</t>
  </si>
  <si>
    <t xml:space="preserve">8. GAAP Operating Income (% Operating Margin) </t>
  </si>
  <si>
    <t>Net Income from Operations (GAAP)</t>
  </si>
  <si>
    <t>Net Income Adjusted</t>
  </si>
  <si>
    <t>Share count as of September 2013 is 75.4M Fully Diluated, 71.6M Basic. Future projections (2014+) estimated as the same as 2013 actuals. 2012 also assumed equal to 2013</t>
  </si>
  <si>
    <t>1. Retail Sales (Year-to-Year % Increase/Comps)</t>
  </si>
  <si>
    <t>1. Retail Sales</t>
  </si>
  <si>
    <t>Operating EPS (GAAP)</t>
  </si>
  <si>
    <t>Adjusted EPS</t>
  </si>
  <si>
    <t>7. Miscellaneous Costs (BCP fees / Transaction Costs / Stock Option Modification Exp)</t>
  </si>
  <si>
    <t>Miscellaneous Costs</t>
  </si>
  <si>
    <t xml:space="preserve">                                                        </t>
  </si>
  <si>
    <t>Adj. Net Income</t>
  </si>
  <si>
    <t>Adj. EPS</t>
  </si>
  <si>
    <t>Extraordinary Items (after tax)</t>
  </si>
  <si>
    <t>13. Earnings Per Share - GAAP - Fully Diluted</t>
  </si>
  <si>
    <t>14. Extraordinary/Discontinued Items (after tax)</t>
  </si>
  <si>
    <t>15. Adjusted Net Earnings - Operating (% adj. Net Margin) / % Change</t>
  </si>
  <si>
    <t>16. Earnings Per Share - Adjusted - Fully Diluted</t>
  </si>
  <si>
    <t>17. Shares Outstanding - Fully Diluted</t>
  </si>
  <si>
    <t>18. Basic Shares Outstanding</t>
  </si>
  <si>
    <t>Adj. EBITDA Margin</t>
  </si>
  <si>
    <t>(Other Revenue)/(Other Income)</t>
  </si>
  <si>
    <t>6. Depreciation and Amortization</t>
  </si>
  <si>
    <t>7. Miscellaneous Costs</t>
  </si>
  <si>
    <t>8. Operating Income</t>
  </si>
  <si>
    <t>9. Interest Expense (Income)</t>
  </si>
  <si>
    <t>10. Pretax Income</t>
  </si>
  <si>
    <t>11. Income Taxes</t>
  </si>
  <si>
    <t>12. Net Earnings (GAAP)</t>
  </si>
  <si>
    <t>13. Operating Earnings per Share (GAAP)</t>
  </si>
  <si>
    <t>14. Extraordinary Items (after tax)</t>
  </si>
  <si>
    <t>15. Net Earnings (Adjusted)</t>
  </si>
  <si>
    <t>16. Adjusted Earnings per Share</t>
  </si>
  <si>
    <t>17. Average Shares Outstanding</t>
  </si>
  <si>
    <t>2012PF</t>
  </si>
  <si>
    <t>52 weeks</t>
  </si>
  <si>
    <t>2012PF (52 weeks)</t>
  </si>
  <si>
    <t>52 wks</t>
  </si>
  <si>
    <t>53 wks</t>
  </si>
  <si>
    <t>4. Other (Revenue)/Other (Income)</t>
  </si>
  <si>
    <t>Other (Revenue)/Other (Income)</t>
  </si>
  <si>
    <t>Moved to Other (Revenue)/Other (Income) line on the P&amp;L. No longer in use</t>
  </si>
  <si>
    <t xml:space="preserve">4. Other (Revenue) / Other (Income) (% of Sales) </t>
  </si>
  <si>
    <t>2012 Miscellaneous Costs include: BCP Fees(4.3M), Transaction Costs(6.4M), Impairtment (11.5M). Extraordinary Items are aforementioned+Favorable Lease Amortization (30.7M), net of tax</t>
  </si>
  <si>
    <t>2013 Miscellaneous Costs include: BCP Fees(2.8M), Transaction Costs(22.7M), Stock Option Modification Expense (10.4M), Impairtment (0.3M). Extraordinary Items are aforementioned+Fav Lease Amort (29.7M), net of tax</t>
  </si>
  <si>
    <t>2014 Miscellaneous Costs include: Stock Option Modification Expense (3.2M). Extraordinary Items are SOMF+ Favorable Lease Amortization (26.8M), net of tax</t>
  </si>
  <si>
    <t>2017 Miscellaneous Costs include: Stock Option Modification Expense (0.2M). Extraordinary Items are SOMF+ Favorable Lease Amortization (24M), net of tax</t>
  </si>
  <si>
    <t>2016 Miscellaneous Costs include: Stock Option Modification Expense (1.0M). Extraordinary Items are SOMF+ Favorable Lease Amortization (24.5M), net of tax</t>
  </si>
  <si>
    <t>2015 Miscellaneous Costs include: Stock Option Modification Expense (2.0M). Extraordinary Items are SOMF+ Favorable Lease Amortization (25.7M), net of tax</t>
  </si>
  <si>
    <t>2011 Misc. Costs: Loss on Extinguishment of Debt (37.764M), Advisory (4.285M), Impairment (1.735M), Costs related to Debt Amendments (-0.473). Extraordinary Items are: these+Fav Lease Amort (29.245M), net of tax</t>
  </si>
  <si>
    <t xml:space="preserve">2009 Miscellaneous Costs include: restructuring and sepration cost (7.452M), Impairtment - Long-lived assets (56.141M), Impairtment - Tradenames (15.25M), </t>
  </si>
  <si>
    <t>2010 Miscellaneous Costs include: Advisory (4.289M), Impairtment - Long-lived assets (2.08M), Costs related to Debt Amendments (3.04M). Extraodinary Items are aforementioned+Fav Lease Amort (30.389M), net of tax</t>
  </si>
  <si>
    <t>2012PF Miscellaneous Costs include: BCP Fees(4.3M), Transaction Costs(6.4M), Impairtment (11.5M). Extraordinary Items are aforementioned+Favorable Lease Amortization (30.7M), net of tax</t>
  </si>
  <si>
    <t>2011 Misc. Costs: Loss on Extinguishment of Debt (37.764M), Advisory (4.285M), Impairment (1.735M), Costs related to Debt Amendments (-0.473). Extraordinary Items are: afore+Fav Lease Amort (29.245M), net of tax</t>
  </si>
  <si>
    <t>2012A(53wks) Misc. Costs: loss on extinguishment of debt (2.222M), Advisory(4.291M), Impairment(11.539M), Costs related to Debt Amendments (4.175M). Extraordinary Items: afore +Fav Lease Amort (31.292M), net of tax</t>
  </si>
  <si>
    <t>Total Repayments</t>
  </si>
  <si>
    <t>Adj. Earnings Per Share</t>
  </si>
  <si>
    <t>Valuation Assumptions</t>
  </si>
  <si>
    <t>Morgan Stanley</t>
  </si>
  <si>
    <t>Fiscal Year End January</t>
  </si>
  <si>
    <t>($ in millions, except per share)</t>
  </si>
  <si>
    <t>2019E</t>
  </si>
  <si>
    <t>2020E</t>
  </si>
  <si>
    <t>2021E</t>
  </si>
  <si>
    <t>Risk Free Rate</t>
  </si>
  <si>
    <t>Risk Premium</t>
  </si>
  <si>
    <t>Forward Beta</t>
  </si>
  <si>
    <t>Cost of Equity</t>
  </si>
  <si>
    <t>Cost of Debt</t>
  </si>
  <si>
    <t>Required Equity Return</t>
  </si>
  <si>
    <t>Debt / Capital</t>
  </si>
  <si>
    <t>WACC</t>
  </si>
  <si>
    <t>Growth Rate</t>
  </si>
  <si>
    <t>D&amp;A</t>
  </si>
  <si>
    <t>Terminal FCF</t>
  </si>
  <si>
    <t>Terminal FCF Multiple</t>
  </si>
  <si>
    <t>Terminal Value</t>
  </si>
  <si>
    <t>PV of Terminal Value</t>
  </si>
  <si>
    <t>PV of Cash Flows</t>
  </si>
  <si>
    <t>Years to Terminal Period</t>
  </si>
  <si>
    <t>Total Present Value</t>
  </si>
  <si>
    <t>Burlington Stores, Inc - Bull/Base/Bear Case Model</t>
  </si>
  <si>
    <t>Burlington Stores, Inc</t>
  </si>
  <si>
    <t>TJX</t>
  </si>
  <si>
    <t>Beta</t>
  </si>
  <si>
    <t>ROST</t>
  </si>
  <si>
    <t>JCP</t>
  </si>
  <si>
    <t>KSS</t>
  </si>
  <si>
    <t>M</t>
  </si>
  <si>
    <t>SKS</t>
  </si>
  <si>
    <t>JWN</t>
  </si>
  <si>
    <t>FWM</t>
  </si>
  <si>
    <t>PF</t>
  </si>
  <si>
    <t>BLMN</t>
  </si>
  <si>
    <t>MFRM</t>
  </si>
  <si>
    <t>GNC</t>
  </si>
  <si>
    <t>avg.</t>
  </si>
  <si>
    <t>CapEx</t>
  </si>
  <si>
    <t>Change in WC</t>
  </si>
  <si>
    <t>Other Operating Use</t>
  </si>
  <si>
    <t>Net Debt</t>
  </si>
  <si>
    <t>Free Cash Flow</t>
  </si>
  <si>
    <t>Implied Equity Value</t>
  </si>
  <si>
    <t>Share Count</t>
  </si>
  <si>
    <t>Share Value</t>
  </si>
  <si>
    <t>2022E</t>
  </si>
  <si>
    <t>NI growth</t>
  </si>
  <si>
    <t>2023E</t>
  </si>
  <si>
    <t>2024E</t>
  </si>
  <si>
    <t>2025E</t>
  </si>
  <si>
    <t>Capex g</t>
  </si>
  <si>
    <t>ROIC</t>
  </si>
  <si>
    <t>Select Language</t>
  </si>
  <si>
    <t>Bear Case</t>
  </si>
  <si>
    <t>日本語</t>
  </si>
  <si>
    <t>English</t>
  </si>
  <si>
    <t>Currency</t>
  </si>
  <si>
    <t>Current Stock Price</t>
  </si>
  <si>
    <t>Count</t>
  </si>
  <si>
    <t>BURL.O,mscalc:targetPrice,,,,USD</t>
  </si>
  <si>
    <t>BURL.O,mscalc:closePriceCurrencyCalc</t>
  </si>
  <si>
    <t>BURL.O,mscalc:sedolCodeCalc</t>
  </si>
  <si>
    <t>LEASE MODEL</t>
  </si>
  <si>
    <t>mscalc:defaultCurrencyCalc</t>
  </si>
  <si>
    <t>Template Start Year</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</si>
  <si>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</si>
  <si>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</si>
  <si>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</si>
  <si>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</si>
  <si>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</si>
  <si>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</si>
  <si>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</si>
  <si>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</si>
  <si>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</si>
  <si>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</si>
  <si>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</si>
  <si>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Interest</t>
  </si>
  <si>
    <t>Repayment</t>
  </si>
  <si>
    <t>Debt Issuances (Reductions)</t>
  </si>
  <si>
    <t>Implied debt</t>
  </si>
  <si>
    <t>% assets to liabilities</t>
  </si>
  <si>
    <t>Cumulative Adjustment To Equity</t>
  </si>
  <si>
    <t>Principal Paid</t>
  </si>
  <si>
    <t>Year over Year Adjustment in Equity</t>
  </si>
  <si>
    <t>Assumptions</t>
  </si>
  <si>
    <t>Weighted average interest rate of lease portfolio</t>
  </si>
  <si>
    <t>ZAV(Avg(TF.FN.InterestExpenseOnDebt(period=#1,sdate=0FY,edate=-4FY,curn=#2)/(TF.FN.STDebtAndCurrentPortionLTDebt(period=#1,sdate=0FY,edate=-4FY,curn=#2)+TF.FN.LTDebtExclCapitalizedLeases(period=#1,sdate=0FY,edate=-4FY,curn=#2))))</t>
  </si>
  <si>
    <t>Interest implicit in new leases signed</t>
  </si>
  <si>
    <t>ZAV(TF.FN.InterestExpenseOnDebt(period=FY0,sdate=#1,edate=#2,curn=#3)/(ZAV(TF.FN.STDebtAndCurrentPortionLTDebt(period=FY0,sdate=#1,edate=#2,curn=#3))+ZAV(TF.FN.LTDebtExclCapitalizedLeases(period=FY0,sdate=#1,edate=#2,curn=#3))))</t>
  </si>
  <si>
    <t>Number of Units Leased</t>
  </si>
  <si>
    <t>Growth in Leased Units</t>
  </si>
  <si>
    <t>Leased Units / Total Units in Capacity (%)</t>
  </si>
  <si>
    <t>Capex per Unit</t>
  </si>
  <si>
    <t>% change in capex per unit</t>
  </si>
  <si>
    <t>Capital expenditure financed through operating leases</t>
  </si>
  <si>
    <t>Marginal Tax Rate</t>
  </si>
  <si>
    <t>% of Capital Expenditures financed through operating leases (sustainable)</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</si>
  <si>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</si>
  <si>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</si>
  <si>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</si>
  <si>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</si>
  <si>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</si>
  <si>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</si>
  <si>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</si>
  <si>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</si>
  <si>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</si>
  <si>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</si>
  <si>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</si>
  <si>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</si>
  <si>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</si>
  <si>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</si>
  <si>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</si>
  <si>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</si>
  <si>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</si>
  <si>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</si>
  <si>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</si>
  <si>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</si>
  <si>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</si>
  <si>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</si>
  <si>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</si>
  <si>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</si>
  <si>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</si>
  <si>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</si>
  <si>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</si>
  <si>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</si>
  <si>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</si>
  <si>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</si>
  <si>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</si>
  <si>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</si>
  <si>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</si>
  <si>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</si>
  <si>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</si>
  <si>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</si>
  <si>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</si>
  <si>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</si>
  <si>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</si>
  <si>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</si>
  <si>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</si>
  <si>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</si>
  <si>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</si>
  <si>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Period</t>
  </si>
  <si>
    <t>Present Value of Incremental Lease Payments</t>
  </si>
  <si>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</si>
  <si>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</si>
  <si>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</si>
  <si>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</si>
  <si>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</si>
  <si>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</si>
  <si>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</si>
  <si>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</si>
  <si>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</si>
  <si>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Interest Rate Calculation</t>
  </si>
  <si>
    <t>TRSL data download</t>
  </si>
  <si>
    <t>5 years Average Interest Rate</t>
  </si>
  <si>
    <t xml:space="preserve">Interest Rate </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</si>
  <si>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</si>
  <si>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</si>
  <si>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</si>
  <si>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</si>
  <si>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</si>
  <si>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BURL.N</t>
  </si>
  <si>
    <t>Burlington Stores Inc</t>
  </si>
  <si>
    <t>BURL-US</t>
  </si>
  <si>
    <t>BURL.N,mscalc:sedolCodeCalc</t>
  </si>
  <si>
    <t>BURL.N,mscalc:targetPrice,,,,USD</t>
  </si>
  <si>
    <t>BURL.N,mscalc:closePriceCurrencyCalc</t>
  </si>
  <si>
    <t>N/A</t>
  </si>
  <si>
    <t>Operating Results Summary &amp; Financial Analysis, Fiscal 2002A-2018E</t>
  </si>
  <si>
    <t>BURL.N,mscalc:defaultCurrencyCalc</t>
  </si>
  <si>
    <t>BURL,mscalc:sedolCodeCalc</t>
  </si>
  <si>
    <t>BURL,mscalc:defaultCurrencyCalc</t>
  </si>
  <si>
    <t>MS</t>
  </si>
  <si>
    <t>Consensus</t>
  </si>
  <si>
    <t>Variance vs.</t>
  </si>
  <si>
    <t xml:space="preserve">  Operating Income</t>
  </si>
  <si>
    <t>Interest Expense/(Income)</t>
  </si>
  <si>
    <t xml:space="preserve">   Pretax Income</t>
  </si>
  <si>
    <t>Net Inc. From Ops</t>
  </si>
  <si>
    <t>Average Shares</t>
  </si>
  <si>
    <t xml:space="preserve">Gross Margin </t>
  </si>
  <si>
    <t>SG&amp;A Ratio</t>
  </si>
  <si>
    <t>Comp. Store Sales</t>
  </si>
  <si>
    <t>SG&amp;A  Expense</t>
  </si>
  <si>
    <t>Upsides/Downsides</t>
  </si>
  <si>
    <t>Shares</t>
  </si>
  <si>
    <t>EPS</t>
  </si>
  <si>
    <t xml:space="preserve">  Sum Op. Expense</t>
  </si>
  <si>
    <t>Adjusted Earnings Per Share</t>
  </si>
  <si>
    <t>Inventory Growth</t>
  </si>
  <si>
    <t>Sales Growth</t>
  </si>
  <si>
    <t>18. Pro Forma Weighted Average Shares Outstanding</t>
  </si>
  <si>
    <t>BF311Y5</t>
  </si>
  <si>
    <t>2013A</t>
  </si>
  <si>
    <t>Senior Notes (Op-co note)</t>
  </si>
  <si>
    <t>Less: Income Taxes Payable and other Current Liabilities (Y-o-Y % Change vs. % Sales Growth)</t>
  </si>
  <si>
    <t>2 Year Stack Comp</t>
  </si>
  <si>
    <t>Price</t>
  </si>
  <si>
    <t>SG&amp;A growth y/y</t>
  </si>
  <si>
    <t>Maturity / (Repayment)</t>
  </si>
  <si>
    <t>FY14 y/y Change</t>
  </si>
  <si>
    <t>1Q14</t>
  </si>
  <si>
    <t>2Q14</t>
  </si>
  <si>
    <t>3Q14</t>
  </si>
  <si>
    <t>4Q14</t>
  </si>
  <si>
    <t>13-18E</t>
  </si>
  <si>
    <t>08-13A</t>
  </si>
  <si>
    <t>4Q14A</t>
  </si>
  <si>
    <t>2014A</t>
  </si>
  <si>
    <t>3. Selling, General and Administrative Expense (GAAP) (% of Sales)</t>
  </si>
  <si>
    <t xml:space="preserve">8. Operating Income (% Operating Margin) </t>
  </si>
  <si>
    <t>1Q14A</t>
  </si>
  <si>
    <t>1Q15E</t>
  </si>
  <si>
    <t>Cons. 1Q15E</t>
  </si>
  <si>
    <t>2Q14A</t>
  </si>
  <si>
    <t>3Q14A</t>
  </si>
  <si>
    <t>2Q15E</t>
  </si>
  <si>
    <t>3Q15E</t>
  </si>
  <si>
    <t>4Q15E</t>
  </si>
  <si>
    <t>Unit Conversion</t>
  </si>
  <si>
    <t>INTRINSIC VALUE</t>
  </si>
  <si>
    <t>Company name / Ticker</t>
  </si>
  <si>
    <t>Decimals</t>
  </si>
  <si>
    <t>Target Horizon &amp; Decimals</t>
  </si>
  <si>
    <t>Scale Selection</t>
  </si>
  <si>
    <t>Millions</t>
  </si>
  <si>
    <t>Intrinsic Value Model</t>
  </si>
  <si>
    <t>Inputs:</t>
  </si>
  <si>
    <t>Outputs:</t>
  </si>
  <si>
    <t>Billions</t>
  </si>
  <si>
    <t>Cost of equity</t>
  </si>
  <si>
    <t>IV per share schedule</t>
  </si>
  <si>
    <t>KANJI</t>
  </si>
  <si>
    <t>Long-term ROE on new investments</t>
  </si>
  <si>
    <t>1)</t>
  </si>
  <si>
    <t>Years to reach steady-state growth</t>
  </si>
  <si>
    <t>Expected share price return</t>
  </si>
  <si>
    <t>2)</t>
  </si>
  <si>
    <t>Steady-state revenue growth rate (%)</t>
  </si>
  <si>
    <t>Expected dividend yield</t>
  </si>
  <si>
    <t>3)</t>
  </si>
  <si>
    <t>Shares Outstanding</t>
  </si>
  <si>
    <t>Expected total return</t>
  </si>
  <si>
    <t>4)</t>
  </si>
  <si>
    <t>Steady-state borrowing cost (net of tax)</t>
  </si>
  <si>
    <t>Steady-state leverage (Net debt/Equity)</t>
  </si>
  <si>
    <t>DPS of current fiscal year</t>
  </si>
  <si>
    <t>Price target horizon (months)</t>
  </si>
  <si>
    <t>Long-term RNOA on new investments</t>
  </si>
  <si>
    <t>Conv. factor - Model to traded Ccy</t>
  </si>
  <si>
    <t>Explicit forecast period (years)</t>
  </si>
  <si>
    <t>Fiscal Year Ending</t>
  </si>
  <si>
    <t>IV per share (Current)</t>
  </si>
  <si>
    <t>Value Breakdown</t>
  </si>
  <si>
    <t>Residual Income (operating):</t>
  </si>
  <si>
    <t>Beginning NOA</t>
  </si>
  <si>
    <t>DCF (operating):</t>
  </si>
  <si>
    <t>RNOA</t>
  </si>
  <si>
    <t>Sum of PVRI</t>
  </si>
  <si>
    <t>Sum of PVFCFO</t>
  </si>
  <si>
    <t>COE</t>
  </si>
  <si>
    <t>Beginning NNOAL</t>
  </si>
  <si>
    <t>Beginning Equity</t>
  </si>
  <si>
    <t>ROI equity value</t>
  </si>
  <si>
    <t>DCF Equity Value</t>
  </si>
  <si>
    <t>Residual Income (equity):</t>
  </si>
  <si>
    <t xml:space="preserve">DDM (Equity): </t>
  </si>
  <si>
    <t>Beginning equity</t>
  </si>
  <si>
    <t>Sum of div &amp; net rep</t>
  </si>
  <si>
    <t>DDM equity value</t>
  </si>
  <si>
    <t>Thomson Ticker</t>
  </si>
  <si>
    <t>RI equity value</t>
  </si>
  <si>
    <t>=MW(rngTicker,"mscalc:sedolCodecalc")</t>
  </si>
  <si>
    <t>Option: Sum-Of-The-parts (SOTP) Valuation</t>
  </si>
  <si>
    <t>Operating revenue</t>
  </si>
  <si>
    <t>Operating expenses</t>
  </si>
  <si>
    <t>Other operating income (expense)</t>
  </si>
  <si>
    <t>Tax expense from operations</t>
  </si>
  <si>
    <t>NOPAT</t>
  </si>
  <si>
    <t>Net financial income (expense)</t>
  </si>
  <si>
    <t>Other nonoperating income (expense)</t>
  </si>
  <si>
    <t>Dividends and net share repurchases</t>
  </si>
  <si>
    <t>Net operating assets</t>
  </si>
  <si>
    <t>Net debt (cash)</t>
  </si>
  <si>
    <t>Other nonoperating liabilities (assets) (ONOLA)</t>
  </si>
  <si>
    <t>Shareholders' equity</t>
  </si>
  <si>
    <t>NOA = Invested Capital</t>
  </si>
  <si>
    <t>Dividends per share</t>
  </si>
  <si>
    <t>Beginning dividend per share</t>
  </si>
  <si>
    <t>Operating Level</t>
  </si>
  <si>
    <t>Operating revenue growth</t>
  </si>
  <si>
    <t>Operating asset turnover</t>
  </si>
  <si>
    <t>NOPAT margin</t>
  </si>
  <si>
    <t>FCFO</t>
  </si>
  <si>
    <t>PVFCFO</t>
  </si>
  <si>
    <t>Residual income (operating)</t>
  </si>
  <si>
    <t>PVRI (operating)</t>
  </si>
  <si>
    <t>Financing and Other</t>
  </si>
  <si>
    <t>Net financial expense (income)</t>
  </si>
  <si>
    <t>Other nonoperating expense (income)</t>
  </si>
  <si>
    <t>Leverage EOP (net debt/equity)</t>
  </si>
  <si>
    <t>Equity Level</t>
  </si>
  <si>
    <t>Net income</t>
  </si>
  <si>
    <t>Equity</t>
  </si>
  <si>
    <t>ROE</t>
  </si>
  <si>
    <t>Dividends and net rep</t>
  </si>
  <si>
    <t>PV div and net rep</t>
  </si>
  <si>
    <t>Residual income</t>
  </si>
  <si>
    <t>PVRI</t>
  </si>
  <si>
    <t>WACC Calculation</t>
  </si>
  <si>
    <t>DIAGNOSTIC SUMMARY</t>
  </si>
  <si>
    <t>PRICE IMPLIED CALCULATION</t>
  </si>
  <si>
    <t>Price implied Cost of Equity</t>
  </si>
  <si>
    <t>Price implied WACC</t>
  </si>
  <si>
    <t>Price-Implied Cost of Equity</t>
  </si>
  <si>
    <t>Price-Implied WACC</t>
  </si>
  <si>
    <t>PV of Growth in Each Year</t>
  </si>
  <si>
    <t>Round(ROE - COE)</t>
  </si>
  <si>
    <t>Total Data Points to Plot in ROE, COE Chart</t>
  </si>
  <si>
    <t>X-Axis Labels</t>
  </si>
  <si>
    <t>Invisible</t>
  </si>
  <si>
    <t>Input
Bases</t>
  </si>
  <si>
    <t>Input
Increments</t>
  </si>
  <si>
    <t>Value
Gap +Ve</t>
  </si>
  <si>
    <t>+ Data</t>
  </si>
  <si>
    <t>- Data</t>
  </si>
  <si>
    <t>Increment
Labels</t>
  </si>
  <si>
    <t>Value
Gap -ve</t>
  </si>
  <si>
    <t>Input
Increments +Ve</t>
  </si>
  <si>
    <t>Input
Increments -Ve</t>
  </si>
  <si>
    <t>Value of
current 
earnings</t>
  </si>
  <si>
    <t>Value of 
growth in
explicit period</t>
  </si>
  <si>
    <t>Value of
growth in
terminal period</t>
  </si>
  <si>
    <t>Estimated
intrinsic value</t>
  </si>
  <si>
    <t>VALUE GAP</t>
  </si>
  <si>
    <t>Current
price</t>
  </si>
  <si>
    <t>Maximum</t>
  </si>
  <si>
    <t>X Values</t>
  </si>
  <si>
    <t>Y Value</t>
  </si>
  <si>
    <t>Explicit</t>
  </si>
  <si>
    <t>Transition</t>
  </si>
  <si>
    <t>Net debt/equity ratio for financing investments</t>
  </si>
  <si>
    <t>Borrowing Cost</t>
  </si>
  <si>
    <t>A.</t>
  </si>
  <si>
    <t>Investments under the equity method , operating ("Operating EMI")</t>
  </si>
  <si>
    <t>1.Fair Value of Operating EMI ( Market value, etc.)</t>
  </si>
  <si>
    <t>currentMarketValueOfInvestmentsUnderTheEquityMethodOperating</t>
  </si>
  <si>
    <t>2.Book Value of Operating EMI (exclude from BS)</t>
  </si>
  <si>
    <t>investmentsUnderTheEquityMethodOperating</t>
  </si>
  <si>
    <t>investmentsInSubsidiaries</t>
  </si>
  <si>
    <t>investmentsInAssociates</t>
  </si>
  <si>
    <t>investmentsInJointVentures</t>
  </si>
  <si>
    <t>3.Income from Operating EMI (exclude from IS)</t>
  </si>
  <si>
    <t>incomeLossFromInvestmentsAccountedForUnderTheEquityMethodOperatingIncomeStatement</t>
  </si>
  <si>
    <t>incomeLossFromInvestmentsUnderTheEquityMethodOperatingPreTax</t>
  </si>
  <si>
    <t>statutoryTaxRate</t>
  </si>
  <si>
    <t>4.Financing of Operating EMI (exclude from BS)</t>
  </si>
  <si>
    <t xml:space="preserve">  Debt used to finance Operating EMI</t>
  </si>
  <si>
    <t xml:space="preserve">  Equity used to finance Operating EMI</t>
  </si>
  <si>
    <t>5.Cost of financing (exclude from IS)</t>
  </si>
  <si>
    <t xml:space="preserve">   Borrowing cost on debt used to finance Operating EMI</t>
  </si>
  <si>
    <t>6.Exclusions from Beginning BS</t>
  </si>
  <si>
    <t xml:space="preserve">    Operating EMI</t>
  </si>
  <si>
    <t xml:space="preserve">   Debt used to finance Operating EMI</t>
  </si>
  <si>
    <t xml:space="preserve">    Equity used to finance Operating EMI</t>
  </si>
  <si>
    <t>B.</t>
  </si>
  <si>
    <t>Investments under the equity method , nonoperating ("Non-op. EMI")</t>
  </si>
  <si>
    <t>1.Fair Value of Non-op. EMI ( Market value, etc.)</t>
  </si>
  <si>
    <t>currentShareOfMarketValueOfAssociatesAccountedForUnderTheEquityMethodNonOperating</t>
  </si>
  <si>
    <t>2.Book Value of Non-op. EMI (exclude from BS)</t>
  </si>
  <si>
    <t>investmentsUnderTheEquityMethodNonOperating</t>
  </si>
  <si>
    <t>3.Income from Non-op. EMI (exclude from IS)</t>
  </si>
  <si>
    <t>incomeLossFromInvestmentsAccountedForUnderTheEquityMethodNonOperatingIncomeStatement</t>
  </si>
  <si>
    <t>incomeLossFromInvestmentsUnderTheEquityMethodNonOperatingPreTax</t>
  </si>
  <si>
    <t>4.Financing of Non-op. EMI (exclude from BS)</t>
  </si>
  <si>
    <t xml:space="preserve">  Debt used to finance Non-op. EMI</t>
  </si>
  <si>
    <t xml:space="preserve">  Equity used to finance Non-op. EMI</t>
  </si>
  <si>
    <t xml:space="preserve">   Borrowing cost on debt used to finance Nonoperating EMI</t>
  </si>
  <si>
    <t xml:space="preserve">   Non -op. EMI</t>
  </si>
  <si>
    <t xml:space="preserve">   Equity used to finance Non-op. EMI</t>
  </si>
  <si>
    <t>C.</t>
  </si>
  <si>
    <t>Investments , nonoperating ("Non-Op. Inv.")</t>
  </si>
  <si>
    <t>1.Fair Value of Non-Op Inv. ( Market value, etc.)</t>
  </si>
  <si>
    <t>currentMarketValueOfInvestmentsNonOperating</t>
  </si>
  <si>
    <t>2.Book Value of Non-Op Inv. (exclude from BS)</t>
  </si>
  <si>
    <t>investmentsNonOperating</t>
  </si>
  <si>
    <t>shortTermInvestmentsCalc</t>
  </si>
  <si>
    <t>longTermInvestmentsNonOperating</t>
  </si>
  <si>
    <t>3.Income from Non-Op Inv. (exclude from IS)</t>
  </si>
  <si>
    <t>incomeLossesFromInvestmentsNonOperating</t>
  </si>
  <si>
    <t>4.Financing of Non-Op Inv. (exclude from BS)</t>
  </si>
  <si>
    <t xml:space="preserve">  Debt used to finance Non-Op Inv.</t>
  </si>
  <si>
    <t xml:space="preserve">  Equity used to finance Non-Op Inv.</t>
  </si>
  <si>
    <t xml:space="preserve">   Borrowing cost on debt used to finance Non - Op Inv.</t>
  </si>
  <si>
    <t xml:space="preserve">   Non-Op Inv.</t>
  </si>
  <si>
    <t xml:space="preserve">   Equity used to finance Non-Op. Inv.</t>
  </si>
  <si>
    <t xml:space="preserve"> Total market value of investments</t>
  </si>
  <si>
    <t>Total debt used to finance investments at beginning BS</t>
  </si>
  <si>
    <t>Total equity used to finance investments at beginning BS</t>
  </si>
  <si>
    <t>D.</t>
  </si>
  <si>
    <t>Separate extra cash</t>
  </si>
  <si>
    <t>Cash to be removed</t>
  </si>
  <si>
    <t>Interest rate applied</t>
  </si>
  <si>
    <t>Interest income to be removed</t>
  </si>
  <si>
    <t>Cash to be added back</t>
  </si>
  <si>
    <t>3 Stage presentation</t>
  </si>
  <si>
    <r>
      <t>*</t>
    </r>
    <r>
      <rPr>
        <b/>
        <sz val="8"/>
        <color indexed="10"/>
        <rFont val="Arial"/>
        <family val="2"/>
      </rPr>
      <t>Average</t>
    </r>
    <r>
      <rPr>
        <b/>
        <sz val="8"/>
        <rFont val="Arial"/>
        <family val="2"/>
      </rPr>
      <t xml:space="preserve"> / </t>
    </r>
    <r>
      <rPr>
        <b/>
        <sz val="8"/>
        <color indexed="12"/>
        <rFont val="Arial"/>
        <family val="2"/>
      </rPr>
      <t>Sum</t>
    </r>
  </si>
  <si>
    <t>(Model) Net financial income (expense)</t>
  </si>
  <si>
    <t>NJ</t>
  </si>
  <si>
    <t>Source: Morgan Stanley Research, ModelWare</t>
  </si>
  <si>
    <t>Explicit
 Period</t>
  </si>
  <si>
    <t>IV Per Share (</t>
  </si>
  <si>
    <t>Transition
 Period</t>
  </si>
  <si>
    <t>Month), Ex. Div</t>
  </si>
  <si>
    <t>Steady 
State</t>
  </si>
  <si>
    <t>IVT-10.2</t>
  </si>
  <si>
    <t>2</t>
  </si>
  <si>
    <t>BURL.N,mscalc:sharePriceCurrent</t>
  </si>
  <si>
    <t>$AL$2</t>
  </si>
  <si>
    <t>48.98</t>
  </si>
  <si>
    <t>Misc. Costs</t>
  </si>
  <si>
    <t>Repo</t>
  </si>
  <si>
    <t>$ Amount</t>
  </si>
  <si>
    <t>Share Price</t>
  </si>
  <si>
    <t>Comps</t>
  </si>
  <si>
    <t>BM</t>
  </si>
  <si>
    <t>2016 Interest Expense</t>
  </si>
  <si>
    <t>Implied 2016 EPS</t>
  </si>
  <si>
    <t xml:space="preserve">GAAP Operating Income (% Operating Margin) </t>
  </si>
  <si>
    <t xml:space="preserve">Adjusted EBITDA  (% EBITDA Margin) </t>
  </si>
  <si>
    <t>Pro Forma Weighted Average Shares Outstanding</t>
  </si>
  <si>
    <t>Debt amendments, secondary offerings and other</t>
  </si>
  <si>
    <t>Stock option modification expense</t>
  </si>
  <si>
    <t>Impairment charges-long-lived assets</t>
  </si>
  <si>
    <t>Loss on extinguishment of debt</t>
  </si>
  <si>
    <t>Total Misc. Costs</t>
  </si>
  <si>
    <t>Other Revenue</t>
  </si>
  <si>
    <t>Operating Income (GAAP)</t>
  </si>
  <si>
    <t xml:space="preserve">Net Income from Operations </t>
  </si>
  <si>
    <t>Non-GAAP Reconciliation</t>
  </si>
  <si>
    <t>+ Non GAAP Operating Charges</t>
  </si>
  <si>
    <t>Adjusted Operating Income</t>
  </si>
  <si>
    <t>+D&amp;A</t>
  </si>
  <si>
    <t>Total Tax Affected Adjustments</t>
  </si>
  <si>
    <t xml:space="preserve">Adjusted Net Income </t>
  </si>
  <si>
    <t>Operating Margin (GAAP)</t>
  </si>
  <si>
    <t>Net Margin (GAAP)</t>
  </si>
  <si>
    <t>Adj. Operating Margin</t>
  </si>
  <si>
    <t>Adj. Net margin</t>
  </si>
  <si>
    <t>Loss on Extinguishment of Debt</t>
  </si>
  <si>
    <t>Stock Option Modification Expense</t>
  </si>
  <si>
    <t>Impairment Long-lived Assets</t>
  </si>
  <si>
    <t>+Non GAAP Adjustments</t>
  </si>
  <si>
    <t>+Tax Adjustment</t>
  </si>
  <si>
    <t>Adjusted Net Income from Operations</t>
  </si>
  <si>
    <t>+Depreciation &amp; Amortization</t>
  </si>
  <si>
    <t>+ Net Favorable Lease Amortization</t>
  </si>
  <si>
    <t xml:space="preserve">+Non GAAP Adjustments </t>
  </si>
  <si>
    <t>Ad. Operating Margin</t>
  </si>
  <si>
    <t>5.Stock option modification expense (% of Sales) / % Change</t>
  </si>
  <si>
    <t>Other Non-Recurring Items (% Sales) /  % Change</t>
  </si>
  <si>
    <t>5.Depreciation &amp; Amortization</t>
  </si>
  <si>
    <t>6.. Other (Revenue)/Other (Income)</t>
  </si>
  <si>
    <t>7.Operating Income (GAAP)</t>
  </si>
  <si>
    <t>8.Interest Expense (Income)</t>
  </si>
  <si>
    <t>9.Pretax Income</t>
  </si>
  <si>
    <t>10.Taxes</t>
  </si>
  <si>
    <t>11.Net Income from Operations (GAAP)</t>
  </si>
  <si>
    <t>12.  Operating Earnings per Share (GAAP)</t>
  </si>
  <si>
    <t>Old Adjusted EBITDA</t>
  </si>
  <si>
    <t>8. Impairment charges-long-lived assets (% of Sales) / % Change</t>
  </si>
  <si>
    <t xml:space="preserve">12. Interest Expense (Income) (% of Sales) </t>
  </si>
  <si>
    <t>19. Pro Forma Weighted Average Shares Outstanding</t>
  </si>
  <si>
    <t>% Net Margin (Adjusted)</t>
  </si>
  <si>
    <t>Debt Amendments, Secondary Offerings and Other</t>
  </si>
  <si>
    <t>Restructuring and Separation Charges</t>
  </si>
  <si>
    <t>6.Restructuring and Separation Charges (% of Sales) / % Change</t>
  </si>
  <si>
    <t>Y/Y Growth</t>
  </si>
  <si>
    <t>Adj. Net Margin</t>
  </si>
  <si>
    <t>4. Costs related to debt amendments, secondary offerings and other (% of Sales)</t>
  </si>
  <si>
    <t>7. Depreciation and Amortization (% of Sales)</t>
  </si>
  <si>
    <t>9. Other (Revenue) / Other (Income) (% of Sales)</t>
  </si>
  <si>
    <t>10. Loss on extinguishment of debt (% of Sales)</t>
  </si>
  <si>
    <t>11.GAAP Operating Income (% Operating Margin)</t>
  </si>
  <si>
    <t xml:space="preserve">13. Pretax Income (Loss) (% Margin) </t>
  </si>
  <si>
    <t>14. Income Taxes/(Credit) (% Tax Rate)</t>
  </si>
  <si>
    <t>15. GAAP Net Earnings (% Net Margin)</t>
  </si>
  <si>
    <t>16. Earnings Per Share - GAAP - Fully Diluted (% Margin)</t>
  </si>
  <si>
    <t xml:space="preserve"> GAAP Net Earnings (% Net Margin)</t>
  </si>
  <si>
    <t>Net favorable lease amortization (% Sales)</t>
  </si>
  <si>
    <t>Advisory fees  (% Sales)</t>
  </si>
  <si>
    <t>Non GAAP Adjustments: (4,5,8,10)(% Sales)</t>
  </si>
  <si>
    <t>Tax Adjustment (% Sales)</t>
  </si>
  <si>
    <t>Adjusted Net Earnings (% Net Margin)</t>
  </si>
  <si>
    <t xml:space="preserve"> Earnings Per Share - Adjusted - Fully Diluted % Change</t>
  </si>
  <si>
    <t>Interest Income (% Sales)</t>
  </si>
  <si>
    <t>Total Adjustments (% Sales)</t>
  </si>
  <si>
    <t>D&amp;A (% Sales)</t>
  </si>
  <si>
    <t>Amount($M)</t>
  </si>
  <si>
    <t>Shares (M)</t>
  </si>
  <si>
    <t>Adjusted EPS Reconciliation (in accordance with company's definition Post 10/13 IPO)</t>
  </si>
  <si>
    <t>Adjusted EBITDA Reconciliation (in accordance with company's definition Post 10/13 IPO)</t>
  </si>
  <si>
    <t xml:space="preserve"> Margin Analysis (Adjusted)</t>
  </si>
  <si>
    <t>Total Miscellaneous Costs**</t>
  </si>
  <si>
    <t>4.Total Miscellaneous Costs**</t>
  </si>
  <si>
    <t xml:space="preserve">**List Total miscellaneous costs includes: (1) Debt Amendments; (2) Secondary Offerings and Other, Stock Option Modification Expense; **(3) Restructuring and Separation Charges; (4) Impairment Long-lived Assets; (5) Loss on Extinguishment of Debt
</t>
  </si>
  <si>
    <t>13. Average Shares Outstanding</t>
  </si>
  <si>
    <t xml:space="preserve">Adjusted EPS </t>
  </si>
  <si>
    <t>Payables</t>
  </si>
  <si>
    <t>+Advisory Fees /other</t>
  </si>
  <si>
    <t>+Advisory Fees / Other</t>
  </si>
  <si>
    <t>Q3</t>
  </si>
  <si>
    <t>Q4</t>
  </si>
  <si>
    <t>Pack and Hold $</t>
  </si>
  <si>
    <t>Sequential Change</t>
  </si>
  <si>
    <t>2015A</t>
  </si>
  <si>
    <t>Metric</t>
  </si>
  <si>
    <t>1Q16A</t>
  </si>
  <si>
    <t>2Q16e</t>
  </si>
  <si>
    <t>3Q16e</t>
  </si>
  <si>
    <t>4Q16e</t>
  </si>
  <si>
    <t xml:space="preserve">Old </t>
  </si>
  <si>
    <t xml:space="preserve">New </t>
  </si>
  <si>
    <t>GM</t>
  </si>
  <si>
    <t>bps chg y/y</t>
  </si>
  <si>
    <t>SG&amp;A Expense Rate</t>
  </si>
  <si>
    <t>SG&amp;A Growth</t>
  </si>
  <si>
    <t>Annual Estimates</t>
  </si>
  <si>
    <t>2016e</t>
  </si>
  <si>
    <t>2017e</t>
  </si>
  <si>
    <t>2018e</t>
  </si>
  <si>
    <t>2019e</t>
  </si>
  <si>
    <t>Comp. Store Sales - Total</t>
  </si>
  <si>
    <t>1Q12</t>
  </si>
  <si>
    <t>2Q12</t>
  </si>
  <si>
    <t>3Q12</t>
  </si>
  <si>
    <t>4Q12</t>
  </si>
  <si>
    <t>1Q13</t>
  </si>
  <si>
    <t>2Q13</t>
  </si>
  <si>
    <t>3Q13</t>
  </si>
  <si>
    <t>4Q13</t>
  </si>
  <si>
    <t>1Q15</t>
  </si>
  <si>
    <t>2Q15</t>
  </si>
  <si>
    <t>3Q15</t>
  </si>
  <si>
    <t>4Q15</t>
  </si>
  <si>
    <t>1Q16</t>
  </si>
  <si>
    <t>2Q16</t>
  </si>
  <si>
    <t>3Q16</t>
  </si>
  <si>
    <t>4Q16</t>
  </si>
  <si>
    <t>1Q11</t>
  </si>
  <si>
    <t>2Q11</t>
  </si>
  <si>
    <t>3Q11</t>
  </si>
  <si>
    <t>4Q11</t>
  </si>
  <si>
    <t>1Q10</t>
  </si>
  <si>
    <t>2Q10</t>
  </si>
  <si>
    <t>3Q10</t>
  </si>
  <si>
    <t>4Q0</t>
  </si>
  <si>
    <t>% Comp Increase</t>
  </si>
  <si>
    <t>Multiple</t>
  </si>
  <si>
    <t>Multi-Year Stacks</t>
  </si>
  <si>
    <t>2 Year</t>
  </si>
  <si>
    <t>3 Year</t>
  </si>
  <si>
    <t>11-16E</t>
  </si>
  <si>
    <t>16E-21E</t>
  </si>
  <si>
    <t xml:space="preserve">BURL </t>
  </si>
  <si>
    <t>4Q16A</t>
  </si>
  <si>
    <t>4Q15A</t>
  </si>
  <si>
    <t>Other Revenue/ Other Income</t>
  </si>
  <si>
    <t>Non-GAAP Reconcilation</t>
  </si>
  <si>
    <t>4Q16E</t>
  </si>
  <si>
    <t>2016A</t>
  </si>
  <si>
    <t>Fiscal Year-End January 31</t>
  </si>
  <si>
    <t>1QFY2018</t>
  </si>
  <si>
    <t>1Q17</t>
  </si>
  <si>
    <t>2017 Share Repurchases</t>
  </si>
  <si>
    <t>New</t>
  </si>
  <si>
    <t>Old</t>
  </si>
  <si>
    <t>2020e</t>
  </si>
  <si>
    <t>2021e</t>
  </si>
  <si>
    <t>Model</t>
  </si>
  <si>
    <t>Forecasts</t>
  </si>
  <si>
    <t>Growth</t>
  </si>
  <si>
    <t>EBIT</t>
  </si>
  <si>
    <t>Margin</t>
  </si>
  <si>
    <t>Operating Taxes</t>
  </si>
  <si>
    <t xml:space="preserve">  NOPAT Margin</t>
  </si>
  <si>
    <t xml:space="preserve"> Increase in WC (&amp; other NOA)</t>
  </si>
  <si>
    <t>Total Reinvestment</t>
  </si>
  <si>
    <t xml:space="preserve">  Reinvest Rate</t>
  </si>
  <si>
    <t>Free Cash Flow from Operations</t>
  </si>
  <si>
    <t>Discount Factor</t>
  </si>
  <si>
    <t>NPV of Forecasted Cash Flows</t>
  </si>
  <si>
    <t>NPV of Terminal Value</t>
  </si>
  <si>
    <t>Terminal Value Growth Rate</t>
  </si>
  <si>
    <t>Thomson</t>
  </si>
  <si>
    <t xml:space="preserve">Debt Balance </t>
  </si>
  <si>
    <t>Risk-Free Rate</t>
  </si>
  <si>
    <t>Cash Balance (2018E)</t>
  </si>
  <si>
    <t>Market Risk Premium</t>
  </si>
  <si>
    <t>Equity Beta</t>
  </si>
  <si>
    <t>Cost of Debt (Pre-tax)</t>
  </si>
  <si>
    <t>Cost of Debt (Post-tax @ 35%)</t>
  </si>
  <si>
    <t xml:space="preserve">Fully Diluted Shares </t>
  </si>
  <si>
    <t>Current Share Price</t>
  </si>
  <si>
    <t>Market Capitalization</t>
  </si>
  <si>
    <t>Market Enterprise Value</t>
  </si>
  <si>
    <t>Sum of NPV Forecasted CFs</t>
  </si>
  <si>
    <t>Intrinsic Enterprise Value</t>
  </si>
  <si>
    <t>Less: Debt</t>
  </si>
  <si>
    <t>Plus: Cash</t>
  </si>
  <si>
    <t>Less: MV of Non-controlling Interest</t>
  </si>
  <si>
    <t>Plus: MV of Equity Investments</t>
  </si>
  <si>
    <t>Equity Value</t>
  </si>
  <si>
    <t>Equity Value per Share</t>
  </si>
  <si>
    <t>LIBOR</t>
  </si>
  <si>
    <t>2Q17</t>
  </si>
  <si>
    <t>Forward Sales</t>
  </si>
  <si>
    <t>Total</t>
  </si>
  <si>
    <t>(1) - (2)</t>
  </si>
  <si>
    <t>Productivity (3)/(6)</t>
  </si>
  <si>
    <t>Productivity (3)/(13)</t>
  </si>
  <si>
    <t>Square Ft.</t>
  </si>
  <si>
    <t>(1)</t>
  </si>
  <si>
    <t>(2)</t>
  </si>
  <si>
    <t>(3)</t>
  </si>
  <si>
    <t>(4)</t>
  </si>
  <si>
    <t>(5)</t>
  </si>
  <si>
    <t>(6)</t>
  </si>
  <si>
    <t>(7)</t>
  </si>
  <si>
    <t>(8)</t>
  </si>
  <si>
    <t>(9)</t>
  </si>
  <si>
    <t>(10)</t>
  </si>
  <si>
    <t>(11)</t>
  </si>
  <si>
    <t>(12)</t>
  </si>
  <si>
    <t>(13)</t>
  </si>
  <si>
    <t>(14)</t>
  </si>
  <si>
    <t>(15)</t>
  </si>
  <si>
    <t>(16)</t>
  </si>
  <si>
    <t>(17)</t>
  </si>
  <si>
    <t>November Week 1</t>
  </si>
  <si>
    <t>August Week 1</t>
  </si>
  <si>
    <t>3Q17 Final</t>
  </si>
  <si>
    <t>3Q18 underlying</t>
  </si>
  <si>
    <t>Reversal Assumptions</t>
  </si>
  <si>
    <t>3Q18 Final</t>
  </si>
  <si>
    <t>y/y growth (decline)</t>
  </si>
  <si>
    <t>add to spread</t>
  </si>
  <si>
    <t>4Q17 underlying</t>
  </si>
  <si>
    <t>53rd week Assumptions</t>
  </si>
  <si>
    <t>4Q17 Final</t>
  </si>
  <si>
    <t>4Q18 underlying</t>
  </si>
  <si>
    <t>4Q18 Final</t>
  </si>
  <si>
    <t>2017 2 -year stack</t>
  </si>
  <si>
    <t>2018 Share Repurchases</t>
  </si>
  <si>
    <t>Analysis of Space Productivity, 2002A-2018E</t>
  </si>
  <si>
    <t>12-17E</t>
  </si>
  <si>
    <t>17-22E</t>
  </si>
  <si>
    <t>Operating Results Summary &amp; Financial Analysis, Fiscal 2002A-2022E</t>
  </si>
  <si>
    <t>Quarterly Analysis of Inventory Turnover, 2002A-2018E</t>
  </si>
  <si>
    <t>Quarterly Analysis of "Operating" Working Capital, 2002A-2018E</t>
  </si>
  <si>
    <t>Annual Earnings Model, Fiscal 2002A-2022E</t>
  </si>
  <si>
    <t>Annual Sales Model, Fiscal 2002A-2022E</t>
  </si>
  <si>
    <t>Quarterly Analysis of Debt and Total Capital, 2005A-2018E</t>
  </si>
  <si>
    <t>3Q17</t>
  </si>
  <si>
    <t>53rd week</t>
  </si>
  <si>
    <t>One time tax benefit</t>
  </si>
  <si>
    <t>One time benefit</t>
  </si>
  <si>
    <t>52 week underlying adj. EPS</t>
  </si>
  <si>
    <t>adj. EPS ex 53rd week &amp; tax reform</t>
  </si>
  <si>
    <t>Share based comp accounting</t>
  </si>
  <si>
    <t>adj. EPS ex one time benefit</t>
  </si>
  <si>
    <t>tax reform</t>
  </si>
  <si>
    <t>2017 adj. EPS</t>
  </si>
  <si>
    <t>2017 adj. EPS ex 53rd week</t>
  </si>
  <si>
    <t>4Q adj. EPS ex 53rd week</t>
  </si>
  <si>
    <t>4Q adj. EPS</t>
  </si>
  <si>
    <t>53 week adj. EPS</t>
  </si>
  <si>
    <t>52 week adj. EPS</t>
  </si>
  <si>
    <t>52 week adj.  EPS ex. tax reform</t>
  </si>
  <si>
    <t>2017A</t>
  </si>
  <si>
    <t>132</t>
  </si>
  <si>
    <t>Adjustments</t>
  </si>
  <si>
    <t>Year-to-Year Dollar Change in Working Capital</t>
  </si>
  <si>
    <t>4Q17</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</si>
  <si>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</si>
  <si>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</si>
  <si>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</si>
  <si>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</si>
  <si>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</si>
  <si>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</si>
  <si>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</si>
  <si>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</si>
  <si>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</si>
  <si>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</si>
  <si>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12 Apr 2018</t>
  </si>
  <si>
    <t>Ticker: BURL.N</t>
  </si>
  <si>
    <t>Stock Rating: Overweight</t>
  </si>
  <si>
    <t>Industry: Retail, Off-Price</t>
  </si>
  <si>
    <t>Industry View: Attractive</t>
  </si>
  <si>
    <t>Price as of 12 Apr 2018: 136.15</t>
  </si>
  <si>
    <t>Target Price: 145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</si>
  <si>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</si>
  <si>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</si>
  <si>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</si>
  <si>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</si>
  <si>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Burlington Stores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</si>
  <si>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</si>
  <si>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</si>
  <si>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</si>
  <si>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</si>
  <si>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</si>
  <si>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</si>
  <si>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</si>
  <si>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</si>
  <si>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</si>
  <si>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</si>
  <si>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</si>
  <si>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</si>
  <si>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</si>
  <si>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</si>
  <si>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</si>
  <si>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</si>
  <si>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</si>
  <si>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</si>
  <si>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</si>
  <si>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</si>
  <si>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</si>
  <si>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</si>
  <si>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</si>
  <si>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</si>
  <si>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</si>
  <si>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</si>
  <si>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</si>
  <si>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</si>
  <si>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</si>
  <si>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</si>
  <si>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</si>
  <si>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</si>
  <si>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</si>
  <si>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</si>
  <si>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</si>
  <si>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</si>
  <si>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</si>
  <si>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</si>
  <si>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</si>
  <si>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</si>
  <si>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</si>
  <si>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</si>
  <si>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</si>
  <si>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</si>
  <si>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</si>
  <si>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</si>
  <si>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</si>
  <si>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</si>
  <si>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</si>
  <si>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</si>
  <si>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</si>
  <si>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</si>
  <si>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</si>
  <si>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</si>
  <si>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</si>
  <si>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</si>
  <si>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</si>
  <si>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</si>
  <si>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</si>
  <si>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</si>
  <si>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</si>
  <si>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</si>
  <si>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</si>
  <si>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</si>
  <si>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</si>
  <si>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</si>
  <si>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</si>
  <si>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</si>
  <si>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</si>
  <si>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</si>
  <si>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</si>
  <si>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</si>
  <si>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</si>
  <si>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</si>
  <si>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</si>
  <si>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</si>
  <si>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</si>
  <si>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</si>
  <si>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</si>
  <si>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</si>
  <si>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</si>
  <si>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</si>
  <si>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</si>
  <si>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</si>
  <si>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</si>
  <si>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</si>
  <si>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</si>
  <si>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</si>
  <si>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</si>
  <si>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</si>
  <si>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</si>
  <si>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</si>
  <si>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</si>
  <si>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</si>
  <si>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</si>
  <si>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</si>
  <si>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</si>
  <si>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</si>
  <si>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</si>
  <si>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</si>
  <si>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</si>
  <si>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</si>
  <si>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</si>
  <si>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</si>
  <si>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</si>
  <si>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</si>
  <si>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</si>
  <si>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</si>
  <si>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</si>
  <si>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</si>
  <si>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</si>
  <si>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</si>
  <si>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</si>
  <si>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</si>
  <si>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</si>
  <si>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</si>
  <si>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</si>
  <si>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</si>
  <si>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</si>
  <si>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</si>
  <si>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</si>
  <si>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</si>
  <si>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</si>
  <si>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</si>
  <si>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</si>
  <si>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</si>
  <si>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</si>
  <si>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</si>
  <si>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</si>
  <si>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</si>
  <si>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</si>
  <si>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</si>
  <si>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</si>
  <si>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</si>
  <si>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</si>
  <si>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</si>
  <si>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</si>
  <si>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</si>
  <si>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</si>
  <si>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</si>
  <si>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</si>
  <si>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</si>
  <si>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</si>
  <si>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</si>
  <si>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</si>
  <si>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</si>
  <si>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</si>
  <si>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</si>
  <si>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</si>
  <si>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</si>
  <si>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</si>
  <si>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</si>
  <si>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</si>
  <si>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</si>
  <si>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</si>
  <si>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</si>
  <si>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</si>
  <si>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</si>
  <si>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</si>
  <si>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</si>
  <si>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</si>
  <si>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</si>
  <si>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</si>
  <si>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</si>
  <si>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</si>
  <si>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</si>
  <si>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</si>
  <si>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</si>
  <si>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</si>
  <si>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</si>
  <si>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</si>
  <si>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</si>
  <si>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</si>
  <si>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</si>
  <si>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</si>
  <si>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</si>
  <si>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</si>
  <si>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</si>
  <si>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</si>
  <si>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</si>
  <si>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</si>
  <si>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</si>
  <si>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</si>
  <si>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</si>
  <si>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</si>
  <si>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</si>
  <si>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</si>
  <si>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</si>
  <si>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</si>
  <si>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</si>
  <si>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</si>
  <si>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</si>
  <si>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</si>
  <si>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</si>
  <si>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</si>
  <si>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</si>
  <si>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</si>
  <si>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</si>
  <si>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</si>
  <si>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</si>
  <si>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</si>
  <si>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</si>
  <si>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</si>
  <si>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</si>
  <si>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</si>
  <si>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</si>
  <si>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</si>
  <si>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</si>
  <si>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</si>
  <si>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</si>
  <si>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</si>
  <si>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</si>
  <si>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</si>
  <si>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</si>
  <si>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</si>
  <si>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</si>
  <si>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</si>
  <si>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</si>
  <si>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</si>
  <si>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</si>
  <si>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</si>
  <si>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</si>
  <si>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</si>
  <si>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</si>
  <si>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</si>
  <si>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</si>
  <si>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</si>
  <si>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</si>
  <si>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</si>
  <si>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</si>
  <si>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</si>
  <si>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</si>
  <si>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</si>
  <si>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</si>
  <si>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</si>
  <si>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</si>
  <si>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</si>
  <si>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</si>
  <si>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</si>
  <si>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</si>
  <si>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</si>
  <si>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</si>
  <si>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</si>
  <si>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Burlington Stores Inc.</t>
  </si>
  <si>
    <t>Within the last 12 months, Morgan Stanley has provided or is providing investment banking services to,</t>
  </si>
  <si>
    <t>or has an investment banking client relationship with, the following company: Burlington Stores Inc.</t>
  </si>
  <si>
    <t>Within the last 12 months, Morgan Stanley has received compensation for products and services other than</t>
  </si>
  <si>
    <t>investment banking services from Burlington Stores Inc.</t>
  </si>
  <si>
    <t>In the next 3 months, Morgan Stanley expects to receive or intends to seek compensation for investment</t>
  </si>
  <si>
    <t>banking services from Burlington Stores Inc.</t>
  </si>
  <si>
    <t>As of March 29, 2018, Morgan Stanley beneficially owned 1% or more of a class of common equity</t>
  </si>
  <si>
    <t>securities of the following companies covered in Morgan Stanley Research: Burlington Stores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</si>
  <si>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</si>
  <si>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</si>
  <si>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</si>
  <si>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</si>
  <si>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</si>
  <si>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</si>
  <si>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</si>
  <si>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</si>
  <si>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</si>
  <si>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</si>
  <si>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</si>
  <si>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</si>
  <si>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</si>
  <si>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</si>
  <si>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</si>
  <si>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</si>
  <si>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</si>
  <si>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</si>
  <si>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</si>
  <si>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</si>
  <si>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</si>
  <si>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</si>
  <si>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</si>
  <si>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</si>
  <si>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</si>
  <si>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</si>
  <si>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</si>
  <si>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</si>
  <si>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</si>
  <si>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</si>
  <si>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</si>
  <si>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</si>
  <si>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</si>
  <si>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</si>
  <si>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</si>
  <si>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</si>
  <si>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</si>
  <si>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</si>
  <si>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</si>
  <si>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</si>
  <si>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</si>
  <si>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</si>
  <si>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</si>
  <si>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</si>
  <si>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</si>
  <si>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</si>
  <si>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</si>
  <si>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</si>
  <si>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</si>
  <si>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</si>
  <si>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</si>
  <si>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</si>
  <si>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</si>
  <si>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</si>
  <si>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</si>
  <si>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</si>
  <si>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</si>
  <si>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</si>
  <si>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</si>
  <si>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</si>
  <si>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</si>
  <si>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</si>
  <si>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</si>
  <si>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</si>
  <si>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</si>
  <si>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</si>
  <si>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</si>
  <si>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</si>
  <si>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</si>
  <si>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</si>
  <si>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</si>
  <si>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</si>
  <si>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</si>
  <si>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</si>
  <si>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</si>
  <si>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</si>
  <si>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robertcy</t>
  </si>
  <si>
    <t>L:\RETAIL\Greenberger\Companies\BURL\Model\BURL_model.xlsm</t>
  </si>
  <si>
    <t>[BRO MSA]</t>
  </si>
  <si>
    <t>[PRODUCT MODEL]</t>
  </si>
  <si>
    <t>[EMAIL_ALERT YES]</t>
  </si>
  <si>
    <t>[DISCIPLINE Company]</t>
  </si>
  <si>
    <t>[SUPPRESSED NO]</t>
  </si>
  <si>
    <t>[DOCDAT 2018-04-12]</t>
  </si>
  <si>
    <t>[DOCTIME 08:38]</t>
  </si>
  <si>
    <t>[PSYM BURL.N(S&amp;P) (None)]</t>
  </si>
  <si>
    <t>[COU 1]</t>
  </si>
  <si>
    <t>[ANA ]</t>
  </si>
  <si>
    <t>[HL BURL.N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</si>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</sst>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9">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_);\(#,##0.0\)"/>
    <numFmt numFmtId="165" formatCode="0.0"/>
    <numFmt numFmtId="166" formatCode="&quot;$&quot;#,##0.0"/>
    <numFmt numFmtId="167" formatCode="#,##0.0"/>
    <numFmt numFmtId="168" formatCode="\(\+0.0;\(\-0.0\)"/>
    <numFmt numFmtId="169" formatCode="\/0.0\)"/>
    <numFmt numFmtId="170" formatCode="&quot;$&quot;#,##0.00"/>
    <numFmt numFmtId="171" formatCode="\(0.0\)"/>
    <numFmt numFmtId="172" formatCode="0.000"/>
    <numFmt numFmtId="173" formatCode="\+0.0;\-0.0"/>
    <numFmt numFmtId="174" formatCode="&quot;$&quot;#,##0.0_);\(&quot;$&quot;#,##0.0\)"/>
    <numFmt numFmtId="175" formatCode="0.0_);\(0.0\)"/>
    <numFmt numFmtId="176" formatCode="_(* #,##0.0_);_(* \(#,##0.0\);_(* &quot;-&quot;??_);_(@_)"/>
    <numFmt numFmtId="177" formatCode="_(* #,##0_);_(* \(#,##0\);_(* &quot;-&quot;??_);_(@_)"/>
    <numFmt numFmtId="178" formatCode="&quot;$&quot;#,##0.000"/>
    <numFmt numFmtId="179" formatCode="General_)"/>
    <numFmt numFmtId="180" formatCode="0.0;\(0.0\)"/>
    <numFmt numFmtId="181" formatCode="0.0_);[Red]\(0.0\)"/>
    <numFmt numFmtId="182" formatCode="0.0%"/>
    <numFmt numFmtId="183" formatCode="_(&quot;$&quot;* #,##0.0_);_(&quot;$&quot;* \(#,##0.0\);_(&quot;$&quot;* &quot;-&quot;??_);_(@_)"/>
    <numFmt numFmtId="184" formatCode="_(&quot;$&quot;* #,##0_);_(&quot;$&quot;* \(#,##0\);_(&quot;$&quot;* &quot;-&quot;??_);_(@_)"/>
    <numFmt numFmtId="185" formatCode="_(* #,##0.000_);_(* \(#,##0.000\);_(* &quot;-&quot;??_);_(@_)"/>
    <numFmt numFmtId="186" formatCode="\/0.0;\/\-0.0"/>
    <numFmt numFmtId="187" formatCode="&quot;$&quot;#,##0.0_);[Red]\(&quot;$&quot;#,##0.0\)"/>
    <numFmt numFmtId="188" formatCode="0.0%;\(0.0%\)"/>
    <numFmt numFmtId="190" formatCode="&quot;$&quot;#,##0"/>
    <numFmt numFmtId="191" formatCode="#,##0;\(#,##0\)"/>
    <numFmt numFmtId="192" formatCode="#,##0.0;\(#,##0.0\)"/>
    <numFmt numFmtId="193" formatCode="_(&quot;$&quot;* #,##0.0_);_(&quot;$&quot;* \(#,##0.0\);_(&quot;$&quot;* &quot;-&quot;?_);_(@_)"/>
    <numFmt numFmtId="194" formatCode="_(* #,##0.0_);_(* \(#,##0.0\);_(* &quot;-&quot;?_);_(@_)"/>
    <numFmt numFmtId="195" formatCode="0.0%_);\(0.0%\);&quot;–&quot;_)"/>
    <numFmt numFmtId="196" formatCode="\/0.0\);\/\-0.0\)"/>
    <numFmt numFmtId="197" formatCode="_(&quot;$&quot;* #,##0.000_);_(&quot;$&quot;* \(#,##0.000\);_(&quot;$&quot;* &quot;-&quot;??_);_(@_)"/>
    <numFmt numFmtId="198" formatCode="dd\-mmm\-yy_)"/>
    <numFmt numFmtId="199" formatCode="0.000%"/>
    <numFmt numFmtId="200" formatCode="#,##0.0\x;[Red]\(#,##0.0\x\)"/>
    <numFmt numFmtId="201" formatCode="#,##0.0;[Red]\(#,##0.0\)"/>
    <numFmt numFmtId="202" formatCode="[$-409]mmm\-yy;@"/>
    <numFmt numFmtId="203" formatCode="#,##0.00&quot;&quot;;\(#,##0.00\)&quot;&quot;"/>
    <numFmt numFmtId="204" formatCode="0.00_);\(0.00\)"/>
    <numFmt numFmtId="207" formatCode="0_);\(0\)"/>
    <numFmt numFmtId="208" formatCode="\F###0\A"/>
    <numFmt numFmtId="209" formatCode="\F###0\E"/>
    <numFmt numFmtId="210" formatCode="###0"/>
    <numFmt numFmtId="211" formatCode="###0.00"/>
    <numFmt numFmtId="212" formatCode="###0.0"/>
    <numFmt numFmtId="213" formatCode="\F###0"/>
    <numFmt numFmtId="214" formatCode="0\ &quot;bps&quot;"/>
    <numFmt numFmtId="215" formatCode="0.00000_);\(0.00000\)"/>
    <numFmt numFmtId="216" formatCode="\(0.0000\)"/>
    <numFmt numFmtId="217" formatCode="\(0.00\)"/>
    <numFmt numFmtId="218" formatCode="_(* #,##0_);_(* \(#,##0\)"/>
    <numFmt numFmtId="219" formatCode="0.0000"/>
    <numFmt numFmtId="220" formatCode="&quot;$&quot;#,##0.00000"/>
    <numFmt numFmtId="221" formatCode="&quot;$&quot;#,##0.0000"/>
    <numFmt numFmtId="222" formatCode="&quot;$&quot;#,##0.000_);\(&quot;$&quot;#,##0.000\)"/>
    <numFmt numFmtId="223" formatCode="0.000_);\(0.000\)"/>
    <numFmt numFmtId="224" formatCode="#,##0.000_);\(#,##0.000\)"/>
    <numFmt numFmtId="225" formatCode="\+0.00;\-0.00"/>
    <numFmt numFmtId="226" formatCode="\+0.000;\-0.000"/>
    <numFmt numFmtId="227" formatCode="\(0.000\)"/>
    <numFmt numFmtId="228" formatCode="General&quot;E&quot;"/>
    <numFmt numFmtId="229" formatCode="0;\(0\)"/>
    <numFmt numFmtId="230" formatCode="####&quot;E&quot;"/>
    <numFmt numFmtId="231" formatCode="#,##0.0_);[Red]\(#,##0.0\)"/>
    <numFmt numFmtId="232" formatCode="_(&quot;$&quot;* #,##0.00000_);_(&quot;$&quot;* \(#,##0.00000\);_(&quot;$&quot;* &quot;-&quot;??_);_(@_)"/>
    <numFmt numFmtId="233" formatCode="_(&quot;$&quot;* #,##0.000000_);_(&quot;$&quot;* \(#,##0.000000\);_(&quot;$&quot;* &quot;-&quot;??_);_(@_)"/>
    <numFmt numFmtId="234" formatCode="_(&quot;$&quot;* #,##0.0000000_);_(&quot;$&quot;* \(#,##0.0000000\);_(&quot;$&quot;* &quot;-&quot;??_);_(@_)"/>
    <numFmt numFmtId="235" formatCode="0.00000000000000_);\(0.00000000000000\)"/>
    <numFmt numFmtId="236" formatCode="0.000000000000_);\(0.000000000000\)"/>
    <numFmt numFmtId="237" formatCode="#,##0.00000_);\(#,##0.00000\)"/>
    <numFmt numFmtId="243" formatCode="mm/dd/yy\ hh:mm"/>
  </numFmts>
  <fonts count="145">
    <font>
      <sz val="10"/>
      <name val="Arial"/>
    </font>
    <font>
      <sz val="10"/>
      <name val="Arial"/>
      <family val="2"/>
    </font>
    <font>
      <b/>
      <sz val="10"/>
      <name val="Arial"/>
      <family val="2"/>
    </font>
    <font>
      <sz val="10"/>
      <name val="MS Sans Serif"/>
      <family val="2"/>
    </font>
    <font>
      <b/>
      <sz val="10"/>
      <color indexed="8"/>
      <name val="Times New Roman"/>
      <family val="1"/>
    </font>
    <font>
      <sz val="10"/>
      <name val="Courier"/>
      <family val="3"/>
    </font>
    <font>
      <sz val="9"/>
      <name val="Times New Roman"/>
      <family val="1"/>
    </font>
    <font>
      <b/>
      <sz val="10"/>
      <name val="Arial"/>
      <family val="2"/>
    </font>
    <font>
      <sz val="10"/>
      <name val="Arial"/>
      <family val="2"/>
    </font>
    <font>
      <sz val="10"/>
      <color indexed="8"/>
      <name val="Times New Roman"/>
      <family val="1"/>
    </font>
    <font>
      <i/>
      <sz val="8"/>
      <name val="Times New Roman"/>
      <family val="1"/>
    </font>
    <font>
      <sz val="8"/>
      <name val="Arial"/>
      <family val="2"/>
    </font>
    <font>
      <i/>
      <sz val="8"/>
      <name val="Arial"/>
      <family val="2"/>
    </font>
    <font>
      <sz val="8"/>
      <name val="Arial"/>
      <family val="2"/>
    </font>
    <font>
      <b/>
      <sz val="8"/>
      <name val="Arial"/>
      <family val="2"/>
    </font>
    <font>
      <b/>
      <sz val="8"/>
      <color indexed="12"/>
      <name val="Arial"/>
      <family val="2"/>
    </font>
    <font>
      <b/>
      <u/>
      <sz val="8"/>
      <name val="Arial"/>
      <family val="2"/>
    </font>
    <font>
      <sz val="8"/>
      <color indexed="12"/>
      <name val="Arial"/>
      <family val="2"/>
    </font>
    <font>
      <sz val="8"/>
      <color indexed="81"/>
      <name val="Tahoma"/>
      <family val="2"/>
    </font>
    <font>
      <b/>
      <sz val="8"/>
      <color indexed="81"/>
      <name val="Tahoma"/>
      <family val="2"/>
    </font>
    <font>
      <sz val="8"/>
      <color indexed="9"/>
      <name val="Arial"/>
      <family val="2"/>
    </font>
    <font>
      <sz val="8"/>
      <color indexed="12"/>
      <name val="Arial"/>
      <family val="2"/>
    </font>
    <font>
      <sz val="10"/>
      <name val="Helv"/>
    </font>
    <font>
      <b/>
      <sz val="10"/>
      <color indexed="12"/>
      <name val="Arial"/>
      <family val="2"/>
    </font>
    <font>
      <sz val="8"/>
      <color indexed="23"/>
      <name val="Arial"/>
      <family val="2"/>
    </font>
    <font>
      <sz val="11"/>
      <name val="Arial"/>
      <family val="2"/>
    </font>
    <font>
      <b/>
      <sz val="11"/>
      <name val="Arial"/>
      <family val="2"/>
    </font>
    <font>
      <b/>
      <sz val="12"/>
      <name val="Arial"/>
      <family val="2"/>
    </font>
    <font>
      <sz val="10"/>
      <color indexed="12"/>
      <name val="Arial"/>
      <family val="2"/>
    </font>
    <font>
      <i/>
      <sz val="10"/>
      <name val="Arial"/>
      <family val="2"/>
    </font>
    <font>
      <b/>
      <sz val="10"/>
      <color indexed="8"/>
      <name val="Arial"/>
      <family val="2"/>
    </font>
    <font>
      <b/>
      <u/>
      <sz val="8"/>
      <color indexed="23"/>
      <name val="Arial"/>
      <family val="2"/>
    </font>
    <font>
      <b/>
      <sz val="8"/>
      <color indexed="62"/>
      <name val="Arial"/>
      <family val="2"/>
    </font>
    <font>
      <b/>
      <sz val="10"/>
      <color indexed="10"/>
      <name val="Arial"/>
      <family val="2"/>
    </font>
    <font>
      <i/>
      <sz val="10"/>
      <color indexed="10"/>
      <name val="Arial"/>
      <family val="2"/>
    </font>
    <font>
      <sz val="12"/>
      <name val="Times New Roman"/>
      <family val="1"/>
    </font>
    <font>
      <sz val="11"/>
      <color indexed="8"/>
      <name val="Calibri"/>
      <family val="2"/>
    </font>
    <font>
      <sz val="11"/>
      <color indexed="9"/>
      <name val="Calibri"/>
      <family val="2"/>
    </font>
    <font>
      <sz val="8"/>
      <name val="Times New Roman"/>
      <family val="1"/>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0"/>
      <color indexed="23"/>
      <name val="Arial"/>
      <family val="2"/>
    </font>
    <font>
      <b/>
      <sz val="10"/>
      <color indexed="23"/>
      <name val="Arial"/>
      <family val="2"/>
    </font>
    <font>
      <b/>
      <sz val="14"/>
      <color indexed="18"/>
      <name val="Arial"/>
      <family val="2"/>
    </font>
    <font>
      <b/>
      <sz val="8"/>
      <color indexed="9"/>
      <name val="Arial"/>
      <family val="2"/>
    </font>
    <font>
      <sz val="10"/>
      <color indexed="9"/>
      <name val="Arial"/>
      <family val="2"/>
    </font>
    <font>
      <sz val="12"/>
      <name val="Arial"/>
      <family val="2"/>
    </font>
    <font>
      <b/>
      <sz val="10"/>
      <color indexed="9"/>
      <name val="Arial"/>
      <family val="2"/>
    </font>
    <font>
      <sz val="10"/>
      <color indexed="12"/>
      <name val="Arial"/>
      <family val="2"/>
    </font>
    <font>
      <sz val="9"/>
      <name val="Times New Roman"/>
      <family val="1"/>
    </font>
    <font>
      <sz val="8"/>
      <color indexed="9"/>
      <name val="Arial"/>
      <family val="2"/>
    </font>
    <font>
      <sz val="8"/>
      <color indexed="22"/>
      <name val="Arial"/>
      <family val="2"/>
    </font>
    <font>
      <sz val="10"/>
      <color indexed="9"/>
      <name val="Arial"/>
      <family val="2"/>
    </font>
    <font>
      <sz val="10"/>
      <color indexed="43"/>
      <name val="Arial"/>
      <family val="2"/>
    </font>
    <font>
      <sz val="10"/>
      <color indexed="22"/>
      <name val="Arial"/>
      <family val="2"/>
    </font>
    <font>
      <sz val="10"/>
      <color indexed="55"/>
      <name val="Arial"/>
      <family val="2"/>
    </font>
    <font>
      <b/>
      <sz val="10"/>
      <color indexed="12"/>
      <name val="Arial"/>
      <family val="2"/>
    </font>
    <font>
      <b/>
      <sz val="12"/>
      <color indexed="12"/>
      <name val="Arial"/>
      <family val="2"/>
    </font>
    <font>
      <b/>
      <sz val="10"/>
      <color indexed="9"/>
      <name val="Arial"/>
      <family val="2"/>
    </font>
    <font>
      <b/>
      <sz val="10"/>
      <color indexed="22"/>
      <name val="Arial"/>
      <family val="2"/>
    </font>
    <font>
      <sz val="10"/>
      <color indexed="53"/>
      <name val="Arial"/>
      <family val="2"/>
    </font>
    <font>
      <b/>
      <sz val="12"/>
      <name val="Arial"/>
      <family val="2"/>
    </font>
    <font>
      <i/>
      <sz val="10"/>
      <name val="Arial"/>
      <family val="2"/>
    </font>
    <font>
      <i/>
      <sz val="10"/>
      <color indexed="9"/>
      <name val="Arial"/>
      <family val="2"/>
    </font>
    <font>
      <i/>
      <sz val="10"/>
      <color indexed="22"/>
      <name val="Arial"/>
      <family val="2"/>
    </font>
    <font>
      <i/>
      <sz val="10"/>
      <color indexed="12"/>
      <name val="Arial"/>
      <family val="2"/>
    </font>
    <font>
      <b/>
      <i/>
      <sz val="10"/>
      <color indexed="12"/>
      <name val="Arial"/>
      <family val="2"/>
    </font>
    <font>
      <sz val="10"/>
      <color indexed="53"/>
      <name val="Arial"/>
      <family val="2"/>
    </font>
    <font>
      <sz val="10"/>
      <color indexed="23"/>
      <name val="Arial"/>
      <family val="2"/>
    </font>
    <font>
      <b/>
      <u/>
      <sz val="10"/>
      <name val="Arial"/>
      <family val="2"/>
    </font>
    <font>
      <sz val="10"/>
      <color indexed="10"/>
      <name val="Arial"/>
      <family val="2"/>
    </font>
    <font>
      <b/>
      <i/>
      <sz val="10"/>
      <name val="Arial"/>
      <family val="2"/>
    </font>
    <font>
      <u/>
      <sz val="8"/>
      <color indexed="81"/>
      <name val="Tahoma"/>
      <family val="2"/>
    </font>
    <font>
      <sz val="9"/>
      <color indexed="81"/>
      <name val="Tahoma"/>
      <family val="2"/>
    </font>
    <font>
      <b/>
      <sz val="9"/>
      <color indexed="81"/>
      <name val="Tahoma"/>
      <family val="2"/>
    </font>
    <font>
      <b/>
      <u/>
      <sz val="10"/>
      <color indexed="12"/>
      <name val="Arial"/>
      <family val="2"/>
    </font>
    <font>
      <sz val="10"/>
      <color indexed="63"/>
      <name val="Arial"/>
      <family val="2"/>
    </font>
    <font>
      <sz val="10"/>
      <name val="CIR Trade Gothic Cn"/>
    </font>
    <font>
      <sz val="10"/>
      <color indexed="8"/>
      <name val="Arial"/>
      <family val="2"/>
    </font>
    <font>
      <sz val="10"/>
      <color indexed="19"/>
      <name val="Arial"/>
      <family val="2"/>
    </font>
    <font>
      <sz val="10"/>
      <color indexed="17"/>
      <name val="Arial"/>
      <family val="2"/>
    </font>
    <font>
      <b/>
      <sz val="10"/>
      <color indexed="21"/>
      <name val="Arial"/>
      <family val="2"/>
    </font>
    <font>
      <sz val="10"/>
      <color indexed="57"/>
      <name val="Arial"/>
      <family val="2"/>
    </font>
    <font>
      <sz val="10"/>
      <color indexed="48"/>
      <name val="Arial"/>
      <family val="2"/>
    </font>
    <font>
      <sz val="10"/>
      <name val="Arial"/>
      <family val="2"/>
    </font>
    <font>
      <sz val="8"/>
      <color indexed="9"/>
      <name val="Arial"/>
      <family val="2"/>
    </font>
    <font>
      <sz val="8"/>
      <name val="Arial"/>
      <family val="2"/>
    </font>
    <font>
      <b/>
      <sz val="8"/>
      <color indexed="18"/>
      <name val="Arial"/>
      <family val="2"/>
    </font>
    <font>
      <b/>
      <sz val="8"/>
      <color indexed="18"/>
      <name val="Arial"/>
      <family val="2"/>
    </font>
    <font>
      <sz val="8"/>
      <color indexed="10"/>
      <name val="Arial"/>
      <family val="2"/>
    </font>
    <font>
      <b/>
      <sz val="12"/>
      <color indexed="62"/>
      <name val="Arial"/>
      <family val="2"/>
    </font>
    <font>
      <sz val="8"/>
      <color indexed="22"/>
      <name val="Arial"/>
      <family val="2"/>
    </font>
    <font>
      <sz val="10"/>
      <color indexed="8"/>
      <name val="MS Sans Serif"/>
      <family val="2"/>
    </font>
    <font>
      <sz val="10"/>
      <color indexed="22"/>
      <name val="Arial"/>
      <family val="2"/>
    </font>
    <font>
      <u/>
      <sz val="10"/>
      <color indexed="12"/>
      <name val="Arial"/>
      <family val="2"/>
    </font>
    <font>
      <sz val="8"/>
      <color indexed="9"/>
      <name val="Times New Roman"/>
      <family val="1"/>
    </font>
    <font>
      <b/>
      <sz val="8"/>
      <color indexed="9"/>
      <name val="Arial"/>
      <family val="2"/>
    </font>
    <font>
      <b/>
      <sz val="8"/>
      <name val="Arial"/>
      <family val="2"/>
    </font>
    <font>
      <i/>
      <sz val="8"/>
      <name val="Arial"/>
      <family val="2"/>
    </font>
    <font>
      <b/>
      <i/>
      <sz val="8"/>
      <name val="Arial"/>
      <family val="2"/>
    </font>
    <font>
      <sz val="8.25"/>
      <name val="Microsoft Sans Serif"/>
      <family val="2"/>
    </font>
    <font>
      <b/>
      <sz val="8"/>
      <color indexed="10"/>
      <name val="Arial"/>
      <family val="2"/>
    </font>
    <font>
      <sz val="10"/>
      <color indexed="9"/>
      <name val="Arial"/>
      <family val="2"/>
    </font>
    <font>
      <sz val="10"/>
      <name val="Arial"/>
      <family val="2"/>
    </font>
    <font>
      <sz val="10"/>
      <name val="Arial"/>
      <family val="2"/>
    </font>
    <font>
      <sz val="8"/>
      <color indexed="8"/>
      <name val="Arial"/>
      <family val="2"/>
    </font>
    <font>
      <b/>
      <i/>
      <sz val="10"/>
      <color indexed="62"/>
      <name val="Arial"/>
      <family val="2"/>
    </font>
    <font>
      <i/>
      <sz val="10"/>
      <color indexed="8"/>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u/>
      <sz val="10"/>
      <name val="Helv"/>
    </font>
    <font>
      <sz val="10"/>
      <color rgb="FFFF0000"/>
      <name val="Arial"/>
      <family val="2"/>
    </font>
    <font>
      <sz val="10"/>
      <color theme="4"/>
      <name val="Arial"/>
      <family val="2"/>
    </font>
    <font>
      <sz val="10"/>
      <color theme="3"/>
      <name val="Arial"/>
      <family val="2"/>
    </font>
    <font>
      <sz val="10"/>
      <color rgb="FF0070C0"/>
      <name val="Arial"/>
      <family val="2"/>
    </font>
    <font>
      <sz val="8"/>
      <color theme="0"/>
      <name val="Arial"/>
      <family val="2"/>
    </font>
    <font>
      <sz val="10"/>
      <color theme="0"/>
      <name val="Arial"/>
      <family val="2"/>
    </font>
    <font>
      <b/>
      <sz val="10"/>
      <color theme="0"/>
      <name val="Arial"/>
      <family val="2"/>
    </font>
    <font>
      <sz val="8"/>
      <color theme="0" tint="-0.499984740745262"/>
      <name val="Arial"/>
      <family val="2"/>
    </font>
    <font>
      <b/>
      <sz val="8"/>
      <color theme="0" tint="-0.499984740745262"/>
      <name val="Arial"/>
      <family val="2"/>
    </font>
    <font>
      <b/>
      <sz val="10"/>
      <color rgb="FF0070C0"/>
      <name val="Arial"/>
      <family val="2"/>
    </font>
    <font>
      <b/>
      <sz val="10"/>
      <color theme="4"/>
      <name val="Arial"/>
      <family val="2"/>
    </font>
    <font>
      <sz val="10"/>
      <color theme="2" tint="-0.499984740745262"/>
      <name val="Arial"/>
      <family val="2"/>
    </font>
    <font>
      <sz val="10"/>
      <color rgb="FF00B050"/>
      <name val="Arial"/>
      <family val="2"/>
    </font>
    <font>
      <sz val="10"/>
      <color rgb="FF0000FF"/>
      <name val="Arial"/>
      <family val="2"/>
    </font>
    <font>
      <b/>
      <sz val="10"/>
      <color theme="3"/>
      <name val="Arial"/>
      <family val="2"/>
    </font>
    <font>
      <b/>
      <u/>
      <sz val="10"/>
      <color rgb="FF0000FF"/>
      <name val="Arial"/>
      <family val="2"/>
    </font>
    <font>
      <sz val="10"/>
      <color rgb="FF2270AB"/>
      <name val="Arial"/>
      <family val="2"/>
    </font>
    <font>
      <i/>
      <sz val="10"/>
      <color rgb="FF0000FF"/>
      <name val="Arial"/>
      <family val="2"/>
    </font>
    <font>
      <b/>
      <sz val="10"/>
      <color rgb="FF0000FF"/>
      <name val="Arial"/>
      <family val="2"/>
    </font>
    <font>
      <sz val="10"/>
      <color rgb="FF000000"/>
      <name val="Arial"/>
      <family val="2"/>
    </font>
    <font>
      <b/>
      <sz val="12"/>
      <color rgb="FF000080"/>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53"/>
        <bgColor indexed="64"/>
      </patternFill>
    </fill>
    <fill>
      <patternFill patternType="solid">
        <fgColor indexed="23"/>
        <bgColor indexed="64"/>
      </patternFill>
    </fill>
    <fill>
      <patternFill patternType="solid">
        <fgColor indexed="48"/>
        <bgColor indexed="64"/>
      </patternFill>
    </fill>
    <fill>
      <patternFill patternType="solid">
        <fgColor indexed="40"/>
        <bgColor indexed="64"/>
      </patternFill>
    </fill>
    <fill>
      <patternFill patternType="solid">
        <fgColor indexed="41"/>
        <bgColor indexed="64"/>
      </patternFill>
    </fill>
    <fill>
      <patternFill patternType="solid">
        <fgColor indexed="52"/>
        <bgColor indexed="64"/>
      </patternFill>
    </fill>
    <fill>
      <patternFill patternType="solid">
        <fgColor indexed="42"/>
        <bgColor indexed="64"/>
      </patternFill>
    </fill>
    <fill>
      <patternFill patternType="solid">
        <fgColor theme="0" tint="-0.249977111117893"/>
        <bgColor indexed="64"/>
      </patternFill>
    </fill>
    <fill>
      <patternFill patternType="solid">
        <fgColor theme="0"/>
        <bgColor indexed="64"/>
      </patternFill>
    </fill>
    <fill>
      <patternFill patternType="solid">
        <fgColor theme="3"/>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indexed="65"/>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style="thin">
        <color indexed="62"/>
      </top>
      <bottom style="double">
        <color indexed="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ashed">
        <color indexed="64"/>
      </bottom>
      <diagonal/>
    </border>
    <border>
      <left/>
      <right/>
      <top/>
      <bottom style="dashed">
        <color indexed="23"/>
      </bottom>
      <diagonal/>
    </border>
    <border>
      <left/>
      <right style="thin">
        <color indexed="64"/>
      </right>
      <top style="thin">
        <color indexed="64"/>
      </top>
      <bottom style="thin">
        <color indexed="64"/>
      </bottom>
      <diagonal/>
    </border>
    <border>
      <left/>
      <right/>
      <top style="thin">
        <color indexed="8"/>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medium">
        <color indexed="22"/>
      </bottom>
      <diagonal/>
    </border>
    <border>
      <left/>
      <right style="thin">
        <color indexed="22"/>
      </right>
      <top/>
      <bottom style="medium">
        <color indexed="22"/>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64"/>
      </left>
      <right style="thin">
        <color indexed="64"/>
      </right>
      <top/>
      <bottom style="thin">
        <color indexed="64"/>
      </bottom>
      <diagonal/>
    </border>
    <border>
      <left/>
      <right/>
      <top/>
      <bottom style="hair">
        <color theme="1" tint="0.49998474074526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indexed="64"/>
      </bottom>
      <diagonal/>
    </border>
    <border>
      <left/>
      <right style="thin">
        <color theme="4"/>
      </right>
      <top/>
      <bottom style="thin">
        <color indexed="64"/>
      </bottom>
      <diagonal/>
    </border>
    <border>
      <left style="thin">
        <color theme="4"/>
      </left>
      <right/>
      <top/>
      <bottom style="thin">
        <color theme="4"/>
      </bottom>
      <diagonal/>
    </border>
    <border>
      <left/>
      <right style="thin">
        <color theme="4"/>
      </right>
      <top/>
      <bottom style="thin">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25">
    <xf numFmtId="0" fontId="0" fillId="0" borderId="0"/>
    <xf numFmtId="0" fontId="1" fillId="0" borderId="0"/>
    <xf numFmtId="0" fontId="8" fillId="0" borderId="0"/>
    <xf numFmtId="0" fontId="95" fillId="0" borderId="0" applyNumberFormat="0" applyFont="0" applyFill="0" applyBorder="0" applyAlignment="0" applyProtection="0"/>
    <xf numFmtId="0" fontId="1" fillId="0" borderId="0"/>
    <xf numFmtId="0" fontId="8" fillId="0" borderId="0"/>
    <xf numFmtId="0" fontId="3" fillId="0" borderId="0"/>
    <xf numFmtId="0" fontId="3" fillId="0" borderId="0"/>
    <xf numFmtId="0" fontId="36" fillId="2" borderId="0" applyNumberFormat="0" applyBorder="0" applyAlignment="0" applyProtection="0"/>
    <xf numFmtId="0" fontId="36" fillId="3" borderId="0" applyNumberFormat="0" applyBorder="0" applyAlignment="0" applyProtection="0"/>
    <xf numFmtId="0" fontId="36" fillId="4" borderId="0" applyNumberFormat="0" applyBorder="0" applyAlignment="0" applyProtection="0"/>
    <xf numFmtId="0" fontId="36"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5" borderId="0" applyNumberFormat="0" applyBorder="0" applyAlignment="0" applyProtection="0"/>
    <xf numFmtId="0" fontId="36" fillId="8" borderId="0" applyNumberFormat="0" applyBorder="0" applyAlignment="0" applyProtection="0"/>
    <xf numFmtId="0" fontId="36" fillId="11"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9" borderId="0" applyNumberFormat="0" applyBorder="0" applyAlignment="0" applyProtection="0"/>
    <xf numFmtId="0" fontId="39" fillId="3" borderId="0" applyNumberFormat="0" applyBorder="0" applyAlignment="0" applyProtection="0"/>
    <xf numFmtId="0" fontId="4" fillId="0" borderId="0"/>
    <xf numFmtId="0" fontId="40" fillId="20" borderId="1" applyNumberFormat="0" applyAlignment="0" applyProtection="0"/>
    <xf numFmtId="0" fontId="41" fillId="21" borderId="2" applyNumberFormat="0" applyAlignment="0" applyProtection="0"/>
    <xf numFmtId="43" fontId="1" fillId="0" borderId="0" applyFont="0" applyFill="0" applyBorder="0" applyAlignment="0" applyProtection="0"/>
    <xf numFmtId="201" fontId="38" fillId="0" borderId="0"/>
    <xf numFmtId="43" fontId="95" fillId="0" borderId="0" applyFont="0" applyFill="0" applyBorder="0" applyAlignment="0" applyProtection="0"/>
    <xf numFmtId="43" fontId="11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114" fillId="0" borderId="0" applyFont="0" applyFill="0" applyBorder="0" applyAlignment="0" applyProtection="0"/>
    <xf numFmtId="0" fontId="42" fillId="0" borderId="0" applyNumberFormat="0" applyFill="0" applyBorder="0" applyAlignment="0" applyProtection="0"/>
    <xf numFmtId="0" fontId="43" fillId="4" borderId="0" applyNumberFormat="0" applyBorder="0" applyAlignment="0" applyProtection="0"/>
    <xf numFmtId="0" fontId="44" fillId="0" borderId="3" applyNumberFormat="0" applyFill="0" applyAlignment="0" applyProtection="0"/>
    <xf numFmtId="0" fontId="45" fillId="0" borderId="4" applyNumberFormat="0" applyFill="0" applyAlignment="0" applyProtection="0"/>
    <xf numFmtId="0" fontId="46" fillId="0" borderId="5" applyNumberFormat="0" applyFill="0" applyAlignment="0" applyProtection="0"/>
    <xf numFmtId="0" fontId="46" fillId="0" borderId="0" applyNumberFormat="0" applyFill="0" applyBorder="0" applyAlignment="0" applyProtection="0"/>
    <xf numFmtId="0" fontId="95" fillId="0" borderId="0" applyNumberFormat="0" applyFill="0" applyBorder="0" applyAlignment="0" applyProtection="0">
      <alignment vertical="top"/>
      <protection locked="0"/>
    </xf>
    <xf numFmtId="0" fontId="35" fillId="8" borderId="0" applyNumberFormat="0" applyFont="0" applyBorder="0" applyAlignment="0">
      <protection locked="0"/>
    </xf>
    <xf numFmtId="0" fontId="47" fillId="0" borderId="6" applyNumberFormat="0" applyFill="0" applyAlignment="0" applyProtection="0"/>
    <xf numFmtId="0" fontId="48" fillId="22" borderId="0" applyNumberFormat="0" applyBorder="0" applyAlignment="0" applyProtection="0"/>
    <xf numFmtId="0" fontId="8" fillId="0" borderId="0"/>
    <xf numFmtId="0" fontId="8" fillId="0" borderId="0"/>
    <xf numFmtId="0" fontId="95" fillId="0" borderId="0" applyNumberFormat="0" applyFont="0" applyFill="0" applyBorder="0" applyAlignment="0" applyProtection="0"/>
    <xf numFmtId="0" fontId="22" fillId="0" borderId="0"/>
    <xf numFmtId="0" fontId="1" fillId="0" borderId="0"/>
    <xf numFmtId="0" fontId="111" fillId="0" borderId="0" applyNumberFormat="0" applyFill="0" applyBorder="0" applyProtection="0"/>
    <xf numFmtId="0" fontId="95" fillId="0" borderId="0"/>
    <xf numFmtId="0" fontId="60" fillId="0" borderId="0"/>
    <xf numFmtId="179" fontId="5" fillId="0" borderId="0"/>
    <xf numFmtId="0" fontId="1" fillId="0" borderId="0"/>
    <xf numFmtId="0" fontId="11" fillId="0" borderId="0"/>
    <xf numFmtId="0" fontId="103" fillId="0" borderId="0" applyNumberFormat="0" applyFont="0" applyFill="0" applyBorder="0" applyAlignment="0" applyProtection="0"/>
    <xf numFmtId="0" fontId="103" fillId="0" borderId="0" applyNumberFormat="0" applyFont="0" applyFill="0" applyBorder="0" applyAlignment="0" applyProtection="0"/>
    <xf numFmtId="0" fontId="103" fillId="0" borderId="0" applyNumberFormat="0" applyFont="0" applyFill="0" applyBorder="0" applyAlignment="0" applyProtection="0"/>
    <xf numFmtId="0" fontId="95" fillId="0" borderId="0"/>
    <xf numFmtId="0" fontId="103" fillId="0" borderId="0" applyNumberFormat="0" applyFont="0" applyFill="0" applyBorder="0" applyAlignment="0" applyProtection="0"/>
    <xf numFmtId="0" fontId="103" fillId="0" borderId="0" applyNumberFormat="0" applyFont="0" applyFill="0" applyBorder="0" applyAlignment="0" applyProtection="0"/>
    <xf numFmtId="0" fontId="95" fillId="0" borderId="0"/>
    <xf numFmtId="0" fontId="11" fillId="0" borderId="0"/>
    <xf numFmtId="164" fontId="5" fillId="0" borderId="0"/>
    <xf numFmtId="179" fontId="5" fillId="0" borderId="0"/>
    <xf numFmtId="0" fontId="38" fillId="0" borderId="0"/>
    <xf numFmtId="37" fontId="5" fillId="0" borderId="0"/>
    <xf numFmtId="37" fontId="5" fillId="0" borderId="0"/>
    <xf numFmtId="0" fontId="1" fillId="0" borderId="0"/>
    <xf numFmtId="0" fontId="1" fillId="0" borderId="0"/>
    <xf numFmtId="0" fontId="114" fillId="0" borderId="0"/>
    <xf numFmtId="179" fontId="5" fillId="0" borderId="0"/>
    <xf numFmtId="37" fontId="5" fillId="0" borderId="0"/>
    <xf numFmtId="0" fontId="8" fillId="0" borderId="0"/>
    <xf numFmtId="0" fontId="97" fillId="0" borderId="0"/>
    <xf numFmtId="0" fontId="11" fillId="23" borderId="7" applyNumberFormat="0" applyFont="0" applyAlignment="0" applyProtection="0"/>
    <xf numFmtId="0" fontId="49" fillId="20" borderId="8" applyNumberFormat="0" applyAlignment="0" applyProtection="0"/>
    <xf numFmtId="0" fontId="6" fillId="0" borderId="0">
      <alignment vertical="center"/>
    </xf>
    <xf numFmtId="9" fontId="1" fillId="0" borderId="0" applyFont="0" applyFill="0" applyBorder="0" applyAlignment="0" applyProtection="0"/>
    <xf numFmtId="9" fontId="95" fillId="0" borderId="0" applyFont="0" applyFill="0" applyBorder="0" applyAlignment="0" applyProtection="0"/>
    <xf numFmtId="9" fontId="114" fillId="0" borderId="0" applyFont="0" applyFill="0" applyBorder="0" applyAlignment="0" applyProtection="0"/>
    <xf numFmtId="9" fontId="8" fillId="0" borderId="0" applyFont="0" applyFill="0" applyBorder="0" applyAlignment="0" applyProtection="0"/>
    <xf numFmtId="0" fontId="8" fillId="24" borderId="0" applyNumberFormat="0" applyFont="0" applyBorder="0" applyAlignment="0" applyProtection="0"/>
    <xf numFmtId="0" fontId="9" fillId="0" borderId="0"/>
    <xf numFmtId="0" fontId="9" fillId="0" borderId="9">
      <alignment horizontal="centerContinuous"/>
    </xf>
    <xf numFmtId="0" fontId="10" fillId="0" borderId="9"/>
    <xf numFmtId="164" fontId="1" fillId="0" borderId="0" applyFill="0" applyBorder="0" applyAlignment="0" applyProtection="0"/>
    <xf numFmtId="0" fontId="8" fillId="0" borderId="0">
      <alignment vertical="top"/>
    </xf>
    <xf numFmtId="0" fontId="11" fillId="25" borderId="10" applyNumberFormat="0" applyProtection="0">
      <alignment wrapText="1"/>
    </xf>
    <xf numFmtId="0" fontId="14" fillId="0" borderId="11">
      <alignment horizontal="center" wrapText="1"/>
    </xf>
    <xf numFmtId="0" fontId="50" fillId="0" borderId="12" applyNumberFormat="0" applyFill="0" applyAlignment="0" applyProtection="0"/>
    <xf numFmtId="231" fontId="123" fillId="0" borderId="0"/>
    <xf numFmtId="0" fontId="51" fillId="0" borderId="0" applyNumberFormat="0" applyFill="0" applyBorder="0" applyAlignment="0" applyProtection="0"/>
    <xf numFmtId="0" fontId="1" fillId="0" borderId="0"/>
    <xf numFmtId="0" fontId="1" fillId="0" borderId="0"/>
    <xf numFmtId="0" fontId="1" fillId="0" borderId="0" applyNumberFormat="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applyNumberFormat="0" applyFill="0" applyBorder="0" applyAlignment="0" applyProtection="0">
      <alignment vertical="top"/>
      <protection locked="0"/>
    </xf>
    <xf numFmtId="0" fontId="1" fillId="0" borderId="0"/>
    <xf numFmtId="0" fontId="1" fillId="0" borderId="0"/>
    <xf numFmtId="0" fontId="1" fillId="0" borderId="0" applyNumberFormat="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24" borderId="0" applyNumberFormat="0" applyFont="0" applyBorder="0" applyAlignment="0" applyProtection="0"/>
    <xf numFmtId="0" fontId="1" fillId="0" borderId="0">
      <alignment vertical="top"/>
    </xf>
    <xf numFmtId="0" fontId="5" fillId="0" borderId="0"/>
  </cellStyleXfs>
  <cellXfs count="2307">
    <xf numFmtId="0" fontId="0" fillId="0" borderId="0" xfId="0"/>
    <xf numFmtId="0" fontId="2" fillId="0" borderId="0" xfId="0" applyFont="1"/>
    <xf numFmtId="37" fontId="2" fillId="0" borderId="16" xfId="78" applyFont="1" applyBorder="1" applyAlignment="1" applyProtection="1">
      <alignment horizontal="left"/>
    </xf>
    <xf numFmtId="0" fontId="0" fillId="0" borderId="16" xfId="0" applyBorder="1"/>
    <xf numFmtId="0" fontId="11" fillId="0" borderId="0" xfId="0" applyFont="1"/>
    <xf numFmtId="0" fontId="0" fillId="0" borderId="0" xfId="0" applyFill="1"/>
    <xf numFmtId="0" fontId="13" fillId="0" borderId="0" xfId="0" applyFont="1"/>
    <xf numFmtId="0" fontId="13" fillId="0" borderId="16" xfId="0" applyFont="1" applyBorder="1"/>
    <xf numFmtId="0" fontId="13" fillId="0" borderId="0" xfId="0" applyFont="1" applyAlignment="1">
      <alignment horizontal="left" indent="1"/>
    </xf>
    <xf numFmtId="0" fontId="13" fillId="0" borderId="0" xfId="0" applyFont="1" applyFill="1"/>
    <xf numFmtId="0" fontId="2" fillId="0" borderId="16" xfId="0" applyFont="1" applyBorder="1" applyAlignment="1">
      <alignment horizontal="center"/>
    </xf>
    <xf numFmtId="0" fontId="2" fillId="0" borderId="17" xfId="0" applyFont="1" applyFill="1" applyBorder="1" applyAlignment="1">
      <alignment horizontal="center"/>
    </xf>
    <xf numFmtId="0" fontId="2" fillId="0" borderId="18" xfId="0" applyFont="1" applyFill="1" applyBorder="1" applyAlignment="1">
      <alignment horizontal="center"/>
    </xf>
    <xf numFmtId="0" fontId="23" fillId="0" borderId="17" xfId="0" applyFont="1" applyFill="1" applyBorder="1" applyAlignment="1">
      <alignment horizontal="center"/>
    </xf>
    <xf numFmtId="0" fontId="13" fillId="0" borderId="0" xfId="0" applyFont="1" applyBorder="1"/>
    <xf numFmtId="0" fontId="16" fillId="0" borderId="0" xfId="0" applyFont="1"/>
    <xf numFmtId="182" fontId="13" fillId="0" borderId="0" xfId="90" applyNumberFormat="1" applyFont="1"/>
    <xf numFmtId="0" fontId="8" fillId="0" borderId="0" xfId="0" applyFont="1"/>
    <xf numFmtId="0" fontId="8" fillId="0" borderId="16" xfId="0" applyFont="1" applyBorder="1"/>
    <xf numFmtId="0" fontId="11" fillId="0" borderId="17" xfId="0" applyFont="1" applyBorder="1"/>
    <xf numFmtId="0" fontId="11" fillId="0" borderId="0" xfId="0" applyFont="1" applyAlignment="1">
      <alignment horizontal="left" indent="1"/>
    </xf>
    <xf numFmtId="44" fontId="11" fillId="0" borderId="17" xfId="42" applyFont="1" applyBorder="1"/>
    <xf numFmtId="0" fontId="14" fillId="0" borderId="15" xfId="0" applyFont="1" applyBorder="1" applyAlignment="1">
      <alignment horizontal="center"/>
    </xf>
    <xf numFmtId="0" fontId="16" fillId="0" borderId="0" xfId="0" applyFont="1" applyBorder="1" applyAlignment="1">
      <alignment horizontal="center"/>
    </xf>
    <xf numFmtId="0" fontId="11" fillId="0" borderId="0" xfId="0" applyFont="1" applyBorder="1"/>
    <xf numFmtId="183" fontId="11" fillId="0" borderId="0" xfId="42" applyNumberFormat="1" applyFont="1" applyBorder="1"/>
    <xf numFmtId="176" fontId="11" fillId="0" borderId="0" xfId="36" applyNumberFormat="1" applyFont="1" applyBorder="1"/>
    <xf numFmtId="183" fontId="11" fillId="0" borderId="0" xfId="0" applyNumberFormat="1" applyFont="1" applyBorder="1"/>
    <xf numFmtId="182" fontId="11" fillId="0" borderId="0" xfId="90" applyNumberFormat="1" applyFont="1" applyBorder="1"/>
    <xf numFmtId="43" fontId="11" fillId="0" borderId="0" xfId="36" applyFont="1" applyBorder="1" applyAlignment="1">
      <alignment horizontal="right"/>
    </xf>
    <xf numFmtId="0" fontId="25" fillId="0" borderId="0" xfId="0" applyFont="1"/>
    <xf numFmtId="0" fontId="13" fillId="28" borderId="0" xfId="0" applyFont="1" applyFill="1"/>
    <xf numFmtId="0" fontId="13" fillId="0" borderId="0" xfId="0" applyFont="1" applyFill="1" applyBorder="1"/>
    <xf numFmtId="49" fontId="0" fillId="0" borderId="0" xfId="0" applyNumberFormat="1"/>
    <xf numFmtId="0" fontId="30" fillId="0" borderId="0" xfId="0" applyFont="1"/>
    <xf numFmtId="176" fontId="11" fillId="0" borderId="0" xfId="0" applyNumberFormat="1" applyFont="1" applyBorder="1"/>
    <xf numFmtId="0" fontId="15" fillId="0" borderId="0" xfId="0" applyFont="1"/>
    <xf numFmtId="182" fontId="17" fillId="0" borderId="0" xfId="90" applyNumberFormat="1" applyFont="1" applyBorder="1"/>
    <xf numFmtId="0" fontId="11" fillId="26" borderId="0" xfId="0" applyFont="1" applyFill="1" applyBorder="1"/>
    <xf numFmtId="0" fontId="14" fillId="0" borderId="0" xfId="0" applyFont="1" applyBorder="1" applyAlignment="1">
      <alignment horizontal="center"/>
    </xf>
    <xf numFmtId="0" fontId="24" fillId="0" borderId="0" xfId="0" applyFont="1"/>
    <xf numFmtId="183" fontId="24" fillId="0" borderId="0" xfId="42" applyNumberFormat="1" applyFont="1" applyBorder="1"/>
    <xf numFmtId="0" fontId="24" fillId="0" borderId="0" xfId="0" applyFont="1" applyBorder="1"/>
    <xf numFmtId="176" fontId="24" fillId="0" borderId="0" xfId="36" applyNumberFormat="1" applyFont="1" applyBorder="1"/>
    <xf numFmtId="0" fontId="24" fillId="0" borderId="0" xfId="0" applyFont="1" applyAlignment="1">
      <alignment horizontal="left" indent="1"/>
    </xf>
    <xf numFmtId="183" fontId="24" fillId="0" borderId="0" xfId="0" applyNumberFormat="1" applyFont="1" applyBorder="1"/>
    <xf numFmtId="0" fontId="31" fillId="0" borderId="0" xfId="0" applyFont="1"/>
    <xf numFmtId="182" fontId="24" fillId="0" borderId="0" xfId="90" applyNumberFormat="1" applyFont="1" applyBorder="1"/>
    <xf numFmtId="43" fontId="24" fillId="0" borderId="0" xfId="36" applyFont="1" applyBorder="1" applyAlignment="1">
      <alignment horizontal="right"/>
    </xf>
    <xf numFmtId="182" fontId="13" fillId="0" borderId="0" xfId="90" applyNumberFormat="1" applyFont="1" applyFill="1"/>
    <xf numFmtId="9" fontId="0" fillId="0" borderId="0" xfId="0" applyNumberFormat="1"/>
    <xf numFmtId="0" fontId="8" fillId="29" borderId="0" xfId="0" applyFont="1" applyFill="1"/>
    <xf numFmtId="0" fontId="32" fillId="0" borderId="0" xfId="0" applyFont="1"/>
    <xf numFmtId="193" fontId="13" fillId="0" borderId="0" xfId="0" applyNumberFormat="1" applyFont="1"/>
    <xf numFmtId="164" fontId="13" fillId="0" borderId="0" xfId="0" applyNumberFormat="1" applyFont="1"/>
    <xf numFmtId="0" fontId="13" fillId="0" borderId="17" xfId="0" applyFont="1" applyBorder="1"/>
    <xf numFmtId="44" fontId="13" fillId="0" borderId="17" xfId="0" applyNumberFormat="1" applyFont="1" applyBorder="1"/>
    <xf numFmtId="0" fontId="8" fillId="0" borderId="0" xfId="0" applyFont="1" applyFill="1"/>
    <xf numFmtId="182" fontId="11" fillId="0" borderId="0" xfId="90" applyNumberFormat="1" applyFont="1" applyBorder="1" applyAlignment="1">
      <alignment horizontal="right"/>
    </xf>
    <xf numFmtId="182" fontId="13" fillId="0" borderId="0" xfId="90" applyNumberFormat="1" applyFont="1" applyAlignment="1">
      <alignment horizontal="right"/>
    </xf>
    <xf numFmtId="10" fontId="8" fillId="0" borderId="0" xfId="90" applyNumberFormat="1" applyFont="1"/>
    <xf numFmtId="164" fontId="13" fillId="0" borderId="0" xfId="0" applyNumberFormat="1" applyFont="1" applyFill="1"/>
    <xf numFmtId="182" fontId="11" fillId="0" borderId="0" xfId="90" applyNumberFormat="1" applyFont="1" applyFill="1" applyBorder="1"/>
    <xf numFmtId="0" fontId="0" fillId="0" borderId="0" xfId="0" applyBorder="1"/>
    <xf numFmtId="0" fontId="33" fillId="0" borderId="0" xfId="0" applyFont="1"/>
    <xf numFmtId="0" fontId="2" fillId="0" borderId="0" xfId="0" applyFont="1" applyFill="1"/>
    <xf numFmtId="0" fontId="2" fillId="0" borderId="0" xfId="0" applyFont="1" applyFill="1" applyAlignment="1">
      <alignment horizontal="centerContinuous"/>
    </xf>
    <xf numFmtId="164" fontId="8" fillId="0" borderId="0" xfId="0" applyNumberFormat="1" applyFont="1" applyFill="1"/>
    <xf numFmtId="0" fontId="2" fillId="0" borderId="16" xfId="0" applyFont="1" applyBorder="1" applyAlignment="1">
      <alignment horizontal="centerContinuous"/>
    </xf>
    <xf numFmtId="0" fontId="0" fillId="0" borderId="16" xfId="0" applyBorder="1" applyAlignment="1">
      <alignment horizontal="centerContinuous"/>
    </xf>
    <xf numFmtId="0" fontId="2" fillId="26" borderId="16" xfId="0" applyFont="1" applyFill="1" applyBorder="1" applyAlignment="1">
      <alignment horizontal="centerContinuous"/>
    </xf>
    <xf numFmtId="0" fontId="2" fillId="26" borderId="16" xfId="0" applyFont="1" applyFill="1" applyBorder="1" applyAlignment="1">
      <alignment horizontal="center"/>
    </xf>
    <xf numFmtId="0" fontId="0" fillId="26" borderId="0" xfId="0" applyFill="1"/>
    <xf numFmtId="0" fontId="2" fillId="26" borderId="17" xfId="0" applyFont="1" applyFill="1" applyBorder="1" applyAlignment="1">
      <alignment horizontal="centerContinuous"/>
    </xf>
    <xf numFmtId="0" fontId="2" fillId="26" borderId="0" xfId="0" applyFont="1" applyFill="1" applyBorder="1" applyAlignment="1">
      <alignment horizontal="centerContinuous"/>
    </xf>
    <xf numFmtId="0" fontId="2" fillId="0" borderId="0" xfId="0" applyFont="1" applyBorder="1" applyAlignment="1">
      <alignment horizontal="centerContinuous"/>
    </xf>
    <xf numFmtId="0" fontId="13" fillId="0" borderId="16" xfId="0" applyFont="1" applyFill="1" applyBorder="1"/>
    <xf numFmtId="14" fontId="0" fillId="0" borderId="0" xfId="0" applyNumberFormat="1"/>
    <xf numFmtId="182" fontId="0" fillId="0" borderId="0" xfId="0" applyNumberFormat="1"/>
    <xf numFmtId="0" fontId="8" fillId="26" borderId="0" xfId="0" applyFont="1" applyFill="1"/>
    <xf numFmtId="0" fontId="2" fillId="0" borderId="16" xfId="0" applyFont="1" applyFill="1" applyBorder="1" applyAlignment="1">
      <alignment horizontal="centerContinuous"/>
    </xf>
    <xf numFmtId="37" fontId="0" fillId="0" borderId="0" xfId="0" applyNumberFormat="1"/>
    <xf numFmtId="0" fontId="0" fillId="0" borderId="0" xfId="0" applyAlignment="1">
      <alignment horizontal="right"/>
    </xf>
    <xf numFmtId="0" fontId="2" fillId="0" borderId="0" xfId="0" applyFont="1" applyBorder="1" applyAlignment="1">
      <alignment horizontal="right" wrapText="1"/>
    </xf>
    <xf numFmtId="37" fontId="28" fillId="0" borderId="0" xfId="0" applyNumberFormat="1" applyFont="1"/>
    <xf numFmtId="0" fontId="0" fillId="0" borderId="0" xfId="0" applyAlignment="1">
      <alignment horizontal="left" indent="1"/>
    </xf>
    <xf numFmtId="182" fontId="28" fillId="0" borderId="0" xfId="0" applyNumberFormat="1" applyFont="1"/>
    <xf numFmtId="37" fontId="0" fillId="26" borderId="0" xfId="0" applyNumberFormat="1" applyFill="1"/>
    <xf numFmtId="182" fontId="1" fillId="0" borderId="0" xfId="0" applyNumberFormat="1" applyFont="1"/>
    <xf numFmtId="14" fontId="28" fillId="0" borderId="0" xfId="0" applyNumberFormat="1" applyFont="1"/>
    <xf numFmtId="0" fontId="2" fillId="26" borderId="0" xfId="0" applyFont="1" applyFill="1"/>
    <xf numFmtId="37" fontId="0" fillId="0" borderId="0" xfId="0" applyNumberFormat="1" applyAlignment="1">
      <alignment horizontal="right"/>
    </xf>
    <xf numFmtId="37" fontId="1" fillId="0" borderId="0" xfId="0" applyNumberFormat="1" applyFont="1"/>
    <xf numFmtId="37" fontId="28" fillId="26" borderId="0" xfId="0" applyNumberFormat="1" applyFont="1" applyFill="1"/>
    <xf numFmtId="0" fontId="34" fillId="0" borderId="0" xfId="0" applyFont="1"/>
    <xf numFmtId="37" fontId="2" fillId="0" borderId="0" xfId="78" applyFont="1" applyBorder="1" applyAlignment="1" applyProtection="1">
      <alignment horizontal="left"/>
    </xf>
    <xf numFmtId="37" fontId="2" fillId="26" borderId="0" xfId="0" applyNumberFormat="1" applyFont="1" applyFill="1"/>
    <xf numFmtId="0" fontId="2" fillId="0" borderId="0" xfId="0" applyFont="1" applyBorder="1" applyAlignment="1">
      <alignment horizontal="center"/>
    </xf>
    <xf numFmtId="0" fontId="23" fillId="0" borderId="0" xfId="0" applyFont="1" applyBorder="1" applyAlignment="1">
      <alignment horizontal="center"/>
    </xf>
    <xf numFmtId="0" fontId="2" fillId="0" borderId="16" xfId="0" applyFont="1" applyBorder="1"/>
    <xf numFmtId="165" fontId="52" fillId="0" borderId="0" xfId="0" applyNumberFormat="1" applyFont="1" applyAlignment="1">
      <alignment horizontal="center"/>
    </xf>
    <xf numFmtId="9" fontId="52" fillId="0" borderId="16" xfId="0" applyNumberFormat="1" applyFont="1" applyBorder="1" applyAlignment="1">
      <alignment horizontal="center"/>
    </xf>
    <xf numFmtId="0" fontId="52" fillId="0" borderId="0" xfId="0" applyFont="1" applyAlignment="1">
      <alignment horizontal="center"/>
    </xf>
    <xf numFmtId="0" fontId="52" fillId="0" borderId="0" xfId="0" applyFont="1" applyBorder="1" applyAlignment="1">
      <alignment horizontal="center"/>
    </xf>
    <xf numFmtId="0" fontId="53" fillId="0" borderId="0" xfId="0" applyFont="1" applyBorder="1" applyAlignment="1">
      <alignment horizontal="center"/>
    </xf>
    <xf numFmtId="0" fontId="53" fillId="0" borderId="16" xfId="0" applyFont="1" applyBorder="1" applyAlignment="1">
      <alignment horizontal="center"/>
    </xf>
    <xf numFmtId="44" fontId="11" fillId="0" borderId="17" xfId="0" applyNumberFormat="1" applyFont="1" applyBorder="1"/>
    <xf numFmtId="198" fontId="8" fillId="0" borderId="0" xfId="65" applyNumberFormat="1" applyFont="1" applyFill="1" applyProtection="1">
      <protection locked="0"/>
    </xf>
    <xf numFmtId="179" fontId="2" fillId="0" borderId="16" xfId="65" applyNumberFormat="1" applyFont="1" applyBorder="1" applyAlignment="1" applyProtection="1">
      <alignment horizontal="left"/>
    </xf>
    <xf numFmtId="179" fontId="2" fillId="0" borderId="0" xfId="65" applyNumberFormat="1" applyFont="1" applyFill="1" applyBorder="1" applyAlignment="1" applyProtection="1">
      <alignment horizontal="left"/>
    </xf>
    <xf numFmtId="2" fontId="2" fillId="0" borderId="0" xfId="0" applyNumberFormat="1" applyFont="1"/>
    <xf numFmtId="198" fontId="8" fillId="26" borderId="0" xfId="65" applyNumberFormat="1" applyFont="1" applyFill="1" applyProtection="1">
      <protection locked="0"/>
    </xf>
    <xf numFmtId="179" fontId="2" fillId="26" borderId="0" xfId="65" applyNumberFormat="1" applyFont="1" applyFill="1" applyBorder="1" applyAlignment="1" applyProtection="1">
      <alignment horizontal="left"/>
    </xf>
    <xf numFmtId="0" fontId="11" fillId="0" borderId="13" xfId="80" applyFont="1" applyBorder="1" applyAlignment="1">
      <alignment wrapText="1"/>
    </xf>
    <xf numFmtId="0" fontId="61" fillId="0" borderId="14" xfId="80" applyFont="1" applyBorder="1"/>
    <xf numFmtId="0" fontId="54" fillId="25" borderId="14" xfId="74" applyFont="1" applyFill="1" applyBorder="1" applyAlignment="1">
      <alignment vertical="center"/>
    </xf>
    <xf numFmtId="0" fontId="11" fillId="0" borderId="14" xfId="80" applyFont="1" applyBorder="1"/>
    <xf numFmtId="0" fontId="11" fillId="0" borderId="14" xfId="80" applyFont="1" applyBorder="1" applyAlignment="1">
      <alignment horizontal="right"/>
    </xf>
    <xf numFmtId="0" fontId="61" fillId="0" borderId="14" xfId="80" applyFont="1" applyBorder="1" applyAlignment="1">
      <alignment horizontal="right"/>
    </xf>
    <xf numFmtId="0" fontId="11" fillId="0" borderId="19" xfId="80" applyFont="1" applyBorder="1"/>
    <xf numFmtId="0" fontId="11" fillId="0" borderId="0" xfId="80" applyFont="1"/>
    <xf numFmtId="0" fontId="62" fillId="0" borderId="20" xfId="80" applyFont="1" applyBorder="1"/>
    <xf numFmtId="0" fontId="1" fillId="24" borderId="0" xfId="80" applyFont="1" applyFill="1" applyAlignment="1">
      <alignment wrapText="1"/>
    </xf>
    <xf numFmtId="0" fontId="63" fillId="24" borderId="0" xfId="80" applyFont="1" applyFill="1"/>
    <xf numFmtId="0" fontId="1" fillId="24" borderId="0" xfId="80" applyFont="1" applyFill="1" applyBorder="1"/>
    <xf numFmtId="0" fontId="1" fillId="24" borderId="0" xfId="80" applyFont="1" applyFill="1" applyAlignment="1">
      <alignment horizontal="right"/>
    </xf>
    <xf numFmtId="0" fontId="64" fillId="24" borderId="0" xfId="80" applyFont="1" applyFill="1" applyAlignment="1">
      <alignment horizontal="right"/>
    </xf>
    <xf numFmtId="0" fontId="1" fillId="24" borderId="0" xfId="80" applyFont="1" applyFill="1"/>
    <xf numFmtId="0" fontId="1" fillId="0" borderId="0" xfId="80" applyFont="1"/>
    <xf numFmtId="0" fontId="65" fillId="0" borderId="20" xfId="80" applyFont="1" applyBorder="1"/>
    <xf numFmtId="0" fontId="1" fillId="0" borderId="0" xfId="80" applyFont="1" applyFill="1" applyAlignment="1">
      <alignment wrapText="1"/>
    </xf>
    <xf numFmtId="0" fontId="63" fillId="0" borderId="0" xfId="80" applyFont="1" applyFill="1"/>
    <xf numFmtId="0" fontId="1" fillId="0" borderId="0" xfId="80" applyFont="1" applyFill="1" applyBorder="1"/>
    <xf numFmtId="0" fontId="1" fillId="0" borderId="0" xfId="80" applyFont="1" applyFill="1" applyAlignment="1">
      <alignment horizontal="right"/>
    </xf>
    <xf numFmtId="0" fontId="1" fillId="28" borderId="21" xfId="80" applyFont="1" applyFill="1" applyBorder="1" applyAlignment="1">
      <alignment horizontal="center"/>
    </xf>
    <xf numFmtId="0" fontId="28" fillId="26" borderId="21" xfId="63" applyFont="1" applyFill="1" applyBorder="1" applyAlignment="1">
      <alignment horizontal="center"/>
    </xf>
    <xf numFmtId="0" fontId="1" fillId="0" borderId="0" xfId="80" applyFont="1" applyFill="1"/>
    <xf numFmtId="0" fontId="1" fillId="25" borderId="0" xfId="80" applyFont="1" applyFill="1" applyBorder="1" applyAlignment="1">
      <alignment horizontal="left"/>
    </xf>
    <xf numFmtId="0" fontId="1" fillId="25" borderId="0" xfId="80" applyFont="1" applyFill="1" applyBorder="1" applyAlignment="1">
      <alignment horizontal="right"/>
    </xf>
    <xf numFmtId="0" fontId="66" fillId="25" borderId="0" xfId="80" applyFont="1" applyFill="1" applyBorder="1" applyAlignment="1">
      <alignment horizontal="right"/>
    </xf>
    <xf numFmtId="0" fontId="66" fillId="0" borderId="0" xfId="80" applyFont="1" applyFill="1" applyAlignment="1">
      <alignment horizontal="right"/>
    </xf>
    <xf numFmtId="0" fontId="65" fillId="0" borderId="0" xfId="80" applyFont="1" applyFill="1" applyAlignment="1">
      <alignment horizontal="right"/>
    </xf>
    <xf numFmtId="0" fontId="65" fillId="0" borderId="20" xfId="80" applyFont="1" applyFill="1" applyBorder="1"/>
    <xf numFmtId="0" fontId="1" fillId="0" borderId="0" xfId="80" applyFont="1" applyAlignment="1">
      <alignment wrapText="1"/>
    </xf>
    <xf numFmtId="0" fontId="63" fillId="0" borderId="0" xfId="80" applyFont="1"/>
    <xf numFmtId="0" fontId="27" fillId="0" borderId="0" xfId="74" applyFont="1" applyFill="1" applyBorder="1"/>
    <xf numFmtId="0" fontId="67" fillId="0" borderId="0" xfId="63" applyFont="1" applyFill="1" applyBorder="1"/>
    <xf numFmtId="0" fontId="2" fillId="0" borderId="0" xfId="100" applyNumberFormat="1" applyFont="1" applyFill="1" applyBorder="1" applyAlignment="1">
      <alignment horizontal="center" wrapText="1"/>
    </xf>
    <xf numFmtId="0" fontId="63" fillId="0" borderId="0" xfId="80" applyFont="1" applyFill="1" applyBorder="1"/>
    <xf numFmtId="14" fontId="61" fillId="0" borderId="0" xfId="63" applyNumberFormat="1" applyFont="1" applyFill="1" applyAlignment="1">
      <alignment horizontal="right"/>
    </xf>
    <xf numFmtId="0" fontId="1" fillId="0" borderId="0" xfId="80" applyFont="1" applyAlignment="1">
      <alignment horizontal="right"/>
    </xf>
    <xf numFmtId="0" fontId="27" fillId="0" borderId="0" xfId="74" applyFont="1" applyBorder="1"/>
    <xf numFmtId="0" fontId="67" fillId="0" borderId="0" xfId="63" applyFont="1" applyBorder="1"/>
    <xf numFmtId="0" fontId="1" fillId="0" borderId="0" xfId="80" applyFont="1" applyBorder="1"/>
    <xf numFmtId="1" fontId="68" fillId="0" borderId="0" xfId="100" applyNumberFormat="1" applyFont="1" applyFill="1" applyBorder="1" applyAlignment="1">
      <alignment horizontal="center" wrapText="1"/>
    </xf>
    <xf numFmtId="0" fontId="63" fillId="0" borderId="0" xfId="80" applyFont="1" applyAlignment="1">
      <alignment horizontal="right"/>
    </xf>
    <xf numFmtId="0" fontId="62" fillId="25" borderId="20" xfId="74" applyFont="1" applyFill="1" applyBorder="1"/>
    <xf numFmtId="0" fontId="69" fillId="0" borderId="0" xfId="63" applyFont="1" applyBorder="1"/>
    <xf numFmtId="0" fontId="1" fillId="0" borderId="0" xfId="80" applyNumberFormat="1" applyFont="1" applyBorder="1"/>
    <xf numFmtId="0" fontId="63" fillId="25" borderId="0" xfId="80" applyFont="1" applyFill="1" applyAlignment="1">
      <alignment horizontal="right"/>
    </xf>
    <xf numFmtId="0" fontId="63" fillId="0" borderId="0" xfId="80" applyFont="1" applyAlignment="1">
      <alignment wrapText="1"/>
    </xf>
    <xf numFmtId="1" fontId="1" fillId="0" borderId="0" xfId="63" applyNumberFormat="1" applyFont="1" applyBorder="1" applyAlignment="1">
      <alignment horizontal="right"/>
    </xf>
    <xf numFmtId="37" fontId="27" fillId="0" borderId="0" xfId="74" applyNumberFormat="1" applyFont="1" applyFill="1" applyBorder="1"/>
    <xf numFmtId="207" fontId="7" fillId="0" borderId="0" xfId="66" applyNumberFormat="1" applyFont="1" applyFill="1" applyBorder="1"/>
    <xf numFmtId="209" fontId="7" fillId="0" borderId="17" xfId="63" applyNumberFormat="1" applyFont="1" applyBorder="1" applyAlignment="1">
      <alignment horizontal="right"/>
    </xf>
    <xf numFmtId="37" fontId="2" fillId="0" borderId="0" xfId="74" applyNumberFormat="1" applyFont="1" applyFill="1" applyBorder="1"/>
    <xf numFmtId="207" fontId="8" fillId="0" borderId="0" xfId="66" applyNumberFormat="1" applyFont="1" applyFill="1" applyBorder="1"/>
    <xf numFmtId="190" fontId="1" fillId="0" borderId="0" xfId="80" applyNumberFormat="1" applyFont="1" applyAlignment="1">
      <alignment horizontal="right"/>
    </xf>
    <xf numFmtId="0" fontId="1" fillId="0" borderId="0" xfId="66" applyFont="1" applyFill="1" applyBorder="1"/>
    <xf numFmtId="191" fontId="1" fillId="0" borderId="0" xfId="41" applyNumberFormat="1" applyFont="1" applyFill="1" applyBorder="1" applyAlignment="1">
      <alignment horizontal="right"/>
    </xf>
    <xf numFmtId="191" fontId="1" fillId="0" borderId="0" xfId="41" applyNumberFormat="1" applyFont="1" applyFill="1" applyAlignment="1">
      <alignment horizontal="right"/>
    </xf>
    <xf numFmtId="207" fontId="1" fillId="0" borderId="0" xfId="66" applyNumberFormat="1" applyFont="1" applyFill="1" applyBorder="1" applyAlignment="1" applyProtection="1">
      <alignment horizontal="left"/>
    </xf>
    <xf numFmtId="191" fontId="1" fillId="0" borderId="16" xfId="41" applyNumberFormat="1" applyFont="1" applyFill="1" applyBorder="1" applyAlignment="1">
      <alignment horizontal="right"/>
    </xf>
    <xf numFmtId="0" fontId="2" fillId="0" borderId="0" xfId="66" applyFont="1" applyFill="1" applyBorder="1"/>
    <xf numFmtId="191" fontId="2" fillId="0" borderId="0" xfId="41" applyNumberFormat="1" applyFont="1" applyFill="1" applyAlignment="1">
      <alignment horizontal="right"/>
    </xf>
    <xf numFmtId="0" fontId="7" fillId="0" borderId="0" xfId="66" applyFont="1" applyFill="1" applyBorder="1"/>
    <xf numFmtId="190" fontId="1" fillId="0" borderId="0" xfId="80" applyNumberFormat="1" applyFont="1" applyFill="1" applyBorder="1" applyAlignment="1">
      <alignment horizontal="right"/>
    </xf>
    <xf numFmtId="190" fontId="1" fillId="0" borderId="0" xfId="80" applyNumberFormat="1" applyFont="1" applyFill="1" applyAlignment="1">
      <alignment horizontal="right"/>
    </xf>
    <xf numFmtId="0" fontId="1" fillId="0" borderId="0" xfId="80" applyFont="1" applyBorder="1" applyAlignment="1">
      <alignment wrapText="1"/>
    </xf>
    <xf numFmtId="0" fontId="7" fillId="0" borderId="0" xfId="80" applyFont="1" applyFill="1" applyBorder="1"/>
    <xf numFmtId="210" fontId="7" fillId="0" borderId="0" xfId="60" applyNumberFormat="1" applyFont="1" applyFill="1" applyBorder="1" applyAlignment="1">
      <alignment horizontal="right"/>
    </xf>
    <xf numFmtId="209" fontId="67" fillId="0" borderId="0" xfId="63" applyNumberFormat="1" applyFont="1" applyFill="1" applyBorder="1" applyAlignment="1">
      <alignment horizontal="right"/>
    </xf>
    <xf numFmtId="0" fontId="63" fillId="0" borderId="0" xfId="80" applyFont="1" applyBorder="1"/>
    <xf numFmtId="0" fontId="1" fillId="0" borderId="0" xfId="66" applyFont="1" applyFill="1" applyBorder="1" applyAlignment="1">
      <alignment horizontal="left"/>
    </xf>
    <xf numFmtId="191" fontId="1" fillId="0" borderId="0" xfId="80" applyNumberFormat="1" applyFont="1" applyFill="1" applyAlignment="1">
      <alignment horizontal="right"/>
    </xf>
    <xf numFmtId="191" fontId="63" fillId="0" borderId="0" xfId="80" applyNumberFormat="1" applyFont="1"/>
    <xf numFmtId="0" fontId="1" fillId="0" borderId="0" xfId="80" applyFont="1" applyFill="1" applyBorder="1" applyAlignment="1">
      <alignment horizontal="left" indent="1"/>
    </xf>
    <xf numFmtId="191" fontId="1" fillId="0" borderId="16" xfId="80" applyNumberFormat="1" applyFont="1" applyFill="1" applyBorder="1" applyAlignment="1">
      <alignment horizontal="right"/>
    </xf>
    <xf numFmtId="0" fontId="2" fillId="0" borderId="0" xfId="80" applyFont="1" applyFill="1" applyBorder="1"/>
    <xf numFmtId="191" fontId="2" fillId="0" borderId="0" xfId="80" applyNumberFormat="1" applyFont="1" applyFill="1" applyAlignment="1">
      <alignment horizontal="right"/>
    </xf>
    <xf numFmtId="210" fontId="7" fillId="0" borderId="0" xfId="60" applyNumberFormat="1" applyFont="1" applyBorder="1" applyAlignment="1">
      <alignment horizontal="right"/>
    </xf>
    <xf numFmtId="209" fontId="67" fillId="0" borderId="0" xfId="63" applyNumberFormat="1" applyFont="1" applyBorder="1" applyAlignment="1">
      <alignment horizontal="right"/>
    </xf>
    <xf numFmtId="0" fontId="1" fillId="0" borderId="0" xfId="66" applyFont="1" applyFill="1" applyBorder="1" applyAlignment="1">
      <alignment horizontal="left" indent="1"/>
    </xf>
    <xf numFmtId="0" fontId="1" fillId="0" borderId="0" xfId="66" applyFont="1" applyFill="1" applyBorder="1" applyAlignment="1">
      <alignment horizontal="left" indent="2"/>
    </xf>
    <xf numFmtId="0" fontId="2" fillId="0" borderId="0" xfId="80" applyFont="1" applyAlignment="1">
      <alignment wrapText="1"/>
    </xf>
    <xf numFmtId="0" fontId="58" fillId="0" borderId="0" xfId="80" applyFont="1"/>
    <xf numFmtId="0" fontId="2" fillId="0" borderId="0" xfId="66" applyFont="1" applyFill="1" applyBorder="1" applyAlignment="1">
      <alignment horizontal="left" indent="1"/>
    </xf>
    <xf numFmtId="0" fontId="2" fillId="0" borderId="0" xfId="80" applyFont="1"/>
    <xf numFmtId="0" fontId="70" fillId="0" borderId="20" xfId="80" applyFont="1" applyBorder="1"/>
    <xf numFmtId="0" fontId="8" fillId="0" borderId="0" xfId="66" applyFont="1" applyFill="1" applyBorder="1" applyAlignment="1">
      <alignment horizontal="left" indent="1"/>
    </xf>
    <xf numFmtId="191" fontId="71" fillId="0" borderId="0" xfId="80" applyNumberFormat="1" applyFont="1" applyAlignment="1">
      <alignment horizontal="right"/>
    </xf>
    <xf numFmtId="0" fontId="1" fillId="25" borderId="0" xfId="80" applyFont="1" applyFill="1" applyAlignment="1">
      <alignment wrapText="1"/>
    </xf>
    <xf numFmtId="0" fontId="63" fillId="25" borderId="0" xfId="80" applyFont="1" applyFill="1"/>
    <xf numFmtId="0" fontId="1" fillId="25" borderId="0" xfId="80" applyFont="1" applyFill="1" applyBorder="1"/>
    <xf numFmtId="0" fontId="7" fillId="25" borderId="0" xfId="80" applyFont="1" applyFill="1" applyBorder="1"/>
    <xf numFmtId="9" fontId="67" fillId="25" borderId="7" xfId="90" applyFont="1" applyFill="1" applyBorder="1" applyAlignment="1">
      <alignment horizontal="right"/>
    </xf>
    <xf numFmtId="9" fontId="1" fillId="25" borderId="0" xfId="90" applyFont="1" applyFill="1" applyAlignment="1">
      <alignment horizontal="right"/>
    </xf>
    <xf numFmtId="9" fontId="1" fillId="25" borderId="0" xfId="90" applyFont="1" applyFill="1"/>
    <xf numFmtId="0" fontId="1" fillId="25" borderId="0" xfId="80" applyFont="1" applyFill="1"/>
    <xf numFmtId="0" fontId="65" fillId="25" borderId="20" xfId="80" applyFont="1" applyFill="1" applyBorder="1"/>
    <xf numFmtId="0" fontId="8" fillId="0" borderId="0" xfId="80" applyFont="1" applyBorder="1"/>
    <xf numFmtId="191" fontId="8" fillId="0" borderId="0" xfId="80" applyNumberFormat="1" applyFont="1" applyAlignment="1">
      <alignment horizontal="right"/>
    </xf>
    <xf numFmtId="0" fontId="2" fillId="0" borderId="0" xfId="66" applyFont="1" applyBorder="1"/>
    <xf numFmtId="0" fontId="7" fillId="0" borderId="0" xfId="66" applyFont="1" applyBorder="1"/>
    <xf numFmtId="0" fontId="2" fillId="0" borderId="0" xfId="80" applyFont="1" applyBorder="1" applyAlignment="1">
      <alignment horizontal="left" indent="1"/>
    </xf>
    <xf numFmtId="0" fontId="8" fillId="0" borderId="0" xfId="80" applyFont="1" applyBorder="1" applyAlignment="1">
      <alignment horizontal="left" indent="1"/>
    </xf>
    <xf numFmtId="0" fontId="7" fillId="0" borderId="0" xfId="80" applyFont="1" applyBorder="1" applyAlignment="1">
      <alignment horizontal="left" indent="1"/>
    </xf>
    <xf numFmtId="191" fontId="8" fillId="0" borderId="0" xfId="80" applyNumberFormat="1" applyFont="1" applyFill="1" applyAlignment="1">
      <alignment horizontal="right"/>
    </xf>
    <xf numFmtId="191" fontId="1" fillId="0" borderId="0" xfId="80" applyNumberFormat="1" applyFont="1" applyAlignment="1">
      <alignment horizontal="right"/>
    </xf>
    <xf numFmtId="182" fontId="1" fillId="0" borderId="0" xfId="80" applyNumberFormat="1" applyFont="1" applyAlignment="1">
      <alignment horizontal="right"/>
    </xf>
    <xf numFmtId="0" fontId="72" fillId="0" borderId="0" xfId="80" applyFont="1" applyBorder="1"/>
    <xf numFmtId="0" fontId="7" fillId="0" borderId="0" xfId="80" applyFont="1" applyBorder="1"/>
    <xf numFmtId="0" fontId="73" fillId="0" borderId="0" xfId="80" applyFont="1" applyAlignment="1">
      <alignment wrapText="1"/>
    </xf>
    <xf numFmtId="0" fontId="74" fillId="0" borderId="0" xfId="80" applyFont="1"/>
    <xf numFmtId="0" fontId="29" fillId="0" borderId="0" xfId="80" applyFont="1" applyBorder="1"/>
    <xf numFmtId="0" fontId="73" fillId="0" borderId="0" xfId="80" applyFont="1" applyBorder="1"/>
    <xf numFmtId="0" fontId="73" fillId="0" borderId="0" xfId="80" applyFont="1"/>
    <xf numFmtId="0" fontId="75" fillId="0" borderId="20" xfId="80" applyFont="1" applyBorder="1"/>
    <xf numFmtId="182" fontId="1" fillId="25" borderId="0" xfId="80" applyNumberFormat="1" applyFont="1" applyFill="1" applyAlignment="1">
      <alignment wrapText="1"/>
    </xf>
    <xf numFmtId="182" fontId="1" fillId="26" borderId="0" xfId="80" applyNumberFormat="1" applyFont="1" applyFill="1" applyAlignment="1"/>
    <xf numFmtId="182" fontId="1" fillId="26" borderId="0" xfId="80" applyNumberFormat="1" applyFont="1" applyFill="1" applyAlignment="1">
      <alignment wrapText="1"/>
    </xf>
    <xf numFmtId="182" fontId="28" fillId="25" borderId="0" xfId="80" applyNumberFormat="1" applyFont="1" applyFill="1" applyAlignment="1">
      <alignment wrapText="1"/>
    </xf>
    <xf numFmtId="182" fontId="76" fillId="25" borderId="0" xfId="80" applyNumberFormat="1" applyFont="1" applyFill="1" applyBorder="1" applyAlignment="1">
      <alignment horizontal="right"/>
    </xf>
    <xf numFmtId="182" fontId="63" fillId="25" borderId="0" xfId="80" applyNumberFormat="1" applyFont="1" applyFill="1" applyAlignment="1">
      <alignment wrapText="1"/>
    </xf>
    <xf numFmtId="182" fontId="28" fillId="25" borderId="0" xfId="90" applyNumberFormat="1" applyFont="1" applyFill="1" applyBorder="1"/>
    <xf numFmtId="182" fontId="1" fillId="25" borderId="0" xfId="80" applyNumberFormat="1" applyFont="1" applyFill="1" applyAlignment="1"/>
    <xf numFmtId="182" fontId="28" fillId="0" borderId="0" xfId="90" applyNumberFormat="1" applyFont="1" applyFill="1" applyBorder="1"/>
    <xf numFmtId="165" fontId="1" fillId="0" borderId="0" xfId="80" applyNumberFormat="1" applyFont="1" applyFill="1" applyAlignment="1">
      <alignment horizontal="right"/>
    </xf>
    <xf numFmtId="0" fontId="8" fillId="0" borderId="0" xfId="80" applyFont="1" applyFill="1" applyBorder="1"/>
    <xf numFmtId="191" fontId="28" fillId="0" borderId="0" xfId="41" applyNumberFormat="1" applyFont="1" applyFill="1" applyAlignment="1">
      <alignment horizontal="right"/>
    </xf>
    <xf numFmtId="191" fontId="1" fillId="0" borderId="0" xfId="41" applyNumberFormat="1" applyFont="1" applyAlignment="1">
      <alignment horizontal="right"/>
    </xf>
    <xf numFmtId="182" fontId="1" fillId="0" borderId="0" xfId="90" applyNumberFormat="1" applyFont="1" applyBorder="1" applyAlignment="1">
      <alignment horizontal="right"/>
    </xf>
    <xf numFmtId="182" fontId="28" fillId="0" borderId="0" xfId="90" applyNumberFormat="1" applyFont="1" applyFill="1" applyBorder="1" applyAlignment="1">
      <alignment horizontal="right"/>
    </xf>
    <xf numFmtId="208" fontId="1" fillId="0" borderId="0" xfId="60" applyNumberFormat="1" applyFont="1" applyBorder="1" applyAlignment="1">
      <alignment horizontal="right"/>
    </xf>
    <xf numFmtId="182" fontId="1" fillId="0" borderId="0" xfId="60" quotePrefix="1" applyNumberFormat="1" applyFont="1" applyBorder="1" applyAlignment="1">
      <alignment horizontal="right"/>
    </xf>
    <xf numFmtId="209" fontId="28" fillId="0" borderId="0" xfId="63" applyNumberFormat="1" applyFont="1" applyBorder="1" applyAlignment="1">
      <alignment horizontal="right"/>
    </xf>
    <xf numFmtId="191" fontId="1" fillId="0" borderId="0" xfId="63" applyNumberFormat="1" applyFont="1" applyBorder="1" applyAlignment="1">
      <alignment horizontal="right"/>
    </xf>
    <xf numFmtId="188" fontId="1" fillId="0" borderId="0" xfId="90" applyNumberFormat="1" applyFont="1" applyBorder="1" applyAlignment="1">
      <alignment horizontal="right"/>
    </xf>
    <xf numFmtId="191" fontId="1" fillId="0" borderId="0" xfId="63" applyNumberFormat="1" applyFont="1" applyFill="1" applyBorder="1" applyAlignment="1">
      <alignment horizontal="right"/>
    </xf>
    <xf numFmtId="182" fontId="1" fillId="0" borderId="0" xfId="90" applyNumberFormat="1" applyFont="1" applyFill="1" applyBorder="1" applyAlignment="1">
      <alignment horizontal="right"/>
    </xf>
    <xf numFmtId="182" fontId="67" fillId="24" borderId="7" xfId="90" applyNumberFormat="1" applyFont="1" applyFill="1" applyBorder="1" applyAlignment="1">
      <alignment horizontal="right"/>
    </xf>
    <xf numFmtId="0" fontId="1" fillId="0" borderId="0" xfId="74" applyNumberFormat="1" applyFont="1"/>
    <xf numFmtId="182" fontId="1" fillId="25" borderId="0" xfId="90" applyNumberFormat="1" applyFont="1" applyFill="1" applyBorder="1" applyAlignment="1">
      <alignment horizontal="right"/>
    </xf>
    <xf numFmtId="9" fontId="28" fillId="25" borderId="0" xfId="90" applyNumberFormat="1" applyFont="1" applyFill="1" applyBorder="1" applyAlignment="1">
      <alignment horizontal="right"/>
    </xf>
    <xf numFmtId="0" fontId="7" fillId="0" borderId="0" xfId="80" applyFont="1" applyAlignment="1">
      <alignment wrapText="1"/>
    </xf>
    <xf numFmtId="0" fontId="69" fillId="0" borderId="0" xfId="80" applyFont="1" applyBorder="1"/>
    <xf numFmtId="9" fontId="77" fillId="0" borderId="0" xfId="90" applyFont="1" applyFill="1" applyBorder="1" applyAlignment="1">
      <alignment horizontal="right"/>
    </xf>
    <xf numFmtId="182" fontId="7" fillId="0" borderId="0" xfId="90" applyNumberFormat="1" applyFont="1" applyFill="1" applyBorder="1" applyAlignment="1">
      <alignment horizontal="right"/>
    </xf>
    <xf numFmtId="191" fontId="8" fillId="0" borderId="0" xfId="41" applyNumberFormat="1" applyFont="1" applyFill="1" applyBorder="1" applyAlignment="1">
      <alignment horizontal="right"/>
    </xf>
    <xf numFmtId="191" fontId="28" fillId="0" borderId="0" xfId="41" applyNumberFormat="1" applyFont="1" applyFill="1" applyBorder="1" applyAlignment="1">
      <alignment horizontal="right"/>
    </xf>
    <xf numFmtId="0" fontId="7" fillId="0" borderId="0" xfId="80" applyFont="1"/>
    <xf numFmtId="167" fontId="1" fillId="0" borderId="0" xfId="60" applyNumberFormat="1" applyFont="1" applyFill="1" applyBorder="1" applyAlignment="1">
      <alignment horizontal="right"/>
    </xf>
    <xf numFmtId="167" fontId="28" fillId="0" borderId="0" xfId="63" applyNumberFormat="1" applyFont="1" applyFill="1" applyBorder="1" applyAlignment="1">
      <alignment horizontal="right"/>
    </xf>
    <xf numFmtId="209" fontId="28" fillId="0" borderId="0" xfId="63" applyNumberFormat="1" applyFont="1" applyFill="1" applyBorder="1" applyAlignment="1">
      <alignment horizontal="right"/>
    </xf>
    <xf numFmtId="0" fontId="1" fillId="0" borderId="0" xfId="80" applyFont="1" applyBorder="1" applyAlignment="1">
      <alignment horizontal="left" indent="1"/>
    </xf>
    <xf numFmtId="182" fontId="59" fillId="0" borderId="0" xfId="90" applyNumberFormat="1" applyFont="1" applyFill="1" applyBorder="1" applyAlignment="1">
      <alignment horizontal="right"/>
    </xf>
    <xf numFmtId="9" fontId="28" fillId="0" borderId="0" xfId="90" applyFont="1" applyFill="1" applyBorder="1" applyAlignment="1">
      <alignment horizontal="right"/>
    </xf>
    <xf numFmtId="191" fontId="78" fillId="0" borderId="0" xfId="63" applyNumberFormat="1" applyFont="1" applyFill="1" applyBorder="1" applyAlignment="1">
      <alignment horizontal="right"/>
    </xf>
    <xf numFmtId="0" fontId="2" fillId="0" borderId="0" xfId="80" applyFont="1" applyBorder="1"/>
    <xf numFmtId="191" fontId="2" fillId="0" borderId="0" xfId="41" applyNumberFormat="1" applyFont="1" applyBorder="1" applyAlignment="1">
      <alignment horizontal="right"/>
    </xf>
    <xf numFmtId="0" fontId="73" fillId="0" borderId="0" xfId="80" applyFont="1" applyBorder="1" applyAlignment="1">
      <alignment horizontal="left" indent="2"/>
    </xf>
    <xf numFmtId="9" fontId="1" fillId="0" borderId="0" xfId="90" applyNumberFormat="1" applyFont="1" applyAlignment="1">
      <alignment horizontal="right"/>
    </xf>
    <xf numFmtId="177" fontId="28" fillId="0" borderId="0" xfId="36" applyNumberFormat="1" applyFont="1" applyFill="1" applyBorder="1"/>
    <xf numFmtId="9" fontId="1" fillId="0" borderId="0" xfId="90" applyFont="1" applyAlignment="1">
      <alignment horizontal="right"/>
    </xf>
    <xf numFmtId="182" fontId="1" fillId="0" borderId="0" xfId="90" applyNumberFormat="1" applyFont="1" applyAlignment="1">
      <alignment horizontal="right"/>
    </xf>
    <xf numFmtId="191" fontId="59" fillId="0" borderId="0" xfId="41" applyNumberFormat="1" applyFont="1" applyFill="1" applyBorder="1" applyAlignment="1">
      <alignment horizontal="right"/>
    </xf>
    <xf numFmtId="9" fontId="1" fillId="0" borderId="0" xfId="90" applyFont="1" applyFill="1" applyBorder="1" applyAlignment="1">
      <alignment horizontal="right"/>
    </xf>
    <xf numFmtId="191" fontId="28" fillId="0" borderId="0" xfId="63" applyNumberFormat="1" applyFont="1" applyBorder="1" applyAlignment="1">
      <alignment horizontal="right"/>
    </xf>
    <xf numFmtId="3" fontId="28" fillId="0" borderId="0" xfId="90" applyNumberFormat="1" applyFont="1" applyFill="1" applyBorder="1" applyAlignment="1">
      <alignment horizontal="right"/>
    </xf>
    <xf numFmtId="213" fontId="2" fillId="0" borderId="17" xfId="63" applyNumberFormat="1" applyFont="1" applyBorder="1" applyAlignment="1">
      <alignment horizontal="right"/>
    </xf>
    <xf numFmtId="0" fontId="1" fillId="0" borderId="0" xfId="80" applyFont="1" applyBorder="1" applyAlignment="1">
      <alignment horizontal="left"/>
    </xf>
    <xf numFmtId="191" fontId="28" fillId="0" borderId="0" xfId="41" applyNumberFormat="1" applyFont="1" applyBorder="1" applyAlignment="1">
      <alignment horizontal="right"/>
    </xf>
    <xf numFmtId="190" fontId="1" fillId="0" borderId="0" xfId="80" applyNumberFormat="1" applyFont="1" applyAlignment="1">
      <alignment wrapText="1"/>
    </xf>
    <xf numFmtId="207" fontId="1" fillId="0" borderId="0" xfId="66" applyNumberFormat="1" applyFont="1" applyBorder="1" applyAlignment="1" applyProtection="1">
      <alignment horizontal="left"/>
    </xf>
    <xf numFmtId="191" fontId="28" fillId="0" borderId="22" xfId="41" applyNumberFormat="1" applyFont="1" applyFill="1" applyBorder="1" applyAlignment="1">
      <alignment horizontal="right"/>
    </xf>
    <xf numFmtId="191" fontId="28" fillId="0" borderId="15" xfId="41" applyNumberFormat="1" applyFont="1" applyFill="1" applyBorder="1" applyAlignment="1">
      <alignment horizontal="right"/>
    </xf>
    <xf numFmtId="191" fontId="28" fillId="0" borderId="23" xfId="41" applyNumberFormat="1" applyFont="1" applyFill="1" applyBorder="1" applyAlignment="1">
      <alignment horizontal="right"/>
    </xf>
    <xf numFmtId="190" fontId="1" fillId="0" borderId="0" xfId="80" applyNumberFormat="1" applyFont="1"/>
    <xf numFmtId="190" fontId="65" fillId="0" borderId="20" xfId="80" applyNumberFormat="1" applyFont="1" applyBorder="1"/>
    <xf numFmtId="191" fontId="28" fillId="0" borderId="24" xfId="41" applyNumberFormat="1" applyFont="1" applyFill="1" applyBorder="1" applyAlignment="1">
      <alignment horizontal="right"/>
    </xf>
    <xf numFmtId="191" fontId="28" fillId="0" borderId="25" xfId="41" applyNumberFormat="1" applyFont="1" applyFill="1" applyBorder="1" applyAlignment="1">
      <alignment horizontal="right"/>
    </xf>
    <xf numFmtId="191" fontId="28" fillId="0" borderId="26" xfId="41" applyNumberFormat="1" applyFont="1" applyFill="1" applyBorder="1" applyAlignment="1">
      <alignment horizontal="right"/>
    </xf>
    <xf numFmtId="191" fontId="28" fillId="0" borderId="16" xfId="41" applyNumberFormat="1" applyFont="1" applyFill="1" applyBorder="1" applyAlignment="1">
      <alignment horizontal="right"/>
    </xf>
    <xf numFmtId="191" fontId="28" fillId="0" borderId="27" xfId="41" applyNumberFormat="1" applyFont="1" applyFill="1" applyBorder="1" applyAlignment="1">
      <alignment horizontal="right"/>
    </xf>
    <xf numFmtId="0" fontId="63" fillId="0" borderId="0" xfId="80" applyFont="1" applyFill="1" applyAlignment="1">
      <alignment vertical="justify" textRotation="90" readingOrder="2"/>
    </xf>
    <xf numFmtId="177" fontId="79" fillId="0" borderId="0" xfId="41" applyNumberFormat="1" applyFont="1" applyFill="1" applyBorder="1"/>
    <xf numFmtId="3" fontId="1" fillId="0" borderId="0" xfId="80" applyNumberFormat="1" applyFont="1"/>
    <xf numFmtId="190" fontId="1" fillId="0" borderId="0" xfId="80" applyNumberFormat="1" applyFont="1" applyBorder="1" applyAlignment="1">
      <alignment wrapText="1"/>
    </xf>
    <xf numFmtId="0" fontId="63" fillId="0" borderId="0" xfId="80" applyFont="1" applyFill="1" applyBorder="1" applyAlignment="1">
      <alignment vertical="justify" textRotation="90" readingOrder="2"/>
    </xf>
    <xf numFmtId="190" fontId="1" fillId="0" borderId="0" xfId="80" applyNumberFormat="1" applyFont="1" applyBorder="1"/>
    <xf numFmtId="177" fontId="1" fillId="0" borderId="0" xfId="41" applyNumberFormat="1" applyFont="1" applyFill="1" applyBorder="1"/>
    <xf numFmtId="191" fontId="80" fillId="0" borderId="0" xfId="41" applyNumberFormat="1" applyFont="1" applyFill="1" applyBorder="1" applyAlignment="1">
      <alignment horizontal="left" indent="1"/>
    </xf>
    <xf numFmtId="0" fontId="63" fillId="0" borderId="0" xfId="80" applyFont="1" applyBorder="1" applyAlignment="1">
      <alignment vertical="center" textRotation="90" readingOrder="2"/>
    </xf>
    <xf numFmtId="210" fontId="8" fillId="0" borderId="0" xfId="60" applyNumberFormat="1" applyFont="1" applyBorder="1" applyAlignment="1">
      <alignment horizontal="right"/>
    </xf>
    <xf numFmtId="209" fontId="8" fillId="0" borderId="0" xfId="63" applyNumberFormat="1" applyFont="1" applyBorder="1" applyAlignment="1">
      <alignment horizontal="right"/>
    </xf>
    <xf numFmtId="165" fontId="63" fillId="0" borderId="0" xfId="80" applyNumberFormat="1" applyFont="1" applyFill="1"/>
    <xf numFmtId="192" fontId="1" fillId="0" borderId="0" xfId="41" applyNumberFormat="1" applyFont="1" applyFill="1" applyBorder="1" applyAlignment="1">
      <alignment horizontal="right"/>
    </xf>
    <xf numFmtId="190" fontId="1" fillId="0" borderId="0" xfId="80" applyNumberFormat="1" applyFont="1" applyFill="1" applyAlignment="1">
      <alignment wrapText="1"/>
    </xf>
    <xf numFmtId="190" fontId="1" fillId="0" borderId="0" xfId="80" applyNumberFormat="1" applyFont="1" applyFill="1"/>
    <xf numFmtId="190" fontId="65" fillId="0" borderId="20" xfId="80" applyNumberFormat="1" applyFont="1" applyFill="1" applyBorder="1"/>
    <xf numFmtId="190" fontId="63" fillId="0" borderId="0" xfId="80" applyNumberFormat="1" applyFont="1"/>
    <xf numFmtId="191" fontId="1" fillId="0" borderId="0" xfId="41" applyNumberFormat="1" applyFont="1" applyBorder="1" applyAlignment="1">
      <alignment horizontal="right"/>
    </xf>
    <xf numFmtId="191" fontId="1" fillId="0" borderId="0" xfId="80" applyNumberFormat="1" applyFont="1" applyBorder="1" applyAlignment="1">
      <alignment horizontal="right"/>
    </xf>
    <xf numFmtId="192" fontId="1" fillId="0" borderId="0" xfId="80" applyNumberFormat="1" applyFont="1" applyAlignment="1">
      <alignment horizontal="right"/>
    </xf>
    <xf numFmtId="0" fontId="8" fillId="0" borderId="0" xfId="80" applyFont="1" applyFill="1" applyAlignment="1">
      <alignment wrapText="1"/>
    </xf>
    <xf numFmtId="0" fontId="8" fillId="0" borderId="0" xfId="80" applyFont="1" applyFill="1"/>
    <xf numFmtId="191" fontId="8" fillId="0" borderId="0" xfId="80" applyNumberFormat="1" applyFont="1" applyFill="1" applyBorder="1" applyAlignment="1">
      <alignment horizontal="right"/>
    </xf>
    <xf numFmtId="191" fontId="8" fillId="0" borderId="0" xfId="80" applyNumberFormat="1" applyFont="1" applyFill="1"/>
    <xf numFmtId="0" fontId="1" fillId="0" borderId="0" xfId="74" applyNumberFormat="1" applyFont="1" applyFill="1"/>
    <xf numFmtId="191" fontId="1" fillId="0" borderId="0" xfId="80" applyNumberFormat="1" applyFont="1" applyFill="1"/>
    <xf numFmtId="211" fontId="67" fillId="0" borderId="7" xfId="60" applyNumberFormat="1" applyFont="1" applyFill="1" applyBorder="1" applyAlignment="1">
      <alignment horizontal="right"/>
    </xf>
    <xf numFmtId="0" fontId="8" fillId="0" borderId="0" xfId="80" applyFont="1" applyFill="1" applyBorder="1" applyAlignment="1">
      <alignment wrapText="1"/>
    </xf>
    <xf numFmtId="212" fontId="8" fillId="0" borderId="0" xfId="60" applyNumberFormat="1" applyFont="1" applyFill="1" applyBorder="1" applyAlignment="1">
      <alignment horizontal="right"/>
    </xf>
    <xf numFmtId="191" fontId="8" fillId="0" borderId="0" xfId="80" applyNumberFormat="1" applyFont="1" applyFill="1" applyBorder="1"/>
    <xf numFmtId="165" fontId="8" fillId="0" borderId="0" xfId="80" applyNumberFormat="1" applyFont="1" applyFill="1" applyBorder="1" applyAlignment="1">
      <alignment horizontal="right"/>
    </xf>
    <xf numFmtId="192" fontId="8" fillId="0" borderId="0" xfId="80" applyNumberFormat="1" applyFont="1" applyFill="1" applyBorder="1" applyAlignment="1">
      <alignment horizontal="right"/>
    </xf>
    <xf numFmtId="0" fontId="1" fillId="0" borderId="0" xfId="66" applyNumberFormat="1" applyFont="1" applyFill="1" applyBorder="1" applyAlignment="1" applyProtection="1">
      <alignment horizontal="left"/>
    </xf>
    <xf numFmtId="192" fontId="1" fillId="0" borderId="0" xfId="80" applyNumberFormat="1" applyFont="1" applyFill="1" applyAlignment="1">
      <alignment horizontal="right"/>
    </xf>
    <xf numFmtId="192" fontId="1" fillId="0" borderId="0" xfId="80" applyNumberFormat="1" applyFont="1" applyFill="1" applyBorder="1" applyAlignment="1">
      <alignment horizontal="right"/>
    </xf>
    <xf numFmtId="191" fontId="63" fillId="0" borderId="0" xfId="80" applyNumberFormat="1" applyFont="1" applyFill="1"/>
    <xf numFmtId="0" fontId="1" fillId="0" borderId="0" xfId="80" applyFont="1" applyFill="1" applyBorder="1" applyAlignment="1">
      <alignment wrapText="1"/>
    </xf>
    <xf numFmtId="191" fontId="63" fillId="0" borderId="0" xfId="80" applyNumberFormat="1" applyFont="1" applyFill="1" applyBorder="1"/>
    <xf numFmtId="165" fontId="1" fillId="0" borderId="0" xfId="80" applyNumberFormat="1" applyFont="1" applyFill="1" applyBorder="1" applyAlignment="1">
      <alignment horizontal="right"/>
    </xf>
    <xf numFmtId="207" fontId="79" fillId="0" borderId="0" xfId="66" applyNumberFormat="1" applyFont="1" applyFill="1" applyBorder="1" applyAlignment="1" applyProtection="1">
      <alignment horizontal="left"/>
    </xf>
    <xf numFmtId="177" fontId="81" fillId="0" borderId="0" xfId="41" applyNumberFormat="1" applyFont="1" applyFill="1" applyBorder="1"/>
    <xf numFmtId="207" fontId="7" fillId="0" borderId="0" xfId="66" applyNumberFormat="1" applyFont="1" applyFill="1" applyBorder="1" applyAlignment="1" applyProtection="1">
      <alignment horizontal="left"/>
    </xf>
    <xf numFmtId="0" fontId="81" fillId="0" borderId="0" xfId="80" applyFont="1" applyFill="1" applyBorder="1"/>
    <xf numFmtId="0" fontId="1" fillId="0" borderId="0" xfId="80" applyFont="1" applyFill="1" applyAlignment="1">
      <alignment horizontal="center" wrapText="1"/>
    </xf>
    <xf numFmtId="0" fontId="63" fillId="0" borderId="0" xfId="80" applyFont="1" applyFill="1" applyAlignment="1">
      <alignment horizontal="center"/>
    </xf>
    <xf numFmtId="0" fontId="1" fillId="0" borderId="0" xfId="80" applyFont="1" applyFill="1" applyBorder="1" applyAlignment="1">
      <alignment horizontal="center"/>
    </xf>
    <xf numFmtId="0" fontId="1" fillId="0" borderId="0" xfId="80" applyFont="1" applyFill="1" applyAlignment="1">
      <alignment horizontal="center"/>
    </xf>
    <xf numFmtId="0" fontId="65" fillId="0" borderId="20" xfId="80" applyFont="1" applyFill="1" applyBorder="1" applyAlignment="1">
      <alignment horizontal="center"/>
    </xf>
    <xf numFmtId="0" fontId="23" fillId="0" borderId="0" xfId="80" applyFont="1" applyFill="1" applyBorder="1"/>
    <xf numFmtId="1" fontId="2" fillId="25" borderId="17" xfId="80" applyNumberFormat="1" applyFont="1" applyFill="1" applyBorder="1" applyAlignment="1">
      <alignment horizontal="right"/>
    </xf>
    <xf numFmtId="0" fontId="1" fillId="0" borderId="17" xfId="80" applyFont="1" applyFill="1" applyBorder="1" applyAlignment="1">
      <alignment horizontal="right"/>
    </xf>
    <xf numFmtId="0" fontId="1" fillId="0" borderId="17" xfId="80" applyFont="1" applyFill="1" applyBorder="1"/>
    <xf numFmtId="0" fontId="82" fillId="0" borderId="0" xfId="80" applyFont="1" applyFill="1" applyBorder="1"/>
    <xf numFmtId="0" fontId="1" fillId="0" borderId="0" xfId="80" applyFont="1" applyFill="1" applyBorder="1" applyAlignment="1">
      <alignment horizontal="right"/>
    </xf>
    <xf numFmtId="0" fontId="1" fillId="25" borderId="0" xfId="74" applyFont="1" applyFill="1" applyBorder="1"/>
    <xf numFmtId="0" fontId="1" fillId="25" borderId="0" xfId="74" applyFont="1" applyFill="1" applyBorder="1" applyAlignment="1">
      <alignment horizontal="center"/>
    </xf>
    <xf numFmtId="182" fontId="1" fillId="25" borderId="0" xfId="74" applyNumberFormat="1" applyFont="1" applyFill="1" applyBorder="1" applyAlignment="1">
      <alignment horizontal="right"/>
    </xf>
    <xf numFmtId="0" fontId="1" fillId="25" borderId="0" xfId="74" applyFont="1" applyFill="1"/>
    <xf numFmtId="0" fontId="65" fillId="25" borderId="0" xfId="74" applyFont="1" applyFill="1"/>
    <xf numFmtId="0" fontId="11" fillId="25" borderId="0" xfId="74" applyFill="1" applyBorder="1"/>
    <xf numFmtId="0" fontId="11" fillId="25" borderId="0" xfId="74" applyFill="1" applyBorder="1" applyAlignment="1">
      <alignment horizontal="center"/>
    </xf>
    <xf numFmtId="0" fontId="11" fillId="25" borderId="0" xfId="74" applyFill="1" applyBorder="1" applyAlignment="1">
      <alignment horizontal="right"/>
    </xf>
    <xf numFmtId="0" fontId="11" fillId="25" borderId="0" xfId="74" applyFill="1"/>
    <xf numFmtId="177" fontId="1" fillId="25" borderId="0" xfId="36" applyNumberFormat="1" applyFont="1" applyFill="1" applyBorder="1" applyAlignment="1">
      <alignment horizontal="right"/>
    </xf>
    <xf numFmtId="0" fontId="62" fillId="25" borderId="0" xfId="74" applyFont="1" applyFill="1"/>
    <xf numFmtId="0" fontId="1" fillId="25" borderId="0" xfId="74" applyFont="1" applyFill="1" applyBorder="1" applyAlignment="1">
      <alignment horizontal="right"/>
    </xf>
    <xf numFmtId="182" fontId="1" fillId="25" borderId="0" xfId="74" applyNumberFormat="1" applyFont="1" applyFill="1" applyBorder="1" applyAlignment="1">
      <alignment horizontal="center"/>
    </xf>
    <xf numFmtId="0" fontId="79" fillId="25" borderId="0" xfId="74" applyFont="1" applyFill="1" applyBorder="1" applyAlignment="1">
      <alignment horizontal="center"/>
    </xf>
    <xf numFmtId="167" fontId="79" fillId="25" borderId="0" xfId="74" applyNumberFormat="1" applyFont="1" applyFill="1" applyBorder="1" applyAlignment="1">
      <alignment horizontal="center"/>
    </xf>
    <xf numFmtId="167" fontId="1" fillId="25" borderId="0" xfId="74" applyNumberFormat="1" applyFont="1" applyFill="1" applyBorder="1" applyAlignment="1">
      <alignment horizontal="center"/>
    </xf>
    <xf numFmtId="0" fontId="14" fillId="25" borderId="0" xfId="0" applyFont="1" applyFill="1" applyAlignment="1">
      <alignment horizontal="left"/>
    </xf>
    <xf numFmtId="0" fontId="13" fillId="25" borderId="0" xfId="0" applyFont="1" applyFill="1" applyAlignment="1">
      <alignment horizontal="center"/>
    </xf>
    <xf numFmtId="0" fontId="13" fillId="25" borderId="0" xfId="0" applyFont="1" applyFill="1"/>
    <xf numFmtId="0" fontId="14" fillId="31" borderId="0" xfId="0" applyFont="1" applyFill="1"/>
    <xf numFmtId="0" fontId="13" fillId="31" borderId="0" xfId="0" applyFont="1" applyFill="1"/>
    <xf numFmtId="0" fontId="55" fillId="31" borderId="0" xfId="0" applyFont="1" applyFill="1" applyAlignment="1">
      <alignment horizontal="center"/>
    </xf>
    <xf numFmtId="0" fontId="55" fillId="31" borderId="28" xfId="0" applyFont="1" applyFill="1" applyBorder="1" applyAlignment="1">
      <alignment horizontal="centerContinuous"/>
    </xf>
    <xf numFmtId="0" fontId="20" fillId="31" borderId="28" xfId="0" applyFont="1" applyFill="1" applyBorder="1" applyAlignment="1">
      <alignment horizontal="centerContinuous"/>
    </xf>
    <xf numFmtId="0" fontId="20" fillId="31" borderId="29" xfId="0" applyFont="1" applyFill="1" applyBorder="1" applyAlignment="1">
      <alignment horizontal="centerContinuous"/>
    </xf>
    <xf numFmtId="5" fontId="13" fillId="25" borderId="0" xfId="0" applyNumberFormat="1" applyFont="1" applyFill="1" applyAlignment="1">
      <alignment horizontal="left"/>
    </xf>
    <xf numFmtId="5" fontId="15" fillId="24" borderId="0" xfId="0" applyNumberFormat="1" applyFont="1" applyFill="1" applyAlignment="1" applyProtection="1">
      <alignment horizontal="center"/>
    </xf>
    <xf numFmtId="5" fontId="14" fillId="25" borderId="0" xfId="0" applyNumberFormat="1" applyFont="1" applyFill="1" applyAlignment="1" applyProtection="1">
      <alignment horizontal="center"/>
    </xf>
    <xf numFmtId="6" fontId="14" fillId="25" borderId="0" xfId="0" applyNumberFormat="1" applyFont="1" applyFill="1" applyAlignment="1">
      <alignment horizontal="center"/>
    </xf>
    <xf numFmtId="1" fontId="21" fillId="24" borderId="0" xfId="0" applyNumberFormat="1" applyFont="1" applyFill="1" applyAlignment="1" applyProtection="1">
      <alignment horizontal="center"/>
    </xf>
    <xf numFmtId="1" fontId="13" fillId="25" borderId="0" xfId="0" applyNumberFormat="1" applyFont="1" applyFill="1" applyAlignment="1" applyProtection="1">
      <alignment horizontal="center"/>
    </xf>
    <xf numFmtId="188" fontId="13" fillId="25" borderId="0" xfId="0" applyNumberFormat="1" applyFont="1" applyFill="1" applyAlignment="1" applyProtection="1">
      <alignment horizontal="center"/>
    </xf>
    <xf numFmtId="214" fontId="13" fillId="25" borderId="0" xfId="0" applyNumberFormat="1" applyFont="1" applyFill="1" applyAlignment="1">
      <alignment horizontal="center"/>
    </xf>
    <xf numFmtId="37" fontId="13" fillId="25" borderId="0" xfId="0" applyNumberFormat="1" applyFont="1" applyFill="1" applyAlignment="1" applyProtection="1">
      <alignment horizontal="center"/>
    </xf>
    <xf numFmtId="6" fontId="13" fillId="25" borderId="0" xfId="0" applyNumberFormat="1" applyFont="1" applyFill="1" applyAlignment="1">
      <alignment horizontal="center"/>
    </xf>
    <xf numFmtId="1" fontId="21" fillId="25" borderId="0" xfId="0" applyNumberFormat="1" applyFont="1" applyFill="1" applyAlignment="1" applyProtection="1">
      <alignment horizontal="center"/>
    </xf>
    <xf numFmtId="39" fontId="13" fillId="25" borderId="0" xfId="0" applyNumberFormat="1" applyFont="1" applyFill="1" applyAlignment="1" applyProtection="1">
      <alignment horizontal="center"/>
    </xf>
    <xf numFmtId="7" fontId="14" fillId="25" borderId="0" xfId="0" applyNumberFormat="1" applyFont="1" applyFill="1" applyAlignment="1" applyProtection="1">
      <alignment horizontal="center"/>
    </xf>
    <xf numFmtId="8" fontId="14" fillId="25" borderId="0" xfId="0" applyNumberFormat="1" applyFont="1" applyFill="1" applyAlignment="1">
      <alignment horizontal="center"/>
    </xf>
    <xf numFmtId="176" fontId="13" fillId="25" borderId="0" xfId="36" applyNumberFormat="1" applyFont="1" applyFill="1" applyAlignment="1"/>
    <xf numFmtId="37" fontId="21" fillId="24" borderId="0" xfId="0" applyNumberFormat="1" applyFont="1" applyFill="1" applyAlignment="1" applyProtection="1">
      <alignment horizontal="center"/>
    </xf>
    <xf numFmtId="5" fontId="14" fillId="25" borderId="0" xfId="0" applyNumberFormat="1" applyFont="1" applyFill="1" applyAlignment="1">
      <alignment horizontal="left"/>
    </xf>
    <xf numFmtId="164" fontId="21" fillId="24" borderId="0" xfId="0" applyNumberFormat="1" applyFont="1" applyFill="1" applyAlignment="1" applyProtection="1">
      <alignment horizontal="center"/>
    </xf>
    <xf numFmtId="164" fontId="13" fillId="25" borderId="0" xfId="0" applyNumberFormat="1" applyFont="1" applyFill="1" applyAlignment="1" applyProtection="1">
      <alignment horizontal="center"/>
    </xf>
    <xf numFmtId="10" fontId="13" fillId="25" borderId="0" xfId="0" applyNumberFormat="1" applyFont="1" applyFill="1" applyAlignment="1" applyProtection="1">
      <alignment horizontal="center"/>
    </xf>
    <xf numFmtId="188" fontId="15" fillId="24" borderId="0" xfId="0" applyNumberFormat="1" applyFont="1" applyFill="1" applyAlignment="1" applyProtection="1">
      <alignment horizontal="center"/>
    </xf>
    <xf numFmtId="188" fontId="21" fillId="25" borderId="0" xfId="0" applyNumberFormat="1" applyFont="1" applyFill="1" applyAlignment="1" applyProtection="1">
      <alignment horizontal="center"/>
    </xf>
    <xf numFmtId="182" fontId="13" fillId="25" borderId="0" xfId="90" applyNumberFormat="1" applyFont="1" applyFill="1" applyAlignment="1">
      <alignment horizontal="center"/>
    </xf>
    <xf numFmtId="188" fontId="21" fillId="24" borderId="0" xfId="0" applyNumberFormat="1" applyFont="1" applyFill="1" applyAlignment="1" applyProtection="1">
      <alignment horizontal="center"/>
    </xf>
    <xf numFmtId="9" fontId="13" fillId="25" borderId="0" xfId="90" applyFont="1" applyFill="1" applyAlignment="1">
      <alignment horizontal="center"/>
    </xf>
    <xf numFmtId="0" fontId="16" fillId="25" borderId="0" xfId="0" applyFont="1" applyFill="1"/>
    <xf numFmtId="5" fontId="13" fillId="25" borderId="0" xfId="0" applyNumberFormat="1" applyFont="1" applyFill="1" applyAlignment="1">
      <alignment horizontal="left" indent="1"/>
    </xf>
    <xf numFmtId="8" fontId="13" fillId="25" borderId="0" xfId="0" applyNumberFormat="1" applyFont="1" applyFill="1" applyAlignment="1">
      <alignment horizontal="center"/>
    </xf>
    <xf numFmtId="5" fontId="14" fillId="25" borderId="0" xfId="0" applyNumberFormat="1" applyFont="1" applyFill="1" applyAlignment="1">
      <alignment horizontal="left" indent="1"/>
    </xf>
    <xf numFmtId="0" fontId="14" fillId="25" borderId="0" xfId="0" applyFont="1" applyFill="1" applyAlignment="1">
      <alignment horizontal="center"/>
    </xf>
    <xf numFmtId="5" fontId="13" fillId="25" borderId="0" xfId="0" applyNumberFormat="1" applyFont="1" applyFill="1" applyBorder="1" applyAlignment="1">
      <alignment horizontal="left"/>
    </xf>
    <xf numFmtId="194" fontId="11" fillId="25" borderId="0" xfId="0" applyNumberFormat="1" applyFont="1" applyFill="1"/>
    <xf numFmtId="5" fontId="13" fillId="25" borderId="16" xfId="0" applyNumberFormat="1" applyFont="1" applyFill="1" applyBorder="1" applyAlignment="1">
      <alignment horizontal="left"/>
    </xf>
    <xf numFmtId="194" fontId="11" fillId="25" borderId="16" xfId="0" applyNumberFormat="1" applyFont="1" applyFill="1" applyBorder="1"/>
    <xf numFmtId="165" fontId="21" fillId="24" borderId="0" xfId="0" applyNumberFormat="1" applyFont="1" applyFill="1" applyAlignment="1" applyProtection="1">
      <alignment horizontal="center"/>
    </xf>
    <xf numFmtId="5" fontId="21" fillId="24" borderId="0" xfId="0" applyNumberFormat="1" applyFont="1" applyFill="1" applyAlignment="1" applyProtection="1">
      <alignment horizontal="center"/>
    </xf>
    <xf numFmtId="5" fontId="21" fillId="24" borderId="0" xfId="0" applyNumberFormat="1" applyFont="1" applyFill="1"/>
    <xf numFmtId="7" fontId="15" fillId="24" borderId="0" xfId="0" applyNumberFormat="1" applyFont="1" applyFill="1" applyAlignment="1" applyProtection="1">
      <alignment horizontal="center"/>
    </xf>
    <xf numFmtId="191" fontId="124" fillId="0" borderId="16" xfId="41" applyNumberFormat="1" applyFont="1" applyFill="1" applyBorder="1" applyAlignment="1">
      <alignment horizontal="right"/>
    </xf>
    <xf numFmtId="37" fontId="13" fillId="25" borderId="0" xfId="0" applyNumberFormat="1" applyFont="1" applyFill="1"/>
    <xf numFmtId="37" fontId="8" fillId="0" borderId="0" xfId="0" applyNumberFormat="1" applyFont="1"/>
    <xf numFmtId="0" fontId="8" fillId="0" borderId="0" xfId="0" applyFont="1" applyAlignment="1">
      <alignment horizontal="left" indent="1"/>
    </xf>
    <xf numFmtId="182" fontId="125" fillId="0" borderId="0" xfId="0" applyNumberFormat="1" applyFont="1"/>
    <xf numFmtId="37" fontId="125" fillId="0" borderId="0" xfId="0" applyNumberFormat="1" applyFont="1"/>
    <xf numFmtId="0" fontId="81" fillId="26" borderId="0" xfId="0" applyFont="1" applyFill="1"/>
    <xf numFmtId="37" fontId="29" fillId="0" borderId="0" xfId="78" applyFont="1" applyAlignment="1" applyProtection="1">
      <alignment horizontal="left"/>
    </xf>
    <xf numFmtId="0" fontId="2" fillId="0" borderId="0" xfId="0" applyFont="1" applyAlignment="1">
      <alignment horizontal="centerContinuous"/>
    </xf>
    <xf numFmtId="0" fontId="8" fillId="0" borderId="0" xfId="0" applyFont="1" applyAlignment="1">
      <alignment horizontal="centerContinuous"/>
    </xf>
    <xf numFmtId="0" fontId="8" fillId="0" borderId="0" xfId="0" applyFont="1" applyBorder="1"/>
    <xf numFmtId="0" fontId="2" fillId="0" borderId="17" xfId="0" applyFont="1" applyBorder="1" applyAlignment="1">
      <alignment horizontal="centerContinuous"/>
    </xf>
    <xf numFmtId="0" fontId="23" fillId="0" borderId="17" xfId="0" applyFont="1" applyBorder="1" applyAlignment="1">
      <alignment horizontal="centerContinuous"/>
    </xf>
    <xf numFmtId="0" fontId="2" fillId="26" borderId="15" xfId="0" applyFont="1" applyFill="1" applyBorder="1" applyAlignment="1">
      <alignment horizontal="center"/>
    </xf>
    <xf numFmtId="0" fontId="2" fillId="0" borderId="22" xfId="0" applyFont="1" applyBorder="1" applyAlignment="1">
      <alignment horizontal="center"/>
    </xf>
    <xf numFmtId="0" fontId="2" fillId="0" borderId="15" xfId="0" applyFont="1" applyBorder="1" applyAlignment="1">
      <alignment horizontal="center"/>
    </xf>
    <xf numFmtId="0" fontId="23" fillId="0" borderId="15" xfId="0" applyFont="1" applyBorder="1" applyAlignment="1">
      <alignment horizontal="center"/>
    </xf>
    <xf numFmtId="0" fontId="23" fillId="0" borderId="23" xfId="0" applyFont="1" applyBorder="1" applyAlignment="1">
      <alignment horizontal="center"/>
    </xf>
    <xf numFmtId="0" fontId="80" fillId="26" borderId="0" xfId="0" applyFont="1" applyFill="1" applyBorder="1" applyAlignment="1">
      <alignment horizontal="center"/>
    </xf>
    <xf numFmtId="0" fontId="80" fillId="0" borderId="0" xfId="0" applyFont="1" applyBorder="1" applyAlignment="1">
      <alignment horizontal="center"/>
    </xf>
    <xf numFmtId="0" fontId="80" fillId="0" borderId="24" xfId="0" applyFont="1" applyBorder="1" applyAlignment="1">
      <alignment horizontal="center"/>
    </xf>
    <xf numFmtId="0" fontId="80" fillId="0" borderId="25" xfId="0" applyFont="1" applyBorder="1" applyAlignment="1">
      <alignment horizontal="center"/>
    </xf>
    <xf numFmtId="0" fontId="8" fillId="26" borderId="0" xfId="0" applyFont="1" applyFill="1" applyBorder="1"/>
    <xf numFmtId="0" fontId="8" fillId="0" borderId="24" xfId="0" applyFont="1" applyBorder="1"/>
    <xf numFmtId="0" fontId="8" fillId="0" borderId="25" xfId="0" applyFont="1" applyBorder="1"/>
    <xf numFmtId="183" fontId="8" fillId="0" borderId="0" xfId="42" applyNumberFormat="1" applyFont="1"/>
    <xf numFmtId="183" fontId="8" fillId="26" borderId="0" xfId="42" applyNumberFormat="1" applyFont="1" applyFill="1" applyBorder="1"/>
    <xf numFmtId="183" fontId="8" fillId="0" borderId="0" xfId="42" applyNumberFormat="1" applyFont="1" applyBorder="1"/>
    <xf numFmtId="183" fontId="8" fillId="0" borderId="24" xfId="42" applyNumberFormat="1" applyFont="1" applyFill="1" applyBorder="1"/>
    <xf numFmtId="183" fontId="8" fillId="0" borderId="25" xfId="42" applyNumberFormat="1" applyFont="1" applyFill="1" applyBorder="1"/>
    <xf numFmtId="0" fontId="8" fillId="0" borderId="24" xfId="0" applyFont="1" applyFill="1" applyBorder="1"/>
    <xf numFmtId="0" fontId="8" fillId="0" borderId="25" xfId="0" applyFont="1" applyFill="1" applyBorder="1"/>
    <xf numFmtId="176" fontId="8" fillId="0" borderId="0" xfId="36" applyNumberFormat="1" applyFont="1"/>
    <xf numFmtId="176" fontId="8" fillId="26" borderId="0" xfId="36" applyNumberFormat="1" applyFont="1" applyFill="1" applyBorder="1"/>
    <xf numFmtId="176" fontId="8" fillId="0" borderId="0" xfId="36" applyNumberFormat="1" applyFont="1" applyBorder="1"/>
    <xf numFmtId="176" fontId="8" fillId="0" borderId="24" xfId="36" applyNumberFormat="1" applyFont="1" applyFill="1" applyBorder="1"/>
    <xf numFmtId="176" fontId="8" fillId="0" borderId="25" xfId="36" applyNumberFormat="1" applyFont="1" applyFill="1" applyBorder="1"/>
    <xf numFmtId="43" fontId="8" fillId="0" borderId="24" xfId="0" applyNumberFormat="1" applyFont="1" applyFill="1" applyBorder="1"/>
    <xf numFmtId="183" fontId="8" fillId="0" borderId="24" xfId="42" applyNumberFormat="1" applyFont="1" applyBorder="1"/>
    <xf numFmtId="183" fontId="8" fillId="0" borderId="24" xfId="0" applyNumberFormat="1" applyFont="1" applyFill="1" applyBorder="1"/>
    <xf numFmtId="166" fontId="87" fillId="0" borderId="0" xfId="0" applyNumberFormat="1" applyFont="1" applyFill="1"/>
    <xf numFmtId="183" fontId="8" fillId="0" borderId="0" xfId="0" applyNumberFormat="1" applyFont="1"/>
    <xf numFmtId="183" fontId="8" fillId="0" borderId="0" xfId="0" applyNumberFormat="1" applyFont="1" applyBorder="1"/>
    <xf numFmtId="183" fontId="8" fillId="26" borderId="0" xfId="0" applyNumberFormat="1" applyFont="1" applyFill="1" applyBorder="1"/>
    <xf numFmtId="183" fontId="8" fillId="0" borderId="25" xfId="0" applyNumberFormat="1" applyFont="1" applyFill="1" applyBorder="1"/>
    <xf numFmtId="183" fontId="33" fillId="0" borderId="0" xfId="0" applyNumberFormat="1" applyFont="1" applyFill="1"/>
    <xf numFmtId="0" fontId="81" fillId="0" borderId="16" xfId="0" applyFont="1" applyFill="1" applyBorder="1"/>
    <xf numFmtId="183" fontId="33" fillId="26" borderId="0" xfId="0" applyNumberFormat="1" applyFont="1" applyFill="1" applyBorder="1"/>
    <xf numFmtId="183" fontId="33" fillId="26" borderId="0" xfId="0" applyNumberFormat="1" applyFont="1" applyFill="1"/>
    <xf numFmtId="183" fontId="81" fillId="0" borderId="24" xfId="0" applyNumberFormat="1" applyFont="1" applyFill="1" applyBorder="1"/>
    <xf numFmtId="183" fontId="81" fillId="0" borderId="0" xfId="0" applyNumberFormat="1" applyFont="1" applyFill="1" applyBorder="1"/>
    <xf numFmtId="183" fontId="33" fillId="0" borderId="0" xfId="0" applyNumberFormat="1" applyFont="1" applyFill="1" applyBorder="1"/>
    <xf numFmtId="183" fontId="33" fillId="0" borderId="25" xfId="0" applyNumberFormat="1" applyFont="1" applyFill="1" applyBorder="1"/>
    <xf numFmtId="0" fontId="81" fillId="0" borderId="0" xfId="0" applyFont="1" applyFill="1"/>
    <xf numFmtId="0" fontId="8" fillId="0" borderId="17" xfId="0" applyFont="1" applyBorder="1"/>
    <xf numFmtId="43" fontId="8" fillId="0" borderId="17" xfId="36" applyFont="1" applyBorder="1" applyAlignment="1">
      <alignment horizontal="right"/>
    </xf>
    <xf numFmtId="44" fontId="8" fillId="0" borderId="17" xfId="42" applyFont="1" applyBorder="1"/>
    <xf numFmtId="44" fontId="8" fillId="26" borderId="17" xfId="42" applyFont="1" applyFill="1" applyBorder="1" applyAlignment="1">
      <alignment horizontal="right"/>
    </xf>
    <xf numFmtId="44" fontId="8" fillId="0" borderId="18" xfId="42" applyFont="1" applyBorder="1" applyAlignment="1">
      <alignment horizontal="right"/>
    </xf>
    <xf numFmtId="44" fontId="8" fillId="0" borderId="17" xfId="42" applyFont="1" applyBorder="1" applyAlignment="1">
      <alignment horizontal="right"/>
    </xf>
    <xf numFmtId="44" fontId="8" fillId="0" borderId="30" xfId="42" applyFont="1" applyBorder="1" applyAlignment="1">
      <alignment horizontal="right"/>
    </xf>
    <xf numFmtId="44" fontId="8" fillId="0" borderId="0" xfId="42" applyFont="1" applyBorder="1" applyAlignment="1">
      <alignment horizontal="right"/>
    </xf>
    <xf numFmtId="176" fontId="8" fillId="0" borderId="25" xfId="36" applyNumberFormat="1" applyFont="1" applyBorder="1"/>
    <xf numFmtId="183" fontId="33" fillId="0" borderId="24" xfId="0" applyNumberFormat="1" applyFont="1" applyFill="1" applyBorder="1"/>
    <xf numFmtId="183" fontId="8" fillId="26" borderId="0" xfId="0" applyNumberFormat="1" applyFont="1" applyFill="1"/>
    <xf numFmtId="183" fontId="8" fillId="0" borderId="0" xfId="0" applyNumberFormat="1" applyFont="1" applyFill="1" applyBorder="1"/>
    <xf numFmtId="0" fontId="2" fillId="0" borderId="17" xfId="0" applyFont="1" applyBorder="1"/>
    <xf numFmtId="43" fontId="2" fillId="0" borderId="17" xfId="36" applyFont="1" applyBorder="1" applyAlignment="1">
      <alignment horizontal="right"/>
    </xf>
    <xf numFmtId="44" fontId="2" fillId="0" borderId="17" xfId="42" applyFont="1" applyBorder="1"/>
    <xf numFmtId="44" fontId="2" fillId="26" borderId="17" xfId="42" applyFont="1" applyFill="1" applyBorder="1"/>
    <xf numFmtId="44" fontId="2" fillId="0" borderId="18" xfId="42" applyFont="1" applyBorder="1"/>
    <xf numFmtId="44" fontId="2" fillId="0" borderId="30" xfId="42" applyFont="1" applyBorder="1"/>
    <xf numFmtId="44" fontId="2" fillId="0" borderId="0" xfId="42" applyFont="1" applyBorder="1"/>
    <xf numFmtId="176" fontId="28" fillId="26" borderId="0" xfId="36" applyNumberFormat="1" applyFont="1" applyFill="1"/>
    <xf numFmtId="176" fontId="28" fillId="0" borderId="0" xfId="36" applyNumberFormat="1" applyFont="1"/>
    <xf numFmtId="176" fontId="28" fillId="0" borderId="0" xfId="36" applyNumberFormat="1" applyFont="1" applyBorder="1"/>
    <xf numFmtId="176" fontId="28" fillId="26" borderId="0" xfId="36" applyNumberFormat="1" applyFont="1" applyFill="1" applyBorder="1" applyAlignment="1">
      <alignment horizontal="right"/>
    </xf>
    <xf numFmtId="176" fontId="28" fillId="26" borderId="24" xfId="36" applyNumberFormat="1" applyFont="1" applyFill="1" applyBorder="1" applyAlignment="1">
      <alignment horizontal="right"/>
    </xf>
    <xf numFmtId="176" fontId="28" fillId="0" borderId="0" xfId="36" applyNumberFormat="1" applyFont="1" applyBorder="1" applyAlignment="1">
      <alignment horizontal="right"/>
    </xf>
    <xf numFmtId="176" fontId="28" fillId="0" borderId="23" xfId="36" applyNumberFormat="1" applyFont="1" applyBorder="1" applyAlignment="1">
      <alignment horizontal="right"/>
    </xf>
    <xf numFmtId="176" fontId="28" fillId="0" borderId="0" xfId="36" applyNumberFormat="1" applyFont="1" applyFill="1" applyBorder="1" applyAlignment="1">
      <alignment horizontal="right"/>
    </xf>
    <xf numFmtId="176" fontId="28" fillId="0" borderId="25" xfId="36" applyNumberFormat="1" applyFont="1" applyFill="1" applyBorder="1" applyAlignment="1">
      <alignment horizontal="right"/>
    </xf>
    <xf numFmtId="176" fontId="8" fillId="0" borderId="0" xfId="0" applyNumberFormat="1" applyFont="1" applyBorder="1"/>
    <xf numFmtId="183" fontId="8" fillId="0" borderId="24" xfId="0" applyNumberFormat="1" applyFont="1" applyBorder="1"/>
    <xf numFmtId="183" fontId="8" fillId="0" borderId="25" xfId="0" applyNumberFormat="1" applyFont="1" applyBorder="1"/>
    <xf numFmtId="182" fontId="8" fillId="0" borderId="0" xfId="90" applyNumberFormat="1" applyFont="1"/>
    <xf numFmtId="182" fontId="8" fillId="26" borderId="0" xfId="90" applyNumberFormat="1" applyFont="1" applyFill="1" applyBorder="1"/>
    <xf numFmtId="182" fontId="8" fillId="0" borderId="0" xfId="90" applyNumberFormat="1" applyFont="1" applyBorder="1"/>
    <xf numFmtId="182" fontId="8" fillId="0" borderId="24" xfId="90" applyNumberFormat="1" applyFont="1" applyBorder="1"/>
    <xf numFmtId="182" fontId="8" fillId="0" borderId="25" xfId="90" applyNumberFormat="1" applyFont="1" applyBorder="1"/>
    <xf numFmtId="182" fontId="8" fillId="26" borderId="0" xfId="90" applyNumberFormat="1" applyFont="1" applyFill="1" applyBorder="1" applyAlignment="1">
      <alignment horizontal="right"/>
    </xf>
    <xf numFmtId="182" fontId="8" fillId="0" borderId="0" xfId="0" applyNumberFormat="1" applyFont="1" applyBorder="1"/>
    <xf numFmtId="182" fontId="8" fillId="0" borderId="24" xfId="90" applyNumberFormat="1" applyFont="1" applyBorder="1" applyAlignment="1">
      <alignment horizontal="right"/>
    </xf>
    <xf numFmtId="43" fontId="8" fillId="26" borderId="0" xfId="36" applyFont="1" applyFill="1" applyBorder="1" applyAlignment="1">
      <alignment horizontal="right"/>
    </xf>
    <xf numFmtId="182" fontId="8" fillId="0" borderId="0" xfId="90" applyNumberFormat="1" applyFont="1" applyBorder="1" applyAlignment="1">
      <alignment horizontal="right"/>
    </xf>
    <xf numFmtId="182" fontId="8" fillId="0" borderId="25" xfId="90" applyNumberFormat="1" applyFont="1" applyBorder="1" applyAlignment="1">
      <alignment horizontal="right"/>
    </xf>
    <xf numFmtId="182" fontId="8" fillId="26" borderId="16" xfId="90" applyNumberFormat="1" applyFont="1" applyFill="1" applyBorder="1"/>
    <xf numFmtId="182" fontId="8" fillId="0" borderId="26" xfId="90" applyNumberFormat="1" applyFont="1" applyBorder="1" applyAlignment="1">
      <alignment horizontal="right"/>
    </xf>
    <xf numFmtId="182" fontId="8" fillId="0" borderId="16" xfId="90" applyNumberFormat="1" applyFont="1" applyBorder="1"/>
    <xf numFmtId="182" fontId="8" fillId="0" borderId="27" xfId="90" applyNumberFormat="1" applyFont="1" applyBorder="1"/>
    <xf numFmtId="0" fontId="8" fillId="0" borderId="0" xfId="0" applyFont="1" applyBorder="1" applyAlignment="1">
      <alignment horizontal="centerContinuous"/>
    </xf>
    <xf numFmtId="0" fontId="8" fillId="0" borderId="16" xfId="0" applyFont="1" applyBorder="1" applyAlignment="1">
      <alignment horizontal="centerContinuous"/>
    </xf>
    <xf numFmtId="0" fontId="80" fillId="0" borderId="22" xfId="0" applyFont="1" applyBorder="1"/>
    <xf numFmtId="0" fontId="8" fillId="0" borderId="15" xfId="0" applyFont="1" applyBorder="1"/>
    <xf numFmtId="0" fontId="80" fillId="0" borderId="15" xfId="0" applyFont="1" applyBorder="1" applyAlignment="1">
      <alignment horizontal="center"/>
    </xf>
    <xf numFmtId="0" fontId="80" fillId="0" borderId="23" xfId="0" applyFont="1" applyBorder="1" applyAlignment="1">
      <alignment horizontal="center"/>
    </xf>
    <xf numFmtId="43" fontId="8" fillId="0" borderId="0" xfId="0" applyNumberFormat="1" applyFont="1" applyBorder="1"/>
    <xf numFmtId="43" fontId="8" fillId="0" borderId="0" xfId="0" applyNumberFormat="1" applyFont="1" applyBorder="1" applyAlignment="1">
      <alignment horizontal="right"/>
    </xf>
    <xf numFmtId="43" fontId="8" fillId="0" borderId="25" xfId="0" applyNumberFormat="1" applyFont="1" applyBorder="1"/>
    <xf numFmtId="177" fontId="8" fillId="0" borderId="0" xfId="36" applyNumberFormat="1" applyFont="1" applyBorder="1"/>
    <xf numFmtId="177" fontId="8" fillId="0" borderId="25" xfId="36" applyNumberFormat="1" applyFont="1" applyBorder="1"/>
    <xf numFmtId="185" fontId="8" fillId="0" borderId="0" xfId="36" applyNumberFormat="1" applyFont="1" applyBorder="1"/>
    <xf numFmtId="185" fontId="8" fillId="0" borderId="25" xfId="36" applyNumberFormat="1" applyFont="1" applyBorder="1"/>
    <xf numFmtId="182" fontId="28" fillId="0" borderId="0" xfId="90" applyNumberFormat="1" applyFont="1" applyBorder="1" applyAlignment="1">
      <alignment horizontal="right"/>
    </xf>
    <xf numFmtId="0" fontId="8" fillId="0" borderId="26" xfId="0" applyFont="1" applyBorder="1"/>
    <xf numFmtId="184" fontId="8" fillId="0" borderId="16" xfId="42" applyNumberFormat="1" applyFont="1" applyBorder="1"/>
    <xf numFmtId="184" fontId="8" fillId="0" borderId="16" xfId="42" applyNumberFormat="1" applyFont="1" applyBorder="1" applyAlignment="1">
      <alignment horizontal="right"/>
    </xf>
    <xf numFmtId="184" fontId="8" fillId="0" borderId="27" xfId="42" applyNumberFormat="1" applyFont="1" applyBorder="1"/>
    <xf numFmtId="184" fontId="8" fillId="0" borderId="0" xfId="42" applyNumberFormat="1" applyFont="1" applyBorder="1"/>
    <xf numFmtId="0" fontId="8" fillId="0" borderId="0" xfId="81" applyFont="1"/>
    <xf numFmtId="185" fontId="8" fillId="0" borderId="0" xfId="36" applyNumberFormat="1" applyFont="1"/>
    <xf numFmtId="177" fontId="8" fillId="0" borderId="0" xfId="36" applyNumberFormat="1" applyFont="1"/>
    <xf numFmtId="182" fontId="28" fillId="0" borderId="0" xfId="90" applyNumberFormat="1" applyFont="1"/>
    <xf numFmtId="0" fontId="28" fillId="0" borderId="0" xfId="0" applyFont="1"/>
    <xf numFmtId="182" fontId="8" fillId="0" borderId="0" xfId="0" applyNumberFormat="1" applyFont="1"/>
    <xf numFmtId="9" fontId="2" fillId="0" borderId="0" xfId="0" applyNumberFormat="1" applyFont="1"/>
    <xf numFmtId="0" fontId="8" fillId="0" borderId="0" xfId="0" applyFont="1" applyFill="1" applyBorder="1"/>
    <xf numFmtId="214" fontId="8" fillId="0" borderId="0" xfId="0" applyNumberFormat="1" applyFont="1" applyBorder="1"/>
    <xf numFmtId="214" fontId="8" fillId="0" borderId="25" xfId="0" applyNumberFormat="1" applyFont="1" applyBorder="1"/>
    <xf numFmtId="1" fontId="8" fillId="0" borderId="0" xfId="36" applyNumberFormat="1" applyFont="1" applyBorder="1"/>
    <xf numFmtId="1" fontId="8" fillId="0" borderId="25" xfId="36" applyNumberFormat="1" applyFont="1" applyBorder="1"/>
    <xf numFmtId="1" fontId="8" fillId="0" borderId="16" xfId="36" applyNumberFormat="1" applyFont="1" applyBorder="1"/>
    <xf numFmtId="1" fontId="8" fillId="0" borderId="27" xfId="36" applyNumberFormat="1" applyFont="1" applyBorder="1"/>
    <xf numFmtId="0" fontId="80" fillId="0" borderId="22" xfId="0" applyFont="1" applyFill="1" applyBorder="1"/>
    <xf numFmtId="0" fontId="80" fillId="0" borderId="15" xfId="0" applyFont="1" applyBorder="1"/>
    <xf numFmtId="0" fontId="80" fillId="0" borderId="23" xfId="0" applyFont="1" applyBorder="1"/>
    <xf numFmtId="166" fontId="8" fillId="0" borderId="0" xfId="0" applyNumberFormat="1" applyFont="1" applyFill="1"/>
    <xf numFmtId="166" fontId="28" fillId="30" borderId="0" xfId="0" applyNumberFormat="1" applyFont="1" applyFill="1"/>
    <xf numFmtId="165" fontId="8" fillId="0" borderId="0" xfId="0" applyNumberFormat="1" applyFont="1" applyFill="1"/>
    <xf numFmtId="165" fontId="8" fillId="0" borderId="16" xfId="0" applyNumberFormat="1" applyFont="1" applyFill="1" applyBorder="1"/>
    <xf numFmtId="165" fontId="8" fillId="0" borderId="0" xfId="0" applyNumberFormat="1" applyFont="1" applyFill="1" applyBorder="1"/>
    <xf numFmtId="1" fontId="8" fillId="0" borderId="0" xfId="0" applyNumberFormat="1" applyFont="1" applyFill="1"/>
    <xf numFmtId="172" fontId="8" fillId="0" borderId="0" xfId="0" applyNumberFormat="1" applyFont="1" applyFill="1"/>
    <xf numFmtId="0" fontId="8" fillId="0" borderId="0" xfId="0" applyFont="1" applyAlignment="1">
      <alignment horizontal="right"/>
    </xf>
    <xf numFmtId="172" fontId="8" fillId="0" borderId="0" xfId="0" applyNumberFormat="1" applyFont="1"/>
    <xf numFmtId="167" fontId="8" fillId="0" borderId="0" xfId="0" applyNumberFormat="1" applyFont="1"/>
    <xf numFmtId="167" fontId="8" fillId="0" borderId="16" xfId="0" applyNumberFormat="1" applyFont="1" applyBorder="1"/>
    <xf numFmtId="167" fontId="8" fillId="0" borderId="0" xfId="0" applyNumberFormat="1" applyFont="1" applyFill="1"/>
    <xf numFmtId="166" fontId="8" fillId="0" borderId="0" xfId="0" applyNumberFormat="1" applyFont="1"/>
    <xf numFmtId="172" fontId="8" fillId="0" borderId="16" xfId="0" applyNumberFormat="1" applyFont="1" applyFill="1" applyBorder="1"/>
    <xf numFmtId="0" fontId="8" fillId="0" borderId="16" xfId="0" applyFont="1" applyFill="1" applyBorder="1"/>
    <xf numFmtId="165" fontId="8" fillId="0" borderId="0" xfId="0" applyNumberFormat="1" applyFont="1"/>
    <xf numFmtId="0" fontId="8" fillId="0" borderId="16" xfId="0" applyFont="1" applyFill="1" applyBorder="1" applyAlignment="1">
      <alignment horizontal="centerContinuous"/>
    </xf>
    <xf numFmtId="0" fontId="23" fillId="0" borderId="16" xfId="0" applyFont="1" applyFill="1" applyBorder="1" applyAlignment="1">
      <alignment horizontal="centerContinuous"/>
    </xf>
    <xf numFmtId="37" fontId="80" fillId="26" borderId="0" xfId="78" applyFont="1" applyFill="1" applyAlignment="1" applyProtection="1">
      <alignment horizontal="centerContinuous"/>
    </xf>
    <xf numFmtId="0" fontId="8" fillId="26" borderId="0" xfId="0" applyFont="1" applyFill="1" applyAlignment="1">
      <alignment horizontal="centerContinuous"/>
    </xf>
    <xf numFmtId="170" fontId="8" fillId="0" borderId="0" xfId="0" applyNumberFormat="1" applyFont="1"/>
    <xf numFmtId="196" fontId="28" fillId="0" borderId="0" xfId="0" applyNumberFormat="1" applyFont="1" applyFill="1" applyAlignment="1">
      <alignment horizontal="left"/>
    </xf>
    <xf numFmtId="37" fontId="8" fillId="26" borderId="0" xfId="78" applyFont="1" applyFill="1" applyAlignment="1" applyProtection="1">
      <alignment horizontal="left"/>
    </xf>
    <xf numFmtId="166" fontId="28" fillId="26" borderId="0" xfId="0" applyNumberFormat="1" applyFont="1" applyFill="1"/>
    <xf numFmtId="169" fontId="8" fillId="26" borderId="0" xfId="0" applyNumberFormat="1" applyFont="1" applyFill="1" applyAlignment="1">
      <alignment horizontal="right"/>
    </xf>
    <xf numFmtId="196" fontId="28" fillId="26" borderId="0" xfId="0" applyNumberFormat="1" applyFont="1" applyFill="1" applyAlignment="1">
      <alignment horizontal="left"/>
    </xf>
    <xf numFmtId="168" fontId="8" fillId="26" borderId="0" xfId="0" applyNumberFormat="1" applyFont="1" applyFill="1"/>
    <xf numFmtId="166" fontId="28" fillId="0" borderId="0" xfId="0" applyNumberFormat="1" applyFont="1"/>
    <xf numFmtId="168" fontId="29" fillId="0" borderId="0" xfId="0" applyNumberFormat="1" applyFont="1" applyAlignment="1">
      <alignment horizontal="right"/>
    </xf>
    <xf numFmtId="196" fontId="81" fillId="28" borderId="0" xfId="0" applyNumberFormat="1" applyFont="1" applyFill="1" applyAlignment="1">
      <alignment horizontal="left"/>
    </xf>
    <xf numFmtId="168" fontId="8" fillId="0" borderId="0" xfId="0" applyNumberFormat="1" applyFont="1"/>
    <xf numFmtId="169" fontId="8" fillId="0" borderId="0" xfId="0" applyNumberFormat="1" applyFont="1"/>
    <xf numFmtId="169" fontId="8" fillId="0" borderId="0" xfId="0" applyNumberFormat="1" applyFont="1" applyAlignment="1">
      <alignment horizontal="left"/>
    </xf>
    <xf numFmtId="171" fontId="8" fillId="0" borderId="0" xfId="0" applyNumberFormat="1" applyFont="1" applyAlignment="1">
      <alignment horizontal="right"/>
    </xf>
    <xf numFmtId="165" fontId="28" fillId="26" borderId="0" xfId="0" applyNumberFormat="1" applyFont="1" applyFill="1"/>
    <xf numFmtId="165" fontId="28" fillId="0" borderId="0" xfId="0" applyNumberFormat="1" applyFont="1"/>
    <xf numFmtId="165" fontId="126" fillId="0" borderId="0" xfId="0" applyNumberFormat="1" applyFont="1"/>
    <xf numFmtId="169" fontId="126" fillId="0" borderId="0" xfId="0" applyNumberFormat="1" applyFont="1" applyAlignment="1">
      <alignment horizontal="left"/>
    </xf>
    <xf numFmtId="167" fontId="28" fillId="26" borderId="16" xfId="0" applyNumberFormat="1" applyFont="1" applyFill="1" applyBorder="1"/>
    <xf numFmtId="167" fontId="8" fillId="26" borderId="16" xfId="0" applyNumberFormat="1" applyFont="1" applyFill="1" applyBorder="1"/>
    <xf numFmtId="165" fontId="28" fillId="0" borderId="16" xfId="0" applyNumberFormat="1" applyFont="1" applyBorder="1"/>
    <xf numFmtId="165" fontId="8" fillId="0" borderId="16" xfId="0" applyNumberFormat="1" applyFont="1" applyBorder="1"/>
    <xf numFmtId="171" fontId="8" fillId="0" borderId="16" xfId="0" applyNumberFormat="1" applyFont="1" applyBorder="1" applyAlignment="1">
      <alignment horizontal="right"/>
    </xf>
    <xf numFmtId="166" fontId="8" fillId="26" borderId="0" xfId="0" applyNumberFormat="1" applyFont="1" applyFill="1"/>
    <xf numFmtId="167" fontId="8" fillId="26" borderId="0" xfId="0" applyNumberFormat="1" applyFont="1" applyFill="1"/>
    <xf numFmtId="196" fontId="8" fillId="26" borderId="0" xfId="0" applyNumberFormat="1" applyFont="1" applyFill="1" applyAlignment="1">
      <alignment horizontal="left"/>
    </xf>
    <xf numFmtId="196" fontId="8" fillId="0" borderId="0" xfId="0" applyNumberFormat="1" applyFont="1"/>
    <xf numFmtId="166" fontId="8" fillId="0" borderId="0" xfId="0" applyNumberFormat="1" applyFont="1" applyAlignment="1">
      <alignment horizontal="centerContinuous"/>
    </xf>
    <xf numFmtId="169" fontId="8" fillId="0" borderId="0" xfId="0" applyNumberFormat="1" applyFont="1" applyAlignment="1">
      <alignment horizontal="centerContinuous"/>
    </xf>
    <xf numFmtId="171" fontId="8" fillId="26" borderId="0" xfId="0" applyNumberFormat="1" applyFont="1" applyFill="1"/>
    <xf numFmtId="171" fontId="8" fillId="26" borderId="0" xfId="0" applyNumberFormat="1" applyFont="1" applyFill="1" applyAlignment="1">
      <alignment horizontal="right"/>
    </xf>
    <xf numFmtId="171" fontId="8" fillId="0" borderId="0" xfId="0" applyNumberFormat="1" applyFont="1"/>
    <xf numFmtId="173" fontId="29" fillId="0" borderId="0" xfId="0" applyNumberFormat="1" applyFont="1" applyAlignment="1">
      <alignment horizontal="right"/>
    </xf>
    <xf numFmtId="177" fontId="8" fillId="0" borderId="0" xfId="36" applyNumberFormat="1" applyFont="1" applyAlignment="1">
      <alignment horizontal="right"/>
    </xf>
    <xf numFmtId="171" fontId="28" fillId="0" borderId="0" xfId="0" applyNumberFormat="1" applyFont="1"/>
    <xf numFmtId="173" fontId="29" fillId="26" borderId="0" xfId="0" applyNumberFormat="1" applyFont="1" applyFill="1" applyAlignment="1">
      <alignment horizontal="right"/>
    </xf>
    <xf numFmtId="171" fontId="29" fillId="26" borderId="0" xfId="0" applyNumberFormat="1" applyFont="1" applyFill="1" applyAlignment="1">
      <alignment horizontal="right"/>
    </xf>
    <xf numFmtId="174" fontId="28" fillId="26" borderId="0" xfId="0" applyNumberFormat="1" applyFont="1" applyFill="1"/>
    <xf numFmtId="174" fontId="28" fillId="26" borderId="0" xfId="0" applyNumberFormat="1" applyFont="1" applyFill="1" applyAlignment="1">
      <alignment wrapText="1"/>
    </xf>
    <xf numFmtId="174" fontId="28" fillId="0" borderId="0" xfId="0" applyNumberFormat="1" applyFont="1"/>
    <xf numFmtId="171" fontId="29" fillId="0" borderId="0" xfId="0" applyNumberFormat="1" applyFont="1" applyAlignment="1">
      <alignment horizontal="right"/>
    </xf>
    <xf numFmtId="175" fontId="28" fillId="26" borderId="0" xfId="0" applyNumberFormat="1" applyFont="1" applyFill="1"/>
    <xf numFmtId="175" fontId="28" fillId="0" borderId="0" xfId="0" applyNumberFormat="1" applyFont="1"/>
    <xf numFmtId="175" fontId="28" fillId="0" borderId="0" xfId="0" applyNumberFormat="1" applyFont="1" applyFill="1"/>
    <xf numFmtId="175" fontId="28" fillId="26" borderId="16" xfId="0" applyNumberFormat="1" applyFont="1" applyFill="1" applyBorder="1"/>
    <xf numFmtId="175" fontId="8" fillId="26" borderId="16" xfId="0" applyNumberFormat="1" applyFont="1" applyFill="1" applyBorder="1"/>
    <xf numFmtId="175" fontId="8" fillId="0" borderId="16" xfId="0" applyNumberFormat="1" applyFont="1" applyBorder="1"/>
    <xf numFmtId="175" fontId="28" fillId="0" borderId="16" xfId="0" applyNumberFormat="1" applyFont="1" applyBorder="1"/>
    <xf numFmtId="174" fontId="8" fillId="0" borderId="0" xfId="0" applyNumberFormat="1" applyFont="1"/>
    <xf numFmtId="37" fontId="8" fillId="26" borderId="0" xfId="78" applyFont="1" applyFill="1" applyBorder="1" applyAlignment="1" applyProtection="1">
      <alignment horizontal="left"/>
    </xf>
    <xf numFmtId="167" fontId="8" fillId="26" borderId="0" xfId="0" applyNumberFormat="1" applyFont="1" applyFill="1" applyBorder="1"/>
    <xf numFmtId="171" fontId="8" fillId="26" borderId="0" xfId="0" applyNumberFormat="1" applyFont="1" applyFill="1" applyBorder="1"/>
    <xf numFmtId="171" fontId="29" fillId="26" borderId="0" xfId="0" applyNumberFormat="1" applyFont="1" applyFill="1" applyBorder="1" applyAlignment="1">
      <alignment horizontal="right"/>
    </xf>
    <xf numFmtId="173" fontId="29" fillId="26" borderId="0" xfId="0" applyNumberFormat="1" applyFont="1" applyFill="1" applyBorder="1" applyAlignment="1">
      <alignment horizontal="right"/>
    </xf>
    <xf numFmtId="175" fontId="8" fillId="0" borderId="0" xfId="0" applyNumberFormat="1" applyFont="1" applyBorder="1"/>
    <xf numFmtId="171" fontId="29" fillId="0" borderId="0" xfId="0" applyNumberFormat="1" applyFont="1" applyBorder="1" applyAlignment="1">
      <alignment horizontal="right"/>
    </xf>
    <xf numFmtId="173" fontId="29" fillId="0" borderId="0" xfId="0" applyNumberFormat="1" applyFont="1" applyBorder="1" applyAlignment="1">
      <alignment horizontal="right"/>
    </xf>
    <xf numFmtId="167" fontId="8" fillId="0" borderId="0" xfId="0" applyNumberFormat="1" applyFont="1" applyBorder="1"/>
    <xf numFmtId="166" fontId="28" fillId="0" borderId="0" xfId="0" applyNumberFormat="1" applyFont="1" applyFill="1"/>
    <xf numFmtId="165" fontId="28" fillId="0" borderId="0" xfId="0" applyNumberFormat="1" applyFont="1" applyFill="1"/>
    <xf numFmtId="216" fontId="8" fillId="0" borderId="0" xfId="0" applyNumberFormat="1" applyFont="1"/>
    <xf numFmtId="215" fontId="8" fillId="0" borderId="0" xfId="0" applyNumberFormat="1" applyFont="1" applyAlignment="1">
      <alignment horizontal="centerContinuous"/>
    </xf>
    <xf numFmtId="217" fontId="8" fillId="0" borderId="0" xfId="0" applyNumberFormat="1" applyFont="1"/>
    <xf numFmtId="178" fontId="8" fillId="0" borderId="0" xfId="0" applyNumberFormat="1" applyFont="1"/>
    <xf numFmtId="165" fontId="8" fillId="0" borderId="0" xfId="0" applyNumberFormat="1" applyFont="1" applyAlignment="1">
      <alignment horizontal="centerContinuous"/>
    </xf>
    <xf numFmtId="166" fontId="28" fillId="0" borderId="0" xfId="0" applyNumberFormat="1" applyFont="1" applyFill="1" applyBorder="1"/>
    <xf numFmtId="164" fontId="28" fillId="0" borderId="0" xfId="0" applyNumberFormat="1" applyFont="1" applyFill="1"/>
    <xf numFmtId="164" fontId="28" fillId="0" borderId="0" xfId="0" applyNumberFormat="1" applyFont="1" applyFill="1" applyBorder="1"/>
    <xf numFmtId="164" fontId="8" fillId="0" borderId="0" xfId="0" applyNumberFormat="1" applyFont="1" applyFill="1" applyAlignment="1">
      <alignment horizontal="right"/>
    </xf>
    <xf numFmtId="164" fontId="8" fillId="0" borderId="16" xfId="0" applyNumberFormat="1" applyFont="1" applyFill="1" applyBorder="1"/>
    <xf numFmtId="164" fontId="8" fillId="0" borderId="0" xfId="0" applyNumberFormat="1" applyFont="1" applyFill="1" applyBorder="1"/>
    <xf numFmtId="171" fontId="8" fillId="0" borderId="0" xfId="0" applyNumberFormat="1" applyFont="1" applyFill="1" applyAlignment="1">
      <alignment horizontal="right"/>
    </xf>
    <xf numFmtId="165" fontId="8" fillId="26" borderId="0" xfId="0" applyNumberFormat="1" applyFont="1" applyFill="1"/>
    <xf numFmtId="165" fontId="8" fillId="26" borderId="16" xfId="0" applyNumberFormat="1" applyFont="1" applyFill="1" applyBorder="1"/>
    <xf numFmtId="0" fontId="8" fillId="0" borderId="0" xfId="0" applyFont="1" applyFill="1" applyAlignment="1">
      <alignment horizontal="centerContinuous"/>
    </xf>
    <xf numFmtId="175" fontId="126" fillId="0" borderId="0" xfId="0" applyNumberFormat="1" applyFont="1"/>
    <xf numFmtId="175" fontId="28" fillId="0" borderId="16" xfId="0" applyNumberFormat="1" applyFont="1" applyFill="1" applyBorder="1"/>
    <xf numFmtId="173" fontId="29" fillId="0" borderId="0" xfId="0" applyNumberFormat="1" applyFont="1" applyFill="1" applyAlignment="1">
      <alignment horizontal="right"/>
    </xf>
    <xf numFmtId="171" fontId="8" fillId="0" borderId="0" xfId="0" applyNumberFormat="1" applyFont="1" applyFill="1"/>
    <xf numFmtId="166" fontId="52" fillId="26" borderId="0" xfId="0" applyNumberFormat="1" applyFont="1" applyFill="1"/>
    <xf numFmtId="166" fontId="66" fillId="26" borderId="0" xfId="0" applyNumberFormat="1" applyFont="1" applyFill="1"/>
    <xf numFmtId="165" fontId="87" fillId="0" borderId="0" xfId="0" applyNumberFormat="1" applyFont="1" applyFill="1"/>
    <xf numFmtId="171" fontId="28" fillId="0" borderId="0" xfId="0" applyNumberFormat="1" applyFont="1" applyFill="1"/>
    <xf numFmtId="165" fontId="52" fillId="26" borderId="0" xfId="0" applyNumberFormat="1" applyFont="1" applyFill="1"/>
    <xf numFmtId="165" fontId="66" fillId="26" borderId="0" xfId="0" applyNumberFormat="1" applyFont="1" applyFill="1"/>
    <xf numFmtId="165" fontId="126" fillId="0" borderId="0" xfId="0" applyNumberFormat="1" applyFont="1" applyFill="1"/>
    <xf numFmtId="167" fontId="52" fillId="26" borderId="16" xfId="0" applyNumberFormat="1" applyFont="1" applyFill="1" applyBorder="1"/>
    <xf numFmtId="167" fontId="87" fillId="0" borderId="16" xfId="0" applyNumberFormat="1" applyFont="1" applyFill="1" applyBorder="1"/>
    <xf numFmtId="167" fontId="52" fillId="26" borderId="0" xfId="0" applyNumberFormat="1" applyFont="1" applyFill="1"/>
    <xf numFmtId="167" fontId="87" fillId="0" borderId="0" xfId="0" applyNumberFormat="1" applyFont="1" applyFill="1"/>
    <xf numFmtId="170" fontId="8" fillId="26" borderId="0" xfId="0" applyNumberFormat="1" applyFont="1" applyFill="1" applyAlignment="1">
      <alignment horizontal="right"/>
    </xf>
    <xf numFmtId="2" fontId="8" fillId="26" borderId="0" xfId="0" applyNumberFormat="1" applyFont="1" applyFill="1" applyAlignment="1">
      <alignment horizontal="right"/>
    </xf>
    <xf numFmtId="2" fontId="8" fillId="0" borderId="0" xfId="0" applyNumberFormat="1" applyFont="1" applyAlignment="1">
      <alignment horizontal="right"/>
    </xf>
    <xf numFmtId="170" fontId="8" fillId="0" borderId="0" xfId="42" applyNumberFormat="1" applyFont="1" applyAlignment="1">
      <alignment horizontal="right"/>
    </xf>
    <xf numFmtId="173" fontId="88" fillId="0" borderId="0" xfId="0" applyNumberFormat="1" applyFont="1"/>
    <xf numFmtId="4" fontId="8" fillId="0" borderId="0" xfId="0" applyNumberFormat="1" applyFont="1" applyAlignment="1">
      <alignment horizontal="right"/>
    </xf>
    <xf numFmtId="170" fontId="8" fillId="26" borderId="16" xfId="0" applyNumberFormat="1" applyFont="1" applyFill="1" applyBorder="1" applyAlignment="1">
      <alignment horizontal="right"/>
    </xf>
    <xf numFmtId="165" fontId="28" fillId="26" borderId="16" xfId="0" applyNumberFormat="1" applyFont="1" applyFill="1" applyBorder="1" applyAlignment="1">
      <alignment horizontal="right"/>
    </xf>
    <xf numFmtId="2" fontId="8" fillId="26" borderId="16" xfId="0" applyNumberFormat="1" applyFont="1" applyFill="1" applyBorder="1" applyAlignment="1">
      <alignment horizontal="right"/>
    </xf>
    <xf numFmtId="2" fontId="8" fillId="0" borderId="16" xfId="0" applyNumberFormat="1" applyFont="1" applyBorder="1" applyAlignment="1">
      <alignment horizontal="right"/>
    </xf>
    <xf numFmtId="4" fontId="8" fillId="0" borderId="16" xfId="0" applyNumberFormat="1" applyFont="1" applyBorder="1" applyAlignment="1">
      <alignment horizontal="right"/>
    </xf>
    <xf numFmtId="170" fontId="28" fillId="26" borderId="0" xfId="0" applyNumberFormat="1" applyFont="1" applyFill="1" applyAlignment="1">
      <alignment horizontal="right"/>
    </xf>
    <xf numFmtId="167" fontId="8" fillId="26" borderId="0" xfId="0" applyNumberFormat="1" applyFont="1" applyFill="1" applyAlignment="1">
      <alignment horizontal="right"/>
    </xf>
    <xf numFmtId="166" fontId="28" fillId="30" borderId="0" xfId="0" applyNumberFormat="1" applyFont="1" applyFill="1" applyBorder="1"/>
    <xf numFmtId="166" fontId="28" fillId="24" borderId="0" xfId="0" applyNumberFormat="1" applyFont="1" applyFill="1" applyBorder="1"/>
    <xf numFmtId="171" fontId="2" fillId="0" borderId="0" xfId="0" applyNumberFormat="1" applyFont="1" applyFill="1" applyAlignment="1">
      <alignment horizontal="right"/>
    </xf>
    <xf numFmtId="164" fontId="28" fillId="30" borderId="0" xfId="0" applyNumberFormat="1" applyFont="1" applyFill="1"/>
    <xf numFmtId="164" fontId="28" fillId="30" borderId="0" xfId="0" applyNumberFormat="1" applyFont="1" applyFill="1" applyBorder="1"/>
    <xf numFmtId="165" fontId="28" fillId="26" borderId="16" xfId="0" applyNumberFormat="1" applyFont="1" applyFill="1" applyBorder="1"/>
    <xf numFmtId="164" fontId="8" fillId="30" borderId="16" xfId="0" applyNumberFormat="1" applyFont="1" applyFill="1" applyBorder="1"/>
    <xf numFmtId="164" fontId="28" fillId="0" borderId="16" xfId="0" applyNumberFormat="1" applyFont="1" applyFill="1" applyBorder="1"/>
    <xf numFmtId="167" fontId="8" fillId="0" borderId="0" xfId="0" applyNumberFormat="1" applyFont="1" applyFill="1" applyBorder="1"/>
    <xf numFmtId="173" fontId="76" fillId="26" borderId="0" xfId="0" applyNumberFormat="1" applyFont="1" applyFill="1" applyAlignment="1">
      <alignment horizontal="right"/>
    </xf>
    <xf numFmtId="173" fontId="29" fillId="26" borderId="16" xfId="0" applyNumberFormat="1" applyFont="1" applyFill="1" applyBorder="1" applyAlignment="1">
      <alignment horizontal="right"/>
    </xf>
    <xf numFmtId="165" fontId="28" fillId="26" borderId="16" xfId="36" applyNumberFormat="1" applyFont="1" applyFill="1" applyBorder="1" applyAlignment="1">
      <alignment horizontal="right"/>
    </xf>
    <xf numFmtId="165" fontId="28" fillId="26" borderId="0" xfId="36" applyNumberFormat="1" applyFont="1" applyFill="1" applyAlignment="1">
      <alignment horizontal="right"/>
    </xf>
    <xf numFmtId="165" fontId="28" fillId="26" borderId="0" xfId="36" applyNumberFormat="1" applyFont="1" applyFill="1" applyBorder="1" applyAlignment="1">
      <alignment horizontal="right"/>
    </xf>
    <xf numFmtId="2" fontId="28" fillId="0" borderId="0" xfId="0" applyNumberFormat="1" applyFont="1" applyAlignment="1">
      <alignment horizontal="right"/>
    </xf>
    <xf numFmtId="2" fontId="28" fillId="32" borderId="0" xfId="0" applyNumberFormat="1" applyFont="1" applyFill="1" applyAlignment="1">
      <alignment horizontal="right"/>
    </xf>
    <xf numFmtId="2" fontId="28" fillId="0" borderId="0" xfId="0" applyNumberFormat="1" applyFont="1" applyFill="1" applyAlignment="1">
      <alignment horizontal="right"/>
    </xf>
    <xf numFmtId="165" fontId="81" fillId="26" borderId="16" xfId="36" applyNumberFormat="1" applyFont="1" applyFill="1" applyBorder="1" applyAlignment="1">
      <alignment horizontal="right"/>
    </xf>
    <xf numFmtId="2" fontId="28" fillId="0" borderId="16" xfId="0" applyNumberFormat="1" applyFont="1" applyBorder="1" applyAlignment="1">
      <alignment horizontal="right"/>
    </xf>
    <xf numFmtId="165" fontId="28" fillId="26" borderId="0" xfId="36" applyNumberFormat="1" applyFont="1" applyFill="1"/>
    <xf numFmtId="165" fontId="28" fillId="0" borderId="0" xfId="36" applyNumberFormat="1" applyFont="1" applyFill="1" applyBorder="1" applyAlignment="1">
      <alignment horizontal="right"/>
    </xf>
    <xf numFmtId="2" fontId="28" fillId="33" borderId="0" xfId="0" applyNumberFormat="1" applyFont="1" applyFill="1" applyAlignment="1">
      <alignment horizontal="right"/>
    </xf>
    <xf numFmtId="2" fontId="28" fillId="33" borderId="16" xfId="0" applyNumberFormat="1" applyFont="1" applyFill="1" applyBorder="1" applyAlignment="1">
      <alignment horizontal="right"/>
    </xf>
    <xf numFmtId="2" fontId="8" fillId="0" borderId="0" xfId="0" applyNumberFormat="1" applyFont="1" applyFill="1" applyAlignment="1">
      <alignment horizontal="right"/>
    </xf>
    <xf numFmtId="0" fontId="2" fillId="0" borderId="0" xfId="0" applyNumberFormat="1" applyFont="1"/>
    <xf numFmtId="0" fontId="8" fillId="0" borderId="0" xfId="0" applyNumberFormat="1" applyFont="1"/>
    <xf numFmtId="0" fontId="8" fillId="26" borderId="16" xfId="0" applyFont="1" applyFill="1" applyBorder="1" applyAlignment="1">
      <alignment horizontal="centerContinuous"/>
    </xf>
    <xf numFmtId="0" fontId="8" fillId="0" borderId="18" xfId="0" applyFont="1" applyBorder="1"/>
    <xf numFmtId="0" fontId="8" fillId="0" borderId="30" xfId="0" applyFont="1" applyBorder="1"/>
    <xf numFmtId="0" fontId="8" fillId="26" borderId="0" xfId="0" applyFont="1" applyFill="1" applyBorder="1" applyAlignment="1">
      <alignment horizontal="centerContinuous"/>
    </xf>
    <xf numFmtId="0" fontId="8" fillId="0" borderId="23" xfId="0" applyFont="1" applyBorder="1"/>
    <xf numFmtId="0" fontId="8" fillId="0" borderId="27" xfId="0" applyFont="1" applyBorder="1"/>
    <xf numFmtId="0" fontId="8" fillId="0" borderId="22" xfId="0" applyFont="1" applyBorder="1"/>
    <xf numFmtId="166" fontId="28" fillId="26" borderId="0" xfId="42" applyNumberFormat="1" applyFont="1" applyFill="1"/>
    <xf numFmtId="166" fontId="8" fillId="0" borderId="0" xfId="42" applyNumberFormat="1" applyFont="1"/>
    <xf numFmtId="165" fontId="8" fillId="25" borderId="24" xfId="0" applyNumberFormat="1" applyFont="1" applyFill="1" applyBorder="1"/>
    <xf numFmtId="0" fontId="8" fillId="25" borderId="0" xfId="0" applyFont="1" applyFill="1" applyBorder="1"/>
    <xf numFmtId="165" fontId="8" fillId="25" borderId="0" xfId="0" applyNumberFormat="1" applyFont="1" applyFill="1" applyBorder="1"/>
    <xf numFmtId="0" fontId="8" fillId="25" borderId="25" xfId="0" applyFont="1" applyFill="1" applyBorder="1"/>
    <xf numFmtId="182" fontId="8" fillId="26" borderId="0" xfId="90" applyNumberFormat="1" applyFont="1" applyFill="1"/>
    <xf numFmtId="182" fontId="28" fillId="0" borderId="0" xfId="90" applyNumberFormat="1" applyFont="1" applyAlignment="1">
      <alignment horizontal="right"/>
    </xf>
    <xf numFmtId="43" fontId="8" fillId="0" borderId="0" xfId="0" applyNumberFormat="1" applyFont="1"/>
    <xf numFmtId="166" fontId="8" fillId="26" borderId="0" xfId="42" applyNumberFormat="1" applyFont="1" applyFill="1"/>
    <xf numFmtId="182" fontId="28" fillId="26" borderId="0" xfId="90" applyNumberFormat="1" applyFont="1" applyFill="1" applyAlignment="1">
      <alignment horizontal="right"/>
    </xf>
    <xf numFmtId="9" fontId="8" fillId="0" borderId="0" xfId="90" applyFont="1"/>
    <xf numFmtId="0" fontId="8" fillId="25" borderId="16" xfId="0" applyFont="1" applyFill="1" applyBorder="1"/>
    <xf numFmtId="0" fontId="8" fillId="25" borderId="27" xfId="0" applyFont="1" applyFill="1" applyBorder="1"/>
    <xf numFmtId="9" fontId="8" fillId="0" borderId="0" xfId="0" applyNumberFormat="1" applyFont="1"/>
    <xf numFmtId="9" fontId="8" fillId="0" borderId="16" xfId="0" applyNumberFormat="1" applyFont="1" applyBorder="1"/>
    <xf numFmtId="0" fontId="29" fillId="0" borderId="0" xfId="59" applyFont="1" applyFill="1" applyBorder="1"/>
    <xf numFmtId="166" fontId="52" fillId="0" borderId="0" xfId="42" applyNumberFormat="1" applyFont="1" applyAlignment="1">
      <alignment horizontal="center"/>
    </xf>
    <xf numFmtId="182" fontId="52" fillId="0" borderId="0" xfId="90" applyNumberFormat="1" applyFont="1" applyAlignment="1">
      <alignment horizontal="center"/>
    </xf>
    <xf numFmtId="166" fontId="52" fillId="0" borderId="0" xfId="0" applyNumberFormat="1" applyFont="1" applyAlignment="1">
      <alignment horizontal="center"/>
    </xf>
    <xf numFmtId="176" fontId="28" fillId="26" borderId="0" xfId="36" applyNumberFormat="1" applyFont="1" applyFill="1" applyAlignment="1">
      <alignment wrapText="1"/>
    </xf>
    <xf numFmtId="176" fontId="52" fillId="0" borderId="0" xfId="36" applyNumberFormat="1" applyFont="1" applyAlignment="1">
      <alignment horizontal="center"/>
    </xf>
    <xf numFmtId="182" fontId="8" fillId="26" borderId="0" xfId="0" applyNumberFormat="1" applyFont="1" applyFill="1"/>
    <xf numFmtId="182" fontId="28" fillId="34" borderId="0" xfId="90" applyNumberFormat="1" applyFont="1" applyFill="1"/>
    <xf numFmtId="165" fontId="28" fillId="26" borderId="0" xfId="0" applyNumberFormat="1" applyFont="1" applyFill="1" applyAlignment="1">
      <alignment horizontal="right"/>
    </xf>
    <xf numFmtId="165" fontId="28" fillId="26" borderId="0" xfId="0" applyNumberFormat="1" applyFont="1" applyFill="1" applyAlignment="1">
      <alignment wrapText="1"/>
    </xf>
    <xf numFmtId="165" fontId="52" fillId="0" borderId="0" xfId="0" applyNumberFormat="1" applyFont="1" applyFill="1" applyAlignment="1">
      <alignment horizontal="center"/>
    </xf>
    <xf numFmtId="176" fontId="8" fillId="0" borderId="0" xfId="36" applyNumberFormat="1" applyFont="1" applyFill="1"/>
    <xf numFmtId="182" fontId="127" fillId="0" borderId="0" xfId="90" applyNumberFormat="1" applyFont="1"/>
    <xf numFmtId="44" fontId="28" fillId="26" borderId="0" xfId="42" applyFont="1" applyFill="1" applyAlignment="1">
      <alignment horizontal="right"/>
    </xf>
    <xf numFmtId="166" fontId="8" fillId="0" borderId="0" xfId="42" applyNumberFormat="1" applyFont="1" applyAlignment="1">
      <alignment horizontal="right"/>
    </xf>
    <xf numFmtId="195" fontId="8" fillId="26" borderId="0" xfId="42" applyNumberFormat="1" applyFont="1" applyFill="1" applyAlignment="1">
      <alignment horizontal="right"/>
    </xf>
    <xf numFmtId="195" fontId="8" fillId="0" borderId="0" xfId="42" applyNumberFormat="1" applyFont="1" applyFill="1" applyAlignment="1">
      <alignment horizontal="right"/>
    </xf>
    <xf numFmtId="195" fontId="52" fillId="0" borderId="0" xfId="42" applyNumberFormat="1" applyFont="1" applyFill="1" applyAlignment="1">
      <alignment horizontal="center"/>
    </xf>
    <xf numFmtId="0" fontId="8" fillId="0" borderId="0" xfId="0" applyFont="1" applyAlignment="1">
      <alignment horizontal="left"/>
    </xf>
    <xf numFmtId="182" fontId="28" fillId="29" borderId="0" xfId="90" applyNumberFormat="1" applyFont="1" applyFill="1"/>
    <xf numFmtId="176" fontId="8" fillId="26" borderId="0" xfId="36" applyNumberFormat="1" applyFont="1" applyFill="1"/>
    <xf numFmtId="182" fontId="8" fillId="25" borderId="24" xfId="90" applyNumberFormat="1" applyFont="1" applyFill="1" applyBorder="1"/>
    <xf numFmtId="182" fontId="8" fillId="25" borderId="0" xfId="90" applyNumberFormat="1" applyFont="1" applyFill="1" applyBorder="1"/>
    <xf numFmtId="182" fontId="8" fillId="25" borderId="25" xfId="90" applyNumberFormat="1" applyFont="1" applyFill="1" applyBorder="1"/>
    <xf numFmtId="0" fontId="8" fillId="27" borderId="0" xfId="0" applyFont="1" applyFill="1"/>
    <xf numFmtId="44" fontId="8" fillId="26" borderId="0" xfId="42" applyFont="1" applyFill="1"/>
    <xf numFmtId="44" fontId="89" fillId="0" borderId="0" xfId="42" applyFont="1" applyAlignment="1">
      <alignment horizontal="right"/>
    </xf>
    <xf numFmtId="44" fontId="52" fillId="0" borderId="0" xfId="42" applyFont="1" applyAlignment="1">
      <alignment horizontal="center"/>
    </xf>
    <xf numFmtId="165" fontId="8" fillId="25" borderId="24" xfId="0" applyNumberFormat="1" applyFont="1" applyFill="1" applyBorder="1" applyAlignment="1">
      <alignment horizontal="right"/>
    </xf>
    <xf numFmtId="44" fontId="28" fillId="0" borderId="0" xfId="42" applyFont="1" applyAlignment="1">
      <alignment horizontal="right"/>
    </xf>
    <xf numFmtId="176" fontId="52" fillId="0" borderId="0" xfId="36" applyNumberFormat="1" applyFont="1"/>
    <xf numFmtId="182" fontId="52" fillId="0" borderId="0" xfId="90" applyNumberFormat="1" applyFont="1"/>
    <xf numFmtId="44" fontId="52" fillId="0" borderId="0" xfId="42" applyFont="1" applyAlignment="1">
      <alignment horizontal="right"/>
    </xf>
    <xf numFmtId="165" fontId="8" fillId="25" borderId="26" xfId="0" applyNumberFormat="1" applyFont="1" applyFill="1" applyBorder="1" applyAlignment="1">
      <alignment horizontal="right"/>
    </xf>
    <xf numFmtId="165" fontId="8" fillId="25" borderId="16" xfId="0" applyNumberFormat="1" applyFont="1" applyFill="1" applyBorder="1"/>
    <xf numFmtId="164" fontId="52" fillId="0" borderId="0" xfId="42" applyNumberFormat="1" applyFont="1" applyAlignment="1">
      <alignment horizontal="center"/>
    </xf>
    <xf numFmtId="164" fontId="8" fillId="0" borderId="0" xfId="42" applyNumberFormat="1" applyFont="1" applyAlignment="1">
      <alignment horizontal="right"/>
    </xf>
    <xf numFmtId="164" fontId="28" fillId="0" borderId="0" xfId="42" applyNumberFormat="1" applyFont="1" applyAlignment="1">
      <alignment horizontal="right"/>
    </xf>
    <xf numFmtId="164" fontId="8" fillId="0" borderId="0" xfId="0" applyNumberFormat="1" applyFont="1"/>
    <xf numFmtId="165" fontId="8" fillId="25" borderId="26" xfId="0" applyNumberFormat="1" applyFont="1" applyFill="1" applyBorder="1"/>
    <xf numFmtId="44" fontId="8" fillId="26" borderId="0" xfId="0" applyNumberFormat="1" applyFont="1" applyFill="1"/>
    <xf numFmtId="44" fontId="8" fillId="0" borderId="0" xfId="0" applyNumberFormat="1" applyFont="1"/>
    <xf numFmtId="165" fontId="8" fillId="0" borderId="0" xfId="0" applyNumberFormat="1" applyFont="1" applyBorder="1"/>
    <xf numFmtId="183" fontId="8" fillId="26" borderId="0" xfId="42" applyNumberFormat="1" applyFont="1" applyFill="1"/>
    <xf numFmtId="176" fontId="28" fillId="26" borderId="0" xfId="36" applyNumberFormat="1" applyFont="1" applyFill="1" applyBorder="1"/>
    <xf numFmtId="176" fontId="28" fillId="0" borderId="0" xfId="36" applyNumberFormat="1" applyFont="1" applyFill="1" applyBorder="1"/>
    <xf numFmtId="176" fontId="8" fillId="0" borderId="0" xfId="36" applyNumberFormat="1" applyFont="1" applyFill="1" applyBorder="1"/>
    <xf numFmtId="0" fontId="2" fillId="0" borderId="0" xfId="65" applyFont="1" applyFill="1" applyAlignment="1">
      <alignment horizontal="left" vertical="center"/>
    </xf>
    <xf numFmtId="0" fontId="29" fillId="0" borderId="31" xfId="65" applyFont="1" applyBorder="1"/>
    <xf numFmtId="0" fontId="29" fillId="0" borderId="0" xfId="65" applyFont="1" applyBorder="1"/>
    <xf numFmtId="164" fontId="29" fillId="0" borderId="0" xfId="98" applyFont="1" applyBorder="1"/>
    <xf numFmtId="2" fontId="8" fillId="0" borderId="0" xfId="0" applyNumberFormat="1" applyFont="1"/>
    <xf numFmtId="0" fontId="29" fillId="0" borderId="0" xfId="65" quotePrefix="1" applyFont="1" applyAlignment="1">
      <alignment horizontal="left"/>
    </xf>
    <xf numFmtId="179" fontId="2" fillId="0" borderId="16" xfId="65" applyNumberFormat="1" applyFont="1" applyBorder="1" applyAlignment="1" applyProtection="1">
      <alignment horizontal="right"/>
    </xf>
    <xf numFmtId="179" fontId="2" fillId="0" borderId="0" xfId="65" applyNumberFormat="1" applyFont="1" applyBorder="1" applyAlignment="1" applyProtection="1">
      <alignment horizontal="right"/>
    </xf>
    <xf numFmtId="0" fontId="2" fillId="26" borderId="17" xfId="65" applyFont="1" applyFill="1" applyBorder="1"/>
    <xf numFmtId="0" fontId="8" fillId="26" borderId="17" xfId="65" applyFont="1" applyFill="1" applyBorder="1"/>
    <xf numFmtId="0" fontId="8" fillId="26" borderId="17" xfId="65" applyFont="1" applyFill="1" applyBorder="1" applyAlignment="1"/>
    <xf numFmtId="0" fontId="8" fillId="0" borderId="0" xfId="77" applyFont="1"/>
    <xf numFmtId="199" fontId="28" fillId="0" borderId="0" xfId="90" applyNumberFormat="1" applyFont="1"/>
    <xf numFmtId="199" fontId="8" fillId="0" borderId="0" xfId="77" applyNumberFormat="1" applyFont="1"/>
    <xf numFmtId="2" fontId="8" fillId="0" borderId="10" xfId="0" applyNumberFormat="1" applyFont="1" applyBorder="1" applyAlignment="1">
      <alignment horizontal="center"/>
    </xf>
    <xf numFmtId="2" fontId="8" fillId="0" borderId="0" xfId="77" applyNumberFormat="1" applyFont="1"/>
    <xf numFmtId="199" fontId="8" fillId="0" borderId="0" xfId="90" applyNumberFormat="1" applyFont="1"/>
    <xf numFmtId="199" fontId="28" fillId="0" borderId="0" xfId="77" applyNumberFormat="1" applyFont="1"/>
    <xf numFmtId="199" fontId="93" fillId="0" borderId="0" xfId="77" applyNumberFormat="1" applyFont="1" applyBorder="1"/>
    <xf numFmtId="199" fontId="28" fillId="0" borderId="10" xfId="90" applyNumberFormat="1" applyFont="1" applyBorder="1"/>
    <xf numFmtId="0" fontId="8" fillId="0" borderId="0" xfId="65" applyFont="1"/>
    <xf numFmtId="187" fontId="93" fillId="0" borderId="0" xfId="77" applyNumberFormat="1" applyFont="1"/>
    <xf numFmtId="164" fontId="93" fillId="0" borderId="0" xfId="36" applyNumberFormat="1" applyFont="1" applyFill="1"/>
    <xf numFmtId="164" fontId="93" fillId="0" borderId="16" xfId="36" applyNumberFormat="1" applyFont="1" applyFill="1" applyBorder="1"/>
    <xf numFmtId="164" fontId="93" fillId="0" borderId="0" xfId="36" applyNumberFormat="1" applyFont="1" applyFill="1" applyBorder="1"/>
    <xf numFmtId="187" fontId="8" fillId="0" borderId="0" xfId="77" applyNumberFormat="1" applyFont="1"/>
    <xf numFmtId="200" fontId="8" fillId="0" borderId="0" xfId="37" applyNumberFormat="1" applyFont="1"/>
    <xf numFmtId="37" fontId="8" fillId="0" borderId="0" xfId="36" applyNumberFormat="1" applyFont="1"/>
    <xf numFmtId="0" fontId="8" fillId="27" borderId="0" xfId="77" applyFont="1" applyFill="1"/>
    <xf numFmtId="183" fontId="8" fillId="27" borderId="0" xfId="42" applyNumberFormat="1" applyFont="1" applyFill="1"/>
    <xf numFmtId="183" fontId="8" fillId="27" borderId="21" xfId="42" applyNumberFormat="1" applyFont="1" applyFill="1" applyBorder="1"/>
    <xf numFmtId="0" fontId="29" fillId="26" borderId="31" xfId="65" applyFont="1" applyFill="1" applyBorder="1"/>
    <xf numFmtId="0" fontId="29" fillId="26" borderId="0" xfId="65" applyFont="1" applyFill="1" applyBorder="1"/>
    <xf numFmtId="179" fontId="2" fillId="26" borderId="16" xfId="65" applyNumberFormat="1" applyFont="1" applyFill="1" applyBorder="1" applyAlignment="1" applyProtection="1">
      <alignment horizontal="right"/>
    </xf>
    <xf numFmtId="0" fontId="8" fillId="26" borderId="0" xfId="77" applyFont="1" applyFill="1"/>
    <xf numFmtId="199" fontId="8" fillId="26" borderId="0" xfId="77" applyNumberFormat="1" applyFont="1" applyFill="1"/>
    <xf numFmtId="2" fontId="94" fillId="0" borderId="0" xfId="77" applyNumberFormat="1" applyFont="1" applyFill="1"/>
    <xf numFmtId="199" fontId="8" fillId="26" borderId="0" xfId="90" applyNumberFormat="1" applyFont="1" applyFill="1"/>
    <xf numFmtId="199" fontId="93" fillId="26" borderId="0" xfId="77" applyNumberFormat="1" applyFont="1" applyFill="1" applyBorder="1"/>
    <xf numFmtId="0" fontId="8" fillId="0" borderId="13" xfId="65" applyFont="1" applyBorder="1"/>
    <xf numFmtId="9" fontId="28" fillId="0" borderId="21" xfId="65" applyNumberFormat="1" applyFont="1" applyBorder="1"/>
    <xf numFmtId="0" fontId="8" fillId="26" borderId="0" xfId="65" applyFont="1" applyFill="1"/>
    <xf numFmtId="0" fontId="8" fillId="0" borderId="32" xfId="65" applyFont="1" applyBorder="1"/>
    <xf numFmtId="182" fontId="28" fillId="0" borderId="33" xfId="90" applyNumberFormat="1" applyFont="1" applyBorder="1"/>
    <xf numFmtId="187" fontId="93" fillId="26" borderId="0" xfId="77" applyNumberFormat="1" applyFont="1" applyFill="1"/>
    <xf numFmtId="176" fontId="93" fillId="26" borderId="0" xfId="36" applyNumberFormat="1" applyFont="1" applyFill="1"/>
    <xf numFmtId="176" fontId="93" fillId="26" borderId="16" xfId="36" applyNumberFormat="1" applyFont="1" applyFill="1" applyBorder="1"/>
    <xf numFmtId="187" fontId="8" fillId="26" borderId="0" xfId="77" applyNumberFormat="1" applyFont="1" applyFill="1"/>
    <xf numFmtId="200" fontId="8" fillId="26" borderId="0" xfId="37" applyNumberFormat="1" applyFont="1" applyFill="1"/>
    <xf numFmtId="37" fontId="8" fillId="26" borderId="0" xfId="36" applyNumberFormat="1" applyFont="1" applyFill="1"/>
    <xf numFmtId="9" fontId="8" fillId="0" borderId="0" xfId="90" applyFont="1" applyAlignment="1">
      <alignment horizontal="centerContinuous"/>
    </xf>
    <xf numFmtId="9" fontId="88" fillId="0" borderId="0" xfId="90" applyFont="1"/>
    <xf numFmtId="165" fontId="126" fillId="0" borderId="16" xfId="0" applyNumberFormat="1" applyFont="1" applyBorder="1"/>
    <xf numFmtId="175" fontId="126" fillId="0" borderId="16" xfId="0" applyNumberFormat="1" applyFont="1" applyBorder="1"/>
    <xf numFmtId="167" fontId="126" fillId="0" borderId="16" xfId="0" applyNumberFormat="1" applyFont="1" applyFill="1" applyBorder="1"/>
    <xf numFmtId="2" fontId="126" fillId="0" borderId="16" xfId="0" applyNumberFormat="1" applyFont="1" applyBorder="1" applyAlignment="1">
      <alignment horizontal="right"/>
    </xf>
    <xf numFmtId="166" fontId="126" fillId="0" borderId="0" xfId="0" applyNumberFormat="1" applyFont="1"/>
    <xf numFmtId="196" fontId="126" fillId="0" borderId="0" xfId="0" applyNumberFormat="1" applyFont="1" applyFill="1" applyAlignment="1">
      <alignment horizontal="left"/>
    </xf>
    <xf numFmtId="174" fontId="126" fillId="0" borderId="0" xfId="0" applyNumberFormat="1" applyFont="1"/>
    <xf numFmtId="166" fontId="126" fillId="0" borderId="0" xfId="0" applyNumberFormat="1" applyFont="1" applyFill="1" applyBorder="1"/>
    <xf numFmtId="164" fontId="126" fillId="0" borderId="0" xfId="0" applyNumberFormat="1" applyFont="1" applyFill="1" applyBorder="1"/>
    <xf numFmtId="164" fontId="126" fillId="0" borderId="16" xfId="0" applyNumberFormat="1" applyFont="1" applyFill="1" applyBorder="1"/>
    <xf numFmtId="166" fontId="8" fillId="36" borderId="0" xfId="0" applyNumberFormat="1" applyFont="1" applyFill="1"/>
    <xf numFmtId="171" fontId="8" fillId="36" borderId="0" xfId="0" applyNumberFormat="1" applyFont="1" applyFill="1"/>
    <xf numFmtId="165" fontId="8" fillId="36" borderId="0" xfId="0" applyNumberFormat="1" applyFont="1" applyFill="1"/>
    <xf numFmtId="167" fontId="8" fillId="36" borderId="16" xfId="0" applyNumberFormat="1" applyFont="1" applyFill="1" applyBorder="1"/>
    <xf numFmtId="167" fontId="8" fillId="36" borderId="0" xfId="0" applyNumberFormat="1" applyFont="1" applyFill="1"/>
    <xf numFmtId="37" fontId="8" fillId="26" borderId="0" xfId="0" applyNumberFormat="1" applyFont="1" applyFill="1"/>
    <xf numFmtId="0" fontId="0" fillId="26" borderId="0" xfId="3" applyFont="1" applyFill="1" applyBorder="1"/>
    <xf numFmtId="0" fontId="96" fillId="0" borderId="0" xfId="3" applyFont="1" applyBorder="1"/>
    <xf numFmtId="0" fontId="54" fillId="0" borderId="0" xfId="3" applyFont="1" applyFill="1" applyBorder="1" applyAlignment="1">
      <alignment vertical="center"/>
    </xf>
    <xf numFmtId="0" fontId="97" fillId="0" borderId="0" xfId="3" applyFont="1" applyFill="1" applyBorder="1" applyProtection="1"/>
    <xf numFmtId="0" fontId="0" fillId="0" borderId="0" xfId="3" applyFont="1" applyFill="1" applyBorder="1"/>
    <xf numFmtId="0" fontId="98" fillId="0" borderId="0" xfId="3" applyFont="1" applyFill="1" applyBorder="1" applyAlignment="1">
      <alignment horizontal="center" vertical="center"/>
    </xf>
    <xf numFmtId="9" fontId="128" fillId="0" borderId="0" xfId="3" applyNumberFormat="1" applyFont="1" applyFill="1" applyBorder="1" applyProtection="1"/>
    <xf numFmtId="0" fontId="98" fillId="0" borderId="0" xfId="3" applyFont="1" applyFill="1" applyBorder="1" applyAlignment="1">
      <alignment horizontal="left" vertical="center"/>
    </xf>
    <xf numFmtId="0" fontId="97" fillId="0" borderId="0" xfId="3" applyFont="1" applyFill="1" applyProtection="1"/>
    <xf numFmtId="0" fontId="11" fillId="0" borderId="0" xfId="3" applyFont="1" applyFill="1" applyProtection="1"/>
    <xf numFmtId="0" fontId="0" fillId="26" borderId="0" xfId="3" applyFont="1" applyFill="1"/>
    <xf numFmtId="0" fontId="97" fillId="0" borderId="0" xfId="3" applyFont="1" applyBorder="1"/>
    <xf numFmtId="0" fontId="97" fillId="0" borderId="0" xfId="3" applyFont="1" applyBorder="1" applyAlignment="1">
      <alignment horizontal="right"/>
    </xf>
    <xf numFmtId="9" fontId="97" fillId="0" borderId="0" xfId="3" applyNumberFormat="1" applyFont="1" applyBorder="1"/>
    <xf numFmtId="0" fontId="100" fillId="0" borderId="0" xfId="3" applyFont="1" applyBorder="1"/>
    <xf numFmtId="0" fontId="97" fillId="0" borderId="0" xfId="3" applyFont="1" applyFill="1" applyBorder="1"/>
    <xf numFmtId="0" fontId="95" fillId="0" borderId="0" xfId="58"/>
    <xf numFmtId="0" fontId="97" fillId="26" borderId="0" xfId="3" applyFont="1" applyFill="1" applyBorder="1"/>
    <xf numFmtId="0" fontId="54" fillId="25" borderId="0" xfId="3" applyFont="1" applyFill="1" applyBorder="1" applyAlignment="1">
      <alignment vertical="center"/>
    </xf>
    <xf numFmtId="0" fontId="54" fillId="25" borderId="0" xfId="3" applyFont="1" applyFill="1" applyBorder="1" applyAlignment="1">
      <alignment horizontal="left" vertical="center" indent="2"/>
    </xf>
    <xf numFmtId="0" fontId="97" fillId="0" borderId="0" xfId="3" applyFont="1" applyFill="1" applyBorder="1" applyAlignment="1">
      <alignment horizontal="left"/>
    </xf>
    <xf numFmtId="0" fontId="54" fillId="0" borderId="0" xfId="3" applyFont="1" applyBorder="1" applyAlignment="1">
      <alignment horizontal="left" vertical="center" indent="2"/>
    </xf>
    <xf numFmtId="0" fontId="97" fillId="0" borderId="0" xfId="3" applyFont="1" applyFill="1" applyBorder="1" applyAlignment="1">
      <alignment horizontal="center" vertical="center" wrapText="1"/>
    </xf>
    <xf numFmtId="9" fontId="97" fillId="0" borderId="0" xfId="3" applyNumberFormat="1" applyFont="1" applyFill="1" applyBorder="1" applyAlignment="1">
      <alignment horizontal="right"/>
    </xf>
    <xf numFmtId="0" fontId="96" fillId="0" borderId="0" xfId="3" applyFont="1" applyFill="1" applyBorder="1"/>
    <xf numFmtId="0" fontId="56" fillId="0" borderId="0" xfId="73" applyFont="1" applyFill="1" applyBorder="1"/>
    <xf numFmtId="0" fontId="11" fillId="0" borderId="0" xfId="3" applyFont="1" applyBorder="1"/>
    <xf numFmtId="0" fontId="0" fillId="0" borderId="0" xfId="3" applyFont="1" applyFill="1"/>
    <xf numFmtId="0" fontId="101" fillId="0" borderId="0" xfId="3" applyFont="1" applyBorder="1" applyAlignment="1">
      <alignment horizontal="left"/>
    </xf>
    <xf numFmtId="0" fontId="0" fillId="0" borderId="0" xfId="3" applyFont="1" applyBorder="1"/>
    <xf numFmtId="0" fontId="97" fillId="0" borderId="0" xfId="3" applyFont="1" applyFill="1" applyBorder="1" applyAlignment="1"/>
    <xf numFmtId="0" fontId="102" fillId="0" borderId="0" xfId="3" applyFont="1" applyBorder="1"/>
    <xf numFmtId="0" fontId="97" fillId="0" borderId="0" xfId="3" applyFont="1" applyBorder="1" applyAlignment="1">
      <alignment horizontal="left" indent="2"/>
    </xf>
    <xf numFmtId="0" fontId="102" fillId="25" borderId="0" xfId="3" applyFont="1" applyFill="1" applyBorder="1" applyProtection="1"/>
    <xf numFmtId="0" fontId="95" fillId="0" borderId="0" xfId="3" applyFont="1" applyBorder="1" applyAlignment="1">
      <alignment horizontal="right" vertical="center" readingOrder="2"/>
    </xf>
    <xf numFmtId="0" fontId="96" fillId="0" borderId="0" xfId="3" applyFont="1" applyBorder="1" applyAlignment="1">
      <alignment vertical="center"/>
    </xf>
    <xf numFmtId="0" fontId="95" fillId="0" borderId="0" xfId="3" applyFont="1" applyBorder="1" applyAlignment="1">
      <alignment horizontal="centerContinuous" vertical="center" wrapText="1"/>
    </xf>
    <xf numFmtId="0" fontId="20" fillId="0" borderId="0" xfId="3" applyFont="1" applyBorder="1"/>
    <xf numFmtId="0" fontId="102" fillId="0" borderId="0" xfId="3" applyFont="1" applyFill="1" applyBorder="1"/>
    <xf numFmtId="0" fontId="102" fillId="0" borderId="34" xfId="3" applyFont="1" applyFill="1" applyBorder="1"/>
    <xf numFmtId="0" fontId="102" fillId="0" borderId="35" xfId="3" applyFont="1" applyBorder="1"/>
    <xf numFmtId="0" fontId="102" fillId="0" borderId="35" xfId="3" applyNumberFormat="1" applyFont="1" applyBorder="1" applyAlignment="1">
      <alignment horizontal="left"/>
    </xf>
    <xf numFmtId="0" fontId="102" fillId="0" borderId="36" xfId="3" applyFont="1" applyBorder="1"/>
    <xf numFmtId="0" fontId="95" fillId="0" borderId="0" xfId="3" applyNumberFormat="1" applyFont="1" applyFill="1"/>
    <xf numFmtId="0" fontId="97" fillId="0" borderId="0" xfId="3" applyNumberFormat="1" applyFont="1" applyFill="1" applyBorder="1"/>
    <xf numFmtId="0" fontId="95" fillId="0" borderId="0" xfId="3" applyNumberFormat="1" applyFont="1"/>
    <xf numFmtId="0" fontId="102" fillId="0" borderId="34" xfId="3" applyNumberFormat="1" applyFont="1" applyFill="1" applyBorder="1"/>
    <xf numFmtId="0" fontId="102" fillId="0" borderId="35" xfId="3" applyNumberFormat="1" applyFont="1" applyBorder="1"/>
    <xf numFmtId="0" fontId="2" fillId="0" borderId="0" xfId="3" applyFont="1" applyBorder="1" applyAlignment="1">
      <alignment horizontal="left" vertical="center" indent="1"/>
    </xf>
    <xf numFmtId="0" fontId="102" fillId="0" borderId="37" xfId="3" applyFont="1" applyFill="1" applyBorder="1"/>
    <xf numFmtId="0" fontId="102" fillId="0" borderId="0" xfId="3" applyNumberFormat="1" applyFont="1" applyBorder="1"/>
    <xf numFmtId="0" fontId="102" fillId="0" borderId="38" xfId="3" applyFont="1" applyBorder="1"/>
    <xf numFmtId="0" fontId="97" fillId="0" borderId="0" xfId="3" applyNumberFormat="1" applyFont="1" applyBorder="1"/>
    <xf numFmtId="0" fontId="102" fillId="0" borderId="37" xfId="3" applyNumberFormat="1" applyFont="1" applyFill="1" applyBorder="1"/>
    <xf numFmtId="0" fontId="8" fillId="0" borderId="0" xfId="3" applyFont="1" applyBorder="1"/>
    <xf numFmtId="0" fontId="2" fillId="0" borderId="0" xfId="3" applyFont="1" applyBorder="1" applyAlignment="1">
      <alignment horizontal="left" indent="1"/>
    </xf>
    <xf numFmtId="0" fontId="8" fillId="0" borderId="0" xfId="3" applyFont="1" applyBorder="1" applyAlignment="1"/>
    <xf numFmtId="0" fontId="8" fillId="0" borderId="0" xfId="3" applyFont="1" applyBorder="1" applyAlignment="1">
      <alignment horizontal="left" vertical="center" indent="1"/>
    </xf>
    <xf numFmtId="182" fontId="23" fillId="0" borderId="0" xfId="91" applyNumberFormat="1" applyFont="1" applyFill="1" applyBorder="1" applyAlignment="1">
      <alignment horizontal="right" vertical="center" wrapText="1"/>
    </xf>
    <xf numFmtId="0" fontId="81" fillId="0" borderId="0" xfId="3" applyNumberFormat="1" applyFont="1" applyBorder="1" applyAlignment="1">
      <alignment horizontal="right"/>
    </xf>
    <xf numFmtId="43" fontId="2" fillId="0" borderId="0" xfId="3" applyNumberFormat="1" applyFont="1" applyFill="1" applyBorder="1" applyAlignment="1">
      <alignment horizontal="right"/>
    </xf>
    <xf numFmtId="0" fontId="128" fillId="0" borderId="0" xfId="3" applyFont="1" applyFill="1" applyBorder="1"/>
    <xf numFmtId="0" fontId="97" fillId="0" borderId="0" xfId="71" applyFont="1" applyBorder="1"/>
    <xf numFmtId="0" fontId="58" fillId="30" borderId="0" xfId="71" applyFont="1" applyFill="1" applyBorder="1" applyAlignment="1"/>
    <xf numFmtId="0" fontId="102" fillId="0" borderId="39" xfId="3" applyFont="1" applyBorder="1"/>
    <xf numFmtId="0" fontId="97" fillId="0" borderId="39" xfId="3" applyFont="1" applyBorder="1"/>
    <xf numFmtId="0" fontId="102" fillId="0" borderId="40" xfId="3" applyFont="1" applyBorder="1"/>
    <xf numFmtId="0" fontId="2" fillId="35" borderId="18" xfId="3" applyFont="1" applyFill="1" applyBorder="1" applyAlignment="1">
      <alignment horizontal="left" indent="1"/>
    </xf>
    <xf numFmtId="0" fontId="8" fillId="35" borderId="17" xfId="3" applyFont="1" applyFill="1" applyBorder="1" applyAlignment="1"/>
    <xf numFmtId="202" fontId="2" fillId="35" borderId="17" xfId="3" applyNumberFormat="1" applyFont="1" applyFill="1" applyBorder="1"/>
    <xf numFmtId="43" fontId="2" fillId="35" borderId="30" xfId="38" applyFont="1" applyFill="1" applyBorder="1" applyAlignment="1">
      <alignment vertical="center"/>
    </xf>
    <xf numFmtId="0" fontId="8" fillId="0" borderId="0" xfId="71" applyFont="1" applyBorder="1" applyAlignment="1">
      <alignment horizontal="right"/>
    </xf>
    <xf numFmtId="0" fontId="2" fillId="26" borderId="0" xfId="71" applyFont="1" applyFill="1" applyBorder="1" applyAlignment="1">
      <alignment horizontal="left"/>
    </xf>
    <xf numFmtId="0" fontId="2" fillId="26" borderId="0" xfId="71" applyFont="1" applyFill="1" applyBorder="1" applyAlignment="1">
      <alignment horizontal="left" indent="1"/>
    </xf>
    <xf numFmtId="43" fontId="2" fillId="26" borderId="0" xfId="38" applyFont="1" applyFill="1" applyBorder="1"/>
    <xf numFmtId="1" fontId="23" fillId="0" borderId="0" xfId="3" applyNumberFormat="1" applyFont="1" applyFill="1" applyBorder="1" applyAlignment="1">
      <alignment horizontal="right" vertical="center" wrapText="1"/>
    </xf>
    <xf numFmtId="0" fontId="8" fillId="0" borderId="0" xfId="3" applyFont="1" applyBorder="1" applyAlignment="1">
      <alignment horizontal="left" indent="1"/>
    </xf>
    <xf numFmtId="182" fontId="8" fillId="0" borderId="0" xfId="3" applyNumberFormat="1" applyFont="1" applyBorder="1"/>
    <xf numFmtId="10" fontId="8" fillId="0" borderId="0" xfId="3" applyNumberFormat="1" applyFont="1" applyFill="1" applyBorder="1" applyAlignment="1">
      <alignment horizontal="right" vertical="center"/>
    </xf>
    <xf numFmtId="0" fontId="8" fillId="26" borderId="0" xfId="71" applyFont="1" applyFill="1" applyBorder="1" applyAlignment="1">
      <alignment horizontal="left" indent="1"/>
    </xf>
    <xf numFmtId="9" fontId="2" fillId="26" borderId="0" xfId="38" applyNumberFormat="1" applyFont="1" applyFill="1" applyBorder="1"/>
    <xf numFmtId="2" fontId="97" fillId="0" borderId="0" xfId="3" applyNumberFormat="1" applyFont="1" applyFill="1" applyBorder="1"/>
    <xf numFmtId="9" fontId="23" fillId="0" borderId="0" xfId="91" applyFont="1" applyFill="1" applyBorder="1" applyAlignment="1">
      <alignment horizontal="right" vertical="center" wrapText="1"/>
    </xf>
    <xf numFmtId="2" fontId="56" fillId="0" borderId="0" xfId="3" applyNumberFormat="1" applyFont="1" applyFill="1" applyBorder="1" applyAlignment="1"/>
    <xf numFmtId="43" fontId="23" fillId="24" borderId="0" xfId="38" applyFont="1" applyFill="1" applyBorder="1"/>
    <xf numFmtId="41" fontId="23" fillId="0" borderId="0" xfId="38" applyNumberFormat="1" applyFont="1" applyFill="1" applyBorder="1" applyAlignment="1">
      <alignment horizontal="right"/>
    </xf>
    <xf numFmtId="0" fontId="8" fillId="35" borderId="17" xfId="3" applyFont="1" applyFill="1" applyBorder="1"/>
    <xf numFmtId="10" fontId="2" fillId="35" borderId="30" xfId="3" applyNumberFormat="1" applyFont="1" applyFill="1" applyBorder="1" applyAlignment="1">
      <alignment horizontal="right" vertical="center"/>
    </xf>
    <xf numFmtId="182" fontId="8" fillId="0" borderId="0" xfId="91" applyNumberFormat="1" applyFont="1" applyFill="1" applyBorder="1" applyAlignment="1">
      <alignment horizontal="left" indent="1"/>
    </xf>
    <xf numFmtId="1" fontId="81" fillId="0" borderId="0" xfId="3" applyNumberFormat="1" applyFont="1" applyBorder="1" applyAlignment="1">
      <alignment horizontal="right"/>
    </xf>
    <xf numFmtId="2" fontId="56" fillId="0" borderId="0" xfId="3" applyNumberFormat="1" applyFont="1" applyBorder="1"/>
    <xf numFmtId="182" fontId="8" fillId="0" borderId="0" xfId="3" applyNumberFormat="1" applyFont="1" applyBorder="1" applyAlignment="1">
      <alignment horizontal="right" vertical="center"/>
    </xf>
    <xf numFmtId="177" fontId="97" fillId="0" borderId="0" xfId="3" applyNumberFormat="1" applyFont="1" applyFill="1" applyBorder="1"/>
    <xf numFmtId="0" fontId="95" fillId="26" borderId="0" xfId="3" applyFont="1" applyFill="1" applyBorder="1"/>
    <xf numFmtId="0" fontId="23" fillId="0" borderId="0" xfId="91" applyNumberFormat="1" applyFont="1" applyFill="1" applyBorder="1" applyAlignment="1">
      <alignment horizontal="right" vertical="center" wrapText="1"/>
    </xf>
    <xf numFmtId="0" fontId="8" fillId="0" borderId="0" xfId="3" applyFont="1" applyBorder="1" applyAlignment="1">
      <alignment horizontal="right"/>
    </xf>
    <xf numFmtId="2" fontId="56" fillId="0" borderId="0" xfId="3" applyNumberFormat="1" applyFont="1" applyBorder="1" applyAlignment="1"/>
    <xf numFmtId="2" fontId="23" fillId="0" borderId="0" xfId="3" applyNumberFormat="1" applyFont="1" applyFill="1" applyBorder="1" applyAlignment="1">
      <alignment horizontal="right" vertical="center" wrapText="1"/>
    </xf>
    <xf numFmtId="0" fontId="56" fillId="0" borderId="0" xfId="3" applyFont="1" applyBorder="1" applyAlignment="1"/>
    <xf numFmtId="182" fontId="56" fillId="0" borderId="0" xfId="3" applyNumberFormat="1" applyFont="1" applyBorder="1"/>
    <xf numFmtId="1" fontId="8" fillId="0" borderId="0" xfId="3" applyNumberFormat="1" applyFont="1" applyFill="1" applyBorder="1" applyAlignment="1">
      <alignment horizontal="right" vertical="center" wrapText="1"/>
    </xf>
    <xf numFmtId="0" fontId="102" fillId="0" borderId="34" xfId="3" applyFont="1" applyBorder="1" applyAlignment="1">
      <alignment horizontal="left"/>
    </xf>
    <xf numFmtId="2" fontId="102" fillId="0" borderId="7" xfId="3" applyNumberFormat="1" applyFont="1" applyFill="1" applyBorder="1"/>
    <xf numFmtId="0" fontId="102" fillId="0" borderId="7" xfId="69" applyFont="1" applyFill="1" applyBorder="1"/>
    <xf numFmtId="2" fontId="102" fillId="0" borderId="7" xfId="69" applyNumberFormat="1" applyFont="1" applyFill="1" applyBorder="1"/>
    <xf numFmtId="0" fontId="97" fillId="0" borderId="0" xfId="62" applyFont="1"/>
    <xf numFmtId="0" fontId="23" fillId="0" borderId="0" xfId="3" applyFont="1" applyFill="1" applyBorder="1" applyAlignment="1">
      <alignment horizontal="right"/>
    </xf>
    <xf numFmtId="0" fontId="8" fillId="0" borderId="0" xfId="91" applyNumberFormat="1" applyFont="1" applyFill="1" applyBorder="1" applyAlignment="1">
      <alignment horizontal="right" vertical="center" wrapText="1"/>
    </xf>
    <xf numFmtId="0" fontId="102" fillId="0" borderId="37" xfId="3" applyFont="1" applyBorder="1" applyAlignment="1">
      <alignment horizontal="left"/>
    </xf>
    <xf numFmtId="0" fontId="8" fillId="0" borderId="0" xfId="3" applyFont="1" applyFill="1" applyBorder="1" applyAlignment="1">
      <alignment horizontal="left" vertical="center" indent="1"/>
    </xf>
    <xf numFmtId="0" fontId="81" fillId="0" borderId="0" xfId="3" applyFont="1" applyFill="1" applyBorder="1"/>
    <xf numFmtId="0" fontId="102" fillId="0" borderId="37" xfId="3" applyFont="1" applyFill="1" applyBorder="1" applyAlignment="1">
      <alignment horizontal="left"/>
    </xf>
    <xf numFmtId="202" fontId="102" fillId="0" borderId="0" xfId="3" applyNumberFormat="1" applyFont="1" applyFill="1" applyBorder="1"/>
    <xf numFmtId="43" fontId="102" fillId="0" borderId="0" xfId="38" applyFont="1" applyFill="1" applyBorder="1" applyAlignment="1">
      <alignment vertical="center"/>
    </xf>
    <xf numFmtId="2" fontId="102" fillId="0" borderId="7" xfId="3" applyNumberFormat="1" applyFont="1" applyBorder="1" applyAlignment="1"/>
    <xf numFmtId="0" fontId="102" fillId="0" borderId="41" xfId="3" applyNumberFormat="1" applyFont="1" applyFill="1" applyBorder="1"/>
    <xf numFmtId="0" fontId="102" fillId="0" borderId="42" xfId="3" applyNumberFormat="1" applyFont="1" applyBorder="1"/>
    <xf numFmtId="0" fontId="102" fillId="0" borderId="42" xfId="3" applyFont="1" applyBorder="1"/>
    <xf numFmtId="0" fontId="102" fillId="0" borderId="43" xfId="3" applyFont="1" applyBorder="1"/>
    <xf numFmtId="0" fontId="102" fillId="0" borderId="37" xfId="3" applyFont="1" applyBorder="1"/>
    <xf numFmtId="182" fontId="102" fillId="0" borderId="0" xfId="3" applyNumberFormat="1" applyFont="1" applyBorder="1"/>
    <xf numFmtId="185" fontId="102" fillId="0" borderId="0" xfId="38" applyNumberFormat="1" applyFont="1" applyFill="1" applyBorder="1" applyAlignment="1">
      <alignment horizontal="right" vertical="center"/>
    </xf>
    <xf numFmtId="2" fontId="102" fillId="0" borderId="7" xfId="3" applyNumberFormat="1" applyFont="1" applyBorder="1"/>
    <xf numFmtId="0" fontId="8" fillId="26" borderId="0" xfId="3" applyFont="1" applyFill="1" applyBorder="1"/>
    <xf numFmtId="0" fontId="8" fillId="0" borderId="0" xfId="3" applyFont="1" applyFill="1" applyBorder="1"/>
    <xf numFmtId="0" fontId="95" fillId="0" borderId="0" xfId="3" applyFont="1" applyFill="1" applyBorder="1"/>
    <xf numFmtId="0" fontId="8" fillId="0" borderId="0" xfId="3" applyFont="1"/>
    <xf numFmtId="0" fontId="95" fillId="0" borderId="0" xfId="3" applyFont="1" applyBorder="1"/>
    <xf numFmtId="0" fontId="8" fillId="0" borderId="0" xfId="3" applyFont="1" applyFill="1"/>
    <xf numFmtId="0" fontId="102" fillId="0" borderId="0" xfId="3" applyFont="1" applyFill="1" applyBorder="1" applyAlignment="1">
      <alignment horizontal="right"/>
    </xf>
    <xf numFmtId="37" fontId="102" fillId="0" borderId="0" xfId="3" applyNumberFormat="1" applyFont="1" applyFill="1" applyBorder="1"/>
    <xf numFmtId="9" fontId="102" fillId="0" borderId="0" xfId="3" applyNumberFormat="1" applyFont="1" applyBorder="1" applyAlignment="1">
      <alignment horizontal="center"/>
    </xf>
    <xf numFmtId="9" fontId="102" fillId="0" borderId="0" xfId="3" applyNumberFormat="1" applyFont="1" applyBorder="1" applyAlignment="1">
      <alignment horizontal="left"/>
    </xf>
    <xf numFmtId="1" fontId="102" fillId="0" borderId="0" xfId="3" applyNumberFormat="1" applyFont="1" applyFill="1" applyBorder="1" applyAlignment="1">
      <alignment horizontal="center"/>
    </xf>
    <xf numFmtId="9" fontId="102" fillId="0" borderId="38" xfId="3" applyNumberFormat="1" applyFont="1" applyBorder="1" applyAlignment="1">
      <alignment horizontal="center"/>
    </xf>
    <xf numFmtId="177" fontId="2" fillId="0" borderId="0" xfId="68" applyNumberFormat="1" applyFont="1" applyFill="1" applyBorder="1"/>
    <xf numFmtId="177" fontId="2" fillId="0" borderId="0" xfId="3" applyNumberFormat="1" applyFont="1" applyFill="1" applyBorder="1"/>
    <xf numFmtId="182" fontId="102" fillId="0" borderId="0" xfId="91" applyNumberFormat="1" applyFont="1" applyFill="1" applyBorder="1"/>
    <xf numFmtId="0" fontId="102" fillId="0" borderId="38" xfId="3" applyFont="1" applyFill="1" applyBorder="1"/>
    <xf numFmtId="0" fontId="97" fillId="0" borderId="0" xfId="3" applyFont="1" applyBorder="1" applyAlignment="1">
      <alignment textRotation="90" wrapText="1"/>
    </xf>
    <xf numFmtId="2" fontId="102" fillId="0" borderId="0" xfId="3" applyNumberFormat="1" applyFont="1" applyBorder="1" applyAlignment="1">
      <alignment horizontal="center"/>
    </xf>
    <xf numFmtId="2" fontId="102" fillId="0" borderId="0" xfId="3" applyNumberFormat="1" applyFont="1" applyBorder="1" applyAlignment="1">
      <alignment horizontal="left"/>
    </xf>
    <xf numFmtId="3" fontId="102" fillId="0" borderId="0" xfId="3" applyNumberFormat="1" applyFont="1" applyFill="1" applyBorder="1" applyAlignment="1">
      <alignment horizontal="center"/>
    </xf>
    <xf numFmtId="2" fontId="102" fillId="0" borderId="38" xfId="3" applyNumberFormat="1" applyFont="1" applyBorder="1" applyAlignment="1">
      <alignment horizontal="center"/>
    </xf>
    <xf numFmtId="177" fontId="8" fillId="0" borderId="0" xfId="68" applyNumberFormat="1" applyFont="1" applyFill="1" applyBorder="1"/>
    <xf numFmtId="177" fontId="8" fillId="0" borderId="0" xfId="3" applyNumberFormat="1" applyFont="1" applyFill="1" applyBorder="1"/>
    <xf numFmtId="177" fontId="102" fillId="0" borderId="0" xfId="3" applyNumberFormat="1" applyFont="1" applyFill="1" applyBorder="1"/>
    <xf numFmtId="218" fontId="2" fillId="0" borderId="0" xfId="3" applyNumberFormat="1" applyFont="1" applyFill="1" applyBorder="1"/>
    <xf numFmtId="0" fontId="2" fillId="35" borderId="18" xfId="3" applyFont="1" applyFill="1" applyBorder="1" applyAlignment="1">
      <alignment horizontal="left" vertical="center" indent="1"/>
    </xf>
    <xf numFmtId="177" fontId="2" fillId="35" borderId="30" xfId="68" applyNumberFormat="1" applyFont="1" applyFill="1" applyBorder="1"/>
    <xf numFmtId="0" fontId="2" fillId="35" borderId="17" xfId="3" applyFont="1" applyFill="1" applyBorder="1" applyAlignment="1"/>
    <xf numFmtId="0" fontId="2" fillId="35" borderId="17" xfId="3" applyFont="1" applyFill="1" applyBorder="1"/>
    <xf numFmtId="0" fontId="2" fillId="0" borderId="0" xfId="3" applyFont="1" applyBorder="1"/>
    <xf numFmtId="182" fontId="102" fillId="0" borderId="37" xfId="3" applyNumberFormat="1" applyFont="1" applyBorder="1" applyAlignment="1">
      <alignment horizontal="center"/>
    </xf>
    <xf numFmtId="0" fontId="102" fillId="0" borderId="41" xfId="3" applyFont="1" applyBorder="1"/>
    <xf numFmtId="177" fontId="102" fillId="0" borderId="42" xfId="3" applyNumberFormat="1" applyFont="1" applyFill="1" applyBorder="1"/>
    <xf numFmtId="0" fontId="104" fillId="0" borderId="43" xfId="3" applyFont="1" applyFill="1" applyBorder="1"/>
    <xf numFmtId="0" fontId="104" fillId="0" borderId="41" xfId="3" applyFont="1" applyBorder="1"/>
    <xf numFmtId="0" fontId="104" fillId="0" borderId="42" xfId="3" applyFont="1" applyBorder="1"/>
    <xf numFmtId="2" fontId="104" fillId="0" borderId="42" xfId="3" applyNumberFormat="1" applyFont="1" applyBorder="1"/>
    <xf numFmtId="0" fontId="104" fillId="0" borderId="43" xfId="3" applyFont="1" applyBorder="1"/>
    <xf numFmtId="0" fontId="81" fillId="0" borderId="0" xfId="3" applyFont="1" applyBorder="1"/>
    <xf numFmtId="0" fontId="8" fillId="0" borderId="0" xfId="3" applyFont="1" applyBorder="1" applyAlignment="1">
      <alignment horizontal="left" indent="2"/>
    </xf>
    <xf numFmtId="0" fontId="81" fillId="0" borderId="0" xfId="3" quotePrefix="1" applyFont="1" applyBorder="1"/>
    <xf numFmtId="0" fontId="8" fillId="0" borderId="0" xfId="3" applyFont="1" applyFill="1" applyBorder="1" applyAlignment="1">
      <alignment horizontal="left" indent="2"/>
    </xf>
    <xf numFmtId="0" fontId="2" fillId="0" borderId="0" xfId="91" applyNumberFormat="1" applyFont="1" applyFill="1" applyBorder="1" applyAlignment="1">
      <alignment horizontal="right" vertical="center" wrapText="1"/>
    </xf>
    <xf numFmtId="0" fontId="8" fillId="0" borderId="0" xfId="3" applyFont="1" applyFill="1" applyBorder="1" applyAlignment="1">
      <alignment horizontal="right"/>
    </xf>
    <xf numFmtId="203" fontId="81" fillId="0" borderId="0" xfId="62" applyNumberFormat="1" applyFont="1" applyFill="1" applyBorder="1"/>
    <xf numFmtId="0" fontId="105" fillId="0" borderId="0" xfId="52" applyFont="1" applyBorder="1" applyAlignment="1" applyProtection="1">
      <alignment horizontal="left" vertical="center" indent="1"/>
    </xf>
    <xf numFmtId="203" fontId="81" fillId="0" borderId="0" xfId="62" applyNumberFormat="1" applyFont="1"/>
    <xf numFmtId="10" fontId="2" fillId="0" borderId="0" xfId="3" applyNumberFormat="1" applyFont="1" applyBorder="1"/>
    <xf numFmtId="0" fontId="56" fillId="0" borderId="0" xfId="3" applyFont="1" applyBorder="1"/>
    <xf numFmtId="0" fontId="56" fillId="0" borderId="0" xfId="3" applyFont="1" applyFill="1" applyBorder="1"/>
    <xf numFmtId="0" fontId="96" fillId="0" borderId="0" xfId="3" applyFont="1" applyFill="1"/>
    <xf numFmtId="0" fontId="14" fillId="0" borderId="0" xfId="3" applyFont="1" applyFill="1" applyBorder="1" applyAlignment="1">
      <alignment vertical="top"/>
    </xf>
    <xf numFmtId="0" fontId="106" fillId="0" borderId="0" xfId="3" applyFont="1" applyFill="1"/>
    <xf numFmtId="0" fontId="20" fillId="0" borderId="0" xfId="3" applyFont="1" applyFill="1"/>
    <xf numFmtId="0" fontId="96" fillId="0" borderId="0" xfId="3" applyFont="1"/>
    <xf numFmtId="0" fontId="107" fillId="0" borderId="0" xfId="91" applyNumberFormat="1" applyFont="1" applyFill="1" applyBorder="1" applyAlignment="1">
      <alignment horizontal="right" vertical="center" wrapText="1"/>
    </xf>
    <xf numFmtId="0" fontId="11" fillId="0" borderId="0" xfId="3" applyFont="1" applyFill="1" applyBorder="1"/>
    <xf numFmtId="0" fontId="14" fillId="0" borderId="14" xfId="3" applyFont="1" applyFill="1" applyBorder="1" applyAlignment="1">
      <alignment horizontal="right" vertical="center" wrapText="1"/>
    </xf>
    <xf numFmtId="0" fontId="11" fillId="0" borderId="14" xfId="3" applyFont="1" applyFill="1" applyBorder="1" applyAlignment="1">
      <alignment horizontal="right" vertical="center" wrapText="1"/>
    </xf>
    <xf numFmtId="0" fontId="100" fillId="0" borderId="14" xfId="3" applyFont="1" applyFill="1" applyBorder="1" applyAlignment="1">
      <alignment horizontal="right" vertical="center" wrapText="1"/>
    </xf>
    <xf numFmtId="0" fontId="26" fillId="0" borderId="0" xfId="3" applyFont="1" applyBorder="1"/>
    <xf numFmtId="0" fontId="2" fillId="0" borderId="0" xfId="3" applyFont="1" applyBorder="1" applyAlignment="1">
      <alignment horizontal="right" vertical="center" wrapText="1"/>
    </xf>
    <xf numFmtId="0" fontId="14" fillId="0" borderId="0" xfId="3" applyFont="1" applyBorder="1" applyAlignment="1">
      <alignment horizontal="right" vertical="center" wrapText="1"/>
    </xf>
    <xf numFmtId="0" fontId="2" fillId="0" borderId="0" xfId="3" applyFont="1" applyFill="1" applyBorder="1" applyAlignment="1">
      <alignment horizontal="right" vertical="center" wrapText="1"/>
    </xf>
    <xf numFmtId="0" fontId="8" fillId="0" borderId="0" xfId="3" applyFont="1" applyFill="1" applyBorder="1" applyAlignment="1">
      <alignment horizontal="left" vertical="center" wrapText="1"/>
    </xf>
    <xf numFmtId="3" fontId="8" fillId="26" borderId="0" xfId="38" applyNumberFormat="1" applyFont="1" applyFill="1" applyBorder="1" applyAlignment="1">
      <alignment horizontal="right" vertical="top"/>
    </xf>
    <xf numFmtId="177" fontId="8" fillId="26" borderId="0" xfId="38" applyNumberFormat="1" applyFont="1" applyFill="1" applyBorder="1" applyAlignment="1">
      <alignment horizontal="right" vertical="top"/>
    </xf>
    <xf numFmtId="0" fontId="8" fillId="0" borderId="0" xfId="3" applyFont="1" applyFill="1" applyBorder="1" applyAlignment="1">
      <alignment horizontal="left"/>
    </xf>
    <xf numFmtId="0" fontId="29" fillId="0" borderId="0" xfId="3" applyFont="1" applyFill="1" applyBorder="1" applyAlignment="1">
      <alignment horizontal="left" indent="1"/>
    </xf>
    <xf numFmtId="177" fontId="8" fillId="25" borderId="0" xfId="38" applyNumberFormat="1" applyFont="1" applyFill="1" applyBorder="1" applyAlignment="1">
      <alignment horizontal="right" vertical="top"/>
    </xf>
    <xf numFmtId="177" fontId="11" fillId="25" borderId="0" xfId="38" applyNumberFormat="1" applyFont="1" applyFill="1" applyBorder="1" applyAlignment="1">
      <alignment horizontal="right" vertical="top"/>
    </xf>
    <xf numFmtId="177" fontId="8" fillId="0" borderId="0" xfId="38" applyNumberFormat="1" applyFont="1" applyFill="1" applyBorder="1" applyAlignment="1">
      <alignment horizontal="right" vertical="top"/>
    </xf>
    <xf numFmtId="177" fontId="29" fillId="0" borderId="0" xfId="3" applyNumberFormat="1" applyFont="1" applyBorder="1"/>
    <xf numFmtId="2" fontId="8" fillId="26" borderId="0" xfId="38" applyNumberFormat="1" applyFont="1" applyFill="1" applyBorder="1" applyAlignment="1">
      <alignment horizontal="right" vertical="top"/>
    </xf>
    <xf numFmtId="43" fontId="8" fillId="25" borderId="0" xfId="3" applyNumberFormat="1" applyFont="1" applyFill="1" applyBorder="1"/>
    <xf numFmtId="43" fontId="11" fillId="25" borderId="0" xfId="3" applyNumberFormat="1" applyFont="1" applyFill="1" applyBorder="1"/>
    <xf numFmtId="43" fontId="8" fillId="0" borderId="0" xfId="3" applyNumberFormat="1" applyFont="1" applyFill="1" applyBorder="1"/>
    <xf numFmtId="182" fontId="8" fillId="25" borderId="0" xfId="3" applyNumberFormat="1" applyFont="1" applyFill="1" applyBorder="1"/>
    <xf numFmtId="0" fontId="8" fillId="25" borderId="0" xfId="3" applyFont="1" applyFill="1"/>
    <xf numFmtId="177" fontId="8" fillId="0" borderId="0" xfId="3" applyNumberFormat="1" applyFont="1" applyBorder="1"/>
    <xf numFmtId="43" fontId="8" fillId="0" borderId="0" xfId="3" applyNumberFormat="1" applyFont="1" applyBorder="1"/>
    <xf numFmtId="9" fontId="8" fillId="0" borderId="0" xfId="91" applyFont="1" applyBorder="1"/>
    <xf numFmtId="43" fontId="11" fillId="0" borderId="0" xfId="3" applyNumberFormat="1" applyFont="1" applyBorder="1"/>
    <xf numFmtId="177" fontId="8" fillId="0" borderId="0" xfId="3" applyNumberFormat="1" applyFont="1" applyBorder="1" applyAlignment="1">
      <alignment horizontal="right"/>
    </xf>
    <xf numFmtId="177" fontId="11" fillId="0" borderId="0" xfId="3" applyNumberFormat="1" applyFont="1" applyBorder="1"/>
    <xf numFmtId="182" fontId="29" fillId="0" borderId="0" xfId="3" applyNumberFormat="1" applyFont="1" applyFill="1" applyBorder="1"/>
    <xf numFmtId="182" fontId="29" fillId="0" borderId="0" xfId="3" applyNumberFormat="1" applyFont="1" applyFill="1" applyBorder="1" applyAlignment="1">
      <alignment horizontal="right"/>
    </xf>
    <xf numFmtId="182" fontId="12" fillId="0" borderId="0" xfId="3" applyNumberFormat="1" applyFont="1" applyFill="1" applyBorder="1"/>
    <xf numFmtId="182" fontId="29" fillId="0" borderId="0" xfId="3" applyNumberFormat="1" applyFont="1" applyBorder="1"/>
    <xf numFmtId="0" fontId="29" fillId="0" borderId="0" xfId="3" applyFont="1" applyBorder="1" applyAlignment="1">
      <alignment horizontal="left" indent="1"/>
    </xf>
    <xf numFmtId="43" fontId="29" fillId="0" borderId="0" xfId="38" applyFont="1" applyFill="1" applyBorder="1"/>
    <xf numFmtId="43" fontId="29" fillId="0" borderId="0" xfId="38" applyFont="1" applyFill="1" applyBorder="1" applyAlignment="1">
      <alignment horizontal="right"/>
    </xf>
    <xf numFmtId="43" fontId="12" fillId="0" borderId="0" xfId="38" applyFont="1" applyFill="1" applyBorder="1"/>
    <xf numFmtId="177" fontId="8" fillId="0" borderId="0" xfId="3" applyNumberFormat="1" applyFont="1" applyFill="1" applyBorder="1" applyAlignment="1">
      <alignment horizontal="right"/>
    </xf>
    <xf numFmtId="177" fontId="11" fillId="0" borderId="0" xfId="3" applyNumberFormat="1" applyFont="1" applyFill="1" applyBorder="1"/>
    <xf numFmtId="182" fontId="29" fillId="0" borderId="0" xfId="91" applyNumberFormat="1" applyFont="1" applyFill="1" applyBorder="1"/>
    <xf numFmtId="39" fontId="8" fillId="0" borderId="0" xfId="3" applyNumberFormat="1" applyFont="1" applyFill="1" applyBorder="1"/>
    <xf numFmtId="0" fontId="26" fillId="0" borderId="0" xfId="3" applyFont="1" applyFill="1" applyBorder="1"/>
    <xf numFmtId="1" fontId="8" fillId="0" borderId="0" xfId="3" applyNumberFormat="1" applyFont="1" applyFill="1" applyBorder="1"/>
    <xf numFmtId="1" fontId="11" fillId="0" borderId="0" xfId="3" applyNumberFormat="1" applyFont="1" applyFill="1" applyBorder="1"/>
    <xf numFmtId="1" fontId="8" fillId="0" borderId="0" xfId="3" applyNumberFormat="1" applyFont="1" applyBorder="1"/>
    <xf numFmtId="9" fontId="8" fillId="0" borderId="0" xfId="91" applyFont="1" applyFill="1" applyBorder="1"/>
    <xf numFmtId="9" fontId="8" fillId="0" borderId="0" xfId="91" applyFont="1" applyFill="1" applyBorder="1" applyAlignment="1">
      <alignment horizontal="right"/>
    </xf>
    <xf numFmtId="9" fontId="11" fillId="0" borderId="0" xfId="91" applyFont="1" applyFill="1" applyBorder="1"/>
    <xf numFmtId="0" fontId="8" fillId="0" borderId="0" xfId="91" applyNumberFormat="1" applyFont="1" applyFill="1" applyBorder="1"/>
    <xf numFmtId="177" fontId="8" fillId="0" borderId="0" xfId="91" applyNumberFormat="1" applyFont="1" applyFill="1" applyBorder="1"/>
    <xf numFmtId="177" fontId="8" fillId="0" borderId="0" xfId="91" applyNumberFormat="1" applyFont="1" applyFill="1" applyBorder="1" applyAlignment="1">
      <alignment horizontal="right"/>
    </xf>
    <xf numFmtId="177" fontId="11" fillId="0" borderId="0" xfId="91" applyNumberFormat="1" applyFont="1" applyFill="1" applyBorder="1"/>
    <xf numFmtId="0" fontId="97" fillId="0" borderId="0" xfId="3" applyFont="1" applyFill="1" applyBorder="1" applyAlignment="1">
      <alignment horizontal="right"/>
    </xf>
    <xf numFmtId="0" fontId="95" fillId="26" borderId="0" xfId="3" applyFont="1" applyFill="1" applyBorder="1" applyAlignment="1">
      <alignment horizontal="right"/>
    </xf>
    <xf numFmtId="177" fontId="95" fillId="26" borderId="0" xfId="3" applyNumberFormat="1" applyFont="1" applyFill="1" applyBorder="1" applyAlignment="1">
      <alignment horizontal="left"/>
    </xf>
    <xf numFmtId="177" fontId="95" fillId="26" borderId="0" xfId="3" applyNumberFormat="1" applyFont="1" applyFill="1" applyBorder="1"/>
    <xf numFmtId="177" fontId="95" fillId="26" borderId="0" xfId="3" applyNumberFormat="1" applyFont="1" applyFill="1" applyBorder="1" applyAlignment="1">
      <alignment horizontal="right"/>
    </xf>
    <xf numFmtId="0" fontId="97" fillId="26" borderId="0" xfId="3" applyFont="1" applyFill="1" applyBorder="1" applyAlignment="1">
      <alignment horizontal="right"/>
    </xf>
    <xf numFmtId="0" fontId="11" fillId="26" borderId="0" xfId="3" applyFont="1" applyFill="1" applyBorder="1"/>
    <xf numFmtId="0" fontId="11" fillId="26" borderId="0" xfId="3" applyFont="1" applyFill="1" applyBorder="1" applyAlignment="1">
      <alignment horizontal="right"/>
    </xf>
    <xf numFmtId="0" fontId="14" fillId="26" borderId="0" xfId="3" applyFont="1" applyFill="1" applyBorder="1"/>
    <xf numFmtId="177" fontId="97" fillId="26" borderId="0" xfId="3" applyNumberFormat="1" applyFont="1" applyFill="1" applyBorder="1"/>
    <xf numFmtId="0" fontId="12" fillId="26" borderId="0" xfId="3" applyFont="1" applyFill="1" applyBorder="1" applyAlignment="1">
      <alignment horizontal="left" indent="1"/>
    </xf>
    <xf numFmtId="177" fontId="96" fillId="26" borderId="0" xfId="3" applyNumberFormat="1" applyFont="1" applyFill="1" applyBorder="1"/>
    <xf numFmtId="177" fontId="11" fillId="26" borderId="0" xfId="3" applyNumberFormat="1" applyFont="1" applyFill="1" applyBorder="1"/>
    <xf numFmtId="15" fontId="97" fillId="26" borderId="0" xfId="3" applyNumberFormat="1" applyFont="1" applyFill="1" applyBorder="1"/>
    <xf numFmtId="2" fontId="97" fillId="26" borderId="0" xfId="3" applyNumberFormat="1" applyFont="1" applyFill="1" applyBorder="1"/>
    <xf numFmtId="0" fontId="96" fillId="26" borderId="0" xfId="3" applyFont="1" applyFill="1" applyBorder="1"/>
    <xf numFmtId="1" fontId="102" fillId="26" borderId="0" xfId="3" applyNumberFormat="1" applyFont="1" applyFill="1" applyBorder="1"/>
    <xf numFmtId="0" fontId="96" fillId="26" borderId="0" xfId="3" applyFont="1" applyFill="1" applyBorder="1" applyAlignment="1">
      <alignment horizontal="right"/>
    </xf>
    <xf numFmtId="182" fontId="14" fillId="26" borderId="0" xfId="3" applyNumberFormat="1" applyFont="1" applyFill="1" applyBorder="1"/>
    <xf numFmtId="177" fontId="97" fillId="26" borderId="0" xfId="38" applyNumberFormat="1" applyFont="1" applyFill="1" applyBorder="1"/>
    <xf numFmtId="182" fontId="14" fillId="26" borderId="0" xfId="38" applyNumberFormat="1" applyFont="1" applyFill="1" applyBorder="1"/>
    <xf numFmtId="177" fontId="11" fillId="26" borderId="0" xfId="38" applyNumberFormat="1" applyFont="1" applyFill="1" applyBorder="1"/>
    <xf numFmtId="177" fontId="97" fillId="26" borderId="0" xfId="3" applyNumberFormat="1" applyFont="1" applyFill="1" applyBorder="1" applyAlignment="1">
      <alignment horizontal="right"/>
    </xf>
    <xf numFmtId="0" fontId="95" fillId="0" borderId="0" xfId="3" applyFont="1" applyFill="1" applyBorder="1" applyAlignment="1">
      <alignment horizontal="right"/>
    </xf>
    <xf numFmtId="182" fontId="97" fillId="26" borderId="0" xfId="3" applyNumberFormat="1" applyFont="1" applyFill="1" applyBorder="1"/>
    <xf numFmtId="1" fontId="97" fillId="26" borderId="0" xfId="3" applyNumberFormat="1" applyFont="1" applyFill="1" applyBorder="1"/>
    <xf numFmtId="0" fontId="108" fillId="26" borderId="0" xfId="86" applyFont="1" applyFill="1" applyBorder="1"/>
    <xf numFmtId="0" fontId="97" fillId="26" borderId="0" xfId="86" applyFont="1" applyFill="1" applyBorder="1" applyAlignment="1">
      <alignment horizontal="right"/>
    </xf>
    <xf numFmtId="0" fontId="97" fillId="26" borderId="0" xfId="86" applyFont="1" applyFill="1" applyBorder="1" applyAlignment="1">
      <alignment horizontal="right" wrapText="1"/>
    </xf>
    <xf numFmtId="0" fontId="97" fillId="26" borderId="0" xfId="86" applyFont="1" applyFill="1" applyBorder="1" applyAlignment="1">
      <alignment horizontal="right" vertical="center" wrapText="1"/>
    </xf>
    <xf numFmtId="0" fontId="97" fillId="26" borderId="0" xfId="3" applyFont="1" applyFill="1" applyBorder="1" applyAlignment="1">
      <alignment wrapText="1"/>
    </xf>
    <xf numFmtId="0" fontId="108" fillId="26" borderId="0" xfId="86" applyFont="1" applyFill="1" applyBorder="1" applyAlignment="1">
      <alignment wrapText="1"/>
    </xf>
    <xf numFmtId="2" fontId="97" fillId="26" borderId="0" xfId="86" applyNumberFormat="1" applyFont="1" applyFill="1" applyBorder="1" applyAlignment="1"/>
    <xf numFmtId="2" fontId="97" fillId="26" borderId="0" xfId="86" applyNumberFormat="1" applyFont="1" applyFill="1" applyBorder="1" applyAlignment="1">
      <alignment horizontal="right"/>
    </xf>
    <xf numFmtId="0" fontId="97" fillId="26" borderId="0" xfId="62" applyFont="1" applyFill="1" applyBorder="1"/>
    <xf numFmtId="2" fontId="109" fillId="26" borderId="0" xfId="91" applyNumberFormat="1" applyFont="1" applyFill="1" applyBorder="1" applyAlignment="1">
      <alignment horizontal="center"/>
    </xf>
    <xf numFmtId="2" fontId="97" fillId="26" borderId="0" xfId="91" applyNumberFormat="1" applyFont="1" applyFill="1" applyBorder="1"/>
    <xf numFmtId="0" fontId="110" fillId="26" borderId="0" xfId="3" applyFont="1" applyFill="1" applyBorder="1"/>
    <xf numFmtId="177" fontId="109" fillId="26" borderId="0" xfId="38" quotePrefix="1" applyNumberFormat="1" applyFont="1" applyFill="1" applyBorder="1" applyAlignment="1">
      <alignment horizontal="center"/>
    </xf>
    <xf numFmtId="9" fontId="110" fillId="26" borderId="0" xfId="91" applyFont="1" applyFill="1" applyBorder="1"/>
    <xf numFmtId="177" fontId="109" fillId="26" borderId="0" xfId="38" applyNumberFormat="1" applyFont="1" applyFill="1" applyBorder="1" applyAlignment="1">
      <alignment horizontal="center"/>
    </xf>
    <xf numFmtId="177" fontId="109" fillId="26" borderId="0" xfId="38" applyNumberFormat="1" applyFont="1" applyFill="1" applyBorder="1" applyAlignment="1">
      <alignment horizontal="left"/>
    </xf>
    <xf numFmtId="0" fontId="97" fillId="25" borderId="0" xfId="3" applyFont="1" applyFill="1"/>
    <xf numFmtId="0" fontId="97" fillId="25" borderId="0" xfId="3" applyFont="1" applyFill="1" applyAlignment="1">
      <alignment horizontal="right"/>
    </xf>
    <xf numFmtId="0" fontId="11" fillId="25" borderId="0" xfId="3" applyFont="1" applyFill="1"/>
    <xf numFmtId="0" fontId="97" fillId="0" borderId="0" xfId="3" applyFont="1" applyFill="1"/>
    <xf numFmtId="0" fontId="97" fillId="25" borderId="0" xfId="3" quotePrefix="1" applyFont="1" applyFill="1"/>
    <xf numFmtId="0" fontId="96" fillId="25" borderId="0" xfId="3" applyFont="1" applyFill="1"/>
    <xf numFmtId="0" fontId="27" fillId="25" borderId="0" xfId="3" applyFont="1" applyFill="1"/>
    <xf numFmtId="0" fontId="100" fillId="25" borderId="0" xfId="3" applyFont="1" applyFill="1"/>
    <xf numFmtId="0" fontId="11" fillId="25" borderId="0" xfId="3" applyFont="1" applyFill="1" applyAlignment="1">
      <alignment horizontal="right"/>
    </xf>
    <xf numFmtId="9" fontId="15" fillId="0" borderId="7" xfId="3" applyNumberFormat="1" applyFont="1" applyFill="1" applyBorder="1"/>
    <xf numFmtId="0" fontId="16" fillId="25" borderId="0" xfId="3" applyFont="1" applyFill="1"/>
    <xf numFmtId="37" fontId="15" fillId="0" borderId="7" xfId="3" applyNumberFormat="1" applyFont="1" applyFill="1" applyBorder="1"/>
    <xf numFmtId="0" fontId="11" fillId="0" borderId="0" xfId="3" applyFont="1" applyFill="1"/>
    <xf numFmtId="0" fontId="20" fillId="25" borderId="0" xfId="3" applyFont="1" applyFill="1"/>
    <xf numFmtId="41" fontId="97" fillId="25" borderId="0" xfId="3" applyNumberFormat="1" applyFont="1" applyFill="1" applyBorder="1"/>
    <xf numFmtId="41" fontId="96" fillId="25" borderId="0" xfId="3" applyNumberFormat="1" applyFont="1" applyFill="1" applyBorder="1"/>
    <xf numFmtId="0" fontId="20" fillId="0" borderId="0" xfId="3" applyFont="1"/>
    <xf numFmtId="41" fontId="97" fillId="25" borderId="0" xfId="3" applyNumberFormat="1" applyFont="1" applyFill="1"/>
    <xf numFmtId="41" fontId="97" fillId="25" borderId="0" xfId="3" applyNumberFormat="1" applyFont="1" applyFill="1" applyAlignment="1">
      <alignment horizontal="right"/>
    </xf>
    <xf numFmtId="41" fontId="96" fillId="25" borderId="0" xfId="3" applyNumberFormat="1" applyFont="1" applyFill="1"/>
    <xf numFmtId="41" fontId="100" fillId="25" borderId="0" xfId="3" applyNumberFormat="1" applyFont="1" applyFill="1" applyBorder="1"/>
    <xf numFmtId="9" fontId="97" fillId="25" borderId="0" xfId="3" applyNumberFormat="1" applyFont="1" applyFill="1" applyBorder="1"/>
    <xf numFmtId="0" fontId="20" fillId="0" borderId="0" xfId="61" applyFont="1" applyFill="1" applyBorder="1"/>
    <xf numFmtId="0" fontId="96" fillId="25" borderId="0" xfId="3" applyFont="1" applyFill="1" applyBorder="1"/>
    <xf numFmtId="37" fontId="11" fillId="25" borderId="0" xfId="3" applyNumberFormat="1" applyFont="1" applyFill="1" applyBorder="1"/>
    <xf numFmtId="41" fontId="97" fillId="25" borderId="0" xfId="3" applyNumberFormat="1" applyFont="1" applyFill="1" applyBorder="1" applyAlignment="1">
      <alignment horizontal="right"/>
    </xf>
    <xf numFmtId="0" fontId="20" fillId="25" borderId="0" xfId="3" applyFont="1" applyFill="1" applyBorder="1"/>
    <xf numFmtId="41" fontId="11" fillId="25" borderId="0" xfId="3" applyNumberFormat="1" applyFont="1" applyFill="1" applyBorder="1"/>
    <xf numFmtId="37" fontId="100" fillId="25" borderId="0" xfId="3" applyNumberFormat="1" applyFont="1" applyFill="1" applyBorder="1"/>
    <xf numFmtId="0" fontId="97" fillId="25" borderId="0" xfId="3" applyFont="1" applyFill="1" applyBorder="1"/>
    <xf numFmtId="0" fontId="97" fillId="25" borderId="0" xfId="3" applyFont="1" applyFill="1" applyBorder="1" applyAlignment="1">
      <alignment horizontal="right"/>
    </xf>
    <xf numFmtId="0" fontId="15" fillId="0" borderId="7" xfId="3" applyFont="1" applyFill="1" applyBorder="1"/>
    <xf numFmtId="0" fontId="20" fillId="0" borderId="0" xfId="61" applyFont="1" applyFill="1"/>
    <xf numFmtId="37" fontId="14" fillId="25" borderId="0" xfId="3" applyNumberFormat="1" applyFont="1" applyFill="1" applyBorder="1"/>
    <xf numFmtId="41" fontId="14" fillId="25" borderId="0" xfId="3" applyNumberFormat="1" applyFont="1" applyFill="1" applyBorder="1"/>
    <xf numFmtId="41" fontId="14" fillId="25" borderId="0" xfId="67" applyNumberFormat="1" applyFont="1" applyFill="1" applyBorder="1"/>
    <xf numFmtId="41" fontId="97" fillId="25" borderId="0" xfId="67" applyNumberFormat="1" applyFont="1" applyFill="1" applyBorder="1"/>
    <xf numFmtId="0" fontId="100" fillId="25" borderId="0" xfId="3" applyFont="1" applyFill="1" applyBorder="1"/>
    <xf numFmtId="0" fontId="16" fillId="25" borderId="0" xfId="67" applyFont="1" applyFill="1"/>
    <xf numFmtId="41" fontId="97" fillId="0" borderId="0" xfId="71" applyNumberFormat="1" applyFont="1" applyFill="1" applyBorder="1"/>
    <xf numFmtId="0" fontId="100" fillId="0" borderId="0" xfId="71" applyFont="1" applyFill="1" applyBorder="1"/>
    <xf numFmtId="37" fontId="97" fillId="25" borderId="0" xfId="72" applyNumberFormat="1" applyFont="1" applyFill="1" applyBorder="1"/>
    <xf numFmtId="0" fontId="17" fillId="24" borderId="7" xfId="72" applyFont="1" applyFill="1" applyBorder="1"/>
    <xf numFmtId="0" fontId="97" fillId="25" borderId="0" xfId="72" applyNumberFormat="1" applyFont="1" applyFill="1" applyBorder="1"/>
    <xf numFmtId="9" fontId="17" fillId="24" borderId="7" xfId="72" applyNumberFormat="1" applyFont="1" applyFill="1" applyBorder="1"/>
    <xf numFmtId="0" fontId="97" fillId="25" borderId="0" xfId="72" applyFont="1" applyFill="1" applyBorder="1"/>
    <xf numFmtId="0" fontId="27" fillId="0" borderId="0" xfId="67" applyFont="1" applyBorder="1" applyAlignment="1">
      <alignment horizontal="left" vertical="center" wrapText="1"/>
    </xf>
    <xf numFmtId="0" fontId="2" fillId="25" borderId="0" xfId="67" applyFont="1" applyFill="1" applyBorder="1" applyAlignment="1">
      <alignment horizontal="center" vertical="center" wrapText="1"/>
    </xf>
    <xf numFmtId="0" fontId="100" fillId="0" borderId="0" xfId="3" applyFont="1" applyBorder="1" applyAlignment="1">
      <alignment horizontal="center" vertical="center" wrapText="1"/>
    </xf>
    <xf numFmtId="0" fontId="97" fillId="0" borderId="0" xfId="3" applyFont="1" applyBorder="1" applyAlignment="1">
      <alignment horizontal="center" vertical="center" wrapText="1"/>
    </xf>
    <xf numFmtId="0" fontId="96" fillId="0" borderId="0" xfId="68" applyFont="1" applyBorder="1" applyAlignment="1">
      <alignment horizontal="center"/>
    </xf>
    <xf numFmtId="0" fontId="11" fillId="0" borderId="14" xfId="68" applyFont="1" applyFill="1" applyBorder="1" applyAlignment="1">
      <alignment horizontal="center" vertical="center" wrapText="1"/>
    </xf>
    <xf numFmtId="177" fontId="8" fillId="0" borderId="0" xfId="68" applyNumberFormat="1" applyFont="1" applyBorder="1"/>
    <xf numFmtId="0" fontId="97" fillId="0" borderId="0" xfId="68" applyFont="1" applyBorder="1"/>
    <xf numFmtId="0" fontId="97" fillId="0" borderId="0" xfId="68" applyFont="1" applyBorder="1" applyAlignment="1">
      <alignment horizontal="right"/>
    </xf>
    <xf numFmtId="177" fontId="8" fillId="0" borderId="0" xfId="69" applyNumberFormat="1" applyFont="1" applyBorder="1"/>
    <xf numFmtId="182" fontId="29" fillId="0" borderId="0" xfId="69" applyNumberFormat="1" applyFont="1" applyFill="1" applyBorder="1"/>
    <xf numFmtId="0" fontId="0" fillId="25" borderId="0" xfId="3" applyFont="1" applyFill="1" applyBorder="1"/>
    <xf numFmtId="177" fontId="8" fillId="0" borderId="0" xfId="69" applyNumberFormat="1" applyFont="1" applyFill="1" applyBorder="1"/>
    <xf numFmtId="39" fontId="8" fillId="0" borderId="0" xfId="69" applyNumberFormat="1" applyFont="1" applyFill="1" applyBorder="1"/>
    <xf numFmtId="0" fontId="0" fillId="25" borderId="0" xfId="3" applyFont="1" applyFill="1" applyBorder="1" applyAlignment="1">
      <alignment horizontal="right"/>
    </xf>
    <xf numFmtId="0" fontId="14" fillId="0" borderId="0" xfId="3" applyFont="1" applyBorder="1"/>
    <xf numFmtId="41" fontId="102" fillId="0" borderId="35" xfId="3" applyNumberFormat="1" applyFont="1" applyFill="1" applyBorder="1"/>
    <xf numFmtId="0" fontId="102" fillId="0" borderId="35" xfId="3" applyFont="1" applyFill="1" applyBorder="1"/>
    <xf numFmtId="41" fontId="102" fillId="0" borderId="0" xfId="3" applyNumberFormat="1" applyFont="1" applyFill="1" applyBorder="1"/>
    <xf numFmtId="0" fontId="102" fillId="0" borderId="41" xfId="3" applyFont="1" applyFill="1" applyBorder="1"/>
    <xf numFmtId="37" fontId="102" fillId="0" borderId="42" xfId="3" applyNumberFormat="1" applyFont="1" applyFill="1" applyBorder="1"/>
    <xf numFmtId="41" fontId="102" fillId="0" borderId="42" xfId="3" applyNumberFormat="1" applyFont="1" applyFill="1" applyBorder="1"/>
    <xf numFmtId="0" fontId="102" fillId="0" borderId="42" xfId="3" applyFont="1" applyFill="1" applyBorder="1"/>
    <xf numFmtId="0" fontId="97" fillId="26" borderId="0" xfId="3" applyFont="1" applyFill="1"/>
    <xf numFmtId="0" fontId="14" fillId="26" borderId="0" xfId="3" applyFont="1" applyFill="1" applyBorder="1" applyAlignment="1">
      <alignment horizontal="right" vertical="center" wrapText="1"/>
    </xf>
    <xf numFmtId="0" fontId="112" fillId="26" borderId="0" xfId="3" applyFont="1" applyFill="1" applyBorder="1" applyAlignment="1">
      <alignment horizontal="right" vertical="center" wrapText="1"/>
    </xf>
    <xf numFmtId="0" fontId="96" fillId="26" borderId="0" xfId="3" applyFont="1" applyFill="1"/>
    <xf numFmtId="0" fontId="100" fillId="26" borderId="0" xfId="3" applyFont="1" applyFill="1"/>
    <xf numFmtId="0" fontId="97" fillId="26" borderId="0" xfId="3" applyFont="1" applyFill="1" applyAlignment="1">
      <alignment horizontal="left"/>
    </xf>
    <xf numFmtId="0" fontId="8" fillId="26" borderId="0" xfId="73" applyFont="1" applyFill="1" applyBorder="1"/>
    <xf numFmtId="0" fontId="8" fillId="26" borderId="0" xfId="73" applyFont="1" applyFill="1"/>
    <xf numFmtId="0" fontId="96" fillId="26" borderId="0" xfId="3" applyFont="1" applyFill="1" applyAlignment="1">
      <alignment horizontal="right"/>
    </xf>
    <xf numFmtId="0" fontId="11" fillId="26" borderId="0" xfId="3" applyFont="1" applyFill="1" applyBorder="1" applyProtection="1"/>
    <xf numFmtId="0" fontId="97" fillId="26" borderId="0" xfId="3" applyFont="1" applyFill="1" applyAlignment="1">
      <alignment wrapText="1"/>
    </xf>
    <xf numFmtId="0" fontId="97" fillId="26" borderId="0" xfId="3" applyFont="1" applyFill="1" applyAlignment="1">
      <alignment horizontal="right"/>
    </xf>
    <xf numFmtId="0" fontId="97" fillId="26" borderId="0" xfId="3" applyFont="1" applyFill="1" applyAlignment="1">
      <alignment horizontal="center"/>
    </xf>
    <xf numFmtId="0" fontId="96" fillId="25" borderId="0" xfId="3" applyFont="1" applyFill="1" applyAlignment="1">
      <alignment horizontal="right"/>
    </xf>
    <xf numFmtId="0" fontId="113" fillId="0" borderId="0" xfId="3" applyFont="1" applyFill="1" applyBorder="1"/>
    <xf numFmtId="182" fontId="8" fillId="0" borderId="0" xfId="90" applyNumberFormat="1" applyFont="1" applyAlignment="1">
      <alignment horizontal="centerContinuous"/>
    </xf>
    <xf numFmtId="164" fontId="126" fillId="0" borderId="0" xfId="0" applyNumberFormat="1" applyFont="1"/>
    <xf numFmtId="219" fontId="8" fillId="0" borderId="0" xfId="0" applyNumberFormat="1" applyFont="1"/>
    <xf numFmtId="183" fontId="129" fillId="0" borderId="0" xfId="0" applyNumberFormat="1" applyFont="1"/>
    <xf numFmtId="44" fontId="129" fillId="0" borderId="0" xfId="0" applyNumberFormat="1" applyFont="1"/>
    <xf numFmtId="0" fontId="129" fillId="0" borderId="0" xfId="0" applyFont="1"/>
    <xf numFmtId="10" fontId="127" fillId="0" borderId="0" xfId="90" applyNumberFormat="1" applyFont="1"/>
    <xf numFmtId="175" fontId="28" fillId="0" borderId="0" xfId="0" applyNumberFormat="1" applyFont="1" applyBorder="1"/>
    <xf numFmtId="165" fontId="28" fillId="0" borderId="0" xfId="0" applyNumberFormat="1" applyFont="1" applyBorder="1"/>
    <xf numFmtId="175" fontId="28" fillId="0" borderId="0" xfId="0" applyNumberFormat="1" applyFont="1" applyFill="1" applyBorder="1"/>
    <xf numFmtId="167" fontId="87" fillId="0" borderId="0" xfId="0" applyNumberFormat="1" applyFont="1" applyFill="1" applyBorder="1"/>
    <xf numFmtId="4" fontId="8" fillId="0" borderId="0" xfId="0" applyNumberFormat="1" applyFont="1" applyBorder="1" applyAlignment="1">
      <alignment horizontal="right"/>
    </xf>
    <xf numFmtId="2" fontId="28" fillId="0" borderId="0" xfId="0" applyNumberFormat="1" applyFont="1" applyBorder="1" applyAlignment="1">
      <alignment horizontal="right"/>
    </xf>
    <xf numFmtId="2" fontId="28" fillId="33" borderId="0" xfId="0" applyNumberFormat="1" applyFont="1" applyFill="1" applyBorder="1" applyAlignment="1">
      <alignment horizontal="right"/>
    </xf>
    <xf numFmtId="2" fontId="8" fillId="0" borderId="0" xfId="0" applyNumberFormat="1" applyFont="1" applyBorder="1" applyAlignment="1">
      <alignment horizontal="right"/>
    </xf>
    <xf numFmtId="2" fontId="8" fillId="0" borderId="0" xfId="0" applyNumberFormat="1" applyFont="1" applyFill="1" applyBorder="1" applyAlignment="1">
      <alignment horizontal="right"/>
    </xf>
    <xf numFmtId="165" fontId="28" fillId="0" borderId="24" xfId="36" applyNumberFormat="1" applyFont="1" applyFill="1" applyBorder="1" applyAlignment="1">
      <alignment horizontal="right"/>
    </xf>
    <xf numFmtId="165" fontId="8" fillId="0" borderId="25" xfId="0" applyNumberFormat="1" applyFont="1" applyBorder="1"/>
    <xf numFmtId="165" fontId="28" fillId="0" borderId="26" xfId="36" applyNumberFormat="1" applyFont="1" applyFill="1" applyBorder="1" applyAlignment="1">
      <alignment horizontal="right"/>
    </xf>
    <xf numFmtId="165" fontId="8" fillId="0" borderId="27" xfId="0" applyNumberFormat="1" applyFont="1" applyBorder="1"/>
    <xf numFmtId="10" fontId="28" fillId="0" borderId="0" xfId="90" applyNumberFormat="1" applyFont="1"/>
    <xf numFmtId="7" fontId="8" fillId="37" borderId="0" xfId="0" applyNumberFormat="1" applyFont="1" applyFill="1"/>
    <xf numFmtId="0" fontId="130" fillId="38" borderId="0" xfId="0" applyFont="1" applyFill="1" applyAlignment="1">
      <alignment horizontal="center" vertical="center" wrapText="1"/>
    </xf>
    <xf numFmtId="164" fontId="8" fillId="37" borderId="0" xfId="0" applyNumberFormat="1" applyFont="1" applyFill="1" applyAlignment="1">
      <alignment horizontal="center"/>
    </xf>
    <xf numFmtId="164" fontId="8" fillId="39" borderId="0" xfId="0" applyNumberFormat="1" applyFont="1" applyFill="1" applyAlignment="1">
      <alignment horizontal="center"/>
    </xf>
    <xf numFmtId="7" fontId="8" fillId="39" borderId="0" xfId="0" applyNumberFormat="1" applyFont="1" applyFill="1"/>
    <xf numFmtId="44" fontId="8" fillId="0" borderId="0" xfId="0" applyNumberFormat="1" applyFont="1" applyBorder="1" applyAlignment="1">
      <alignment horizontal="centerContinuous"/>
    </xf>
    <xf numFmtId="10" fontId="8" fillId="0" borderId="0" xfId="90" applyNumberFormat="1" applyFont="1" applyBorder="1" applyAlignment="1">
      <alignment horizontal="centerContinuous"/>
    </xf>
    <xf numFmtId="43" fontId="8" fillId="0" borderId="16" xfId="36" applyFont="1" applyBorder="1" applyAlignment="1">
      <alignment horizontal="right"/>
    </xf>
    <xf numFmtId="182" fontId="8" fillId="0" borderId="16" xfId="90" applyNumberFormat="1" applyFont="1" applyBorder="1" applyAlignment="1">
      <alignment horizontal="right"/>
    </xf>
    <xf numFmtId="44" fontId="8" fillId="26" borderId="17" xfId="42" applyFont="1" applyFill="1" applyBorder="1"/>
    <xf numFmtId="176" fontId="8" fillId="26" borderId="0" xfId="36" applyNumberFormat="1" applyFont="1" applyFill="1" applyBorder="1" applyAlignment="1">
      <alignment horizontal="right"/>
    </xf>
    <xf numFmtId="43" fontId="8" fillId="26" borderId="16" xfId="36" applyFont="1" applyFill="1" applyBorder="1" applyAlignment="1">
      <alignment horizontal="right"/>
    </xf>
    <xf numFmtId="0" fontId="2" fillId="0" borderId="30" xfId="0" applyFont="1" applyBorder="1" applyAlignment="1">
      <alignment horizontal="centerContinuous"/>
    </xf>
    <xf numFmtId="0" fontId="86" fillId="0" borderId="25" xfId="0" applyFont="1" applyBorder="1" applyAlignment="1">
      <alignment horizontal="center"/>
    </xf>
    <xf numFmtId="183" fontId="8" fillId="0" borderId="25" xfId="42" applyNumberFormat="1" applyFont="1" applyBorder="1"/>
    <xf numFmtId="166" fontId="87" fillId="0" borderId="25" xfId="0" applyNumberFormat="1" applyFont="1" applyFill="1" applyBorder="1"/>
    <xf numFmtId="183" fontId="81" fillId="0" borderId="25" xfId="0" applyNumberFormat="1" applyFont="1" applyFill="1" applyBorder="1"/>
    <xf numFmtId="44" fontId="8" fillId="0" borderId="30" xfId="42" applyFont="1" applyBorder="1"/>
    <xf numFmtId="176" fontId="28" fillId="0" borderId="25" xfId="36" applyNumberFormat="1" applyFont="1" applyFill="1" applyBorder="1"/>
    <xf numFmtId="182" fontId="8" fillId="0" borderId="25" xfId="0" applyNumberFormat="1" applyFont="1" applyBorder="1"/>
    <xf numFmtId="182" fontId="8" fillId="0" borderId="25" xfId="90" applyNumberFormat="1" applyFont="1" applyFill="1" applyBorder="1" applyAlignment="1">
      <alignment horizontal="right"/>
    </xf>
    <xf numFmtId="0" fontId="80" fillId="0" borderId="24" xfId="0" applyFont="1" applyBorder="1"/>
    <xf numFmtId="0" fontId="86" fillId="0" borderId="0" xfId="0" applyFont="1" applyBorder="1" applyAlignment="1">
      <alignment horizontal="center"/>
    </xf>
    <xf numFmtId="0" fontId="8" fillId="0" borderId="24" xfId="0" applyFont="1" applyBorder="1" applyAlignment="1">
      <alignment horizontal="left" indent="1"/>
    </xf>
    <xf numFmtId="44" fontId="8" fillId="0" borderId="0" xfId="0" applyNumberFormat="1" applyFont="1" applyBorder="1"/>
    <xf numFmtId="166" fontId="87" fillId="0" borderId="0" xfId="0" applyNumberFormat="1" applyFont="1" applyFill="1" applyBorder="1"/>
    <xf numFmtId="0" fontId="33" fillId="0" borderId="0" xfId="0" applyFont="1" applyFill="1" applyBorder="1"/>
    <xf numFmtId="0" fontId="2" fillId="0" borderId="18" xfId="0" applyFont="1" applyBorder="1"/>
    <xf numFmtId="176" fontId="8" fillId="0" borderId="0" xfId="36" applyNumberFormat="1" applyFont="1" applyBorder="1" applyAlignment="1">
      <alignment horizontal="right"/>
    </xf>
    <xf numFmtId="43" fontId="8" fillId="0" borderId="0" xfId="36" applyFont="1" applyBorder="1" applyAlignment="1">
      <alignment horizontal="right"/>
    </xf>
    <xf numFmtId="182" fontId="8" fillId="0" borderId="0" xfId="90" applyNumberFormat="1" applyFont="1" applyFill="1" applyBorder="1" applyAlignment="1">
      <alignment horizontal="right"/>
    </xf>
    <xf numFmtId="0" fontId="2" fillId="37" borderId="0" xfId="56" applyFont="1" applyFill="1"/>
    <xf numFmtId="0" fontId="8" fillId="37" borderId="0" xfId="56" applyFont="1" applyFill="1"/>
    <xf numFmtId="0" fontId="8" fillId="37" borderId="0" xfId="56" applyFont="1" applyFill="1" applyAlignment="1">
      <alignment horizontal="right"/>
    </xf>
    <xf numFmtId="37" fontId="2" fillId="37" borderId="16" xfId="78" applyFont="1" applyFill="1" applyBorder="1" applyAlignment="1" applyProtection="1">
      <alignment horizontal="left"/>
    </xf>
    <xf numFmtId="0" fontId="8" fillId="37" borderId="16" xfId="56" applyFont="1" applyFill="1" applyBorder="1"/>
    <xf numFmtId="0" fontId="8" fillId="37" borderId="16" xfId="56" applyFont="1" applyFill="1" applyBorder="1" applyAlignment="1">
      <alignment horizontal="right"/>
    </xf>
    <xf numFmtId="37" fontId="29" fillId="37" borderId="0" xfId="78" applyFont="1" applyFill="1" applyAlignment="1" applyProtection="1">
      <alignment horizontal="left"/>
    </xf>
    <xf numFmtId="0" fontId="33" fillId="37" borderId="0" xfId="56" applyFont="1" applyFill="1"/>
    <xf numFmtId="37" fontId="80" fillId="37" borderId="0" xfId="78" applyFont="1" applyFill="1" applyAlignment="1" applyProtection="1">
      <alignment horizontal="centerContinuous"/>
    </xf>
    <xf numFmtId="166" fontId="8" fillId="37" borderId="0" xfId="56" applyNumberFormat="1" applyFont="1" applyFill="1"/>
    <xf numFmtId="166" fontId="8" fillId="37" borderId="0" xfId="56" applyNumberFormat="1" applyFont="1" applyFill="1" applyAlignment="1">
      <alignment horizontal="right"/>
    </xf>
    <xf numFmtId="37" fontId="8" fillId="37" borderId="0" xfId="78" applyFont="1" applyFill="1" applyAlignment="1" applyProtection="1">
      <alignment horizontal="left"/>
    </xf>
    <xf numFmtId="166" fontId="28" fillId="37" borderId="0" xfId="56" applyNumberFormat="1" applyFont="1" applyFill="1"/>
    <xf numFmtId="169" fontId="8" fillId="37" borderId="0" xfId="56" applyNumberFormat="1" applyFont="1" applyFill="1" applyAlignment="1">
      <alignment horizontal="right"/>
    </xf>
    <xf numFmtId="166" fontId="28" fillId="37" borderId="0" xfId="56" applyNumberFormat="1" applyFont="1" applyFill="1" applyAlignment="1">
      <alignment horizontal="right"/>
    </xf>
    <xf numFmtId="171" fontId="8" fillId="37" borderId="0" xfId="56" applyNumberFormat="1" applyFont="1" applyFill="1" applyAlignment="1">
      <alignment horizontal="right"/>
    </xf>
    <xf numFmtId="165" fontId="28" fillId="37" borderId="0" xfId="56" applyNumberFormat="1" applyFont="1" applyFill="1"/>
    <xf numFmtId="165" fontId="28" fillId="37" borderId="0" xfId="56" applyNumberFormat="1" applyFont="1" applyFill="1" applyAlignment="1">
      <alignment horizontal="right"/>
    </xf>
    <xf numFmtId="167" fontId="28" fillId="37" borderId="16" xfId="56" applyNumberFormat="1" applyFont="1" applyFill="1" applyBorder="1"/>
    <xf numFmtId="167" fontId="8" fillId="37" borderId="16" xfId="56" applyNumberFormat="1" applyFont="1" applyFill="1" applyBorder="1"/>
    <xf numFmtId="165" fontId="28" fillId="37" borderId="16" xfId="56" applyNumberFormat="1" applyFont="1" applyFill="1" applyBorder="1" applyAlignment="1">
      <alignment horizontal="right"/>
    </xf>
    <xf numFmtId="171" fontId="8" fillId="37" borderId="0" xfId="56" applyNumberFormat="1" applyFont="1" applyFill="1"/>
    <xf numFmtId="173" fontId="29" fillId="37" borderId="0" xfId="56" applyNumberFormat="1" applyFont="1" applyFill="1" applyAlignment="1">
      <alignment horizontal="right"/>
    </xf>
    <xf numFmtId="166" fontId="28" fillId="37" borderId="0" xfId="56" applyNumberFormat="1" applyFont="1" applyFill="1" applyBorder="1"/>
    <xf numFmtId="174" fontId="28" fillId="37" borderId="0" xfId="56" applyNumberFormat="1" applyFont="1" applyFill="1"/>
    <xf numFmtId="164" fontId="28" fillId="37" borderId="0" xfId="56" applyNumberFormat="1" applyFont="1" applyFill="1"/>
    <xf numFmtId="164" fontId="8" fillId="37" borderId="0" xfId="56" applyNumberFormat="1" applyFont="1" applyFill="1"/>
    <xf numFmtId="164" fontId="28" fillId="37" borderId="0" xfId="56" applyNumberFormat="1" applyFont="1" applyFill="1" applyBorder="1"/>
    <xf numFmtId="164" fontId="8" fillId="37" borderId="0" xfId="56" applyNumberFormat="1" applyFont="1" applyFill="1" applyAlignment="1">
      <alignment horizontal="right"/>
    </xf>
    <xf numFmtId="175" fontId="28" fillId="37" borderId="0" xfId="56" applyNumberFormat="1" applyFont="1" applyFill="1"/>
    <xf numFmtId="164" fontId="8" fillId="37" borderId="16" xfId="56" applyNumberFormat="1" applyFont="1" applyFill="1" applyBorder="1"/>
    <xf numFmtId="165" fontId="28" fillId="37" borderId="16" xfId="56" applyNumberFormat="1" applyFont="1" applyFill="1" applyBorder="1"/>
    <xf numFmtId="164" fontId="8" fillId="37" borderId="0" xfId="56" applyNumberFormat="1" applyFont="1" applyFill="1" applyBorder="1"/>
    <xf numFmtId="175" fontId="28" fillId="37" borderId="16" xfId="56" applyNumberFormat="1" applyFont="1" applyFill="1" applyBorder="1"/>
    <xf numFmtId="0" fontId="2" fillId="37" borderId="0" xfId="56" applyFont="1" applyFill="1" applyAlignment="1">
      <alignment horizontal="left"/>
    </xf>
    <xf numFmtId="0" fontId="8" fillId="37" borderId="0" xfId="56" applyFont="1" applyFill="1" applyAlignment="1">
      <alignment horizontal="left"/>
    </xf>
    <xf numFmtId="175" fontId="28" fillId="37" borderId="0" xfId="0" applyNumberFormat="1" applyFont="1" applyFill="1" applyBorder="1"/>
    <xf numFmtId="175" fontId="28" fillId="37" borderId="16" xfId="0" applyNumberFormat="1" applyFont="1" applyFill="1" applyBorder="1"/>
    <xf numFmtId="0" fontId="8" fillId="37" borderId="0" xfId="0" applyFont="1" applyFill="1" applyAlignment="1">
      <alignment horizontal="centerContinuous"/>
    </xf>
    <xf numFmtId="0" fontId="8" fillId="37" borderId="0" xfId="0" applyFont="1" applyFill="1"/>
    <xf numFmtId="0" fontId="2" fillId="37" borderId="0" xfId="0" applyFont="1" applyFill="1"/>
    <xf numFmtId="166" fontId="28" fillId="37" borderId="0" xfId="0" applyNumberFormat="1" applyFont="1" applyFill="1"/>
    <xf numFmtId="171" fontId="8" fillId="37" borderId="0" xfId="0" applyNumberFormat="1" applyFont="1" applyFill="1"/>
    <xf numFmtId="171" fontId="8" fillId="37" borderId="0" xfId="0" applyNumberFormat="1" applyFont="1" applyFill="1" applyAlignment="1">
      <alignment horizontal="right"/>
    </xf>
    <xf numFmtId="173" fontId="29" fillId="37" borderId="0" xfId="0" applyNumberFormat="1" applyFont="1" applyFill="1" applyAlignment="1">
      <alignment horizontal="right"/>
    </xf>
    <xf numFmtId="165" fontId="28" fillId="37" borderId="0" xfId="0" applyNumberFormat="1" applyFont="1" applyFill="1"/>
    <xf numFmtId="165" fontId="28" fillId="37" borderId="16" xfId="0" applyNumberFormat="1" applyFont="1" applyFill="1" applyBorder="1"/>
    <xf numFmtId="165" fontId="8" fillId="37" borderId="16" xfId="0" applyNumberFormat="1" applyFont="1" applyFill="1" applyBorder="1"/>
    <xf numFmtId="166" fontId="8" fillId="37" borderId="0" xfId="0" applyNumberFormat="1" applyFont="1" applyFill="1"/>
    <xf numFmtId="167" fontId="8" fillId="37" borderId="0" xfId="0" applyNumberFormat="1" applyFont="1" applyFill="1"/>
    <xf numFmtId="0" fontId="8" fillId="37" borderId="0" xfId="56" applyFont="1" applyFill="1" applyAlignment="1"/>
    <xf numFmtId="0" fontId="8" fillId="37" borderId="16" xfId="56" applyFont="1" applyFill="1" applyBorder="1" applyAlignment="1"/>
    <xf numFmtId="165" fontId="8" fillId="37" borderId="0" xfId="56" applyNumberFormat="1" applyFont="1" applyFill="1" applyAlignment="1"/>
    <xf numFmtId="174" fontId="28" fillId="37" borderId="0" xfId="56" applyNumberFormat="1" applyFont="1" applyFill="1" applyAlignment="1"/>
    <xf numFmtId="175" fontId="28" fillId="37" borderId="0" xfId="0" applyNumberFormat="1" applyFont="1" applyFill="1" applyBorder="1" applyAlignment="1"/>
    <xf numFmtId="175" fontId="28" fillId="37" borderId="16" xfId="0" applyNumberFormat="1" applyFont="1" applyFill="1" applyBorder="1" applyAlignment="1"/>
    <xf numFmtId="166" fontId="8" fillId="37" borderId="0" xfId="56" applyNumberFormat="1" applyFont="1" applyFill="1" applyAlignment="1"/>
    <xf numFmtId="166" fontId="28" fillId="37" borderId="0" xfId="56" applyNumberFormat="1" applyFont="1" applyFill="1" applyAlignment="1"/>
    <xf numFmtId="175" fontId="28" fillId="37" borderId="0" xfId="56" applyNumberFormat="1" applyFont="1" applyFill="1" applyAlignment="1"/>
    <xf numFmtId="175" fontId="28" fillId="37" borderId="16" xfId="56" applyNumberFormat="1" applyFont="1" applyFill="1" applyBorder="1" applyAlignment="1"/>
    <xf numFmtId="0" fontId="2" fillId="37" borderId="16" xfId="0" applyFont="1" applyFill="1" applyBorder="1" applyAlignment="1">
      <alignment horizontal="centerContinuous"/>
    </xf>
    <xf numFmtId="0" fontId="8" fillId="37" borderId="16" xfId="0" applyFont="1" applyFill="1" applyBorder="1" applyAlignment="1">
      <alignment horizontal="centerContinuous"/>
    </xf>
    <xf numFmtId="0" fontId="23" fillId="37" borderId="16" xfId="0" applyFont="1" applyFill="1" applyBorder="1" applyAlignment="1">
      <alignment horizontal="centerContinuous"/>
    </xf>
    <xf numFmtId="170" fontId="8" fillId="37" borderId="0" xfId="0" applyNumberFormat="1" applyFont="1" applyFill="1"/>
    <xf numFmtId="196" fontId="28" fillId="37" borderId="0" xfId="0" applyNumberFormat="1" applyFont="1" applyFill="1" applyAlignment="1">
      <alignment horizontal="left"/>
    </xf>
    <xf numFmtId="169" fontId="8" fillId="37" borderId="0" xfId="0" applyNumberFormat="1" applyFont="1" applyFill="1" applyAlignment="1">
      <alignment horizontal="right"/>
    </xf>
    <xf numFmtId="168" fontId="8" fillId="37" borderId="0" xfId="0" applyNumberFormat="1" applyFont="1" applyFill="1"/>
    <xf numFmtId="168" fontId="29" fillId="37" borderId="0" xfId="0" applyNumberFormat="1" applyFont="1" applyFill="1" applyAlignment="1">
      <alignment horizontal="right"/>
    </xf>
    <xf numFmtId="169" fontId="8" fillId="37" borderId="0" xfId="0" applyNumberFormat="1" applyFont="1" applyFill="1"/>
    <xf numFmtId="165" fontId="8" fillId="37" borderId="0" xfId="0" applyNumberFormat="1" applyFont="1" applyFill="1"/>
    <xf numFmtId="169" fontId="8" fillId="37" borderId="0" xfId="0" applyNumberFormat="1" applyFont="1" applyFill="1" applyAlignment="1">
      <alignment horizontal="left"/>
    </xf>
    <xf numFmtId="167" fontId="28" fillId="37" borderId="16" xfId="0" applyNumberFormat="1" applyFont="1" applyFill="1" applyBorder="1"/>
    <xf numFmtId="167" fontId="8" fillId="37" borderId="16" xfId="0" applyNumberFormat="1" applyFont="1" applyFill="1" applyBorder="1"/>
    <xf numFmtId="196" fontId="8" fillId="37" borderId="0" xfId="0" applyNumberFormat="1" applyFont="1" applyFill="1" applyAlignment="1">
      <alignment horizontal="left"/>
    </xf>
    <xf numFmtId="196" fontId="8" fillId="37" borderId="0" xfId="0" applyNumberFormat="1" applyFont="1" applyFill="1"/>
    <xf numFmtId="166" fontId="8" fillId="37" borderId="0" xfId="0" applyNumberFormat="1" applyFont="1" applyFill="1" applyAlignment="1">
      <alignment horizontal="centerContinuous"/>
    </xf>
    <xf numFmtId="169" fontId="8" fillId="37" borderId="0" xfId="0" applyNumberFormat="1" applyFont="1" applyFill="1" applyAlignment="1">
      <alignment horizontal="centerContinuous"/>
    </xf>
    <xf numFmtId="177" fontId="8" fillId="37" borderId="0" xfId="36" applyNumberFormat="1" applyFont="1" applyFill="1" applyAlignment="1">
      <alignment horizontal="right"/>
    </xf>
    <xf numFmtId="171" fontId="28" fillId="37" borderId="0" xfId="0" applyNumberFormat="1" applyFont="1" applyFill="1"/>
    <xf numFmtId="171" fontId="29" fillId="37" borderId="0" xfId="0" applyNumberFormat="1" applyFont="1" applyFill="1" applyAlignment="1">
      <alignment horizontal="right"/>
    </xf>
    <xf numFmtId="215" fontId="8" fillId="37" borderId="0" xfId="0" applyNumberFormat="1" applyFont="1" applyFill="1" applyAlignment="1">
      <alignment horizontal="centerContinuous"/>
    </xf>
    <xf numFmtId="217" fontId="8" fillId="37" borderId="0" xfId="0" applyNumberFormat="1" applyFont="1" applyFill="1"/>
    <xf numFmtId="172" fontId="8" fillId="37" borderId="0" xfId="0" applyNumberFormat="1" applyFont="1" applyFill="1"/>
    <xf numFmtId="174" fontId="28" fillId="37" borderId="0" xfId="0" applyNumberFormat="1" applyFont="1" applyFill="1"/>
    <xf numFmtId="174" fontId="28" fillId="37" borderId="0" xfId="0" applyNumberFormat="1" applyFont="1" applyFill="1" applyAlignment="1">
      <alignment wrapText="1"/>
    </xf>
    <xf numFmtId="175" fontId="28" fillId="37" borderId="0" xfId="0" applyNumberFormat="1" applyFont="1" applyFill="1"/>
    <xf numFmtId="175" fontId="8" fillId="37" borderId="16" xfId="0" applyNumberFormat="1" applyFont="1" applyFill="1" applyBorder="1"/>
    <xf numFmtId="178" fontId="8" fillId="37" borderId="0" xfId="0" applyNumberFormat="1" applyFont="1" applyFill="1"/>
    <xf numFmtId="217" fontId="8" fillId="37" borderId="0" xfId="0" applyNumberFormat="1" applyFont="1" applyFill="1" applyAlignment="1">
      <alignment horizontal="left"/>
    </xf>
    <xf numFmtId="178" fontId="8" fillId="37" borderId="16" xfId="0" applyNumberFormat="1" applyFont="1" applyFill="1" applyBorder="1"/>
    <xf numFmtId="166" fontId="52" fillId="37" borderId="0" xfId="0" applyNumberFormat="1" applyFont="1" applyFill="1"/>
    <xf numFmtId="166" fontId="66" fillId="37" borderId="0" xfId="0" applyNumberFormat="1" applyFont="1" applyFill="1"/>
    <xf numFmtId="165" fontId="52" fillId="37" borderId="0" xfId="0" applyNumberFormat="1" applyFont="1" applyFill="1"/>
    <xf numFmtId="165" fontId="66" fillId="37" borderId="0" xfId="0" applyNumberFormat="1" applyFont="1" applyFill="1"/>
    <xf numFmtId="167" fontId="52" fillId="37" borderId="16" xfId="0" applyNumberFormat="1" applyFont="1" applyFill="1" applyBorder="1"/>
    <xf numFmtId="165" fontId="28" fillId="37" borderId="0" xfId="36" applyNumberFormat="1" applyFont="1" applyFill="1" applyBorder="1" applyAlignment="1">
      <alignment horizontal="right"/>
    </xf>
    <xf numFmtId="2" fontId="8" fillId="37" borderId="0" xfId="0" applyNumberFormat="1" applyFont="1" applyFill="1" applyAlignment="1">
      <alignment horizontal="right"/>
    </xf>
    <xf numFmtId="2" fontId="28" fillId="37" borderId="0" xfId="0" applyNumberFormat="1" applyFont="1" applyFill="1" applyAlignment="1">
      <alignment horizontal="right"/>
    </xf>
    <xf numFmtId="165" fontId="81" fillId="37" borderId="16" xfId="36" applyNumberFormat="1" applyFont="1" applyFill="1" applyBorder="1" applyAlignment="1">
      <alignment horizontal="right"/>
    </xf>
    <xf numFmtId="165" fontId="28" fillId="37" borderId="16" xfId="36" applyNumberFormat="1" applyFont="1" applyFill="1" applyBorder="1" applyAlignment="1">
      <alignment horizontal="right"/>
    </xf>
    <xf numFmtId="2" fontId="8" fillId="37" borderId="16" xfId="0" applyNumberFormat="1" applyFont="1" applyFill="1" applyBorder="1" applyAlignment="1">
      <alignment horizontal="right"/>
    </xf>
    <xf numFmtId="2" fontId="28" fillId="37" borderId="16" xfId="0" applyNumberFormat="1" applyFont="1" applyFill="1" applyBorder="1" applyAlignment="1">
      <alignment horizontal="right"/>
    </xf>
    <xf numFmtId="2" fontId="28" fillId="37" borderId="0" xfId="0" applyNumberFormat="1" applyFont="1" applyFill="1" applyBorder="1" applyAlignment="1">
      <alignment horizontal="right"/>
    </xf>
    <xf numFmtId="165" fontId="28" fillId="37" borderId="0" xfId="36" applyNumberFormat="1" applyFont="1" applyFill="1"/>
    <xf numFmtId="165" fontId="28" fillId="37" borderId="0" xfId="36" applyNumberFormat="1" applyFont="1" applyFill="1" applyAlignment="1">
      <alignment horizontal="right"/>
    </xf>
    <xf numFmtId="167" fontId="8" fillId="37" borderId="0" xfId="0" applyNumberFormat="1" applyFont="1" applyFill="1" applyAlignment="1">
      <alignment horizontal="right"/>
    </xf>
    <xf numFmtId="0" fontId="8" fillId="37" borderId="0" xfId="0" applyFont="1" applyFill="1" applyBorder="1"/>
    <xf numFmtId="0" fontId="8" fillId="37" borderId="15" xfId="0" applyFont="1" applyFill="1" applyBorder="1"/>
    <xf numFmtId="2" fontId="8" fillId="37" borderId="0" xfId="0" applyNumberFormat="1" applyFont="1" applyFill="1" applyBorder="1" applyAlignment="1">
      <alignment horizontal="right"/>
    </xf>
    <xf numFmtId="0" fontId="8" fillId="37" borderId="16" xfId="0" applyFont="1" applyFill="1" applyBorder="1"/>
    <xf numFmtId="170" fontId="8" fillId="37" borderId="0" xfId="0" applyNumberFormat="1" applyFont="1" applyFill="1" applyAlignment="1">
      <alignment horizontal="right"/>
    </xf>
    <xf numFmtId="170" fontId="8" fillId="37" borderId="0" xfId="42" applyNumberFormat="1" applyFont="1" applyFill="1" applyAlignment="1">
      <alignment horizontal="right"/>
    </xf>
    <xf numFmtId="173" fontId="88" fillId="37" borderId="0" xfId="0" applyNumberFormat="1" applyFont="1" applyFill="1"/>
    <xf numFmtId="4" fontId="8" fillId="37" borderId="0" xfId="0" applyNumberFormat="1" applyFont="1" applyFill="1" applyAlignment="1">
      <alignment horizontal="right"/>
    </xf>
    <xf numFmtId="170" fontId="8" fillId="37" borderId="16" xfId="0" applyNumberFormat="1" applyFont="1" applyFill="1" applyBorder="1" applyAlignment="1">
      <alignment horizontal="right"/>
    </xf>
    <xf numFmtId="165" fontId="28" fillId="37" borderId="16" xfId="0" applyNumberFormat="1" applyFont="1" applyFill="1" applyBorder="1" applyAlignment="1">
      <alignment horizontal="right"/>
    </xf>
    <xf numFmtId="4" fontId="8" fillId="37" borderId="16" xfId="0" applyNumberFormat="1" applyFont="1" applyFill="1" applyBorder="1" applyAlignment="1">
      <alignment horizontal="right"/>
    </xf>
    <xf numFmtId="170" fontId="28" fillId="37" borderId="0" xfId="0" applyNumberFormat="1" applyFont="1" applyFill="1" applyAlignment="1">
      <alignment horizontal="right"/>
    </xf>
    <xf numFmtId="175" fontId="8" fillId="37" borderId="0" xfId="0" applyNumberFormat="1" applyFont="1" applyFill="1" applyBorder="1"/>
    <xf numFmtId="0" fontId="8" fillId="37" borderId="0" xfId="56" applyFont="1" applyFill="1" applyBorder="1"/>
    <xf numFmtId="173" fontId="29" fillId="37" borderId="0" xfId="0" applyNumberFormat="1" applyFont="1" applyFill="1" applyBorder="1" applyAlignment="1">
      <alignment horizontal="right"/>
    </xf>
    <xf numFmtId="175" fontId="8" fillId="37" borderId="0" xfId="0" applyNumberFormat="1" applyFont="1" applyFill="1"/>
    <xf numFmtId="178" fontId="8" fillId="0" borderId="0" xfId="0" applyNumberFormat="1" applyFont="1" applyFill="1"/>
    <xf numFmtId="178" fontId="8" fillId="0" borderId="16" xfId="0" applyNumberFormat="1" applyFont="1" applyFill="1" applyBorder="1"/>
    <xf numFmtId="220" fontId="8" fillId="0" borderId="0" xfId="0" applyNumberFormat="1" applyFont="1" applyFill="1"/>
    <xf numFmtId="220" fontId="8" fillId="0" borderId="0" xfId="42" applyNumberFormat="1" applyFont="1" applyAlignment="1">
      <alignment horizontal="right"/>
    </xf>
    <xf numFmtId="221" fontId="8" fillId="0" borderId="0" xfId="0" applyNumberFormat="1" applyFont="1"/>
    <xf numFmtId="2" fontId="8" fillId="37" borderId="0" xfId="0" applyNumberFormat="1" applyFont="1" applyFill="1"/>
    <xf numFmtId="174" fontId="8" fillId="37" borderId="0" xfId="56" applyNumberFormat="1" applyFont="1" applyFill="1"/>
    <xf numFmtId="223" fontId="8" fillId="37" borderId="0" xfId="0" applyNumberFormat="1" applyFont="1" applyFill="1" applyBorder="1"/>
    <xf numFmtId="167" fontId="28" fillId="37" borderId="0" xfId="0" applyNumberFormat="1" applyFont="1" applyFill="1"/>
    <xf numFmtId="164" fontId="28" fillId="37" borderId="0" xfId="0" applyNumberFormat="1" applyFont="1" applyFill="1"/>
    <xf numFmtId="164" fontId="8" fillId="37" borderId="16" xfId="0" applyNumberFormat="1" applyFont="1" applyFill="1" applyBorder="1"/>
    <xf numFmtId="164" fontId="8" fillId="37" borderId="0" xfId="0" applyNumberFormat="1" applyFont="1" applyFill="1"/>
    <xf numFmtId="166" fontId="8" fillId="37" borderId="0" xfId="0" applyNumberFormat="1" applyFont="1" applyFill="1" applyAlignment="1">
      <alignment horizontal="left" indent="2"/>
    </xf>
    <xf numFmtId="166" fontId="8" fillId="37" borderId="0" xfId="0" applyNumberFormat="1" applyFont="1" applyFill="1" applyAlignment="1">
      <alignment horizontal="left" indent="3"/>
    </xf>
    <xf numFmtId="224" fontId="8" fillId="37" borderId="0" xfId="0" applyNumberFormat="1" applyFont="1" applyFill="1"/>
    <xf numFmtId="0" fontId="27" fillId="37" borderId="45" xfId="56" applyFont="1" applyFill="1" applyBorder="1" applyAlignment="1">
      <alignment horizontal="left"/>
    </xf>
    <xf numFmtId="0" fontId="27" fillId="37" borderId="45" xfId="56" applyFont="1" applyFill="1" applyBorder="1"/>
    <xf numFmtId="0" fontId="27" fillId="37" borderId="45" xfId="56" applyFont="1" applyFill="1" applyBorder="1" applyAlignment="1"/>
    <xf numFmtId="0" fontId="27" fillId="37" borderId="45" xfId="56" applyFont="1" applyFill="1" applyBorder="1" applyAlignment="1">
      <alignment horizontal="right"/>
    </xf>
    <xf numFmtId="0" fontId="57" fillId="37" borderId="0" xfId="56" applyFont="1" applyFill="1"/>
    <xf numFmtId="0" fontId="27" fillId="37" borderId="0" xfId="56" applyFont="1" applyFill="1"/>
    <xf numFmtId="224" fontId="8" fillId="37" borderId="16" xfId="0" applyNumberFormat="1" applyFont="1" applyFill="1" applyBorder="1"/>
    <xf numFmtId="204" fontId="28" fillId="37" borderId="16" xfId="0" applyNumberFormat="1" applyFont="1" applyFill="1" applyBorder="1"/>
    <xf numFmtId="223" fontId="8" fillId="37" borderId="16" xfId="0" applyNumberFormat="1" applyFont="1" applyFill="1" applyBorder="1"/>
    <xf numFmtId="221" fontId="8" fillId="37" borderId="0" xfId="0" applyNumberFormat="1" applyFont="1" applyFill="1"/>
    <xf numFmtId="174" fontId="8" fillId="37" borderId="0" xfId="0" applyNumberFormat="1" applyFont="1" applyFill="1"/>
    <xf numFmtId="172" fontId="8" fillId="37" borderId="16" xfId="0" applyNumberFormat="1" applyFont="1" applyFill="1" applyBorder="1"/>
    <xf numFmtId="0" fontId="2" fillId="37" borderId="0" xfId="0" applyFont="1" applyFill="1" applyBorder="1" applyAlignment="1">
      <alignment horizontal="centerContinuous"/>
    </xf>
    <xf numFmtId="0" fontId="23" fillId="37" borderId="0" xfId="0" applyFont="1" applyFill="1" applyBorder="1" applyAlignment="1">
      <alignment horizontal="centerContinuous"/>
    </xf>
    <xf numFmtId="170" fontId="8" fillId="0" borderId="0" xfId="0" applyNumberFormat="1" applyFont="1" applyAlignment="1">
      <alignment horizontal="centerContinuous"/>
    </xf>
    <xf numFmtId="0" fontId="8" fillId="37" borderId="0" xfId="0" applyFont="1" applyFill="1" applyBorder="1" applyAlignment="1">
      <alignment horizontal="centerContinuous"/>
    </xf>
    <xf numFmtId="0" fontId="2" fillId="26" borderId="17" xfId="0" applyFont="1" applyFill="1" applyBorder="1" applyAlignment="1">
      <alignment horizontal="center"/>
    </xf>
    <xf numFmtId="0" fontId="2" fillId="0" borderId="18" xfId="0" applyFont="1" applyBorder="1" applyAlignment="1">
      <alignment horizontal="center"/>
    </xf>
    <xf numFmtId="0" fontId="2" fillId="0" borderId="17" xfId="0" applyFont="1" applyBorder="1" applyAlignment="1">
      <alignment horizontal="center"/>
    </xf>
    <xf numFmtId="0" fontId="23" fillId="0" borderId="17" xfId="0" applyFont="1" applyBorder="1" applyAlignment="1">
      <alignment horizontal="center"/>
    </xf>
    <xf numFmtId="0" fontId="23" fillId="0" borderId="30" xfId="0" applyFont="1" applyBorder="1" applyAlignment="1">
      <alignment horizontal="center"/>
    </xf>
    <xf numFmtId="0" fontId="2" fillId="0" borderId="24" xfId="0" applyFont="1" applyBorder="1"/>
    <xf numFmtId="183" fontId="8" fillId="0" borderId="0" xfId="45" applyNumberFormat="1" applyFont="1" applyBorder="1"/>
    <xf numFmtId="183" fontId="8" fillId="0" borderId="25" xfId="45" applyNumberFormat="1" applyFont="1" applyBorder="1"/>
    <xf numFmtId="183" fontId="8" fillId="26" borderId="0" xfId="45" applyNumberFormat="1" applyFont="1" applyFill="1" applyBorder="1"/>
    <xf numFmtId="183" fontId="8" fillId="0" borderId="24" xfId="45" applyNumberFormat="1" applyFont="1" applyFill="1" applyBorder="1"/>
    <xf numFmtId="183" fontId="8" fillId="0" borderId="24" xfId="45" applyNumberFormat="1" applyFont="1" applyBorder="1"/>
    <xf numFmtId="183" fontId="8" fillId="0" borderId="25" xfId="45" applyNumberFormat="1" applyFont="1" applyFill="1" applyBorder="1"/>
    <xf numFmtId="176" fontId="8" fillId="0" borderId="0" xfId="39" applyNumberFormat="1" applyFont="1" applyBorder="1"/>
    <xf numFmtId="176" fontId="8" fillId="0" borderId="25" xfId="39" applyNumberFormat="1" applyFont="1" applyBorder="1"/>
    <xf numFmtId="176" fontId="8" fillId="26" borderId="0" xfId="39" applyNumberFormat="1" applyFont="1" applyFill="1" applyBorder="1"/>
    <xf numFmtId="176" fontId="8" fillId="0" borderId="24" xfId="39" applyNumberFormat="1" applyFont="1" applyFill="1" applyBorder="1"/>
    <xf numFmtId="176" fontId="8" fillId="0" borderId="24" xfId="39" applyNumberFormat="1" applyFont="1" applyBorder="1"/>
    <xf numFmtId="176" fontId="8" fillId="0" borderId="25" xfId="39" applyNumberFormat="1" applyFont="1" applyFill="1" applyBorder="1"/>
    <xf numFmtId="0" fontId="2" fillId="0" borderId="24" xfId="0" applyFont="1" applyBorder="1" applyAlignment="1">
      <alignment horizontal="left"/>
    </xf>
    <xf numFmtId="44" fontId="8" fillId="0" borderId="25" xfId="45" applyNumberFormat="1" applyFont="1" applyBorder="1"/>
    <xf numFmtId="185" fontId="8" fillId="0" borderId="0" xfId="39" applyNumberFormat="1" applyFont="1" applyBorder="1"/>
    <xf numFmtId="197" fontId="8" fillId="0" borderId="0" xfId="0" applyNumberFormat="1" applyFont="1" applyBorder="1"/>
    <xf numFmtId="43" fontId="2" fillId="0" borderId="17" xfId="39" applyFont="1" applyBorder="1" applyAlignment="1">
      <alignment horizontal="right"/>
    </xf>
    <xf numFmtId="44" fontId="2" fillId="0" borderId="17" xfId="45" applyFont="1" applyBorder="1"/>
    <xf numFmtId="44" fontId="2" fillId="0" borderId="30" xfId="45" applyFont="1" applyBorder="1"/>
    <xf numFmtId="44" fontId="2" fillId="26" borderId="17" xfId="45" applyFont="1" applyFill="1" applyBorder="1"/>
    <xf numFmtId="44" fontId="2" fillId="26" borderId="17" xfId="45" applyFont="1" applyFill="1" applyBorder="1" applyAlignment="1">
      <alignment horizontal="right"/>
    </xf>
    <xf numFmtId="44" fontId="2" fillId="0" borderId="18" xfId="45" applyFont="1" applyBorder="1" applyAlignment="1">
      <alignment horizontal="right"/>
    </xf>
    <xf numFmtId="44" fontId="2" fillId="0" borderId="17" xfId="45" applyFont="1" applyBorder="1" applyAlignment="1">
      <alignment horizontal="right"/>
    </xf>
    <xf numFmtId="44" fontId="2" fillId="0" borderId="30" xfId="45" applyFont="1" applyBorder="1" applyAlignment="1">
      <alignment horizontal="right"/>
    </xf>
    <xf numFmtId="44" fontId="8" fillId="0" borderId="0" xfId="45" applyFont="1" applyBorder="1" applyAlignment="1">
      <alignment horizontal="right"/>
    </xf>
    <xf numFmtId="43" fontId="8" fillId="0" borderId="0" xfId="39" applyFont="1" applyBorder="1" applyAlignment="1">
      <alignment horizontal="right"/>
    </xf>
    <xf numFmtId="44" fontId="8" fillId="0" borderId="0" xfId="45" applyFont="1" applyBorder="1"/>
    <xf numFmtId="44" fontId="8" fillId="0" borderId="25" xfId="45" applyFont="1" applyBorder="1"/>
    <xf numFmtId="44" fontId="8" fillId="26" borderId="0" xfId="45" applyFont="1" applyFill="1" applyBorder="1"/>
    <xf numFmtId="44" fontId="8" fillId="26" borderId="0" xfId="45" applyFont="1" applyFill="1" applyBorder="1" applyAlignment="1">
      <alignment horizontal="right"/>
    </xf>
    <xf numFmtId="44" fontId="8" fillId="0" borderId="24" xfId="45" applyFont="1" applyBorder="1" applyAlignment="1">
      <alignment horizontal="right"/>
    </xf>
    <xf numFmtId="44" fontId="8" fillId="0" borderId="25" xfId="45" applyFont="1" applyBorder="1" applyAlignment="1">
      <alignment horizontal="right"/>
    </xf>
    <xf numFmtId="0" fontId="82" fillId="0" borderId="24" xfId="0" applyFont="1" applyBorder="1"/>
    <xf numFmtId="164" fontId="8" fillId="0" borderId="24" xfId="0" quotePrefix="1" applyNumberFormat="1" applyFont="1" applyBorder="1" applyAlignment="1">
      <alignment horizontal="left" indent="1"/>
    </xf>
    <xf numFmtId="164" fontId="8" fillId="0" borderId="0" xfId="0" applyNumberFormat="1" applyFont="1" applyBorder="1"/>
    <xf numFmtId="164" fontId="8" fillId="0" borderId="0" xfId="39" applyNumberFormat="1" applyFont="1" applyBorder="1"/>
    <xf numFmtId="164" fontId="8" fillId="0" borderId="25" xfId="39" applyNumberFormat="1" applyFont="1" applyBorder="1"/>
    <xf numFmtId="164" fontId="8" fillId="26" borderId="0" xfId="39" applyNumberFormat="1" applyFont="1" applyFill="1" applyBorder="1"/>
    <xf numFmtId="164" fontId="8" fillId="0" borderId="24" xfId="39" applyNumberFormat="1" applyFont="1" applyFill="1" applyBorder="1"/>
    <xf numFmtId="164" fontId="8" fillId="0" borderId="24" xfId="39" applyNumberFormat="1" applyFont="1" applyBorder="1"/>
    <xf numFmtId="164" fontId="8" fillId="0" borderId="24" xfId="0" applyNumberFormat="1" applyFont="1" applyBorder="1" applyAlignment="1">
      <alignment horizontal="left"/>
    </xf>
    <xf numFmtId="164" fontId="8" fillId="0" borderId="0" xfId="45" applyNumberFormat="1" applyFont="1" applyBorder="1"/>
    <xf numFmtId="164" fontId="8" fillId="26" borderId="0" xfId="45" applyNumberFormat="1" applyFont="1" applyFill="1" applyBorder="1"/>
    <xf numFmtId="164" fontId="8" fillId="0" borderId="24" xfId="45" applyNumberFormat="1" applyFont="1" applyFill="1" applyBorder="1"/>
    <xf numFmtId="164" fontId="8" fillId="0" borderId="24" xfId="45" applyNumberFormat="1" applyFont="1" applyBorder="1"/>
    <xf numFmtId="164" fontId="8" fillId="0" borderId="25" xfId="45" applyNumberFormat="1" applyFont="1" applyFill="1" applyBorder="1"/>
    <xf numFmtId="164" fontId="8" fillId="0" borderId="24" xfId="0" applyNumberFormat="1" applyFont="1" applyBorder="1"/>
    <xf numFmtId="0" fontId="8" fillId="0" borderId="24" xfId="0" applyFont="1" applyBorder="1" applyAlignment="1">
      <alignment horizontal="left"/>
    </xf>
    <xf numFmtId="44" fontId="2" fillId="0" borderId="18" xfId="45" applyFont="1" applyBorder="1"/>
    <xf numFmtId="44" fontId="2" fillId="0" borderId="0" xfId="45" applyFont="1" applyBorder="1"/>
    <xf numFmtId="176" fontId="8" fillId="0" borderId="0" xfId="39" applyNumberFormat="1" applyFont="1" applyBorder="1" applyAlignment="1">
      <alignment horizontal="right"/>
    </xf>
    <xf numFmtId="176" fontId="28" fillId="26" borderId="0" xfId="39" applyNumberFormat="1" applyFont="1" applyFill="1" applyBorder="1"/>
    <xf numFmtId="176" fontId="28" fillId="0" borderId="0" xfId="39" applyNumberFormat="1" applyFont="1" applyBorder="1"/>
    <xf numFmtId="176" fontId="28" fillId="0" borderId="0" xfId="39" applyNumberFormat="1" applyFont="1" applyFill="1" applyBorder="1"/>
    <xf numFmtId="176" fontId="8" fillId="0" borderId="0" xfId="39" applyNumberFormat="1" applyFont="1" applyFill="1" applyBorder="1"/>
    <xf numFmtId="176" fontId="28" fillId="0" borderId="25" xfId="39" applyNumberFormat="1" applyFont="1" applyFill="1" applyBorder="1"/>
    <xf numFmtId="176" fontId="28" fillId="26" borderId="0" xfId="39" applyNumberFormat="1" applyFont="1" applyFill="1" applyBorder="1" applyAlignment="1">
      <alignment horizontal="right"/>
    </xf>
    <xf numFmtId="176" fontId="28" fillId="26" borderId="24" xfId="39" applyNumberFormat="1" applyFont="1" applyFill="1" applyBorder="1" applyAlignment="1">
      <alignment horizontal="right"/>
    </xf>
    <xf numFmtId="176" fontId="28" fillId="0" borderId="24" xfId="39" applyNumberFormat="1" applyFont="1" applyBorder="1" applyAlignment="1">
      <alignment horizontal="right"/>
    </xf>
    <xf numFmtId="176" fontId="28" fillId="0" borderId="0" xfId="39" applyNumberFormat="1" applyFont="1" applyBorder="1" applyAlignment="1">
      <alignment horizontal="right"/>
    </xf>
    <xf numFmtId="176" fontId="28" fillId="0" borderId="23" xfId="39" applyNumberFormat="1" applyFont="1" applyBorder="1" applyAlignment="1">
      <alignment horizontal="right"/>
    </xf>
    <xf numFmtId="176" fontId="28" fillId="0" borderId="0" xfId="39" applyNumberFormat="1" applyFont="1" applyFill="1" applyBorder="1" applyAlignment="1">
      <alignment horizontal="right"/>
    </xf>
    <xf numFmtId="176" fontId="28" fillId="0" borderId="25" xfId="39" applyNumberFormat="1" applyFont="1" applyFill="1" applyBorder="1" applyAlignment="1">
      <alignment horizontal="right"/>
    </xf>
    <xf numFmtId="176" fontId="8" fillId="26" borderId="0" xfId="39" applyNumberFormat="1" applyFont="1" applyFill="1" applyBorder="1" applyAlignment="1">
      <alignment horizontal="right"/>
    </xf>
    <xf numFmtId="176" fontId="28" fillId="0" borderId="24" xfId="39" applyNumberFormat="1" applyFont="1" applyFill="1" applyBorder="1" applyAlignment="1">
      <alignment horizontal="right"/>
    </xf>
    <xf numFmtId="182" fontId="8" fillId="0" borderId="0" xfId="92" applyNumberFormat="1" applyFont="1" applyBorder="1"/>
    <xf numFmtId="182" fontId="8" fillId="0" borderId="25" xfId="92" applyNumberFormat="1" applyFont="1" applyBorder="1"/>
    <xf numFmtId="182" fontId="8" fillId="26" borderId="0" xfId="92" applyNumberFormat="1" applyFont="1" applyFill="1" applyBorder="1"/>
    <xf numFmtId="182" fontId="8" fillId="0" borderId="24" xfId="92" applyNumberFormat="1" applyFont="1" applyBorder="1"/>
    <xf numFmtId="182" fontId="8" fillId="26" borderId="0" xfId="92" applyNumberFormat="1" applyFont="1" applyFill="1" applyBorder="1" applyAlignment="1">
      <alignment horizontal="right"/>
    </xf>
    <xf numFmtId="182" fontId="8" fillId="0" borderId="0" xfId="92" applyNumberFormat="1" applyFont="1" applyBorder="1" applyAlignment="1">
      <alignment horizontal="right"/>
    </xf>
    <xf numFmtId="43" fontId="8" fillId="26" borderId="0" xfId="39" applyFont="1" applyFill="1" applyBorder="1" applyAlignment="1">
      <alignment horizontal="right"/>
    </xf>
    <xf numFmtId="182" fontId="8" fillId="0" borderId="24" xfId="92" applyNumberFormat="1" applyFont="1" applyBorder="1" applyAlignment="1">
      <alignment horizontal="right"/>
    </xf>
    <xf numFmtId="182" fontId="8" fillId="0" borderId="0" xfId="92" applyNumberFormat="1" applyFont="1" applyFill="1" applyBorder="1" applyAlignment="1">
      <alignment horizontal="right"/>
    </xf>
    <xf numFmtId="182" fontId="8" fillId="0" borderId="25" xfId="92" applyNumberFormat="1" applyFont="1" applyFill="1" applyBorder="1" applyAlignment="1">
      <alignment horizontal="right"/>
    </xf>
    <xf numFmtId="182" fontId="8" fillId="0" borderId="25" xfId="92" applyNumberFormat="1" applyFont="1" applyBorder="1" applyAlignment="1">
      <alignment horizontal="right"/>
    </xf>
    <xf numFmtId="43" fontId="8" fillId="0" borderId="16" xfId="39" applyFont="1" applyBorder="1" applyAlignment="1">
      <alignment horizontal="right"/>
    </xf>
    <xf numFmtId="182" fontId="8" fillId="0" borderId="16" xfId="92" applyNumberFormat="1" applyFont="1" applyBorder="1"/>
    <xf numFmtId="182" fontId="8" fillId="0" borderId="16" xfId="92" applyNumberFormat="1" applyFont="1" applyBorder="1" applyAlignment="1">
      <alignment horizontal="right"/>
    </xf>
    <xf numFmtId="182" fontId="8" fillId="0" borderId="27" xfId="92" applyNumberFormat="1" applyFont="1" applyBorder="1"/>
    <xf numFmtId="43" fontId="8" fillId="26" borderId="16" xfId="39" applyFont="1" applyFill="1" applyBorder="1" applyAlignment="1">
      <alignment horizontal="right"/>
    </xf>
    <xf numFmtId="182" fontId="8" fillId="26" borderId="16" xfId="92" applyNumberFormat="1" applyFont="1" applyFill="1" applyBorder="1"/>
    <xf numFmtId="182" fontId="8" fillId="0" borderId="26" xfId="92" applyNumberFormat="1" applyFont="1" applyBorder="1" applyAlignment="1">
      <alignment horizontal="right"/>
    </xf>
    <xf numFmtId="182" fontId="8" fillId="0" borderId="26" xfId="92" applyNumberFormat="1" applyFont="1" applyBorder="1"/>
    <xf numFmtId="177" fontId="8" fillId="0" borderId="0" xfId="39" applyNumberFormat="1" applyFont="1" applyBorder="1"/>
    <xf numFmtId="177" fontId="8" fillId="0" borderId="25" xfId="39" applyNumberFormat="1" applyFont="1" applyBorder="1"/>
    <xf numFmtId="185" fontId="8" fillId="0" borderId="25" xfId="39" applyNumberFormat="1" applyFont="1" applyBorder="1"/>
    <xf numFmtId="182" fontId="28" fillId="0" borderId="0" xfId="92" applyNumberFormat="1" applyFont="1" applyBorder="1" applyAlignment="1">
      <alignment horizontal="right"/>
    </xf>
    <xf numFmtId="184" fontId="8" fillId="0" borderId="16" xfId="45" applyNumberFormat="1" applyFont="1" applyBorder="1"/>
    <xf numFmtId="184" fontId="8" fillId="0" borderId="16" xfId="45" applyNumberFormat="1" applyFont="1" applyBorder="1" applyAlignment="1">
      <alignment horizontal="right"/>
    </xf>
    <xf numFmtId="184" fontId="8" fillId="0" borderId="27" xfId="45" applyNumberFormat="1" applyFont="1" applyBorder="1"/>
    <xf numFmtId="184" fontId="8" fillId="0" borderId="0" xfId="45" applyNumberFormat="1" applyFont="1" applyBorder="1"/>
    <xf numFmtId="1" fontId="8" fillId="0" borderId="0" xfId="39" applyNumberFormat="1" applyFont="1" applyBorder="1"/>
    <xf numFmtId="1" fontId="8" fillId="0" borderId="25" xfId="39" applyNumberFormat="1" applyFont="1" applyBorder="1"/>
    <xf numFmtId="1" fontId="8" fillId="0" borderId="16" xfId="39" applyNumberFormat="1" applyFont="1" applyBorder="1"/>
    <xf numFmtId="1" fontId="8" fillId="0" borderId="27" xfId="39" applyNumberFormat="1" applyFont="1" applyBorder="1"/>
    <xf numFmtId="0" fontId="8" fillId="0" borderId="0" xfId="82" applyFont="1"/>
    <xf numFmtId="185" fontId="8" fillId="0" borderId="0" xfId="39" applyNumberFormat="1" applyFont="1"/>
    <xf numFmtId="177" fontId="8" fillId="0" borderId="0" xfId="39" applyNumberFormat="1" applyFont="1"/>
    <xf numFmtId="182" fontId="8" fillId="0" borderId="0" xfId="92" applyNumberFormat="1" applyFont="1"/>
    <xf numFmtId="182" fontId="28" fillId="0" borderId="0" xfId="92" applyNumberFormat="1" applyFont="1"/>
    <xf numFmtId="4" fontId="8" fillId="0" borderId="16" xfId="0" applyNumberFormat="1" applyFont="1" applyFill="1" applyBorder="1" applyAlignment="1">
      <alignment horizontal="right"/>
    </xf>
    <xf numFmtId="178" fontId="8" fillId="37" borderId="0" xfId="56" applyNumberFormat="1" applyFont="1" applyFill="1" applyAlignment="1">
      <alignment horizontal="right"/>
    </xf>
    <xf numFmtId="178" fontId="8" fillId="37" borderId="0" xfId="56" applyNumberFormat="1" applyFont="1" applyFill="1" applyAlignment="1"/>
    <xf numFmtId="165" fontId="8" fillId="37" borderId="16" xfId="56" applyNumberFormat="1" applyFont="1" applyFill="1" applyBorder="1"/>
    <xf numFmtId="165" fontId="8" fillId="37" borderId="16" xfId="56" applyNumberFormat="1" applyFont="1" applyFill="1" applyBorder="1" applyAlignment="1">
      <alignment horizontal="right"/>
    </xf>
    <xf numFmtId="175" fontId="8" fillId="37" borderId="0" xfId="56" applyNumberFormat="1" applyFont="1" applyFill="1"/>
    <xf numFmtId="175" fontId="8" fillId="37" borderId="16" xfId="56" applyNumberFormat="1" applyFont="1" applyFill="1" applyBorder="1"/>
    <xf numFmtId="166" fontId="8" fillId="37" borderId="0" xfId="0" applyNumberFormat="1" applyFont="1" applyFill="1" applyAlignment="1"/>
    <xf numFmtId="164" fontId="8" fillId="37" borderId="0" xfId="0" applyNumberFormat="1" applyFont="1" applyFill="1" applyAlignment="1"/>
    <xf numFmtId="164" fontId="8" fillId="37" borderId="16" xfId="0" applyNumberFormat="1" applyFont="1" applyFill="1" applyBorder="1" applyAlignment="1"/>
    <xf numFmtId="0" fontId="8" fillId="37" borderId="0" xfId="0" applyFont="1" applyFill="1" applyAlignment="1"/>
    <xf numFmtId="175" fontId="8" fillId="37" borderId="16" xfId="0" applyNumberFormat="1" applyFont="1" applyFill="1" applyBorder="1" applyAlignment="1"/>
    <xf numFmtId="224" fontId="8" fillId="37" borderId="0" xfId="0" applyNumberFormat="1" applyFont="1" applyFill="1" applyAlignment="1"/>
    <xf numFmtId="44" fontId="2" fillId="40" borderId="17" xfId="42" applyFont="1" applyFill="1" applyBorder="1"/>
    <xf numFmtId="0" fontId="2" fillId="40" borderId="16" xfId="0" applyFont="1" applyFill="1" applyBorder="1"/>
    <xf numFmtId="44" fontId="2" fillId="40" borderId="30" xfId="42" applyFont="1" applyFill="1" applyBorder="1"/>
    <xf numFmtId="183" fontId="8" fillId="40" borderId="0" xfId="0" applyNumberFormat="1" applyFont="1" applyFill="1" applyBorder="1"/>
    <xf numFmtId="44" fontId="2" fillId="40" borderId="17" xfId="0" applyNumberFormat="1" applyFont="1" applyFill="1" applyBorder="1"/>
    <xf numFmtId="44" fontId="2" fillId="40" borderId="18" xfId="0" applyNumberFormat="1" applyFont="1" applyFill="1" applyBorder="1"/>
    <xf numFmtId="0" fontId="8" fillId="40" borderId="16" xfId="0" applyFont="1" applyFill="1" applyBorder="1"/>
    <xf numFmtId="170" fontId="2" fillId="40" borderId="18" xfId="0" applyNumberFormat="1" applyFont="1" applyFill="1" applyBorder="1"/>
    <xf numFmtId="166" fontId="2" fillId="40" borderId="16" xfId="0" applyNumberFormat="1" applyFont="1" applyFill="1" applyBorder="1"/>
    <xf numFmtId="166" fontId="8" fillId="40" borderId="0" xfId="0" applyNumberFormat="1" applyFont="1" applyFill="1" applyBorder="1"/>
    <xf numFmtId="166" fontId="2" fillId="40" borderId="26" xfId="0" applyNumberFormat="1" applyFont="1" applyFill="1" applyBorder="1"/>
    <xf numFmtId="170" fontId="30" fillId="40" borderId="17" xfId="42" applyNumberFormat="1" applyFont="1" applyFill="1" applyBorder="1" applyAlignment="1">
      <alignment horizontal="right"/>
    </xf>
    <xf numFmtId="0" fontId="8" fillId="37" borderId="22" xfId="0" applyFont="1" applyFill="1" applyBorder="1"/>
    <xf numFmtId="0" fontId="8" fillId="37" borderId="25" xfId="0" applyFont="1" applyFill="1" applyBorder="1"/>
    <xf numFmtId="0" fontId="8" fillId="37" borderId="27" xfId="0" applyFont="1" applyFill="1" applyBorder="1"/>
    <xf numFmtId="0" fontId="2" fillId="37" borderId="0" xfId="0" applyFont="1" applyFill="1" applyAlignment="1">
      <alignment horizontal="center"/>
    </xf>
    <xf numFmtId="0" fontId="2" fillId="40" borderId="26" xfId="0" applyFont="1" applyFill="1" applyBorder="1"/>
    <xf numFmtId="183" fontId="8" fillId="40" borderId="16" xfId="0" applyNumberFormat="1" applyFont="1" applyFill="1" applyBorder="1"/>
    <xf numFmtId="44" fontId="2" fillId="40" borderId="16" xfId="42" applyFont="1" applyFill="1" applyBorder="1"/>
    <xf numFmtId="166" fontId="8" fillId="40" borderId="16" xfId="0" applyNumberFormat="1" applyFont="1" applyFill="1" applyBorder="1"/>
    <xf numFmtId="166" fontId="2" fillId="40" borderId="16" xfId="42" applyNumberFormat="1" applyFont="1" applyFill="1" applyBorder="1"/>
    <xf numFmtId="166" fontId="2" fillId="40" borderId="27" xfId="42" applyNumberFormat="1" applyFont="1" applyFill="1" applyBorder="1"/>
    <xf numFmtId="0" fontId="8" fillId="37" borderId="24" xfId="0" applyFont="1" applyFill="1" applyBorder="1"/>
    <xf numFmtId="165" fontId="8" fillId="37" borderId="24" xfId="0" applyNumberFormat="1" applyFont="1" applyFill="1" applyBorder="1"/>
    <xf numFmtId="165" fontId="8" fillId="37" borderId="0" xfId="0" applyNumberFormat="1" applyFont="1" applyFill="1" applyBorder="1"/>
    <xf numFmtId="0" fontId="8" fillId="37" borderId="26" xfId="0" applyFont="1" applyFill="1" applyBorder="1"/>
    <xf numFmtId="170" fontId="30" fillId="40" borderId="30" xfId="42" applyNumberFormat="1" applyFont="1" applyFill="1" applyBorder="1" applyAlignment="1">
      <alignment horizontal="right"/>
    </xf>
    <xf numFmtId="0" fontId="8" fillId="37" borderId="18" xfId="0" applyFont="1" applyFill="1" applyBorder="1"/>
    <xf numFmtId="0" fontId="2" fillId="37" borderId="17" xfId="0" applyFont="1" applyFill="1" applyBorder="1" applyAlignment="1">
      <alignment horizontal="center"/>
    </xf>
    <xf numFmtId="0" fontId="8" fillId="37" borderId="17" xfId="0" applyFont="1" applyFill="1" applyBorder="1"/>
    <xf numFmtId="0" fontId="8" fillId="37" borderId="30" xfId="0" applyFont="1" applyFill="1" applyBorder="1"/>
    <xf numFmtId="0" fontId="2" fillId="37" borderId="18" xfId="0" applyFont="1" applyFill="1" applyBorder="1" applyAlignment="1">
      <alignment horizontal="center"/>
    </xf>
    <xf numFmtId="0" fontId="23" fillId="37" borderId="17" xfId="0" applyFont="1" applyFill="1" applyBorder="1" applyAlignment="1">
      <alignment horizontal="center"/>
    </xf>
    <xf numFmtId="0" fontId="8" fillId="37" borderId="23" xfId="0" applyFont="1" applyFill="1" applyBorder="1"/>
    <xf numFmtId="164" fontId="131" fillId="0" borderId="0" xfId="0" applyNumberFormat="1" applyFont="1" applyFill="1" applyBorder="1"/>
    <xf numFmtId="176" fontId="131" fillId="0" borderId="0" xfId="36" applyNumberFormat="1" applyFont="1" applyFill="1"/>
    <xf numFmtId="176" fontId="132" fillId="0" borderId="0" xfId="36" applyNumberFormat="1" applyFont="1" applyFill="1"/>
    <xf numFmtId="182" fontId="131" fillId="0" borderId="0" xfId="90" applyNumberFormat="1" applyFont="1" applyFill="1"/>
    <xf numFmtId="0" fontId="131" fillId="0" borderId="0" xfId="0" applyFont="1"/>
    <xf numFmtId="176" fontId="131" fillId="0" borderId="0" xfId="36" applyNumberFormat="1" applyFont="1" applyBorder="1"/>
    <xf numFmtId="0" fontId="131" fillId="0" borderId="0" xfId="0" applyFont="1" applyBorder="1"/>
    <xf numFmtId="0" fontId="131" fillId="0" borderId="17" xfId="0" applyFont="1" applyBorder="1"/>
    <xf numFmtId="44" fontId="131" fillId="0" borderId="0" xfId="42" applyFont="1" applyFill="1" applyAlignment="1">
      <alignment horizontal="right"/>
    </xf>
    <xf numFmtId="176" fontId="131" fillId="0" borderId="0" xfId="0" applyNumberFormat="1" applyFont="1" applyFill="1"/>
    <xf numFmtId="164" fontId="132" fillId="0" borderId="0" xfId="0" applyNumberFormat="1" applyFont="1" applyFill="1"/>
    <xf numFmtId="166" fontId="132" fillId="40" borderId="17" xfId="0" applyNumberFormat="1" applyFont="1" applyFill="1" applyBorder="1"/>
    <xf numFmtId="166" fontId="132" fillId="40" borderId="30" xfId="0" applyNumberFormat="1" applyFont="1" applyFill="1" applyBorder="1"/>
    <xf numFmtId="176" fontId="11" fillId="0" borderId="0" xfId="36" applyNumberFormat="1" applyFont="1" applyFill="1" applyBorder="1"/>
    <xf numFmtId="7" fontId="11" fillId="0" borderId="0" xfId="42" applyNumberFormat="1" applyFont="1" applyBorder="1"/>
    <xf numFmtId="174" fontId="11" fillId="0" borderId="0" xfId="0" applyNumberFormat="1" applyFont="1" applyBorder="1"/>
    <xf numFmtId="164" fontId="24" fillId="0" borderId="0" xfId="0" applyNumberFormat="1" applyFont="1" applyBorder="1"/>
    <xf numFmtId="0" fontId="14" fillId="40" borderId="17" xfId="0" applyFont="1" applyFill="1" applyBorder="1"/>
    <xf numFmtId="170" fontId="14" fillId="40" borderId="17" xfId="42" applyNumberFormat="1" applyFont="1" applyFill="1" applyBorder="1" applyAlignment="1">
      <alignment horizontal="right"/>
    </xf>
    <xf numFmtId="0" fontId="14" fillId="0" borderId="17" xfId="0" applyFont="1" applyBorder="1"/>
    <xf numFmtId="174" fontId="2" fillId="40" borderId="18" xfId="0" applyNumberFormat="1" applyFont="1" applyFill="1" applyBorder="1"/>
    <xf numFmtId="174" fontId="2" fillId="40" borderId="17" xfId="0" applyNumberFormat="1" applyFont="1" applyFill="1" applyBorder="1"/>
    <xf numFmtId="174" fontId="2" fillId="40" borderId="30" xfId="0" applyNumberFormat="1" applyFont="1" applyFill="1" applyBorder="1"/>
    <xf numFmtId="2" fontId="88" fillId="37" borderId="0" xfId="0" applyNumberFormat="1" applyFont="1" applyFill="1"/>
    <xf numFmtId="0" fontId="8" fillId="37" borderId="18" xfId="0" applyFont="1" applyFill="1" applyBorder="1" applyAlignment="1">
      <alignment horizontal="left"/>
    </xf>
    <xf numFmtId="0" fontId="8" fillId="37" borderId="10" xfId="0" applyFont="1" applyFill="1" applyBorder="1" applyAlignment="1">
      <alignment horizontal="left"/>
    </xf>
    <xf numFmtId="0" fontId="8" fillId="37" borderId="30" xfId="0" applyFont="1" applyFill="1" applyBorder="1" applyAlignment="1">
      <alignment horizontal="left"/>
    </xf>
    <xf numFmtId="165" fontId="28" fillId="37" borderId="0" xfId="36" applyNumberFormat="1" applyFont="1" applyFill="1" applyBorder="1" applyAlignment="1">
      <alignment horizontal="center"/>
    </xf>
    <xf numFmtId="2" fontId="8" fillId="37" borderId="0" xfId="0" applyNumberFormat="1" applyFont="1" applyFill="1" applyBorder="1" applyAlignment="1">
      <alignment horizontal="center"/>
    </xf>
    <xf numFmtId="0" fontId="8" fillId="37" borderId="0" xfId="0" applyFont="1" applyFill="1" applyBorder="1" applyAlignment="1">
      <alignment horizontal="center"/>
    </xf>
    <xf numFmtId="174" fontId="28" fillId="37" borderId="20" xfId="36" applyNumberFormat="1" applyFont="1" applyFill="1" applyBorder="1" applyAlignment="1">
      <alignment horizontal="center"/>
    </xf>
    <xf numFmtId="174" fontId="28" fillId="37" borderId="44" xfId="36" applyNumberFormat="1" applyFont="1" applyFill="1" applyBorder="1" applyAlignment="1">
      <alignment horizontal="center"/>
    </xf>
    <xf numFmtId="175" fontId="8" fillId="37" borderId="20" xfId="0" applyNumberFormat="1" applyFont="1" applyFill="1" applyBorder="1" applyAlignment="1">
      <alignment horizontal="center"/>
    </xf>
    <xf numFmtId="175" fontId="8" fillId="37" borderId="44" xfId="0" applyNumberFormat="1" applyFont="1" applyFill="1" applyBorder="1" applyAlignment="1">
      <alignment horizontal="center"/>
    </xf>
    <xf numFmtId="175" fontId="28" fillId="37" borderId="24" xfId="36" applyNumberFormat="1" applyFont="1" applyFill="1" applyBorder="1" applyAlignment="1">
      <alignment horizontal="center"/>
    </xf>
    <xf numFmtId="175" fontId="28" fillId="37" borderId="26" xfId="36" applyNumberFormat="1" applyFont="1" applyFill="1" applyBorder="1" applyAlignment="1">
      <alignment horizontal="center"/>
    </xf>
    <xf numFmtId="182" fontId="28" fillId="37" borderId="0" xfId="90" applyNumberFormat="1" applyFont="1" applyFill="1" applyBorder="1"/>
    <xf numFmtId="182" fontId="8" fillId="37" borderId="0" xfId="90" applyNumberFormat="1" applyFont="1" applyFill="1"/>
    <xf numFmtId="170" fontId="11" fillId="0" borderId="0" xfId="0" applyNumberFormat="1" applyFont="1"/>
    <xf numFmtId="225" fontId="88" fillId="37" borderId="0" xfId="0" applyNumberFormat="1" applyFont="1" applyFill="1"/>
    <xf numFmtId="226" fontId="88" fillId="37" borderId="0" xfId="0" applyNumberFormat="1" applyFont="1" applyFill="1"/>
    <xf numFmtId="170" fontId="88" fillId="37" borderId="0" xfId="0" applyNumberFormat="1" applyFont="1" applyFill="1"/>
    <xf numFmtId="224" fontId="8" fillId="37" borderId="16" xfId="0" applyNumberFormat="1" applyFont="1" applyFill="1" applyBorder="1" applyAlignment="1"/>
    <xf numFmtId="177" fontId="8" fillId="37" borderId="0" xfId="56" applyNumberFormat="1" applyFont="1" applyFill="1"/>
    <xf numFmtId="165" fontId="8" fillId="37" borderId="0" xfId="0" applyNumberFormat="1" applyFont="1" applyFill="1" applyAlignment="1">
      <alignment horizontal="right"/>
    </xf>
    <xf numFmtId="222" fontId="8" fillId="37" borderId="0" xfId="56" applyNumberFormat="1" applyFont="1" applyFill="1"/>
    <xf numFmtId="217" fontId="8" fillId="37" borderId="0" xfId="0" applyNumberFormat="1" applyFont="1" applyFill="1" applyAlignment="1">
      <alignment horizontal="centerContinuous"/>
    </xf>
    <xf numFmtId="165" fontId="8" fillId="37" borderId="0" xfId="56" applyNumberFormat="1" applyFont="1" applyFill="1"/>
    <xf numFmtId="0" fontId="129" fillId="38" borderId="0" xfId="0" applyFont="1" applyFill="1"/>
    <xf numFmtId="0" fontId="129" fillId="38" borderId="0" xfId="0" applyFont="1" applyFill="1" applyAlignment="1">
      <alignment horizontal="center"/>
    </xf>
    <xf numFmtId="165" fontId="8" fillId="37" borderId="0" xfId="0" applyNumberFormat="1" applyFont="1" applyFill="1" applyAlignment="1"/>
    <xf numFmtId="0" fontId="8" fillId="37" borderId="0" xfId="0" applyFont="1" applyFill="1" applyAlignment="1">
      <alignment horizontal="left"/>
    </xf>
    <xf numFmtId="0" fontId="2" fillId="37" borderId="0" xfId="56" applyFont="1" applyFill="1" applyAlignment="1">
      <alignment horizontal="right"/>
    </xf>
    <xf numFmtId="2" fontId="11" fillId="0" borderId="0" xfId="0" applyNumberFormat="1" applyFont="1"/>
    <xf numFmtId="0" fontId="26" fillId="37" borderId="16" xfId="0" applyFont="1" applyFill="1" applyBorder="1" applyAlignment="1">
      <alignment horizontal="left"/>
    </xf>
    <xf numFmtId="0" fontId="2" fillId="37" borderId="16" xfId="0" applyFont="1" applyFill="1" applyBorder="1"/>
    <xf numFmtId="0" fontId="0" fillId="37" borderId="0" xfId="0" applyFill="1"/>
    <xf numFmtId="0" fontId="130" fillId="38" borderId="0" xfId="0" applyFont="1" applyFill="1" applyAlignment="1">
      <alignment horizontal="center"/>
    </xf>
    <xf numFmtId="0" fontId="0" fillId="37" borderId="0" xfId="0" applyFill="1" applyAlignment="1">
      <alignment horizontal="center"/>
    </xf>
    <xf numFmtId="0" fontId="0" fillId="39" borderId="0" xfId="0" applyFill="1" applyAlignment="1">
      <alignment horizontal="center"/>
    </xf>
    <xf numFmtId="182" fontId="8" fillId="37" borderId="0" xfId="91" applyNumberFormat="1" applyFont="1" applyFill="1" applyAlignment="1">
      <alignment horizontal="center"/>
    </xf>
    <xf numFmtId="182" fontId="8" fillId="39" borderId="0" xfId="91" applyNumberFormat="1" applyFont="1" applyFill="1" applyAlignment="1">
      <alignment horizontal="center"/>
    </xf>
    <xf numFmtId="0" fontId="29" fillId="37" borderId="0" xfId="0" applyFont="1" applyFill="1"/>
    <xf numFmtId="207" fontId="29" fillId="37" borderId="0" xfId="91" applyNumberFormat="1" applyFont="1" applyFill="1" applyAlignment="1">
      <alignment horizontal="center"/>
    </xf>
    <xf numFmtId="207" fontId="29" fillId="39" borderId="0" xfId="91" applyNumberFormat="1" applyFont="1" applyFill="1" applyAlignment="1">
      <alignment horizontal="center"/>
    </xf>
    <xf numFmtId="170" fontId="0" fillId="37" borderId="0" xfId="0" applyNumberFormat="1" applyFill="1" applyAlignment="1">
      <alignment horizontal="center"/>
    </xf>
    <xf numFmtId="170" fontId="0" fillId="39" borderId="0" xfId="0" applyNumberFormat="1" applyFill="1" applyAlignment="1">
      <alignment horizontal="center"/>
    </xf>
    <xf numFmtId="44" fontId="8" fillId="37" borderId="0" xfId="45" applyFont="1" applyFill="1" applyAlignment="1">
      <alignment horizontal="center"/>
    </xf>
    <xf numFmtId="207" fontId="29" fillId="0" borderId="0" xfId="91" applyNumberFormat="1" applyFont="1" applyFill="1" applyAlignment="1">
      <alignment horizontal="center"/>
    </xf>
    <xf numFmtId="225" fontId="29" fillId="37" borderId="0" xfId="0" applyNumberFormat="1" applyFont="1" applyFill="1" applyAlignment="1">
      <alignment horizontal="right"/>
    </xf>
    <xf numFmtId="9" fontId="0" fillId="0" borderId="0" xfId="90" applyFont="1"/>
    <xf numFmtId="182" fontId="0" fillId="0" borderId="0" xfId="90" applyNumberFormat="1" applyFont="1"/>
    <xf numFmtId="165" fontId="0" fillId="0" borderId="0" xfId="0" applyNumberFormat="1"/>
    <xf numFmtId="0" fontId="130" fillId="38" borderId="0" xfId="0" applyFont="1" applyFill="1" applyAlignment="1">
      <alignment horizontal="center"/>
    </xf>
    <xf numFmtId="166" fontId="11" fillId="0" borderId="0" xfId="0" applyNumberFormat="1" applyFont="1" applyBorder="1"/>
    <xf numFmtId="10" fontId="0" fillId="0" borderId="0" xfId="90" applyNumberFormat="1" applyFont="1"/>
    <xf numFmtId="10" fontId="0" fillId="0" borderId="0" xfId="0" applyNumberFormat="1"/>
    <xf numFmtId="0" fontId="130" fillId="38" borderId="0" xfId="0" applyFont="1" applyFill="1"/>
    <xf numFmtId="165" fontId="0" fillId="37" borderId="0" xfId="0" applyNumberFormat="1" applyFill="1"/>
    <xf numFmtId="165" fontId="0" fillId="37" borderId="0" xfId="0" applyNumberFormat="1" applyFill="1" applyAlignment="1">
      <alignment horizontal="center"/>
    </xf>
    <xf numFmtId="182" fontId="115" fillId="37" borderId="0" xfId="90" applyNumberFormat="1" applyFont="1" applyFill="1"/>
    <xf numFmtId="182" fontId="115" fillId="37" borderId="0" xfId="90" applyNumberFormat="1" applyFont="1" applyFill="1" applyAlignment="1">
      <alignment horizontal="center"/>
    </xf>
    <xf numFmtId="190" fontId="8" fillId="37" borderId="16" xfId="0" applyNumberFormat="1" applyFont="1" applyFill="1" applyBorder="1"/>
    <xf numFmtId="0" fontId="29" fillId="37" borderId="0" xfId="59" applyFont="1" applyFill="1" applyBorder="1"/>
    <xf numFmtId="0" fontId="2" fillId="37" borderId="16" xfId="0" applyFont="1" applyFill="1" applyBorder="1" applyAlignment="1">
      <alignment horizontal="center"/>
    </xf>
    <xf numFmtId="0" fontId="86" fillId="37" borderId="0" xfId="0" applyFont="1" applyFill="1" applyAlignment="1">
      <alignment horizontal="centerContinuous"/>
    </xf>
    <xf numFmtId="174" fontId="28" fillId="37" borderId="0" xfId="42" applyNumberFormat="1" applyFont="1" applyFill="1"/>
    <xf numFmtId="175" fontId="28" fillId="37" borderId="0" xfId="36" applyNumberFormat="1" applyFont="1" applyFill="1"/>
    <xf numFmtId="174" fontId="28" fillId="37" borderId="0" xfId="42" applyNumberFormat="1" applyFont="1" applyFill="1" applyAlignment="1">
      <alignment horizontal="right"/>
    </xf>
    <xf numFmtId="174" fontId="28" fillId="37" borderId="0" xfId="42" applyNumberFormat="1" applyFont="1" applyFill="1" applyAlignment="1">
      <alignment wrapText="1"/>
    </xf>
    <xf numFmtId="175" fontId="28" fillId="37" borderId="0" xfId="36" applyNumberFormat="1" applyFont="1" applyFill="1" applyAlignment="1">
      <alignment wrapText="1"/>
    </xf>
    <xf numFmtId="175" fontId="8" fillId="37" borderId="0" xfId="36" applyNumberFormat="1" applyFont="1" applyFill="1"/>
    <xf numFmtId="167" fontId="28" fillId="37" borderId="0" xfId="36" applyNumberFormat="1" applyFont="1" applyFill="1"/>
    <xf numFmtId="183" fontId="8" fillId="37" borderId="0" xfId="42" applyNumberFormat="1" applyFont="1" applyFill="1"/>
    <xf numFmtId="167" fontId="86" fillId="37" borderId="0" xfId="0" applyNumberFormat="1" applyFont="1" applyFill="1" applyAlignment="1">
      <alignment horizontal="centerContinuous"/>
    </xf>
    <xf numFmtId="167" fontId="28" fillId="37" borderId="0" xfId="42" applyNumberFormat="1" applyFont="1" applyFill="1"/>
    <xf numFmtId="167" fontId="8" fillId="37" borderId="0" xfId="36" applyNumberFormat="1" applyFont="1" applyFill="1"/>
    <xf numFmtId="0" fontId="80" fillId="37" borderId="0" xfId="0" applyFont="1" applyFill="1" applyAlignment="1">
      <alignment horizontal="centerContinuous"/>
    </xf>
    <xf numFmtId="174" fontId="8" fillId="37" borderId="0" xfId="42" applyNumberFormat="1" applyFont="1" applyFill="1"/>
    <xf numFmtId="174" fontId="8" fillId="37" borderId="0" xfId="42" applyNumberFormat="1" applyFont="1" applyFill="1" applyAlignment="1">
      <alignment horizontal="right"/>
    </xf>
    <xf numFmtId="164" fontId="8" fillId="37" borderId="0" xfId="42" applyNumberFormat="1" applyFont="1" applyFill="1"/>
    <xf numFmtId="183" fontId="28" fillId="37" borderId="0" xfId="42" applyNumberFormat="1" applyFont="1" applyFill="1"/>
    <xf numFmtId="183" fontId="81" fillId="37" borderId="0" xfId="42" applyNumberFormat="1" applyFont="1" applyFill="1"/>
    <xf numFmtId="176" fontId="28" fillId="37" borderId="0" xfId="36" applyNumberFormat="1" applyFont="1" applyFill="1"/>
    <xf numFmtId="3" fontId="8" fillId="37" borderId="0" xfId="0" applyNumberFormat="1" applyFont="1" applyFill="1"/>
    <xf numFmtId="164" fontId="8" fillId="37" borderId="0" xfId="36" applyNumberFormat="1" applyFont="1" applyFill="1"/>
    <xf numFmtId="188" fontId="8" fillId="37" borderId="0" xfId="90" applyNumberFormat="1" applyFont="1" applyFill="1"/>
    <xf numFmtId="188" fontId="8" fillId="37" borderId="0" xfId="0" applyNumberFormat="1" applyFont="1" applyFill="1"/>
    <xf numFmtId="165" fontId="0" fillId="39" borderId="0" xfId="0" applyNumberFormat="1" applyFill="1" applyAlignment="1">
      <alignment horizontal="center"/>
    </xf>
    <xf numFmtId="182" fontId="115" fillId="39" borderId="0" xfId="90" applyNumberFormat="1" applyFont="1" applyFill="1" applyAlignment="1">
      <alignment horizontal="center"/>
    </xf>
    <xf numFmtId="227" fontId="8" fillId="0" borderId="0" xfId="0" applyNumberFormat="1" applyFont="1" applyFill="1"/>
    <xf numFmtId="0" fontId="130" fillId="38" borderId="0" xfId="0" applyFont="1" applyFill="1" applyAlignment="1">
      <alignment horizontal="center"/>
    </xf>
    <xf numFmtId="39" fontId="8" fillId="37" borderId="16" xfId="0" applyNumberFormat="1" applyFont="1" applyFill="1" applyBorder="1"/>
    <xf numFmtId="37" fontId="80" fillId="37" borderId="0" xfId="78" applyFont="1" applyFill="1" applyAlignment="1" applyProtection="1">
      <alignment horizontal="center"/>
    </xf>
    <xf numFmtId="0" fontId="8" fillId="37" borderId="0" xfId="0" applyFont="1" applyFill="1" applyAlignment="1">
      <alignment horizontal="center"/>
    </xf>
    <xf numFmtId="0" fontId="30" fillId="37" borderId="0" xfId="0" applyFont="1" applyFill="1"/>
    <xf numFmtId="183" fontId="129" fillId="37" borderId="0" xfId="0" applyNumberFormat="1" applyFont="1" applyFill="1"/>
    <xf numFmtId="44" fontId="129" fillId="37" borderId="0" xfId="0" applyNumberFormat="1" applyFont="1" applyFill="1"/>
    <xf numFmtId="0" fontId="129" fillId="37" borderId="0" xfId="0" applyFont="1" applyFill="1"/>
    <xf numFmtId="183" fontId="8" fillId="37" borderId="0" xfId="0" applyNumberFormat="1" applyFont="1" applyFill="1"/>
    <xf numFmtId="44" fontId="8" fillId="37" borderId="0" xfId="0" applyNumberFormat="1" applyFont="1" applyFill="1"/>
    <xf numFmtId="0" fontId="2" fillId="37" borderId="0" xfId="0" applyFont="1" applyFill="1" applyAlignment="1">
      <alignment horizontal="centerContinuous"/>
    </xf>
    <xf numFmtId="182" fontId="8" fillId="37" borderId="0" xfId="0" applyNumberFormat="1" applyFont="1" applyFill="1"/>
    <xf numFmtId="0" fontId="2" fillId="37" borderId="17" xfId="0" applyFont="1" applyFill="1" applyBorder="1" applyAlignment="1">
      <alignment horizontal="centerContinuous"/>
    </xf>
    <xf numFmtId="0" fontId="23" fillId="37" borderId="17" xfId="0" applyFont="1" applyFill="1" applyBorder="1" applyAlignment="1">
      <alignment horizontal="centerContinuous"/>
    </xf>
    <xf numFmtId="0" fontId="2" fillId="37" borderId="30" xfId="0" applyFont="1" applyFill="1" applyBorder="1" applyAlignment="1">
      <alignment horizontal="centerContinuous"/>
    </xf>
    <xf numFmtId="0" fontId="80" fillId="37" borderId="24" xfId="0" applyFont="1" applyFill="1" applyBorder="1"/>
    <xf numFmtId="0" fontId="80" fillId="37" borderId="0" xfId="0" applyFont="1" applyFill="1" applyBorder="1" applyAlignment="1">
      <alignment horizontal="center"/>
    </xf>
    <xf numFmtId="0" fontId="80" fillId="37" borderId="23" xfId="0" applyFont="1" applyFill="1" applyBorder="1" applyAlignment="1">
      <alignment horizontal="center"/>
    </xf>
    <xf numFmtId="0" fontId="80" fillId="37" borderId="24" xfId="0" applyFont="1" applyFill="1" applyBorder="1" applyAlignment="1">
      <alignment horizontal="center"/>
    </xf>
    <xf numFmtId="166" fontId="2" fillId="37" borderId="24" xfId="0" applyNumberFormat="1" applyFont="1" applyFill="1" applyBorder="1"/>
    <xf numFmtId="166" fontId="8" fillId="37" borderId="0" xfId="0" applyNumberFormat="1" applyFont="1" applyFill="1" applyBorder="1"/>
    <xf numFmtId="166" fontId="8" fillId="37" borderId="0" xfId="42" applyNumberFormat="1" applyFont="1" applyFill="1" applyBorder="1"/>
    <xf numFmtId="166" fontId="8" fillId="37" borderId="25" xfId="42" applyNumberFormat="1" applyFont="1" applyFill="1" applyBorder="1"/>
    <xf numFmtId="166" fontId="8" fillId="37" borderId="24" xfId="42" applyNumberFormat="1" applyFont="1" applyFill="1" applyBorder="1"/>
    <xf numFmtId="166" fontId="8" fillId="37" borderId="24" xfId="0" applyNumberFormat="1" applyFont="1" applyFill="1" applyBorder="1"/>
    <xf numFmtId="0" fontId="8" fillId="37" borderId="24" xfId="0" applyFont="1" applyFill="1" applyBorder="1" applyAlignment="1">
      <alignment horizontal="left" indent="1"/>
    </xf>
    <xf numFmtId="176" fontId="8" fillId="37" borderId="0" xfId="36" applyNumberFormat="1" applyFont="1" applyFill="1" applyBorder="1"/>
    <xf numFmtId="176" fontId="8" fillId="37" borderId="0" xfId="36" applyNumberFormat="1" applyFont="1" applyFill="1" applyBorder="1" applyAlignment="1">
      <alignment wrapText="1"/>
    </xf>
    <xf numFmtId="176" fontId="8" fillId="37" borderId="25" xfId="36" applyNumberFormat="1" applyFont="1" applyFill="1" applyBorder="1"/>
    <xf numFmtId="176" fontId="8" fillId="37" borderId="24" xfId="36" applyNumberFormat="1" applyFont="1" applyFill="1" applyBorder="1"/>
    <xf numFmtId="0" fontId="8" fillId="37" borderId="24" xfId="0" applyFont="1" applyFill="1" applyBorder="1" applyAlignment="1">
      <alignment horizontal="left" vertical="top" wrapText="1" indent="1"/>
    </xf>
    <xf numFmtId="182" fontId="8" fillId="37" borderId="24" xfId="90" applyNumberFormat="1" applyFont="1" applyFill="1" applyBorder="1"/>
    <xf numFmtId="166" fontId="2" fillId="37" borderId="24" xfId="0" applyNumberFormat="1" applyFont="1" applyFill="1" applyBorder="1" applyAlignment="1">
      <alignment horizontal="left"/>
    </xf>
    <xf numFmtId="9" fontId="8" fillId="37" borderId="0" xfId="90" applyFont="1" applyFill="1"/>
    <xf numFmtId="174" fontId="8" fillId="37" borderId="24" xfId="0" applyNumberFormat="1" applyFont="1" applyFill="1" applyBorder="1"/>
    <xf numFmtId="174" fontId="8" fillId="37" borderId="0" xfId="0" applyNumberFormat="1" applyFont="1" applyFill="1" applyBorder="1"/>
    <xf numFmtId="174" fontId="8" fillId="37" borderId="0" xfId="42" applyNumberFormat="1" applyFont="1" applyFill="1" applyBorder="1"/>
    <xf numFmtId="174" fontId="8" fillId="37" borderId="16" xfId="42" applyNumberFormat="1" applyFont="1" applyFill="1" applyBorder="1"/>
    <xf numFmtId="174" fontId="8" fillId="37" borderId="16" xfId="0" applyNumberFormat="1" applyFont="1" applyFill="1" applyBorder="1"/>
    <xf numFmtId="174" fontId="8" fillId="37" borderId="25" xfId="42" applyNumberFormat="1" applyFont="1" applyFill="1" applyBorder="1"/>
    <xf numFmtId="174" fontId="8" fillId="37" borderId="24" xfId="42" applyNumberFormat="1" applyFont="1" applyFill="1" applyBorder="1"/>
    <xf numFmtId="170" fontId="2" fillId="37" borderId="18" xfId="0" applyNumberFormat="1" applyFont="1" applyFill="1" applyBorder="1"/>
    <xf numFmtId="170" fontId="2" fillId="37" borderId="17" xfId="0" applyNumberFormat="1" applyFont="1" applyFill="1" applyBorder="1"/>
    <xf numFmtId="170" fontId="2" fillId="37" borderId="17" xfId="36" applyNumberFormat="1" applyFont="1" applyFill="1" applyBorder="1" applyAlignment="1">
      <alignment horizontal="right"/>
    </xf>
    <xf numFmtId="170" fontId="2" fillId="37" borderId="17" xfId="42" applyNumberFormat="1" applyFont="1" applyFill="1" applyBorder="1"/>
    <xf numFmtId="170" fontId="2" fillId="37" borderId="16" xfId="0" applyNumberFormat="1" applyFont="1" applyFill="1" applyBorder="1"/>
    <xf numFmtId="170" fontId="2" fillId="37" borderId="16" xfId="42" applyNumberFormat="1" applyFont="1" applyFill="1" applyBorder="1"/>
    <xf numFmtId="170" fontId="2" fillId="37" borderId="30" xfId="42" applyNumberFormat="1" applyFont="1" applyFill="1" applyBorder="1"/>
    <xf numFmtId="170" fontId="8" fillId="37" borderId="17" xfId="42" applyNumberFormat="1" applyFont="1" applyFill="1" applyBorder="1"/>
    <xf numFmtId="170" fontId="8" fillId="37" borderId="17" xfId="42" applyNumberFormat="1" applyFont="1" applyFill="1" applyBorder="1" applyAlignment="1">
      <alignment horizontal="right"/>
    </xf>
    <xf numFmtId="170" fontId="2" fillId="37" borderId="17" xfId="42" applyNumberFormat="1" applyFont="1" applyFill="1" applyBorder="1" applyAlignment="1">
      <alignment horizontal="right"/>
    </xf>
    <xf numFmtId="170" fontId="8" fillId="37" borderId="24" xfId="0" applyNumberFormat="1" applyFont="1" applyFill="1" applyBorder="1"/>
    <xf numFmtId="170" fontId="8" fillId="37" borderId="0" xfId="0" applyNumberFormat="1" applyFont="1" applyFill="1" applyBorder="1"/>
    <xf numFmtId="176" fontId="8" fillId="37" borderId="0" xfId="36" applyNumberFormat="1" applyFont="1" applyFill="1" applyBorder="1" applyAlignment="1">
      <alignment horizontal="right"/>
    </xf>
    <xf numFmtId="176" fontId="28" fillId="37" borderId="0" xfId="36" applyNumberFormat="1" applyFont="1" applyFill="1" applyBorder="1"/>
    <xf numFmtId="176" fontId="28" fillId="37" borderId="0" xfId="36" applyNumberFormat="1" applyFont="1" applyFill="1" applyBorder="1" applyAlignment="1">
      <alignment horizontal="right"/>
    </xf>
    <xf numFmtId="176" fontId="8" fillId="37" borderId="22" xfId="36" applyNumberFormat="1" applyFont="1" applyFill="1" applyBorder="1" applyAlignment="1">
      <alignment horizontal="right"/>
    </xf>
    <xf numFmtId="183" fontId="8" fillId="37" borderId="0" xfId="0" applyNumberFormat="1" applyFont="1" applyFill="1" applyBorder="1"/>
    <xf numFmtId="183" fontId="8" fillId="37" borderId="25" xfId="0" applyNumberFormat="1" applyFont="1" applyFill="1" applyBorder="1"/>
    <xf numFmtId="183" fontId="8" fillId="37" borderId="24" xfId="0" applyNumberFormat="1" applyFont="1" applyFill="1" applyBorder="1"/>
    <xf numFmtId="44" fontId="8" fillId="37" borderId="0" xfId="0" applyNumberFormat="1" applyFont="1" applyFill="1" applyBorder="1"/>
    <xf numFmtId="0" fontId="82" fillId="37" borderId="24" xfId="0" applyFont="1" applyFill="1" applyBorder="1"/>
    <xf numFmtId="9" fontId="8" fillId="37" borderId="0" xfId="90" applyFont="1" applyFill="1" applyBorder="1"/>
    <xf numFmtId="166" fontId="8" fillId="37" borderId="24" xfId="0" quotePrefix="1" applyNumberFormat="1" applyFont="1" applyFill="1" applyBorder="1" applyAlignment="1">
      <alignment horizontal="left"/>
    </xf>
    <xf numFmtId="166" fontId="8" fillId="37" borderId="25" xfId="0" applyNumberFormat="1" applyFont="1" applyFill="1" applyBorder="1"/>
    <xf numFmtId="0" fontId="8" fillId="37" borderId="24" xfId="0" quotePrefix="1" applyFont="1" applyFill="1" applyBorder="1" applyAlignment="1">
      <alignment horizontal="left" indent="1"/>
    </xf>
    <xf numFmtId="164" fontId="8" fillId="37" borderId="24" xfId="0" quotePrefix="1" applyNumberFormat="1" applyFont="1" applyFill="1" applyBorder="1" applyAlignment="1">
      <alignment horizontal="left" indent="1"/>
    </xf>
    <xf numFmtId="167" fontId="8" fillId="37" borderId="26" xfId="0" applyNumberFormat="1" applyFont="1" applyFill="1" applyBorder="1"/>
    <xf numFmtId="167" fontId="8" fillId="37" borderId="16" xfId="36" applyNumberFormat="1" applyFont="1" applyFill="1" applyBorder="1"/>
    <xf numFmtId="167" fontId="8" fillId="37" borderId="0" xfId="36" applyNumberFormat="1" applyFont="1" applyFill="1" applyBorder="1"/>
    <xf numFmtId="167" fontId="8" fillId="37" borderId="25" xfId="36" applyNumberFormat="1" applyFont="1" applyFill="1" applyBorder="1"/>
    <xf numFmtId="167" fontId="8" fillId="37" borderId="0" xfId="0" applyNumberFormat="1" applyFont="1" applyFill="1" applyBorder="1"/>
    <xf numFmtId="167" fontId="8" fillId="37" borderId="24" xfId="0" applyNumberFormat="1" applyFont="1" applyFill="1" applyBorder="1"/>
    <xf numFmtId="166" fontId="8" fillId="37" borderId="24" xfId="0" applyNumberFormat="1" applyFont="1" applyFill="1" applyBorder="1" applyAlignment="1">
      <alignment horizontal="left"/>
    </xf>
    <xf numFmtId="164" fontId="2" fillId="37" borderId="24" xfId="0" quotePrefix="1" applyNumberFormat="1" applyFont="1" applyFill="1" applyBorder="1" applyAlignment="1">
      <alignment horizontal="left"/>
    </xf>
    <xf numFmtId="0" fontId="8" fillId="37" borderId="26" xfId="0" applyFont="1" applyFill="1" applyBorder="1" applyAlignment="1">
      <alignment horizontal="left" indent="1"/>
    </xf>
    <xf numFmtId="176" fontId="8" fillId="37" borderId="16" xfId="36" applyNumberFormat="1" applyFont="1" applyFill="1" applyBorder="1"/>
    <xf numFmtId="176" fontId="8" fillId="37" borderId="27" xfId="36" applyNumberFormat="1" applyFont="1" applyFill="1" applyBorder="1"/>
    <xf numFmtId="176" fontId="8" fillId="37" borderId="26" xfId="36" applyNumberFormat="1" applyFont="1" applyFill="1" applyBorder="1"/>
    <xf numFmtId="164" fontId="8" fillId="37" borderId="24" xfId="0" applyNumberFormat="1" applyFont="1" applyFill="1" applyBorder="1"/>
    <xf numFmtId="183" fontId="8" fillId="37" borderId="23" xfId="0" applyNumberFormat="1" applyFont="1" applyFill="1" applyBorder="1"/>
    <xf numFmtId="44" fontId="8" fillId="37" borderId="25" xfId="0" applyNumberFormat="1" applyFont="1" applyFill="1" applyBorder="1"/>
    <xf numFmtId="182" fontId="8" fillId="37" borderId="0" xfId="0" applyNumberFormat="1" applyFont="1" applyFill="1" applyBorder="1"/>
    <xf numFmtId="182" fontId="8" fillId="37" borderId="25" xfId="0" applyNumberFormat="1" applyFont="1" applyFill="1" applyBorder="1"/>
    <xf numFmtId="182" fontId="8" fillId="37" borderId="0" xfId="90" applyNumberFormat="1" applyFont="1" applyFill="1" applyBorder="1"/>
    <xf numFmtId="182" fontId="8" fillId="37" borderId="25" xfId="90" applyNumberFormat="1" applyFont="1" applyFill="1" applyBorder="1"/>
    <xf numFmtId="182" fontId="8" fillId="37" borderId="0" xfId="90" applyNumberFormat="1" applyFont="1" applyFill="1" applyBorder="1" applyAlignment="1">
      <alignment horizontal="right"/>
    </xf>
    <xf numFmtId="10" fontId="8" fillId="37" borderId="0" xfId="90" applyNumberFormat="1" applyFont="1" applyFill="1" applyBorder="1"/>
    <xf numFmtId="199" fontId="8" fillId="37" borderId="0" xfId="90" applyNumberFormat="1" applyFont="1" applyFill="1" applyBorder="1"/>
    <xf numFmtId="43" fontId="8" fillId="37" borderId="0" xfId="36" applyFont="1" applyFill="1" applyBorder="1" applyAlignment="1">
      <alignment horizontal="right"/>
    </xf>
    <xf numFmtId="182" fontId="8" fillId="37" borderId="24" xfId="90" applyNumberFormat="1" applyFont="1" applyFill="1" applyBorder="1" applyAlignment="1">
      <alignment horizontal="right"/>
    </xf>
    <xf numFmtId="182" fontId="8" fillId="37" borderId="0" xfId="90" applyNumberFormat="1" applyFont="1" applyFill="1" applyBorder="1" applyAlignment="1">
      <alignment horizontal="center"/>
    </xf>
    <xf numFmtId="43" fontId="8" fillId="37" borderId="16" xfId="36" applyFont="1" applyFill="1" applyBorder="1" applyAlignment="1">
      <alignment horizontal="right"/>
    </xf>
    <xf numFmtId="182" fontId="8" fillId="37" borderId="16" xfId="90" applyNumberFormat="1" applyFont="1" applyFill="1" applyBorder="1"/>
    <xf numFmtId="182" fontId="8" fillId="37" borderId="16" xfId="90" applyNumberFormat="1" applyFont="1" applyFill="1" applyBorder="1" applyAlignment="1">
      <alignment horizontal="right"/>
    </xf>
    <xf numFmtId="182" fontId="8" fillId="37" borderId="27" xfId="90" applyNumberFormat="1" applyFont="1" applyFill="1" applyBorder="1" applyAlignment="1">
      <alignment horizontal="right"/>
    </xf>
    <xf numFmtId="182" fontId="8" fillId="37" borderId="26" xfId="90" applyNumberFormat="1" applyFont="1" applyFill="1" applyBorder="1" applyAlignment="1">
      <alignment horizontal="right"/>
    </xf>
    <xf numFmtId="182" fontId="8" fillId="37" borderId="16" xfId="90" applyNumberFormat="1" applyFont="1" applyFill="1" applyBorder="1" applyAlignment="1">
      <alignment horizontal="center"/>
    </xf>
    <xf numFmtId="0" fontId="8" fillId="37" borderId="0" xfId="0" applyFont="1" applyFill="1" applyBorder="1" applyAlignment="1">
      <alignment vertical="top" wrapText="1"/>
    </xf>
    <xf numFmtId="0" fontId="8" fillId="37" borderId="0" xfId="0" applyFont="1" applyFill="1" applyBorder="1" applyAlignment="1">
      <alignment wrapText="1"/>
    </xf>
    <xf numFmtId="0" fontId="80" fillId="37" borderId="15" xfId="0" applyFont="1" applyFill="1" applyBorder="1" applyAlignment="1">
      <alignment horizontal="center"/>
    </xf>
    <xf numFmtId="43" fontId="8" fillId="37" borderId="0" xfId="0" applyNumberFormat="1" applyFont="1" applyFill="1" applyBorder="1"/>
    <xf numFmtId="43" fontId="8" fillId="37" borderId="0" xfId="0" applyNumberFormat="1" applyFont="1" applyFill="1" applyBorder="1" applyAlignment="1">
      <alignment horizontal="right"/>
    </xf>
    <xf numFmtId="177" fontId="8" fillId="37" borderId="0" xfId="36" applyNumberFormat="1" applyFont="1" applyFill="1" applyBorder="1"/>
    <xf numFmtId="185" fontId="8" fillId="37" borderId="0" xfId="36" applyNumberFormat="1" applyFont="1" applyFill="1" applyBorder="1"/>
    <xf numFmtId="182" fontId="28" fillId="37" borderId="0" xfId="90" applyNumberFormat="1" applyFont="1" applyFill="1" applyBorder="1" applyAlignment="1">
      <alignment horizontal="right"/>
    </xf>
    <xf numFmtId="184" fontId="8" fillId="37" borderId="16" xfId="42" applyNumberFormat="1" applyFont="1" applyFill="1" applyBorder="1"/>
    <xf numFmtId="184" fontId="8" fillId="37" borderId="16" xfId="42" applyNumberFormat="1" applyFont="1" applyFill="1" applyBorder="1" applyAlignment="1">
      <alignment horizontal="right"/>
    </xf>
    <xf numFmtId="0" fontId="80" fillId="37" borderId="22" xfId="0" applyFont="1" applyFill="1" applyBorder="1"/>
    <xf numFmtId="0" fontId="80" fillId="37" borderId="15" xfId="0" applyFont="1" applyFill="1" applyBorder="1"/>
    <xf numFmtId="0" fontId="80" fillId="37" borderId="23" xfId="0" applyFont="1" applyFill="1" applyBorder="1"/>
    <xf numFmtId="214" fontId="8" fillId="37" borderId="0" xfId="0" applyNumberFormat="1" applyFont="1" applyFill="1" applyBorder="1"/>
    <xf numFmtId="214" fontId="8" fillId="37" borderId="25" xfId="0" applyNumberFormat="1" applyFont="1" applyFill="1" applyBorder="1"/>
    <xf numFmtId="1" fontId="8" fillId="37" borderId="0" xfId="36" applyNumberFormat="1" applyFont="1" applyFill="1" applyBorder="1"/>
    <xf numFmtId="1" fontId="8" fillId="37" borderId="25" xfId="36" applyNumberFormat="1" applyFont="1" applyFill="1" applyBorder="1"/>
    <xf numFmtId="1" fontId="8" fillId="37" borderId="16" xfId="36" applyNumberFormat="1" applyFont="1" applyFill="1" applyBorder="1"/>
    <xf numFmtId="1" fontId="8" fillId="37" borderId="27" xfId="36" applyNumberFormat="1" applyFont="1" applyFill="1" applyBorder="1"/>
    <xf numFmtId="0" fontId="8" fillId="37" borderId="0" xfId="81" applyFont="1" applyFill="1"/>
    <xf numFmtId="185" fontId="8" fillId="37" borderId="0" xfId="36" applyNumberFormat="1" applyFont="1" applyFill="1"/>
    <xf numFmtId="177" fontId="8" fillId="37" borderId="0" xfId="36" applyNumberFormat="1" applyFont="1" applyFill="1"/>
    <xf numFmtId="182" fontId="28" fillId="37" borderId="0" xfId="90" applyNumberFormat="1" applyFont="1" applyFill="1"/>
    <xf numFmtId="0" fontId="28" fillId="37" borderId="0" xfId="0" applyFont="1" applyFill="1"/>
    <xf numFmtId="0" fontId="8" fillId="37" borderId="0" xfId="0" applyFont="1" applyFill="1" applyBorder="1" applyAlignment="1">
      <alignment horizontal="right"/>
    </xf>
    <xf numFmtId="176" fontId="8" fillId="37" borderId="0" xfId="0" applyNumberFormat="1" applyFont="1" applyFill="1"/>
    <xf numFmtId="43" fontId="8" fillId="37" borderId="0" xfId="0" applyNumberFormat="1" applyFont="1" applyFill="1"/>
    <xf numFmtId="10" fontId="8" fillId="37" borderId="0" xfId="0" applyNumberFormat="1" applyFont="1" applyFill="1"/>
    <xf numFmtId="185" fontId="8" fillId="37" borderId="0" xfId="0" applyNumberFormat="1" applyFont="1" applyFill="1"/>
    <xf numFmtId="9" fontId="8" fillId="37" borderId="0" xfId="0" applyNumberFormat="1" applyFont="1" applyFill="1"/>
    <xf numFmtId="9" fontId="8" fillId="37" borderId="16" xfId="0" applyNumberFormat="1" applyFont="1" applyFill="1" applyBorder="1"/>
    <xf numFmtId="44" fontId="8" fillId="37" borderId="0" xfId="0" applyNumberFormat="1" applyFont="1" applyFill="1" applyBorder="1" applyAlignment="1">
      <alignment horizontal="centerContinuous"/>
    </xf>
    <xf numFmtId="10" fontId="8" fillId="37" borderId="0" xfId="90" applyNumberFormat="1" applyFont="1" applyFill="1" applyBorder="1" applyAlignment="1">
      <alignment horizontal="centerContinuous"/>
    </xf>
    <xf numFmtId="0" fontId="2" fillId="37" borderId="0" xfId="0" applyFont="1" applyFill="1" applyBorder="1" applyAlignment="1">
      <alignment horizontal="center"/>
    </xf>
    <xf numFmtId="0" fontId="23" fillId="37" borderId="0" xfId="0" applyFont="1" applyFill="1" applyBorder="1" applyAlignment="1">
      <alignment horizontal="center"/>
    </xf>
    <xf numFmtId="166" fontId="8" fillId="37" borderId="0" xfId="42" applyNumberFormat="1" applyFont="1" applyFill="1"/>
    <xf numFmtId="0" fontId="8" fillId="37" borderId="0" xfId="0" applyFont="1" applyFill="1" applyAlignment="1">
      <alignment horizontal="left" indent="1"/>
    </xf>
    <xf numFmtId="182" fontId="28" fillId="37" borderId="0" xfId="90" applyNumberFormat="1" applyFont="1" applyFill="1" applyAlignment="1">
      <alignment horizontal="right"/>
    </xf>
    <xf numFmtId="176" fontId="8" fillId="37" borderId="0" xfId="36" applyNumberFormat="1" applyFont="1" applyFill="1"/>
    <xf numFmtId="165" fontId="8" fillId="37" borderId="0" xfId="0" applyNumberFormat="1" applyFont="1" applyFill="1" applyBorder="1" applyAlignment="1">
      <alignment horizontal="right"/>
    </xf>
    <xf numFmtId="182" fontId="133" fillId="37" borderId="0" xfId="90" applyNumberFormat="1" applyFont="1" applyFill="1"/>
    <xf numFmtId="10" fontId="127" fillId="37" borderId="0" xfId="90" applyNumberFormat="1" applyFont="1" applyFill="1"/>
    <xf numFmtId="182" fontId="127" fillId="37" borderId="0" xfId="90" applyNumberFormat="1" applyFont="1" applyFill="1"/>
    <xf numFmtId="0" fontId="8" fillId="37" borderId="24" xfId="0" applyFont="1" applyFill="1" applyBorder="1" applyAlignment="1">
      <alignment horizontal="left"/>
    </xf>
    <xf numFmtId="165" fontId="8" fillId="37" borderId="24" xfId="0" applyNumberFormat="1" applyFont="1" applyFill="1" applyBorder="1" applyAlignment="1">
      <alignment horizontal="right"/>
    </xf>
    <xf numFmtId="0" fontId="2" fillId="37" borderId="24" xfId="0" applyFont="1" applyFill="1" applyBorder="1" applyAlignment="1">
      <alignment horizontal="left"/>
    </xf>
    <xf numFmtId="182" fontId="134" fillId="37" borderId="0" xfId="90" applyNumberFormat="1" applyFont="1" applyFill="1"/>
    <xf numFmtId="170" fontId="89" fillId="37" borderId="0" xfId="42" applyNumberFormat="1" applyFont="1" applyFill="1" applyAlignment="1">
      <alignment horizontal="right"/>
    </xf>
    <xf numFmtId="44" fontId="28" fillId="37" borderId="0" xfId="42" applyFont="1" applyFill="1" applyAlignment="1">
      <alignment horizontal="right"/>
    </xf>
    <xf numFmtId="0" fontId="82" fillId="37" borderId="26" xfId="0" applyFont="1" applyFill="1" applyBorder="1"/>
    <xf numFmtId="164" fontId="8" fillId="37" borderId="0" xfId="0" applyNumberFormat="1" applyFont="1" applyFill="1" applyBorder="1"/>
    <xf numFmtId="164" fontId="8" fillId="37" borderId="24" xfId="0" applyNumberFormat="1" applyFont="1" applyFill="1" applyBorder="1" applyAlignment="1">
      <alignment horizontal="left"/>
    </xf>
    <xf numFmtId="164" fontId="2" fillId="37" borderId="0" xfId="0" applyNumberFormat="1" applyFont="1" applyFill="1"/>
    <xf numFmtId="0" fontId="2" fillId="37" borderId="0" xfId="0" applyNumberFormat="1" applyFont="1" applyFill="1"/>
    <xf numFmtId="179" fontId="8" fillId="37" borderId="0" xfId="76" applyFont="1" applyFill="1"/>
    <xf numFmtId="179" fontId="2" fillId="37" borderId="18" xfId="76" applyFont="1" applyFill="1" applyBorder="1" applyAlignment="1">
      <alignment horizontal="centerContinuous"/>
    </xf>
    <xf numFmtId="179" fontId="2" fillId="37" borderId="17" xfId="76" applyFont="1" applyFill="1" applyBorder="1" applyAlignment="1">
      <alignment horizontal="centerContinuous"/>
    </xf>
    <xf numFmtId="179" fontId="2" fillId="37" borderId="30" xfId="76" applyFont="1" applyFill="1" applyBorder="1" applyAlignment="1">
      <alignment horizontal="centerContinuous"/>
    </xf>
    <xf numFmtId="179" fontId="8" fillId="37" borderId="0" xfId="64" applyFont="1" applyFill="1"/>
    <xf numFmtId="37" fontId="2" fillId="37" borderId="17" xfId="76" applyNumberFormat="1" applyFont="1" applyFill="1" applyBorder="1" applyAlignment="1">
      <alignment horizontal="centerContinuous"/>
    </xf>
    <xf numFmtId="179" fontId="2" fillId="37" borderId="17" xfId="64" applyFont="1" applyFill="1" applyBorder="1" applyAlignment="1">
      <alignment horizontal="centerContinuous"/>
    </xf>
    <xf numFmtId="179" fontId="2" fillId="37" borderId="30" xfId="64" applyFont="1" applyFill="1" applyBorder="1" applyAlignment="1">
      <alignment horizontal="centerContinuous"/>
    </xf>
    <xf numFmtId="179" fontId="2" fillId="37" borderId="0" xfId="76" applyFont="1" applyFill="1"/>
    <xf numFmtId="179" fontId="2" fillId="37" borderId="16" xfId="76" applyFont="1" applyFill="1" applyBorder="1"/>
    <xf numFmtId="179" fontId="2" fillId="37" borderId="16" xfId="76" applyFont="1" applyFill="1" applyBorder="1" applyAlignment="1" applyProtection="1">
      <alignment horizontal="center"/>
    </xf>
    <xf numFmtId="179" fontId="2" fillId="37" borderId="0" xfId="76" applyFont="1" applyFill="1" applyAlignment="1" applyProtection="1">
      <alignment horizontal="center"/>
    </xf>
    <xf numFmtId="179" fontId="56" fillId="37" borderId="0" xfId="76" applyFont="1" applyFill="1" applyBorder="1" applyAlignment="1">
      <alignment horizontal="centerContinuous"/>
    </xf>
    <xf numFmtId="179" fontId="2" fillId="37" borderId="16" xfId="76" applyFont="1" applyFill="1" applyBorder="1" applyAlignment="1" applyProtection="1">
      <alignment horizontal="centerContinuous" wrapText="1"/>
    </xf>
    <xf numFmtId="179" fontId="2" fillId="37" borderId="16" xfId="76" applyFont="1" applyFill="1" applyBorder="1" applyAlignment="1">
      <alignment horizontal="centerContinuous" wrapText="1"/>
    </xf>
    <xf numFmtId="37" fontId="2" fillId="37" borderId="16" xfId="79" applyFont="1" applyFill="1" applyBorder="1" applyAlignment="1">
      <alignment horizontal="center"/>
    </xf>
    <xf numFmtId="179" fontId="2" fillId="37" borderId="16" xfId="64" applyFont="1" applyFill="1" applyBorder="1"/>
    <xf numFmtId="179" fontId="2" fillId="37" borderId="0" xfId="64" applyFont="1" applyFill="1"/>
    <xf numFmtId="37" fontId="8" fillId="37" borderId="0" xfId="79" applyFont="1" applyFill="1"/>
    <xf numFmtId="179" fontId="2" fillId="37" borderId="16" xfId="76" applyFont="1" applyFill="1" applyBorder="1" applyAlignment="1" applyProtection="1">
      <alignment horizontal="centerContinuous"/>
    </xf>
    <xf numFmtId="179" fontId="2" fillId="37" borderId="16" xfId="76" applyFont="1" applyFill="1" applyBorder="1" applyAlignment="1">
      <alignment horizontal="centerContinuous"/>
    </xf>
    <xf numFmtId="179" fontId="2" fillId="37" borderId="0" xfId="76" applyFont="1" applyFill="1" applyBorder="1" applyAlignment="1"/>
    <xf numFmtId="179" fontId="2" fillId="37" borderId="0" xfId="76" applyFont="1" applyFill="1" applyAlignment="1" applyProtection="1">
      <alignment horizontal="left"/>
    </xf>
    <xf numFmtId="37" fontId="2" fillId="37" borderId="0" xfId="76" applyNumberFormat="1" applyFont="1" applyFill="1" applyBorder="1" applyAlignment="1" applyProtection="1">
      <alignment horizontal="centerContinuous"/>
    </xf>
    <xf numFmtId="179" fontId="2" fillId="37" borderId="0" xfId="64" applyFont="1" applyFill="1" applyAlignment="1">
      <alignment horizontal="center"/>
    </xf>
    <xf numFmtId="179" fontId="2" fillId="37" borderId="0" xfId="76" applyFont="1" applyFill="1" applyBorder="1" applyAlignment="1" applyProtection="1">
      <alignment horizontal="center"/>
    </xf>
    <xf numFmtId="179" fontId="2" fillId="37" borderId="0" xfId="64" applyFont="1" applyFill="1" applyBorder="1" applyAlignment="1">
      <alignment horizontal="center"/>
    </xf>
    <xf numFmtId="37" fontId="2" fillId="37" borderId="0" xfId="79" applyFont="1" applyFill="1" applyAlignment="1">
      <alignment horizontal="center"/>
    </xf>
    <xf numFmtId="0" fontId="80" fillId="37" borderId="0" xfId="0" applyFont="1" applyFill="1" applyAlignment="1">
      <alignment horizontal="left"/>
    </xf>
    <xf numFmtId="180" fontId="8" fillId="37" borderId="0" xfId="0" applyNumberFormat="1" applyFont="1" applyFill="1" applyAlignment="1">
      <alignment horizontal="right"/>
    </xf>
    <xf numFmtId="180" fontId="8" fillId="37" borderId="0" xfId="0" applyNumberFormat="1" applyFont="1" applyFill="1"/>
    <xf numFmtId="180" fontId="8" fillId="37" borderId="16" xfId="0" applyNumberFormat="1" applyFont="1" applyFill="1" applyBorder="1" applyAlignment="1">
      <alignment horizontal="right"/>
    </xf>
    <xf numFmtId="180" fontId="8" fillId="37" borderId="16" xfId="0" applyNumberFormat="1" applyFont="1" applyFill="1" applyBorder="1"/>
    <xf numFmtId="1" fontId="28" fillId="37" borderId="16" xfId="0" applyNumberFormat="1" applyFont="1" applyFill="1" applyBorder="1"/>
    <xf numFmtId="167" fontId="8" fillId="37" borderId="16" xfId="0" applyNumberFormat="1" applyFont="1" applyFill="1" applyBorder="1" applyAlignment="1">
      <alignment horizontal="right"/>
    </xf>
    <xf numFmtId="172" fontId="28" fillId="37" borderId="16" xfId="0" applyNumberFormat="1" applyFont="1" applyFill="1" applyBorder="1" applyAlignment="1">
      <alignment horizontal="right"/>
    </xf>
    <xf numFmtId="1" fontId="8" fillId="37" borderId="0" xfId="0" applyNumberFormat="1" applyFont="1" applyFill="1"/>
    <xf numFmtId="0" fontId="8" fillId="37" borderId="0" xfId="0" applyFont="1" applyFill="1" applyAlignment="1">
      <alignment horizontal="right"/>
    </xf>
    <xf numFmtId="181" fontId="8" fillId="37" borderId="0" xfId="0" applyNumberFormat="1" applyFont="1" applyFill="1"/>
    <xf numFmtId="1" fontId="28" fillId="37" borderId="0" xfId="0" applyNumberFormat="1" applyFont="1" applyFill="1"/>
    <xf numFmtId="172" fontId="28" fillId="37" borderId="0" xfId="0" applyNumberFormat="1" applyFont="1" applyFill="1" applyAlignment="1">
      <alignment horizontal="right"/>
    </xf>
    <xf numFmtId="9" fontId="29" fillId="37" borderId="0" xfId="90" applyFont="1" applyFill="1"/>
    <xf numFmtId="0" fontId="90" fillId="37" borderId="0" xfId="0" applyFont="1" applyFill="1"/>
    <xf numFmtId="1" fontId="8" fillId="37" borderId="16" xfId="0" applyNumberFormat="1" applyFont="1" applyFill="1" applyBorder="1"/>
    <xf numFmtId="172" fontId="8" fillId="37" borderId="0" xfId="0" applyNumberFormat="1" applyFont="1" applyFill="1" applyAlignment="1">
      <alignment horizontal="right"/>
    </xf>
    <xf numFmtId="3" fontId="8" fillId="37" borderId="16" xfId="0" applyNumberFormat="1" applyFont="1" applyFill="1" applyBorder="1"/>
    <xf numFmtId="181" fontId="8" fillId="37" borderId="16" xfId="0" applyNumberFormat="1" applyFont="1" applyFill="1" applyBorder="1"/>
    <xf numFmtId="1" fontId="90" fillId="37" borderId="0" xfId="0" applyNumberFormat="1" applyFont="1" applyFill="1"/>
    <xf numFmtId="1" fontId="28" fillId="37" borderId="0" xfId="0" applyNumberFormat="1" applyFont="1" applyFill="1" applyAlignment="1">
      <alignment horizontal="right"/>
    </xf>
    <xf numFmtId="1" fontId="28" fillId="37" borderId="16" xfId="0" applyNumberFormat="1" applyFont="1" applyFill="1" applyBorder="1" applyAlignment="1">
      <alignment horizontal="right"/>
    </xf>
    <xf numFmtId="166" fontId="91" fillId="37" borderId="0" xfId="0" applyNumberFormat="1" applyFont="1" applyFill="1" applyBorder="1" applyAlignment="1">
      <alignment horizontal="right"/>
    </xf>
    <xf numFmtId="166" fontId="91" fillId="37" borderId="16" xfId="0" applyNumberFormat="1" applyFont="1" applyFill="1" applyBorder="1" applyAlignment="1">
      <alignment horizontal="right"/>
    </xf>
    <xf numFmtId="166" fontId="91" fillId="37" borderId="0" xfId="0" applyNumberFormat="1" applyFont="1" applyFill="1" applyAlignment="1">
      <alignment horizontal="right"/>
    </xf>
    <xf numFmtId="172" fontId="28" fillId="37" borderId="0" xfId="0" applyNumberFormat="1" applyFont="1" applyFill="1"/>
    <xf numFmtId="0" fontId="2" fillId="37" borderId="14" xfId="0" applyFont="1" applyFill="1" applyBorder="1" applyAlignment="1">
      <alignment horizontal="centerContinuous"/>
    </xf>
    <xf numFmtId="0" fontId="8" fillId="37" borderId="14" xfId="0" applyFont="1" applyFill="1" applyBorder="1" applyAlignment="1">
      <alignment horizontal="centerContinuous"/>
    </xf>
    <xf numFmtId="1" fontId="8" fillId="37" borderId="14" xfId="0" applyNumberFormat="1" applyFont="1" applyFill="1" applyBorder="1" applyAlignment="1">
      <alignment horizontal="centerContinuous"/>
    </xf>
    <xf numFmtId="3" fontId="8" fillId="37" borderId="14" xfId="0" applyNumberFormat="1" applyFont="1" applyFill="1" applyBorder="1" applyAlignment="1">
      <alignment horizontal="centerContinuous"/>
    </xf>
    <xf numFmtId="181" fontId="8" fillId="37" borderId="14" xfId="0" applyNumberFormat="1" applyFont="1" applyFill="1" applyBorder="1" applyAlignment="1">
      <alignment horizontal="centerContinuous"/>
    </xf>
    <xf numFmtId="172" fontId="28" fillId="37" borderId="14" xfId="0" applyNumberFormat="1" applyFont="1" applyFill="1" applyBorder="1" applyAlignment="1">
      <alignment horizontal="centerContinuous"/>
    </xf>
    <xf numFmtId="172" fontId="8" fillId="37" borderId="14" xfId="0" applyNumberFormat="1" applyFont="1" applyFill="1" applyBorder="1" applyAlignment="1">
      <alignment horizontal="centerContinuous"/>
    </xf>
    <xf numFmtId="0" fontId="29" fillId="37" borderId="14" xfId="0" applyFont="1" applyFill="1" applyBorder="1" applyAlignment="1">
      <alignment horizontal="centerContinuous"/>
    </xf>
    <xf numFmtId="167" fontId="28" fillId="37" borderId="0" xfId="0" applyNumberFormat="1" applyFont="1" applyFill="1" applyAlignment="1">
      <alignment horizontal="right"/>
    </xf>
    <xf numFmtId="167" fontId="28" fillId="37" borderId="16" xfId="0" applyNumberFormat="1" applyFont="1" applyFill="1" applyBorder="1" applyAlignment="1">
      <alignment horizontal="right"/>
    </xf>
    <xf numFmtId="9" fontId="76" fillId="37" borderId="0" xfId="90" applyFont="1" applyFill="1"/>
    <xf numFmtId="1" fontId="135" fillId="37" borderId="0" xfId="0" applyNumberFormat="1" applyFont="1" applyFill="1"/>
    <xf numFmtId="0" fontId="86" fillId="37" borderId="0" xfId="0" applyFont="1" applyFill="1" applyAlignment="1">
      <alignment horizontal="left"/>
    </xf>
    <xf numFmtId="180" fontId="23" fillId="37" borderId="16" xfId="0" applyNumberFormat="1" applyFont="1" applyFill="1" applyBorder="1"/>
    <xf numFmtId="165" fontId="136" fillId="37" borderId="16" xfId="0" applyNumberFormat="1" applyFont="1" applyFill="1" applyBorder="1"/>
    <xf numFmtId="37" fontId="29" fillId="37" borderId="0" xfId="79" applyFont="1" applyFill="1"/>
    <xf numFmtId="0" fontId="23" fillId="37" borderId="16" xfId="0" applyFont="1" applyFill="1" applyBorder="1" applyAlignment="1">
      <alignment horizontal="center"/>
    </xf>
    <xf numFmtId="166" fontId="28" fillId="37" borderId="0" xfId="42" applyNumberFormat="1" applyFont="1" applyFill="1"/>
    <xf numFmtId="166" fontId="28" fillId="37" borderId="0" xfId="42" applyNumberFormat="1" applyFont="1" applyFill="1" applyAlignment="1">
      <alignment horizontal="right"/>
    </xf>
    <xf numFmtId="182" fontId="23" fillId="37" borderId="0" xfId="90" applyNumberFormat="1" applyFont="1" applyFill="1"/>
    <xf numFmtId="183" fontId="28" fillId="37" borderId="0" xfId="42" applyNumberFormat="1" applyFont="1" applyFill="1" applyAlignment="1">
      <alignment horizontal="right"/>
    </xf>
    <xf numFmtId="0" fontId="8" fillId="37" borderId="0" xfId="0" quotePrefix="1" applyFont="1" applyFill="1"/>
    <xf numFmtId="0" fontId="89" fillId="37" borderId="0" xfId="0" applyFont="1" applyFill="1"/>
    <xf numFmtId="0" fontId="23" fillId="37" borderId="0" xfId="0" applyFont="1" applyFill="1"/>
    <xf numFmtId="179" fontId="8" fillId="37" borderId="0" xfId="83" applyNumberFormat="1" applyFont="1" applyFill="1" applyAlignment="1" applyProtection="1">
      <alignment horizontal="left"/>
    </xf>
    <xf numFmtId="179" fontId="8" fillId="37" borderId="0" xfId="83" applyNumberFormat="1" applyFont="1" applyFill="1" applyAlignment="1" applyProtection="1">
      <alignment horizontal="left" indent="1"/>
    </xf>
    <xf numFmtId="179" fontId="8" fillId="37" borderId="0" xfId="83" applyFont="1" applyFill="1"/>
    <xf numFmtId="172" fontId="81" fillId="37" borderId="0" xfId="0" applyNumberFormat="1" applyFont="1" applyFill="1"/>
    <xf numFmtId="172" fontId="23" fillId="37" borderId="0" xfId="0" applyNumberFormat="1" applyFont="1" applyFill="1"/>
    <xf numFmtId="182" fontId="8" fillId="37" borderId="0" xfId="90" applyNumberFormat="1" applyFont="1" applyFill="1" applyAlignment="1">
      <alignment horizontal="right"/>
    </xf>
    <xf numFmtId="182" fontId="23" fillId="37" borderId="0" xfId="90" applyNumberFormat="1" applyFont="1" applyFill="1" applyAlignment="1">
      <alignment horizontal="right"/>
    </xf>
    <xf numFmtId="0" fontId="8" fillId="37" borderId="16" xfId="0" applyFont="1" applyFill="1" applyBorder="1" applyAlignment="1">
      <alignment horizontal="right"/>
    </xf>
    <xf numFmtId="0" fontId="8" fillId="37" borderId="18" xfId="0" applyFont="1" applyFill="1" applyBorder="1" applyAlignment="1">
      <alignment horizontal="right"/>
    </xf>
    <xf numFmtId="0" fontId="2" fillId="37" borderId="17" xfId="0" applyFont="1" applyFill="1" applyBorder="1" applyAlignment="1">
      <alignment horizontal="right"/>
    </xf>
    <xf numFmtId="0" fontId="8" fillId="37" borderId="17" xfId="0" applyFont="1" applyFill="1" applyBorder="1" applyAlignment="1">
      <alignment horizontal="right"/>
    </xf>
    <xf numFmtId="0" fontId="8" fillId="37" borderId="30" xfId="0" applyFont="1" applyFill="1" applyBorder="1" applyAlignment="1">
      <alignment horizontal="right"/>
    </xf>
    <xf numFmtId="0" fontId="8" fillId="37" borderId="22" xfId="0" applyFont="1" applyFill="1" applyBorder="1" applyAlignment="1">
      <alignment horizontal="right"/>
    </xf>
    <xf numFmtId="0" fontId="2" fillId="37" borderId="15" xfId="0" applyFont="1" applyFill="1" applyBorder="1" applyAlignment="1">
      <alignment horizontal="right"/>
    </xf>
    <xf numFmtId="0" fontId="8" fillId="37" borderId="15" xfId="0" applyFont="1" applyFill="1" applyBorder="1" applyAlignment="1">
      <alignment horizontal="right"/>
    </xf>
    <xf numFmtId="0" fontId="8" fillId="37" borderId="23" xfId="0" applyFont="1" applyFill="1" applyBorder="1" applyAlignment="1">
      <alignment horizontal="right"/>
    </xf>
    <xf numFmtId="0" fontId="8" fillId="37" borderId="27" xfId="0" applyFont="1" applyFill="1" applyBorder="1" applyAlignment="1">
      <alignment horizontal="right"/>
    </xf>
    <xf numFmtId="0" fontId="8" fillId="37" borderId="25" xfId="0" applyFont="1" applyFill="1" applyBorder="1" applyAlignment="1">
      <alignment horizontal="right"/>
    </xf>
    <xf numFmtId="0" fontId="8" fillId="37" borderId="26" xfId="0" applyFont="1" applyFill="1" applyBorder="1" applyAlignment="1">
      <alignment horizontal="right"/>
    </xf>
    <xf numFmtId="166" fontId="30" fillId="40" borderId="17" xfId="42" applyNumberFormat="1" applyFont="1" applyFill="1" applyBorder="1" applyAlignment="1">
      <alignment horizontal="right"/>
    </xf>
    <xf numFmtId="165" fontId="136" fillId="37" borderId="0" xfId="0" applyNumberFormat="1" applyFont="1" applyFill="1"/>
    <xf numFmtId="180" fontId="23" fillId="37" borderId="0" xfId="0" applyNumberFormat="1" applyFont="1" applyFill="1" applyBorder="1"/>
    <xf numFmtId="196" fontId="28" fillId="37" borderId="0" xfId="0" applyNumberFormat="1" applyFont="1" applyFill="1" applyBorder="1" applyAlignment="1">
      <alignment horizontal="left"/>
    </xf>
    <xf numFmtId="228" fontId="130" fillId="38" borderId="0" xfId="0" applyNumberFormat="1" applyFont="1" applyFill="1" applyBorder="1" applyAlignment="1">
      <alignment horizontal="centerContinuous"/>
    </xf>
    <xf numFmtId="0" fontId="130" fillId="38" borderId="0" xfId="0" applyFont="1" applyFill="1" applyBorder="1" applyAlignment="1">
      <alignment horizontal="centerContinuous"/>
    </xf>
    <xf numFmtId="185" fontId="8" fillId="37" borderId="46" xfId="36" applyNumberFormat="1" applyFont="1" applyFill="1" applyBorder="1"/>
    <xf numFmtId="0" fontId="8" fillId="37" borderId="47" xfId="0" applyFont="1" applyFill="1" applyBorder="1"/>
    <xf numFmtId="182" fontId="8" fillId="37" borderId="48" xfId="90" applyNumberFormat="1" applyFont="1" applyFill="1" applyBorder="1"/>
    <xf numFmtId="0" fontId="8" fillId="37" borderId="49" xfId="0" applyFont="1" applyFill="1" applyBorder="1" applyAlignment="1">
      <alignment horizontal="centerContinuous"/>
    </xf>
    <xf numFmtId="185" fontId="2" fillId="37" borderId="48" xfId="0" applyNumberFormat="1" applyFont="1" applyFill="1" applyBorder="1" applyAlignment="1">
      <alignment horizontal="right"/>
    </xf>
    <xf numFmtId="0" fontId="2" fillId="37" borderId="49" xfId="0" applyFont="1" applyFill="1" applyBorder="1" applyAlignment="1">
      <alignment horizontal="right"/>
    </xf>
    <xf numFmtId="43" fontId="8" fillId="37" borderId="48" xfId="0" applyNumberFormat="1" applyFont="1" applyFill="1" applyBorder="1" applyAlignment="1">
      <alignment horizontal="right"/>
    </xf>
    <xf numFmtId="43" fontId="8" fillId="37" borderId="49" xfId="0" applyNumberFormat="1" applyFont="1" applyFill="1" applyBorder="1" applyAlignment="1">
      <alignment horizontal="right"/>
    </xf>
    <xf numFmtId="43" fontId="8" fillId="37" borderId="50" xfId="0" applyNumberFormat="1" applyFont="1" applyFill="1" applyBorder="1" applyAlignment="1">
      <alignment horizontal="right"/>
    </xf>
    <xf numFmtId="43" fontId="8" fillId="37" borderId="51" xfId="0" applyNumberFormat="1" applyFont="1" applyFill="1" applyBorder="1" applyAlignment="1">
      <alignment horizontal="right"/>
    </xf>
    <xf numFmtId="43" fontId="8" fillId="42" borderId="48" xfId="0" applyNumberFormat="1" applyFont="1" applyFill="1" applyBorder="1" applyAlignment="1">
      <alignment horizontal="right"/>
    </xf>
    <xf numFmtId="43" fontId="8" fillId="42" borderId="49" xfId="0" applyNumberFormat="1" applyFont="1" applyFill="1" applyBorder="1" applyAlignment="1">
      <alignment horizontal="right"/>
    </xf>
    <xf numFmtId="182" fontId="8" fillId="37" borderId="48" xfId="90" applyNumberFormat="1" applyFont="1" applyFill="1" applyBorder="1" applyAlignment="1">
      <alignment horizontal="right"/>
    </xf>
    <xf numFmtId="0" fontId="8" fillId="37" borderId="49" xfId="0" applyFont="1" applyFill="1" applyBorder="1" applyAlignment="1">
      <alignment horizontal="right"/>
    </xf>
    <xf numFmtId="0" fontId="8" fillId="37" borderId="48" xfId="0" applyFont="1" applyFill="1" applyBorder="1" applyAlignment="1">
      <alignment horizontal="right"/>
    </xf>
    <xf numFmtId="37" fontId="2" fillId="37" borderId="48" xfId="0" applyNumberFormat="1" applyFont="1" applyFill="1" applyBorder="1" applyAlignment="1">
      <alignment horizontal="right"/>
    </xf>
    <xf numFmtId="0" fontId="2" fillId="37" borderId="48" xfId="0" applyFont="1" applyFill="1" applyBorder="1" applyAlignment="1">
      <alignment horizontal="right"/>
    </xf>
    <xf numFmtId="165" fontId="8" fillId="37" borderId="48" xfId="0" applyNumberFormat="1" applyFont="1" applyFill="1" applyBorder="1"/>
    <xf numFmtId="165" fontId="8" fillId="37" borderId="49" xfId="0" applyNumberFormat="1" applyFont="1" applyFill="1" applyBorder="1"/>
    <xf numFmtId="165" fontId="8" fillId="37" borderId="52" xfId="0" applyNumberFormat="1" applyFont="1" applyFill="1" applyBorder="1"/>
    <xf numFmtId="165" fontId="8" fillId="37" borderId="53" xfId="0" applyNumberFormat="1" applyFont="1" applyFill="1" applyBorder="1"/>
    <xf numFmtId="219" fontId="8" fillId="37" borderId="16" xfId="0" applyNumberFormat="1" applyFont="1" applyFill="1" applyBorder="1" applyAlignment="1">
      <alignment horizontal="center"/>
    </xf>
    <xf numFmtId="0" fontId="8" fillId="37" borderId="16" xfId="0" applyFont="1" applyFill="1" applyBorder="1" applyAlignment="1">
      <alignment horizontal="center"/>
    </xf>
    <xf numFmtId="2" fontId="8" fillId="37" borderId="16" xfId="0" applyNumberFormat="1" applyFont="1" applyFill="1" applyBorder="1" applyAlignment="1">
      <alignment horizontal="center"/>
    </xf>
    <xf numFmtId="0" fontId="80" fillId="37" borderId="0" xfId="0" applyFont="1" applyFill="1" applyAlignment="1">
      <alignment horizontal="center"/>
    </xf>
    <xf numFmtId="0" fontId="86" fillId="37" borderId="0" xfId="0" applyFont="1" applyFill="1" applyAlignment="1">
      <alignment horizontal="center"/>
    </xf>
    <xf numFmtId="0" fontId="80" fillId="37" borderId="0" xfId="0" applyFont="1" applyFill="1"/>
    <xf numFmtId="183" fontId="137" fillId="37" borderId="0" xfId="42" applyNumberFormat="1" applyFont="1" applyFill="1"/>
    <xf numFmtId="176" fontId="137" fillId="37" borderId="0" xfId="36" applyNumberFormat="1" applyFont="1" applyFill="1"/>
    <xf numFmtId="176" fontId="28" fillId="37" borderId="0" xfId="36" applyNumberFormat="1" applyFont="1" applyFill="1" applyAlignment="1">
      <alignment wrapText="1"/>
    </xf>
    <xf numFmtId="176" fontId="28" fillId="37" borderId="16" xfId="36" applyNumberFormat="1" applyFont="1" applyFill="1" applyBorder="1"/>
    <xf numFmtId="176" fontId="137" fillId="37" borderId="16" xfId="36" applyNumberFormat="1" applyFont="1" applyFill="1" applyBorder="1"/>
    <xf numFmtId="194" fontId="8" fillId="37" borderId="0" xfId="0" applyNumberFormat="1" applyFont="1" applyFill="1"/>
    <xf numFmtId="176" fontId="23" fillId="37" borderId="0" xfId="36" applyNumberFormat="1" applyFont="1" applyFill="1"/>
    <xf numFmtId="183" fontId="2" fillId="37" borderId="0" xfId="42" applyNumberFormat="1" applyFont="1" applyFill="1"/>
    <xf numFmtId="176" fontId="81" fillId="37" borderId="0" xfId="36" applyNumberFormat="1" applyFont="1" applyFill="1"/>
    <xf numFmtId="183" fontId="8" fillId="37" borderId="17" xfId="0" applyNumberFormat="1" applyFont="1" applyFill="1" applyBorder="1"/>
    <xf numFmtId="44" fontId="8" fillId="37" borderId="17" xfId="0" applyNumberFormat="1" applyFont="1" applyFill="1" applyBorder="1"/>
    <xf numFmtId="183" fontId="28" fillId="37" borderId="0" xfId="42" applyNumberFormat="1" applyFont="1" applyFill="1" applyAlignment="1">
      <alignment wrapText="1"/>
    </xf>
    <xf numFmtId="176" fontId="28" fillId="37" borderId="16" xfId="36" applyNumberFormat="1" applyFont="1" applyFill="1" applyBorder="1" applyAlignment="1">
      <alignment wrapText="1"/>
    </xf>
    <xf numFmtId="176" fontId="81" fillId="37" borderId="16" xfId="36" applyNumberFormat="1" applyFont="1" applyFill="1" applyBorder="1"/>
    <xf numFmtId="183" fontId="81" fillId="37" borderId="0" xfId="0" applyNumberFormat="1" applyFont="1" applyFill="1"/>
    <xf numFmtId="197" fontId="8" fillId="37" borderId="0" xfId="0" applyNumberFormat="1" applyFont="1" applyFill="1"/>
    <xf numFmtId="0" fontId="81" fillId="37" borderId="0" xfId="0" applyFont="1" applyFill="1"/>
    <xf numFmtId="0" fontId="81" fillId="37" borderId="0" xfId="0" applyFont="1" applyFill="1" applyBorder="1"/>
    <xf numFmtId="197" fontId="81" fillId="37" borderId="0" xfId="0" applyNumberFormat="1" applyFont="1" applyFill="1"/>
    <xf numFmtId="44" fontId="8" fillId="37" borderId="0" xfId="42" applyFont="1" applyFill="1"/>
    <xf numFmtId="176" fontId="81" fillId="37" borderId="0" xfId="36" applyNumberFormat="1" applyFont="1" applyFill="1" applyBorder="1"/>
    <xf numFmtId="197" fontId="8" fillId="37" borderId="0" xfId="42" applyNumberFormat="1" applyFont="1" applyFill="1"/>
    <xf numFmtId="197" fontId="28" fillId="37" borderId="0" xfId="36" applyNumberFormat="1" applyFont="1" applyFill="1"/>
    <xf numFmtId="183" fontId="28" fillId="37" borderId="0" xfId="42" applyNumberFormat="1" applyFont="1" applyFill="1" applyBorder="1"/>
    <xf numFmtId="183" fontId="8" fillId="37" borderId="0" xfId="42" applyNumberFormat="1" applyFont="1" applyFill="1" applyBorder="1"/>
    <xf numFmtId="183" fontId="137" fillId="37" borderId="0" xfId="42" applyNumberFormat="1" applyFont="1" applyFill="1" applyBorder="1"/>
    <xf numFmtId="176" fontId="8" fillId="37" borderId="0" xfId="0" applyNumberFormat="1" applyFont="1" applyFill="1" applyBorder="1"/>
    <xf numFmtId="186" fontId="8" fillId="37" borderId="0" xfId="0" applyNumberFormat="1" applyFont="1" applyFill="1"/>
    <xf numFmtId="173" fontId="8" fillId="37" borderId="0" xfId="0" applyNumberFormat="1" applyFont="1" applyFill="1" applyAlignment="1">
      <alignment horizontal="right"/>
    </xf>
    <xf numFmtId="173" fontId="8" fillId="37" borderId="0" xfId="0" applyNumberFormat="1" applyFont="1" applyFill="1"/>
    <xf numFmtId="173" fontId="138" fillId="37" borderId="0" xfId="0" applyNumberFormat="1" applyFont="1" applyFill="1"/>
    <xf numFmtId="173" fontId="28" fillId="37" borderId="0" xfId="0" applyNumberFormat="1" applyFont="1" applyFill="1"/>
    <xf numFmtId="187" fontId="8" fillId="37" borderId="0" xfId="42" applyNumberFormat="1" applyFont="1" applyFill="1"/>
    <xf numFmtId="181" fontId="8" fillId="37" borderId="0" xfId="36" applyNumberFormat="1" applyFont="1" applyFill="1"/>
    <xf numFmtId="166" fontId="2" fillId="40" borderId="17" xfId="42" applyNumberFormat="1" applyFont="1" applyFill="1" applyBorder="1"/>
    <xf numFmtId="177" fontId="8" fillId="37" borderId="25" xfId="36" applyNumberFormat="1" applyFont="1" applyFill="1" applyBorder="1"/>
    <xf numFmtId="185" fontId="8" fillId="37" borderId="25" xfId="36" applyNumberFormat="1" applyFont="1" applyFill="1" applyBorder="1"/>
    <xf numFmtId="184" fontId="8" fillId="37" borderId="27" xfId="42" applyNumberFormat="1" applyFont="1" applyFill="1" applyBorder="1"/>
    <xf numFmtId="170" fontId="131" fillId="0" borderId="0" xfId="0" applyNumberFormat="1" applyFont="1" applyBorder="1"/>
    <xf numFmtId="44" fontId="8" fillId="37" borderId="0" xfId="42" applyNumberFormat="1" applyFont="1" applyFill="1"/>
    <xf numFmtId="0" fontId="23" fillId="37" borderId="26" xfId="0" applyFont="1" applyFill="1" applyBorder="1" applyAlignment="1">
      <alignment horizontal="right"/>
    </xf>
    <xf numFmtId="0" fontId="2" fillId="37" borderId="16" xfId="0" applyFont="1" applyFill="1" applyBorder="1" applyAlignment="1">
      <alignment horizontal="right"/>
    </xf>
    <xf numFmtId="0" fontId="23" fillId="37" borderId="16" xfId="0" applyFont="1" applyFill="1" applyBorder="1" applyAlignment="1">
      <alignment horizontal="right"/>
    </xf>
    <xf numFmtId="43" fontId="8" fillId="37" borderId="0" xfId="36" applyNumberFormat="1" applyFont="1" applyFill="1"/>
    <xf numFmtId="164" fontId="29" fillId="37" borderId="0" xfId="75" applyFont="1" applyFill="1" applyBorder="1" applyAlignment="1">
      <alignment horizontal="left"/>
    </xf>
    <xf numFmtId="37" fontId="8" fillId="37" borderId="0" xfId="84" applyFont="1" applyFill="1"/>
    <xf numFmtId="37" fontId="8" fillId="37" borderId="16" xfId="84" applyFont="1" applyFill="1" applyBorder="1"/>
    <xf numFmtId="37" fontId="8" fillId="37" borderId="16" xfId="84" applyFont="1" applyFill="1" applyBorder="1" applyAlignment="1">
      <alignment horizontal="center"/>
    </xf>
    <xf numFmtId="37" fontId="2" fillId="37" borderId="16" xfId="84" applyFont="1" applyFill="1" applyBorder="1" applyAlignment="1">
      <alignment horizontal="center"/>
    </xf>
    <xf numFmtId="37" fontId="2" fillId="37" borderId="0" xfId="84" applyFont="1" applyFill="1" applyAlignment="1">
      <alignment horizontal="center"/>
    </xf>
    <xf numFmtId="37" fontId="2" fillId="37" borderId="0" xfId="84" applyFont="1" applyFill="1" applyAlignment="1">
      <alignment horizontal="centerContinuous"/>
    </xf>
    <xf numFmtId="37" fontId="2" fillId="37" borderId="0" xfId="84" applyFont="1" applyFill="1" applyBorder="1" applyAlignment="1">
      <alignment horizontal="centerContinuous"/>
    </xf>
    <xf numFmtId="37" fontId="92" fillId="37" borderId="0" xfId="84" applyFont="1" applyFill="1" applyBorder="1" applyAlignment="1">
      <alignment horizontal="center"/>
    </xf>
    <xf numFmtId="37" fontId="2" fillId="37" borderId="0" xfId="84" applyFont="1" applyFill="1"/>
    <xf numFmtId="37" fontId="2" fillId="37" borderId="16" xfId="84" applyFont="1" applyFill="1" applyBorder="1"/>
    <xf numFmtId="37" fontId="2" fillId="37" borderId="16" xfId="84" applyFont="1" applyFill="1" applyBorder="1" applyAlignment="1" applyProtection="1">
      <alignment horizontal="center"/>
    </xf>
    <xf numFmtId="37" fontId="2" fillId="37" borderId="16" xfId="84" applyFont="1" applyFill="1" applyBorder="1" applyAlignment="1">
      <alignment horizontal="centerContinuous"/>
    </xf>
    <xf numFmtId="37" fontId="2" fillId="37" borderId="0" xfId="84" applyFont="1" applyFill="1" applyAlignment="1" applyProtection="1">
      <alignment horizontal="center"/>
    </xf>
    <xf numFmtId="37" fontId="2" fillId="37" borderId="0" xfId="84" applyFont="1" applyFill="1" applyBorder="1" applyAlignment="1">
      <alignment horizontal="center"/>
    </xf>
    <xf numFmtId="166" fontId="8" fillId="37" borderId="0" xfId="0" applyNumberFormat="1" applyFont="1" applyFill="1" applyBorder="1" applyAlignment="1">
      <alignment horizontal="right"/>
    </xf>
    <xf numFmtId="181" fontId="8" fillId="37" borderId="0" xfId="0" applyNumberFormat="1" applyFont="1" applyFill="1" applyAlignment="1">
      <alignment horizontal="right"/>
    </xf>
    <xf numFmtId="43" fontId="8" fillId="37" borderId="0" xfId="36" applyFont="1" applyFill="1" applyAlignment="1">
      <alignment horizontal="right"/>
    </xf>
    <xf numFmtId="43" fontId="8" fillId="37" borderId="0" xfId="36" applyFont="1" applyFill="1"/>
    <xf numFmtId="1" fontId="8" fillId="37" borderId="0" xfId="0" applyNumberFormat="1" applyFont="1" applyFill="1" applyAlignment="1">
      <alignment horizontal="right"/>
    </xf>
    <xf numFmtId="44" fontId="8" fillId="37" borderId="0" xfId="42" applyFont="1" applyFill="1" applyAlignment="1">
      <alignment horizontal="right"/>
    </xf>
    <xf numFmtId="185" fontId="8" fillId="37" borderId="0" xfId="36" applyNumberFormat="1" applyFont="1" applyFill="1" applyAlignment="1">
      <alignment horizontal="right"/>
    </xf>
    <xf numFmtId="166" fontId="8" fillId="37" borderId="16" xfId="0" applyNumberFormat="1" applyFont="1" applyFill="1" applyBorder="1" applyAlignment="1">
      <alignment horizontal="right"/>
    </xf>
    <xf numFmtId="43" fontId="8" fillId="37" borderId="18" xfId="36" applyFont="1" applyFill="1" applyBorder="1"/>
    <xf numFmtId="181" fontId="8" fillId="37" borderId="0" xfId="0" applyNumberFormat="1" applyFont="1" applyFill="1" applyBorder="1"/>
    <xf numFmtId="166" fontId="8" fillId="37" borderId="0" xfId="0" applyNumberFormat="1" applyFont="1" applyFill="1" applyAlignment="1">
      <alignment horizontal="right"/>
    </xf>
    <xf numFmtId="43" fontId="8" fillId="37" borderId="18" xfId="36" applyFont="1" applyFill="1" applyBorder="1" applyAlignment="1">
      <alignment horizontal="right"/>
    </xf>
    <xf numFmtId="181" fontId="28" fillId="37" borderId="0" xfId="0" applyNumberFormat="1" applyFont="1" applyFill="1" applyBorder="1" applyAlignment="1">
      <alignment horizontal="right"/>
    </xf>
    <xf numFmtId="43" fontId="28" fillId="37" borderId="0" xfId="36" applyFont="1" applyFill="1" applyAlignment="1">
      <alignment horizontal="right"/>
    </xf>
    <xf numFmtId="43" fontId="28" fillId="37" borderId="18" xfId="36" applyFont="1" applyFill="1" applyBorder="1" applyAlignment="1">
      <alignment horizontal="right"/>
    </xf>
    <xf numFmtId="0" fontId="86" fillId="37" borderId="0" xfId="0" applyFont="1" applyFill="1"/>
    <xf numFmtId="43" fontId="8" fillId="37" borderId="0" xfId="36" applyFont="1" applyFill="1" applyBorder="1"/>
    <xf numFmtId="43" fontId="8" fillId="37" borderId="0" xfId="56" applyNumberFormat="1" applyFont="1" applyFill="1"/>
    <xf numFmtId="164" fontId="11" fillId="25" borderId="0" xfId="85" applyNumberFormat="1" applyFont="1" applyFill="1" applyAlignment="1">
      <alignment horizontal="center"/>
    </xf>
    <xf numFmtId="0" fontId="11" fillId="25" borderId="0" xfId="85" applyNumberFormat="1" applyFont="1" applyFill="1" applyAlignment="1">
      <alignment horizontal="right"/>
    </xf>
    <xf numFmtId="37" fontId="11" fillId="25" borderId="0" xfId="0" applyNumberFormat="1" applyFont="1" applyFill="1" applyAlignment="1" applyProtection="1">
      <alignment horizontal="center"/>
    </xf>
    <xf numFmtId="5" fontId="11" fillId="25" borderId="0" xfId="0" applyNumberFormat="1" applyFont="1" applyFill="1" applyAlignment="1">
      <alignment horizontal="left"/>
    </xf>
    <xf numFmtId="174" fontId="21" fillId="24" borderId="0" xfId="0" applyNumberFormat="1" applyFont="1" applyFill="1" applyAlignment="1" applyProtection="1">
      <alignment horizontal="center"/>
    </xf>
    <xf numFmtId="5" fontId="14" fillId="37" borderId="0" xfId="0" applyNumberFormat="1" applyFont="1" applyFill="1" applyAlignment="1" applyProtection="1">
      <alignment horizontal="center"/>
    </xf>
    <xf numFmtId="5" fontId="11" fillId="37" borderId="0" xfId="0" applyNumberFormat="1" applyFont="1" applyFill="1" applyAlignment="1" applyProtection="1">
      <alignment horizontal="center"/>
    </xf>
    <xf numFmtId="5" fontId="11" fillId="37" borderId="0" xfId="0" applyNumberFormat="1" applyFont="1" applyFill="1"/>
    <xf numFmtId="174" fontId="11" fillId="37" borderId="0" xfId="0" applyNumberFormat="1" applyFont="1" applyFill="1" applyAlignment="1" applyProtection="1">
      <alignment horizontal="center"/>
    </xf>
    <xf numFmtId="1" fontId="11" fillId="37" borderId="0" xfId="0" applyNumberFormat="1" applyFont="1" applyFill="1" applyAlignment="1" applyProtection="1">
      <alignment horizontal="center"/>
    </xf>
    <xf numFmtId="7" fontId="14" fillId="37" borderId="0" xfId="0" applyNumberFormat="1" applyFont="1" applyFill="1" applyAlignment="1" applyProtection="1">
      <alignment horizontal="center"/>
    </xf>
    <xf numFmtId="165" fontId="11" fillId="37" borderId="0" xfId="0" applyNumberFormat="1" applyFont="1" applyFill="1" applyAlignment="1" applyProtection="1">
      <alignment horizontal="center"/>
    </xf>
    <xf numFmtId="37" fontId="11" fillId="37" borderId="0" xfId="0" applyNumberFormat="1" applyFont="1" applyFill="1" applyAlignment="1" applyProtection="1">
      <alignment horizontal="center"/>
    </xf>
    <xf numFmtId="164" fontId="11" fillId="37" borderId="0" xfId="0" applyNumberFormat="1" applyFont="1" applyFill="1" applyAlignment="1" applyProtection="1">
      <alignment horizontal="center"/>
    </xf>
    <xf numFmtId="188" fontId="14" fillId="37" borderId="0" xfId="0" applyNumberFormat="1" applyFont="1" applyFill="1" applyAlignment="1" applyProtection="1">
      <alignment horizontal="center"/>
    </xf>
    <xf numFmtId="188" fontId="11" fillId="37" borderId="0" xfId="0" applyNumberFormat="1" applyFont="1" applyFill="1" applyAlignment="1" applyProtection="1">
      <alignment horizontal="center"/>
    </xf>
    <xf numFmtId="37" fontId="11" fillId="37" borderId="0" xfId="85" applyNumberFormat="1" applyFont="1" applyFill="1" applyAlignment="1">
      <alignment horizontal="center"/>
    </xf>
    <xf numFmtId="6" fontId="11" fillId="37" borderId="0" xfId="57" applyNumberFormat="1" applyFont="1" applyFill="1" applyAlignment="1" applyProtection="1">
      <alignment horizontal="center"/>
    </xf>
    <xf numFmtId="7" fontId="11" fillId="37" borderId="0" xfId="85" applyNumberFormat="1" applyFont="1" applyFill="1" applyAlignment="1">
      <alignment horizontal="center"/>
    </xf>
    <xf numFmtId="182" fontId="11" fillId="25" borderId="0" xfId="90" applyNumberFormat="1" applyFont="1" applyFill="1" applyAlignment="1" applyProtection="1">
      <alignment horizontal="center"/>
    </xf>
    <xf numFmtId="229" fontId="8" fillId="37" borderId="16" xfId="0" applyNumberFormat="1" applyFont="1" applyFill="1" applyBorder="1"/>
    <xf numFmtId="196" fontId="28" fillId="0" borderId="0" xfId="0" applyNumberFormat="1" applyFont="1" applyFill="1" applyBorder="1" applyAlignment="1">
      <alignment horizontal="left"/>
    </xf>
    <xf numFmtId="0" fontId="139" fillId="37" borderId="0" xfId="0" applyFont="1" applyFill="1" applyBorder="1" applyAlignment="1">
      <alignment horizontal="center"/>
    </xf>
    <xf numFmtId="0" fontId="139" fillId="37" borderId="23" xfId="0" applyFont="1" applyFill="1" applyBorder="1" applyAlignment="1">
      <alignment horizontal="center"/>
    </xf>
    <xf numFmtId="1" fontId="137" fillId="37" borderId="0" xfId="0" applyNumberFormat="1" applyFont="1" applyFill="1"/>
    <xf numFmtId="9" fontId="131" fillId="0" borderId="0" xfId="90" applyFont="1" applyBorder="1"/>
    <xf numFmtId="170" fontId="11" fillId="0" borderId="0" xfId="0" applyNumberFormat="1" applyFont="1" applyFill="1"/>
    <xf numFmtId="7" fontId="8" fillId="37" borderId="16" xfId="42" applyNumberFormat="1" applyFont="1" applyFill="1" applyBorder="1"/>
    <xf numFmtId="217" fontId="8" fillId="0" borderId="0" xfId="0" applyNumberFormat="1" applyFont="1" applyFill="1"/>
    <xf numFmtId="0" fontId="2" fillId="37" borderId="0" xfId="0" applyFont="1" applyFill="1" applyAlignment="1">
      <alignment horizontal="right"/>
    </xf>
    <xf numFmtId="0" fontId="11" fillId="0" borderId="0" xfId="0" applyFont="1" applyFill="1"/>
    <xf numFmtId="169" fontId="137" fillId="37" borderId="0" xfId="0" applyNumberFormat="1" applyFont="1" applyFill="1" applyAlignment="1">
      <alignment horizontal="left"/>
    </xf>
    <xf numFmtId="0" fontId="130" fillId="38" borderId="0" xfId="0" applyFont="1" applyFill="1" applyAlignment="1">
      <alignment horizontal="center"/>
    </xf>
    <xf numFmtId="44" fontId="2" fillId="40" borderId="16" xfId="42" applyNumberFormat="1" applyFont="1" applyFill="1" applyBorder="1"/>
    <xf numFmtId="175" fontId="136" fillId="37" borderId="0" xfId="0" applyNumberFormat="1" applyFont="1" applyFill="1" applyBorder="1"/>
    <xf numFmtId="175" fontId="136" fillId="37" borderId="16" xfId="0" applyNumberFormat="1" applyFont="1" applyFill="1" applyBorder="1"/>
    <xf numFmtId="175" fontId="136" fillId="37" borderId="0" xfId="56" applyNumberFormat="1" applyFont="1" applyFill="1"/>
    <xf numFmtId="175" fontId="136" fillId="37" borderId="16" xfId="56" applyNumberFormat="1" applyFont="1" applyFill="1" applyBorder="1"/>
    <xf numFmtId="170" fontId="8" fillId="37" borderId="0" xfId="56" applyNumberFormat="1" applyFont="1" applyFill="1" applyAlignment="1">
      <alignment horizontal="right"/>
    </xf>
    <xf numFmtId="0" fontId="27" fillId="37" borderId="0" xfId="0" applyFont="1" applyFill="1"/>
    <xf numFmtId="170" fontId="57" fillId="37" borderId="0" xfId="0" applyNumberFormat="1" applyFont="1" applyFill="1"/>
    <xf numFmtId="0" fontId="8" fillId="37" borderId="0" xfId="57" applyFont="1" applyFill="1"/>
    <xf numFmtId="0" fontId="89" fillId="37" borderId="0" xfId="57" applyFont="1" applyFill="1"/>
    <xf numFmtId="0" fontId="8" fillId="37" borderId="0" xfId="56" applyFill="1"/>
    <xf numFmtId="0" fontId="2" fillId="37" borderId="0" xfId="57" applyFont="1" applyFill="1"/>
    <xf numFmtId="0" fontId="30" fillId="37" borderId="16" xfId="57" applyFont="1" applyFill="1" applyBorder="1"/>
    <xf numFmtId="230" fontId="23" fillId="37" borderId="16" xfId="59" applyNumberFormat="1" applyFont="1" applyFill="1" applyBorder="1" applyAlignment="1">
      <alignment horizontal="center"/>
    </xf>
    <xf numFmtId="230" fontId="23" fillId="43" borderId="16" xfId="59" applyNumberFormat="1" applyFont="1" applyFill="1" applyBorder="1" applyAlignment="1">
      <alignment horizontal="center"/>
    </xf>
    <xf numFmtId="17" fontId="2" fillId="37" borderId="0" xfId="57" applyNumberFormat="1" applyFont="1" applyFill="1"/>
    <xf numFmtId="0" fontId="30" fillId="37" borderId="0" xfId="57" applyFont="1" applyFill="1"/>
    <xf numFmtId="17" fontId="2" fillId="43" borderId="0" xfId="57" applyNumberFormat="1" applyFont="1" applyFill="1"/>
    <xf numFmtId="177" fontId="8" fillId="37" borderId="0" xfId="40" applyNumberFormat="1" applyFont="1" applyFill="1"/>
    <xf numFmtId="177" fontId="8" fillId="43" borderId="0" xfId="40" applyNumberFormat="1" applyFont="1" applyFill="1"/>
    <xf numFmtId="182" fontId="8" fillId="37" borderId="0" xfId="93" applyNumberFormat="1" applyFont="1" applyFill="1"/>
    <xf numFmtId="182" fontId="117" fillId="43" borderId="0" xfId="93" applyNumberFormat="1" applyFont="1" applyFill="1"/>
    <xf numFmtId="0" fontId="29" fillId="37" borderId="0" xfId="57" applyFont="1" applyFill="1"/>
    <xf numFmtId="0" fontId="118" fillId="37" borderId="0" xfId="57" applyFont="1" applyFill="1"/>
    <xf numFmtId="9" fontId="117" fillId="43" borderId="0" xfId="93" applyNumberFormat="1" applyFont="1" applyFill="1"/>
    <xf numFmtId="177" fontId="8" fillId="37" borderId="16" xfId="40" applyNumberFormat="1" applyFont="1" applyFill="1" applyBorder="1"/>
    <xf numFmtId="177" fontId="8" fillId="43" borderId="16" xfId="40" applyNumberFormat="1" applyFont="1" applyFill="1" applyBorder="1"/>
    <xf numFmtId="177" fontId="8" fillId="37" borderId="0" xfId="57" applyNumberFormat="1" applyFont="1" applyFill="1"/>
    <xf numFmtId="177" fontId="8" fillId="43" borderId="0" xfId="57" applyNumberFormat="1" applyFont="1" applyFill="1"/>
    <xf numFmtId="0" fontId="119" fillId="37" borderId="0" xfId="57" applyFont="1" applyFill="1"/>
    <xf numFmtId="9" fontId="119" fillId="37" borderId="0" xfId="93" applyFont="1" applyFill="1"/>
    <xf numFmtId="182" fontId="119" fillId="37" borderId="0" xfId="93" applyNumberFormat="1" applyFont="1" applyFill="1"/>
    <xf numFmtId="182" fontId="120" fillId="43" borderId="0" xfId="93" applyNumberFormat="1" applyFont="1" applyFill="1"/>
    <xf numFmtId="0" fontId="8" fillId="43" borderId="0" xfId="57" applyFont="1" applyFill="1"/>
    <xf numFmtId="177" fontId="89" fillId="37" borderId="0" xfId="40" quotePrefix="1" applyNumberFormat="1" applyFont="1" applyFill="1"/>
    <xf numFmtId="182" fontId="8" fillId="43" borderId="0" xfId="93" applyNumberFormat="1" applyFont="1" applyFill="1"/>
    <xf numFmtId="9" fontId="74" fillId="37" borderId="0" xfId="93" applyFont="1" applyFill="1"/>
    <xf numFmtId="9" fontId="120" fillId="43" borderId="0" xfId="93" applyFont="1" applyFill="1"/>
    <xf numFmtId="0" fontId="8" fillId="37" borderId="16" xfId="57" applyFont="1" applyFill="1" applyBorder="1"/>
    <xf numFmtId="0" fontId="8" fillId="43" borderId="16" xfId="57" applyFont="1" applyFill="1" applyBorder="1"/>
    <xf numFmtId="177" fontId="2" fillId="37" borderId="0" xfId="57" applyNumberFormat="1" applyFont="1" applyFill="1"/>
    <xf numFmtId="177" fontId="2" fillId="43" borderId="0" xfId="57" applyNumberFormat="1" applyFont="1" applyFill="1"/>
    <xf numFmtId="0" fontId="74" fillId="37" borderId="0" xfId="57" applyFont="1" applyFill="1"/>
    <xf numFmtId="0" fontId="121" fillId="37" borderId="0" xfId="57" applyFont="1" applyFill="1" applyAlignment="1">
      <alignment horizontal="center"/>
    </xf>
    <xf numFmtId="177" fontId="121" fillId="37" borderId="0" xfId="40" applyNumberFormat="1" applyFont="1" applyFill="1" applyAlignment="1">
      <alignment horizontal="center"/>
    </xf>
    <xf numFmtId="0" fontId="122" fillId="37" borderId="0" xfId="57" applyFont="1" applyFill="1" applyAlignment="1">
      <alignment horizontal="center"/>
    </xf>
    <xf numFmtId="177" fontId="89" fillId="37" borderId="0" xfId="40" applyNumberFormat="1" applyFont="1" applyFill="1"/>
    <xf numFmtId="43" fontId="116" fillId="37" borderId="0" xfId="40" applyNumberFormat="1" applyFont="1" applyFill="1"/>
    <xf numFmtId="0" fontId="8" fillId="0" borderId="0" xfId="57" applyFont="1"/>
    <xf numFmtId="177" fontId="30" fillId="42" borderId="18" xfId="40" applyNumberFormat="1" applyFont="1" applyFill="1" applyBorder="1"/>
    <xf numFmtId="177" fontId="8" fillId="42" borderId="17" xfId="40" applyNumberFormat="1" applyFont="1" applyFill="1" applyBorder="1"/>
    <xf numFmtId="177" fontId="8" fillId="42" borderId="30" xfId="40" applyNumberFormat="1" applyFont="1" applyFill="1" applyBorder="1"/>
    <xf numFmtId="177" fontId="89" fillId="42" borderId="18" xfId="40" applyNumberFormat="1" applyFont="1" applyFill="1" applyBorder="1"/>
    <xf numFmtId="0" fontId="8" fillId="42" borderId="17" xfId="57" applyFont="1" applyFill="1" applyBorder="1"/>
    <xf numFmtId="0" fontId="2" fillId="40" borderId="0" xfId="57" applyFont="1" applyFill="1" applyBorder="1"/>
    <xf numFmtId="165" fontId="8" fillId="40" borderId="0" xfId="57" applyNumberFormat="1" applyFont="1" applyFill="1" applyBorder="1"/>
    <xf numFmtId="177" fontId="89" fillId="37" borderId="16" xfId="40" applyNumberFormat="1" applyFont="1" applyFill="1" applyBorder="1"/>
    <xf numFmtId="0" fontId="8" fillId="40" borderId="0" xfId="57" applyFont="1" applyFill="1" applyBorder="1"/>
    <xf numFmtId="177" fontId="30" fillId="37" borderId="0" xfId="40" applyNumberFormat="1" applyFont="1" applyFill="1"/>
    <xf numFmtId="177" fontId="118" fillId="37" borderId="0" xfId="40" applyNumberFormat="1" applyFont="1" applyFill="1"/>
    <xf numFmtId="182" fontId="8" fillId="37" borderId="0" xfId="93" applyNumberFormat="1" applyFont="1" applyFill="1" applyAlignment="1">
      <alignment horizontal="right"/>
    </xf>
    <xf numFmtId="182" fontId="118" fillId="37" borderId="0" xfId="93" applyNumberFormat="1" applyFont="1" applyFill="1"/>
    <xf numFmtId="177" fontId="30" fillId="40" borderId="0" xfId="40" applyNumberFormat="1" applyFont="1" applyFill="1" applyBorder="1"/>
    <xf numFmtId="177" fontId="89" fillId="37" borderId="0" xfId="40" applyNumberFormat="1" applyFont="1" applyFill="1" applyBorder="1"/>
    <xf numFmtId="177" fontId="118" fillId="37" borderId="0" xfId="40" applyNumberFormat="1" applyFont="1" applyFill="1" applyAlignment="1">
      <alignment horizontal="center"/>
    </xf>
    <xf numFmtId="182" fontId="89" fillId="37" borderId="0" xfId="93" applyNumberFormat="1" applyFont="1" applyFill="1"/>
    <xf numFmtId="44" fontId="8" fillId="40" borderId="0" xfId="44" applyFont="1" applyFill="1" applyBorder="1"/>
    <xf numFmtId="9" fontId="89" fillId="37" borderId="0" xfId="93" applyFont="1" applyFill="1"/>
    <xf numFmtId="9" fontId="118" fillId="37" borderId="0" xfId="93" applyFont="1" applyFill="1" applyAlignment="1">
      <alignment horizontal="center"/>
    </xf>
    <xf numFmtId="177" fontId="30" fillId="42" borderId="17" xfId="40" applyNumberFormat="1" applyFont="1" applyFill="1" applyBorder="1" applyAlignment="1">
      <alignment horizontal="center"/>
    </xf>
    <xf numFmtId="182" fontId="30" fillId="42" borderId="30" xfId="93" applyNumberFormat="1" applyFont="1" applyFill="1" applyBorder="1"/>
    <xf numFmtId="177" fontId="89" fillId="37" borderId="16" xfId="40" applyNumberFormat="1" applyFont="1" applyFill="1" applyBorder="1" applyAlignment="1">
      <alignment horizontal="center"/>
    </xf>
    <xf numFmtId="44" fontId="30" fillId="42" borderId="30" xfId="44" applyFont="1" applyFill="1" applyBorder="1"/>
    <xf numFmtId="177" fontId="89" fillId="0" borderId="0" xfId="40" applyNumberFormat="1" applyFont="1"/>
    <xf numFmtId="9" fontId="8" fillId="37" borderId="0" xfId="93" applyFont="1" applyFill="1"/>
    <xf numFmtId="0" fontId="140" fillId="37" borderId="0" xfId="57" applyFont="1" applyFill="1"/>
    <xf numFmtId="177" fontId="140" fillId="37" borderId="0" xfId="40" applyNumberFormat="1" applyFont="1" applyFill="1"/>
    <xf numFmtId="0" fontId="140" fillId="37" borderId="0" xfId="56" applyFont="1" applyFill="1"/>
    <xf numFmtId="9" fontId="141" fillId="37" borderId="0" xfId="57" applyNumberFormat="1" applyFont="1" applyFill="1"/>
    <xf numFmtId="182" fontId="137" fillId="37" borderId="0" xfId="57" applyNumberFormat="1" applyFont="1" applyFill="1"/>
    <xf numFmtId="182" fontId="141" fillId="0" borderId="0" xfId="93" applyNumberFormat="1" applyFont="1" applyFill="1"/>
    <xf numFmtId="44" fontId="137" fillId="0" borderId="0" xfId="57" applyNumberFormat="1" applyFont="1"/>
    <xf numFmtId="172" fontId="137" fillId="0" borderId="0" xfId="57" applyNumberFormat="1" applyFont="1" applyFill="1" applyAlignment="1">
      <alignment horizontal="right"/>
    </xf>
    <xf numFmtId="182" fontId="137" fillId="37" borderId="0" xfId="93" applyNumberFormat="1" applyFont="1" applyFill="1" applyAlignment="1">
      <alignment horizontal="right"/>
    </xf>
    <xf numFmtId="0" fontId="130" fillId="38" borderId="0" xfId="0" applyFont="1" applyFill="1" applyAlignment="1">
      <alignment horizontal="center"/>
    </xf>
    <xf numFmtId="166" fontId="23" fillId="37" borderId="0" xfId="56" applyNumberFormat="1" applyFont="1" applyFill="1" applyAlignment="1">
      <alignment horizontal="right"/>
    </xf>
    <xf numFmtId="175" fontId="23" fillId="37" borderId="0" xfId="0" applyNumberFormat="1" applyFont="1" applyFill="1" applyBorder="1"/>
    <xf numFmtId="2" fontId="8" fillId="37" borderId="0" xfId="56" applyNumberFormat="1" applyFont="1" applyFill="1"/>
    <xf numFmtId="204" fontId="8" fillId="37" borderId="0" xfId="56" applyNumberFormat="1" applyFont="1" applyFill="1"/>
    <xf numFmtId="0" fontId="8" fillId="0" borderId="0" xfId="57"/>
    <xf numFmtId="43" fontId="0" fillId="0" borderId="0" xfId="40" applyFont="1"/>
    <xf numFmtId="182" fontId="0" fillId="0" borderId="0" xfId="93" applyNumberFormat="1" applyFont="1"/>
    <xf numFmtId="182" fontId="8" fillId="0" borderId="0" xfId="57" applyNumberFormat="1"/>
    <xf numFmtId="196" fontId="8" fillId="37" borderId="0" xfId="56" applyNumberFormat="1" applyFont="1" applyFill="1"/>
    <xf numFmtId="39" fontId="80" fillId="37" borderId="0" xfId="78" applyNumberFormat="1" applyFont="1" applyFill="1" applyAlignment="1" applyProtection="1">
      <alignment horizontal="center"/>
    </xf>
    <xf numFmtId="0" fontId="8" fillId="37" borderId="0" xfId="57" applyFont="1" applyFill="1" applyBorder="1"/>
    <xf numFmtId="37" fontId="80" fillId="37" borderId="0" xfId="78" applyFont="1" applyFill="1" applyAlignment="1" applyProtection="1">
      <alignment horizontal="center"/>
    </xf>
    <xf numFmtId="0" fontId="8" fillId="37" borderId="0" xfId="0" applyFont="1" applyFill="1" applyAlignment="1">
      <alignment horizontal="center"/>
    </xf>
    <xf numFmtId="0" fontId="1" fillId="37" borderId="0" xfId="0" applyFont="1" applyFill="1"/>
    <xf numFmtId="0" fontId="1" fillId="37" borderId="0" xfId="0" applyFont="1" applyFill="1" applyAlignment="1">
      <alignment horizontal="left"/>
    </xf>
    <xf numFmtId="0" fontId="1" fillId="37" borderId="0" xfId="0" applyFont="1" applyFill="1" applyAlignment="1">
      <alignment horizontal="center"/>
    </xf>
    <xf numFmtId="0" fontId="2" fillId="37" borderId="0" xfId="0" quotePrefix="1" applyFont="1" applyFill="1" applyAlignment="1">
      <alignment horizontal="center"/>
    </xf>
    <xf numFmtId="0" fontId="2" fillId="37" borderId="0" xfId="0" quotePrefix="1" applyFont="1" applyFill="1" applyBorder="1" applyAlignment="1">
      <alignment horizontal="centerContinuous"/>
    </xf>
    <xf numFmtId="0" fontId="2" fillId="37" borderId="16" xfId="0" applyFont="1" applyFill="1" applyBorder="1" applyAlignment="1">
      <alignment horizontal="left"/>
    </xf>
    <xf numFmtId="0" fontId="1" fillId="43" borderId="0" xfId="0" applyFont="1" applyFill="1"/>
    <xf numFmtId="0" fontId="8" fillId="43" borderId="0" xfId="0" applyFont="1" applyFill="1"/>
    <xf numFmtId="180" fontId="8" fillId="43" borderId="0" xfId="0" applyNumberFormat="1" applyFont="1" applyFill="1"/>
    <xf numFmtId="0" fontId="2" fillId="43" borderId="0" xfId="0" applyFont="1" applyFill="1"/>
    <xf numFmtId="0" fontId="1" fillId="0" borderId="0" xfId="0" applyFont="1"/>
    <xf numFmtId="182" fontId="0" fillId="0" borderId="0" xfId="91" applyNumberFormat="1" applyFont="1"/>
    <xf numFmtId="9" fontId="1" fillId="41" borderId="0" xfId="90" applyFont="1" applyFill="1"/>
    <xf numFmtId="0" fontId="2" fillId="0" borderId="0" xfId="0" applyFont="1" applyAlignment="1">
      <alignment wrapText="1"/>
    </xf>
    <xf numFmtId="165" fontId="0" fillId="0" borderId="0" xfId="0" applyNumberFormat="1" applyAlignment="1"/>
    <xf numFmtId="9" fontId="0" fillId="0" borderId="0" xfId="91" applyFont="1"/>
    <xf numFmtId="165" fontId="0" fillId="0" borderId="0" xfId="38" applyNumberFormat="1" applyFont="1"/>
    <xf numFmtId="9" fontId="0" fillId="41" borderId="0" xfId="90" applyFont="1" applyFill="1"/>
    <xf numFmtId="166" fontId="1" fillId="37" borderId="0" xfId="0" applyNumberFormat="1" applyFont="1" applyFill="1"/>
    <xf numFmtId="167" fontId="1" fillId="37" borderId="0" xfId="0" applyNumberFormat="1" applyFont="1" applyFill="1"/>
    <xf numFmtId="196" fontId="1" fillId="37" borderId="0" xfId="0" applyNumberFormat="1" applyFont="1" applyFill="1" applyAlignment="1">
      <alignment horizontal="left"/>
    </xf>
    <xf numFmtId="196" fontId="1" fillId="37" borderId="0" xfId="0" applyNumberFormat="1" applyFont="1" applyFill="1" applyBorder="1" applyAlignment="1">
      <alignment horizontal="left"/>
    </xf>
    <xf numFmtId="196" fontId="1" fillId="0" borderId="0" xfId="0" applyNumberFormat="1" applyFont="1" applyFill="1" applyAlignment="1">
      <alignment horizontal="left"/>
    </xf>
    <xf numFmtId="171" fontId="137" fillId="37" borderId="0" xfId="0" applyNumberFormat="1" applyFont="1" applyFill="1"/>
    <xf numFmtId="165" fontId="1" fillId="37" borderId="0" xfId="0" applyNumberFormat="1" applyFont="1" applyFill="1"/>
    <xf numFmtId="174" fontId="1" fillId="37" borderId="0" xfId="0" applyNumberFormat="1" applyFont="1" applyFill="1"/>
    <xf numFmtId="175" fontId="1" fillId="37" borderId="0" xfId="0" applyNumberFormat="1" applyFont="1" applyFill="1"/>
    <xf numFmtId="0" fontId="1" fillId="37" borderId="0" xfId="56" applyFont="1" applyFill="1"/>
    <xf numFmtId="174" fontId="28" fillId="37" borderId="25" xfId="36" applyNumberFormat="1" applyFont="1" applyFill="1" applyBorder="1" applyAlignment="1">
      <alignment horizontal="center"/>
    </xf>
    <xf numFmtId="174" fontId="28" fillId="37" borderId="27" xfId="36" applyNumberFormat="1" applyFont="1" applyFill="1" applyBorder="1" applyAlignment="1">
      <alignment horizontal="center"/>
    </xf>
    <xf numFmtId="166" fontId="136" fillId="37" borderId="0" xfId="56" applyNumberFormat="1" applyFont="1" applyFill="1" applyAlignment="1">
      <alignment horizontal="right"/>
    </xf>
    <xf numFmtId="174" fontId="136" fillId="37" borderId="0" xfId="56" applyNumberFormat="1" applyFont="1" applyFill="1"/>
    <xf numFmtId="175" fontId="137" fillId="37" borderId="0" xfId="56" applyNumberFormat="1" applyFont="1" applyFill="1"/>
    <xf numFmtId="174" fontId="1" fillId="37" borderId="0" xfId="56" applyNumberFormat="1" applyFont="1" applyFill="1"/>
    <xf numFmtId="175" fontId="1" fillId="37" borderId="0" xfId="56" applyNumberFormat="1" applyFont="1" applyFill="1"/>
    <xf numFmtId="37" fontId="80" fillId="43" borderId="0" xfId="78" applyFont="1" applyFill="1" applyAlignment="1" applyProtection="1">
      <alignment horizontal="centerContinuous"/>
    </xf>
    <xf numFmtId="0" fontId="8" fillId="43" borderId="0" xfId="0" applyFont="1" applyFill="1" applyAlignment="1">
      <alignment horizontal="centerContinuous"/>
    </xf>
    <xf numFmtId="0" fontId="8" fillId="43" borderId="0" xfId="0" applyFont="1" applyFill="1" applyAlignment="1">
      <alignment horizontal="center"/>
    </xf>
    <xf numFmtId="172" fontId="1" fillId="37" borderId="0" xfId="0" applyNumberFormat="1" applyFont="1" applyFill="1"/>
    <xf numFmtId="182" fontId="1" fillId="37" borderId="0" xfId="90" applyNumberFormat="1" applyFont="1" applyFill="1"/>
    <xf numFmtId="176" fontId="1" fillId="37" borderId="0" xfId="36" applyNumberFormat="1" applyFont="1" applyFill="1"/>
    <xf numFmtId="183" fontId="1" fillId="37" borderId="0" xfId="42" applyNumberFormat="1" applyFont="1" applyFill="1"/>
    <xf numFmtId="43" fontId="8" fillId="37" borderId="0" xfId="90" applyNumberFormat="1" applyFont="1" applyFill="1"/>
    <xf numFmtId="0" fontId="11" fillId="40" borderId="0" xfId="0" applyFont="1" applyFill="1"/>
    <xf numFmtId="170" fontId="11" fillId="40" borderId="0" xfId="0" applyNumberFormat="1" applyFont="1" applyFill="1"/>
    <xf numFmtId="1" fontId="11" fillId="40" borderId="0" xfId="0" applyNumberFormat="1" applyFont="1" applyFill="1"/>
    <xf numFmtId="0" fontId="14" fillId="40" borderId="0" xfId="0" applyFont="1" applyFill="1" applyAlignment="1">
      <alignment horizontal="center"/>
    </xf>
    <xf numFmtId="1" fontId="14" fillId="40" borderId="0" xfId="0" applyNumberFormat="1" applyFont="1" applyFill="1" applyAlignment="1">
      <alignment horizontal="center"/>
    </xf>
    <xf numFmtId="0" fontId="80" fillId="37" borderId="0" xfId="0" applyFont="1" applyFill="1" applyBorder="1"/>
    <xf numFmtId="2" fontId="8" fillId="37" borderId="25" xfId="0" applyNumberFormat="1" applyFont="1" applyFill="1" applyBorder="1"/>
    <xf numFmtId="197" fontId="8" fillId="37" borderId="17" xfId="0" applyNumberFormat="1" applyFont="1" applyFill="1" applyBorder="1"/>
    <xf numFmtId="0" fontId="130" fillId="38" borderId="0" xfId="0" applyFont="1" applyFill="1" applyAlignment="1">
      <alignment horizontal="center"/>
    </xf>
    <xf numFmtId="178" fontId="8" fillId="37" borderId="0" xfId="0" applyNumberFormat="1" applyFont="1" applyFill="1" applyAlignment="1"/>
    <xf numFmtId="222" fontId="8" fillId="37" borderId="0" xfId="0" applyNumberFormat="1" applyFont="1" applyFill="1"/>
    <xf numFmtId="197" fontId="8" fillId="37" borderId="0" xfId="36" applyNumberFormat="1" applyFont="1" applyFill="1"/>
    <xf numFmtId="234" fontId="8" fillId="37" borderId="0" xfId="0" applyNumberFormat="1" applyFont="1" applyFill="1"/>
    <xf numFmtId="232" fontId="8" fillId="37" borderId="17" xfId="0" applyNumberFormat="1" applyFont="1" applyFill="1" applyBorder="1"/>
    <xf numFmtId="233" fontId="8" fillId="37" borderId="17" xfId="0" applyNumberFormat="1" applyFont="1" applyFill="1" applyBorder="1"/>
    <xf numFmtId="176" fontId="137" fillId="37" borderId="0" xfId="36" applyNumberFormat="1" applyFont="1" applyFill="1" applyBorder="1"/>
    <xf numFmtId="183" fontId="8" fillId="37" borderId="15" xfId="0" applyNumberFormat="1" applyFont="1" applyFill="1" applyBorder="1"/>
    <xf numFmtId="176" fontId="28" fillId="37" borderId="0" xfId="36" applyNumberFormat="1" applyFont="1" applyFill="1" applyBorder="1"/>
    <xf numFmtId="197" fontId="81" fillId="37" borderId="0" xfId="105" applyNumberFormat="1" applyFont="1" applyFill="1"/>
    <xf numFmtId="0" fontId="1" fillId="0" borderId="0" xfId="117"/>
    <xf numFmtId="37" fontId="80" fillId="37" borderId="0" xfId="78" applyFont="1" applyFill="1" applyAlignment="1" applyProtection="1">
      <alignment horizontal="center"/>
    </xf>
    <xf numFmtId="0" fontId="8" fillId="37" borderId="0" xfId="0" applyFont="1" applyFill="1" applyAlignment="1">
      <alignment horizontal="center"/>
    </xf>
    <xf numFmtId="166" fontId="8" fillId="37" borderId="0" xfId="0" applyNumberFormat="1" applyFont="1" applyFill="1" applyAlignment="1">
      <alignment horizontal="center"/>
    </xf>
    <xf numFmtId="196" fontId="137" fillId="0" borderId="0" xfId="0" applyNumberFormat="1" applyFont="1" applyFill="1" applyAlignment="1">
      <alignment horizontal="left"/>
    </xf>
    <xf numFmtId="171" fontId="1" fillId="37" borderId="0" xfId="0" applyNumberFormat="1" applyFont="1" applyFill="1"/>
    <xf numFmtId="165" fontId="137" fillId="37" borderId="0" xfId="0" applyNumberFormat="1" applyFont="1" applyFill="1"/>
    <xf numFmtId="175" fontId="137" fillId="37" borderId="0" xfId="0" applyNumberFormat="1" applyFont="1" applyFill="1"/>
    <xf numFmtId="2" fontId="137" fillId="37" borderId="0" xfId="0" applyNumberFormat="1" applyFont="1" applyFill="1" applyAlignment="1">
      <alignment horizontal="right"/>
    </xf>
    <xf numFmtId="175" fontId="137" fillId="37" borderId="0" xfId="0" applyNumberFormat="1" applyFont="1" applyFill="1" applyBorder="1"/>
    <xf numFmtId="180" fontId="1" fillId="37" borderId="0" xfId="0" applyNumberFormat="1" applyFont="1" applyFill="1" applyBorder="1"/>
    <xf numFmtId="173" fontId="1" fillId="37" borderId="0" xfId="0" applyNumberFormat="1" applyFont="1" applyFill="1"/>
    <xf numFmtId="9" fontId="80" fillId="37" borderId="0" xfId="90" applyFont="1" applyFill="1" applyAlignment="1" applyProtection="1">
      <alignment horizontal="center"/>
    </xf>
    <xf numFmtId="182" fontId="80" fillId="37" borderId="0" xfId="90" applyNumberFormat="1" applyFont="1" applyFill="1" applyAlignment="1" applyProtection="1">
      <alignment horizontal="center"/>
    </xf>
    <xf numFmtId="176" fontId="134" fillId="37" borderId="0" xfId="36" applyNumberFormat="1" applyFont="1" applyFill="1"/>
    <xf numFmtId="43" fontId="1" fillId="37" borderId="0" xfId="56" applyNumberFormat="1" applyFont="1" applyFill="1"/>
    <xf numFmtId="180" fontId="142" fillId="37" borderId="0" xfId="0" applyNumberFormat="1" applyFont="1" applyFill="1"/>
    <xf numFmtId="165" fontId="11" fillId="40" borderId="0" xfId="0" applyNumberFormat="1" applyFont="1" applyFill="1"/>
    <xf numFmtId="217" fontId="8" fillId="37" borderId="0" xfId="0" applyNumberFormat="1" applyFont="1" applyFill="1" applyAlignment="1">
      <alignment horizontal="center"/>
    </xf>
    <xf numFmtId="167" fontId="137" fillId="37" borderId="0" xfId="0" applyNumberFormat="1" applyFont="1" applyFill="1"/>
    <xf numFmtId="175" fontId="1" fillId="37" borderId="16" xfId="0" applyNumberFormat="1" applyFont="1" applyFill="1" applyBorder="1"/>
    <xf numFmtId="9" fontId="11" fillId="0" borderId="0" xfId="90" applyFont="1"/>
    <xf numFmtId="164" fontId="80" fillId="37" borderId="0" xfId="78" applyNumberFormat="1" applyFont="1" applyFill="1" applyAlignment="1" applyProtection="1">
      <alignment horizontal="center"/>
    </xf>
    <xf numFmtId="235" fontId="8" fillId="37" borderId="0" xfId="0" applyNumberFormat="1" applyFont="1" applyFill="1"/>
    <xf numFmtId="236" fontId="8" fillId="37" borderId="0" xfId="0" applyNumberFormat="1" applyFont="1" applyFill="1"/>
    <xf numFmtId="224" fontId="80" fillId="37" borderId="0" xfId="78" applyNumberFormat="1" applyFont="1" applyFill="1" applyAlignment="1" applyProtection="1">
      <alignment horizontal="center"/>
    </xf>
    <xf numFmtId="165" fontId="1" fillId="37" borderId="16" xfId="0" applyNumberFormat="1" applyFont="1" applyFill="1" applyBorder="1"/>
    <xf numFmtId="165" fontId="137" fillId="37" borderId="0" xfId="0" applyNumberFormat="1" applyFont="1" applyFill="1" applyAlignment="1">
      <alignment horizontal="right"/>
    </xf>
    <xf numFmtId="0" fontId="25" fillId="37" borderId="0" xfId="0" applyFont="1" applyFill="1"/>
    <xf numFmtId="170" fontId="25" fillId="37" borderId="0" xfId="0" applyNumberFormat="1" applyFont="1" applyFill="1"/>
    <xf numFmtId="0" fontId="25" fillId="37" borderId="16" xfId="0" applyFont="1" applyFill="1" applyBorder="1"/>
    <xf numFmtId="3" fontId="137" fillId="37" borderId="0" xfId="0" applyNumberFormat="1" applyFont="1" applyFill="1" applyBorder="1"/>
    <xf numFmtId="3" fontId="137" fillId="37" borderId="16" xfId="0" applyNumberFormat="1" applyFont="1" applyFill="1" applyBorder="1"/>
    <xf numFmtId="10" fontId="80" fillId="37" borderId="0" xfId="90" applyNumberFormat="1" applyFont="1" applyFill="1" applyAlignment="1" applyProtection="1">
      <alignment horizontal="center"/>
    </xf>
    <xf numFmtId="169" fontId="8" fillId="37" borderId="0" xfId="56" applyNumberFormat="1" applyFont="1" applyFill="1"/>
    <xf numFmtId="170" fontId="1" fillId="37" borderId="0" xfId="56" applyNumberFormat="1" applyFont="1" applyFill="1"/>
    <xf numFmtId="221" fontId="8" fillId="37" borderId="0" xfId="56" applyNumberFormat="1" applyFont="1" applyFill="1"/>
    <xf numFmtId="3" fontId="1" fillId="37" borderId="16" xfId="0" applyNumberFormat="1" applyFont="1" applyFill="1" applyBorder="1"/>
    <xf numFmtId="237" fontId="80" fillId="37" borderId="0" xfId="78" applyNumberFormat="1" applyFont="1" applyFill="1" applyAlignment="1" applyProtection="1">
      <alignment horizontal="center"/>
    </xf>
    <xf numFmtId="185" fontId="28" fillId="37" borderId="0" xfId="36" applyNumberFormat="1" applyFont="1" applyFill="1"/>
    <xf numFmtId="172" fontId="137" fillId="37" borderId="0" xfId="0" applyNumberFormat="1" applyFont="1" applyFill="1"/>
    <xf numFmtId="0" fontId="130" fillId="38" borderId="0" xfId="0" applyFont="1" applyFill="1" applyAlignment="1">
      <alignment horizontal="center"/>
    </xf>
    <xf numFmtId="44" fontId="11" fillId="0" borderId="0" xfId="0" applyNumberFormat="1" applyFont="1"/>
    <xf numFmtId="44" fontId="24" fillId="0" borderId="0" xfId="42" applyNumberFormat="1" applyFont="1" applyBorder="1"/>
    <xf numFmtId="43" fontId="8" fillId="37" borderId="0" xfId="36" applyNumberFormat="1" applyFont="1" applyFill="1" applyBorder="1"/>
    <xf numFmtId="0" fontId="12" fillId="0" borderId="0" xfId="0" applyFont="1"/>
    <xf numFmtId="165" fontId="1" fillId="37" borderId="0" xfId="0" applyNumberFormat="1" applyFont="1" applyFill="1" applyAlignment="1">
      <alignment horizontal="center"/>
    </xf>
    <xf numFmtId="182" fontId="1" fillId="37" borderId="0" xfId="90" applyNumberFormat="1" applyFont="1" applyFill="1" applyAlignment="1">
      <alignment horizontal="center"/>
    </xf>
    <xf numFmtId="0" fontId="130" fillId="38" borderId="15" xfId="0" applyFont="1" applyFill="1" applyBorder="1" applyAlignment="1">
      <alignment vertical="center"/>
    </xf>
    <xf numFmtId="0" fontId="130" fillId="38" borderId="0" xfId="0" applyFont="1" applyFill="1" applyAlignment="1">
      <alignment vertical="center"/>
    </xf>
    <xf numFmtId="0" fontId="130" fillId="38" borderId="0" xfId="0" applyFont="1" applyFill="1" applyAlignment="1">
      <alignment horizontal="center"/>
    </xf>
    <xf numFmtId="37" fontId="80" fillId="37" borderId="0" xfId="78" applyFont="1" applyFill="1" applyAlignment="1" applyProtection="1">
      <alignment horizontal="center"/>
    </xf>
    <xf numFmtId="0" fontId="8" fillId="37" borderId="0" xfId="0" applyFont="1" applyFill="1" applyAlignment="1">
      <alignment horizontal="center"/>
    </xf>
    <xf numFmtId="166" fontId="8" fillId="37" borderId="0" xfId="0" applyNumberFormat="1" applyFont="1" applyFill="1" applyAlignment="1">
      <alignment horizontal="center"/>
    </xf>
    <xf numFmtId="37" fontId="80" fillId="43" borderId="0" xfId="78" applyFont="1" applyFill="1" applyAlignment="1" applyProtection="1">
      <alignment horizontal="center"/>
    </xf>
    <xf numFmtId="0" fontId="8" fillId="43" borderId="0" xfId="0" applyFont="1" applyFill="1" applyAlignment="1">
      <alignment horizontal="center"/>
    </xf>
    <xf numFmtId="37" fontId="2" fillId="37" borderId="15" xfId="76" applyNumberFormat="1" applyFont="1" applyFill="1" applyBorder="1" applyAlignment="1" applyProtection="1">
      <alignment horizontal="center"/>
    </xf>
    <xf numFmtId="37" fontId="29" fillId="0" borderId="0" xfId="78" applyFont="1" applyBorder="1" applyAlignment="1" applyProtection="1">
      <alignment horizontal="center" wrapText="1"/>
    </xf>
    <xf numFmtId="0" fontId="55" fillId="0" borderId="0" xfId="3" applyFont="1" applyFill="1" applyBorder="1" applyAlignment="1" applyProtection="1">
      <alignment horizontal="center" vertical="center" wrapText="1"/>
    </xf>
    <xf numFmtId="0" fontId="99" fillId="0" borderId="0" xfId="3" applyFont="1" applyFill="1" applyBorder="1" applyAlignment="1" applyProtection="1">
      <alignment horizontal="center" vertical="center" wrapText="1"/>
    </xf>
    <xf numFmtId="0" fontId="102" fillId="0" borderId="0" xfId="3" applyFont="1" applyBorder="1" applyAlignment="1">
      <alignment horizontal="center"/>
    </xf>
    <xf numFmtId="0" fontId="102" fillId="0" borderId="38" xfId="3" applyFont="1" applyBorder="1" applyAlignment="1">
      <alignment horizontal="center"/>
    </xf>
    <xf numFmtId="0" fontId="33" fillId="0" borderId="0" xfId="70" applyFont="1" applyFill="1" applyBorder="1" applyAlignment="1">
      <alignment horizontal="left" vertical="center" wrapText="1"/>
    </xf>
    <xf numFmtId="177" fontId="33" fillId="0" borderId="0" xfId="70" applyNumberFormat="1" applyFont="1" applyFill="1" applyBorder="1" applyAlignment="1">
      <alignment horizontal="center" vertical="center"/>
    </xf>
    <xf numFmtId="0" fontId="2" fillId="37" borderId="0" xfId="57" applyFont="1" applyFill="1" applyAlignment="1">
      <alignment horizontal="center"/>
    </xf>
    <xf numFmtId="0" fontId="2" fillId="43" borderId="0" xfId="57" applyFont="1" applyFill="1" applyAlignment="1">
      <alignment horizontal="center"/>
    </xf>
    <xf numFmtId="0" fontId="8" fillId="0" borderId="0" xfId="57" applyAlignment="1">
      <alignment horizontal="center"/>
    </xf>
    <xf numFmtId="0" fontId="26" fillId="37" borderId="16" xfId="0" applyFont="1" applyFill="1" applyBorder="1" applyAlignment="1">
      <alignment horizontal="center"/>
    </xf>
    <xf numFmtId="0" fontId="1" fillId="44" borderId="0" xfId="124" applyFont="1" applyFill="1" applyAlignment="1">
      <alignment vertical="top"/>
    </xf>
    <xf numFmtId="0" fontId="1" fillId="44" borderId="0" xfId="117" applyFill="1" applyAlignment="1">
      <alignment vertical="top"/>
    </xf>
    <xf numFmtId="0" fontId="1" fillId="44" borderId="0" xfId="117" applyFill="1"/>
    <xf numFmtId="0" fontId="25" fillId="44" borderId="0" xfId="124" applyFont="1" applyFill="1" applyAlignment="1">
      <alignment horizontal="left" vertical="top"/>
    </xf>
    <xf numFmtId="0" fontId="1" fillId="44" borderId="0" xfId="117" applyFont="1" applyFill="1" applyAlignment="1">
      <alignment vertical="top"/>
    </xf>
    <xf numFmtId="0" fontId="29" fillId="44" borderId="0" xfId="124" applyFont="1" applyFill="1" applyAlignment="1">
      <alignment vertical="top"/>
    </xf>
    <xf numFmtId="0" fontId="0" fillId="44" borderId="0" xfId="0" applyFill="1" applyAlignment="1">
      <alignment vertical="top"/>
    </xf>
    <xf numFmtId="0" fontId="143" fillId="44" borderId="0" xfId="0" applyFont="1" applyFill="1" applyAlignment="1">
      <alignment vertical="top"/>
    </xf>
    <xf numFmtId="0" fontId="144" fillId="44" borderId="0" xfId="0" applyFont="1" applyFill="1" applyAlignment="1">
      <alignment vertical="top"/>
    </xf>
    <xf numFmtId="0" fontId="144" fillId="44" borderId="0" xfId="0" applyFont="1" applyFill="1" applyAlignment="1">
      <alignment vertical="top"/>
    </xf>
    <xf numFmtId="0" fontId="143" fillId="44" borderId="0" xfId="0" applyFont="1" applyFill="1" applyAlignment="1">
      <alignment vertical="top"/>
    </xf>
    <xf numFmtId="0" fontId="0" fillId="44" borderId="0" xfId="0" applyFill="1" applyAlignment="1">
      <alignment vertical="top"/>
    </xf>
    <xf numFmtId="0" fontId="0" fillId="44" borderId="58" xfId="0" applyFill="1" applyBorder="1" applyAlignment="1">
      <alignment vertical="top"/>
    </xf>
    <xf numFmtId="0" fontId="143" fillId="44" borderId="54" xfId="0" applyFont="1" applyFill="1" applyBorder="1" applyAlignment="1">
      <alignment vertical="top"/>
    </xf>
    <xf numFmtId="0" fontId="143" fillId="44" borderId="55" xfId="0" applyFont="1" applyFill="1" applyBorder="1" applyAlignment="1">
      <alignment vertical="top"/>
    </xf>
    <xf numFmtId="0" fontId="143" fillId="44" borderId="56" xfId="0" applyFont="1" applyFill="1" applyBorder="1" applyAlignment="1">
      <alignment vertical="top"/>
    </xf>
    <xf numFmtId="0" fontId="143" fillId="44" borderId="57" xfId="0" applyFont="1" applyFill="1" applyBorder="1" applyAlignment="1">
      <alignment vertical="top"/>
    </xf>
    <xf numFmtId="9" fontId="143" fillId="44" borderId="54" xfId="0" applyNumberFormat="1" applyFont="1" applyFill="1" applyBorder="1" applyAlignment="1">
      <alignment vertical="top"/>
    </xf>
    <xf numFmtId="3" fontId="143" fillId="44" borderId="54" xfId="0" applyNumberFormat="1" applyFont="1" applyFill="1" applyBorder="1" applyAlignment="1">
      <alignment vertical="top"/>
    </xf>
    <xf numFmtId="0" fontId="0" fillId="44" borderId="59" xfId="0" applyFill="1" applyBorder="1" applyAlignment="1">
      <alignment vertical="top"/>
    </xf>
    <xf numFmtId="2" fontId="1" fillId="0" borderId="0" xfId="117" applyNumberFormat="1" applyAlignment="1">
      <alignment horizontal="left"/>
    </xf>
    <xf numFmtId="0" fontId="1" fillId="0" borderId="0" xfId="117" applyNumberFormat="1" applyAlignment="1">
      <alignment horizontal="left"/>
    </xf>
    <xf numFmtId="1" fontId="1" fillId="0" borderId="0" xfId="117" applyNumberFormat="1" applyAlignment="1">
      <alignment horizontal="left"/>
    </xf>
    <xf numFmtId="0" fontId="1" fillId="0" borderId="0" xfId="117" applyFont="1"/>
    <xf numFmtId="243" fontId="1" fillId="0" borderId="0" xfId="117" applyNumberFormat="1" applyAlignment="1">
      <alignment horizontal="left"/>
    </xf>
    <xf numFmtId="49" fontId="1" fillId="0" borderId="0" xfId="117" applyNumberFormat="1"/>
  </cellXfs>
  <cellStyles count="125">
    <cellStyle name=" 1" xfId="1"/>
    <cellStyle name="%" xfId="2"/>
    <cellStyle name="% 2" xfId="106"/>
    <cellStyle name="******************************************" xfId="3"/>
    <cellStyle name="****************************************** 2" xfId="107"/>
    <cellStyle name="_SUMMARY " xfId="4"/>
    <cellStyle name="=C:\WINNT35\SYSTEM32\COMMAND.COM" xfId="5"/>
    <cellStyle name="=C:\WINNT35\SYSTEM32\COMMAND.COM 2" xfId="108"/>
    <cellStyle name="0_Capex &amp; Depreciation " xfId="6"/>
    <cellStyle name="0_Valuing BP " xfId="7"/>
    <cellStyle name="20% - Accent1" xfId="8" builtinId="30" customBuiltin="1"/>
    <cellStyle name="20% - Accent2" xfId="9" builtinId="34" customBuiltin="1"/>
    <cellStyle name="20% - Accent3" xfId="10" builtinId="38" customBuiltin="1"/>
    <cellStyle name="20% - Accent4" xfId="11" builtinId="42" customBuiltin="1"/>
    <cellStyle name="20% - Accent5" xfId="12" builtinId="46" customBuiltin="1"/>
    <cellStyle name="20% - Accent6" xfId="13" builtinId="50" customBuiltin="1"/>
    <cellStyle name="40% - Accent1" xfId="14" builtinId="31" customBuiltin="1"/>
    <cellStyle name="40% - Accent2" xfId="15" builtinId="35" customBuiltin="1"/>
    <cellStyle name="40% - Accent3" xfId="16" builtinId="39" customBuiltin="1"/>
    <cellStyle name="40% - Accent4" xfId="17" builtinId="43" customBuiltin="1"/>
    <cellStyle name="40% - Accent5" xfId="18" builtinId="47" customBuiltin="1"/>
    <cellStyle name="40% - Accent6" xfId="19" builtinId="51" customBuiltin="1"/>
    <cellStyle name="60% - Accent1" xfId="20" builtinId="32" customBuiltin="1"/>
    <cellStyle name="60% - Accent2" xfId="21" builtinId="36" customBuiltin="1"/>
    <cellStyle name="60% - Accent3" xfId="22" builtinId="40" customBuiltin="1"/>
    <cellStyle name="60% - Accent4" xfId="23" builtinId="44" customBuiltin="1"/>
    <cellStyle name="60% - Accent5" xfId="24" builtinId="48" customBuiltin="1"/>
    <cellStyle name="60% - Accent6" xfId="25" builtinId="52" customBuiltin="1"/>
    <cellStyle name="Accent1" xfId="26" builtinId="29" customBuiltin="1"/>
    <cellStyle name="Accent2" xfId="27" builtinId="33" customBuiltin="1"/>
    <cellStyle name="Accent3" xfId="28" builtinId="37" customBuiltin="1"/>
    <cellStyle name="Accent4" xfId="29" builtinId="41" customBuiltin="1"/>
    <cellStyle name="Accent5" xfId="30" builtinId="45" customBuiltin="1"/>
    <cellStyle name="Accent6" xfId="31" builtinId="49" customBuiltin="1"/>
    <cellStyle name="Bad" xfId="32" builtinId="27" customBuiltin="1"/>
    <cellStyle name="c_HardInc " xfId="33"/>
    <cellStyle name="Calculation" xfId="34" builtinId="22" customBuiltin="1"/>
    <cellStyle name="Check Cell" xfId="35" builtinId="23" customBuiltin="1"/>
    <cellStyle name="Comma" xfId="36" builtinId="3"/>
    <cellStyle name="comma (1)" xfId="37"/>
    <cellStyle name="Comma 2" xfId="38"/>
    <cellStyle name="Comma 2 2" xfId="109"/>
    <cellStyle name="Comma 3" xfId="39"/>
    <cellStyle name="Comma 3 2" xfId="40"/>
    <cellStyle name="Comma 3 2 2" xfId="111"/>
    <cellStyle name="Comma 3 3" xfId="110"/>
    <cellStyle name="Comma_Lease Module TPG example 30062004 capex" xfId="41"/>
    <cellStyle name="Currency" xfId="42" builtinId="4"/>
    <cellStyle name="Currency 2" xfId="43"/>
    <cellStyle name="Currency 2 2" xfId="44"/>
    <cellStyle name="Currency 2 2 2" xfId="113"/>
    <cellStyle name="Currency 2 3" xfId="112"/>
    <cellStyle name="Currency 3" xfId="45"/>
    <cellStyle name="Currency 3 2" xfId="114"/>
    <cellStyle name="Explanatory Text" xfId="46" builtinId="53" customBuiltin="1"/>
    <cellStyle name="Good" xfId="47" builtinId="26" customBuiltin="1"/>
    <cellStyle name="Heading 1" xfId="48" builtinId="16" customBuiltin="1"/>
    <cellStyle name="Heading 2" xfId="49" builtinId="17" customBuiltin="1"/>
    <cellStyle name="Heading 3" xfId="50" builtinId="18" customBuiltin="1"/>
    <cellStyle name="Heading 4" xfId="51" builtinId="19" customBuiltin="1"/>
    <cellStyle name="Hyperlink 2" xfId="52"/>
    <cellStyle name="Hyperlink 2 2" xfId="115"/>
    <cellStyle name="Input" xfId="53" builtinId="20" customBuiltin="1"/>
    <cellStyle name="Linked Cell" xfId="54" builtinId="24" customBuiltin="1"/>
    <cellStyle name="Neutral" xfId="55" builtinId="28" customBuiltin="1"/>
    <cellStyle name="Normal" xfId="0" builtinId="0"/>
    <cellStyle name="Normal 2" xfId="56"/>
    <cellStyle name="Normal 2 2" xfId="57"/>
    <cellStyle name="Normal 2 2 2" xfId="117"/>
    <cellStyle name="Normal 2 3" xfId="116"/>
    <cellStyle name="Normal 3" xfId="58"/>
    <cellStyle name="Normal 3 2" xfId="118"/>
    <cellStyle name="Normal 4" xfId="105"/>
    <cellStyle name="Normal_ABSANUAL" xfId="59"/>
    <cellStyle name="Normal_Analysis V5" xfId="60"/>
    <cellStyle name="Normal_Calculation for equity method" xfId="61"/>
    <cellStyle name="Normal_DisclaimerSheet Samples" xfId="124"/>
    <cellStyle name="Normal_Ericsson (3) Latest GW (2)" xfId="62"/>
    <cellStyle name="Normal_GM Demo" xfId="63"/>
    <cellStyle name="Normal_GPSDIFF" xfId="64"/>
    <cellStyle name="Normal_HD" xfId="65"/>
    <cellStyle name="Normal_hd roic" xfId="66"/>
    <cellStyle name="Normal_IV1" xfId="67"/>
    <cellStyle name="Normal_IV2" xfId="68"/>
    <cellStyle name="Normal_IV3" xfId="69"/>
    <cellStyle name="Normal_IV4" xfId="70"/>
    <cellStyle name="Normal_IV4_1" xfId="71"/>
    <cellStyle name="Normal_IV6" xfId="72"/>
    <cellStyle name="Normal_LBO Analyzer" xfId="73"/>
    <cellStyle name="Normal_LeaseT_Testing_Original (version 1)" xfId="74"/>
    <cellStyle name="Normal_MONTHSAL" xfId="75"/>
    <cellStyle name="Normal_NEWSPACE" xfId="76"/>
    <cellStyle name="Normal_NTL Consolidated Pro Forma for TLWT" xfId="77"/>
    <cellStyle name="Normal_qtrP&amp;L" xfId="78"/>
    <cellStyle name="Normal_qtrSales" xfId="79"/>
    <cellStyle name="Normal_RSH" xfId="80"/>
    <cellStyle name="Normal_Sheet1_1" xfId="81"/>
    <cellStyle name="Normal_Sheet1_1 2" xfId="82"/>
    <cellStyle name="Normal_STORESUM" xfId="83"/>
    <cellStyle name="Normal_turn" xfId="84"/>
    <cellStyle name="Normal_UA Model" xfId="85"/>
    <cellStyle name="Normal_Waterfall1" xfId="86"/>
    <cellStyle name="Note" xfId="87" builtinId="10" customBuiltin="1"/>
    <cellStyle name="Output" xfId="88" builtinId="21" customBuiltin="1"/>
    <cellStyle name="p " xfId="89"/>
    <cellStyle name="Percent" xfId="90" builtinId="5"/>
    <cellStyle name="Percent 2" xfId="91"/>
    <cellStyle name="Percent 2 2" xfId="119"/>
    <cellStyle name="Percent 3" xfId="92"/>
    <cellStyle name="Percent 3 2" xfId="93"/>
    <cellStyle name="Percent 3 2 2" xfId="121"/>
    <cellStyle name="Percent 3 3" xfId="120"/>
    <cellStyle name="RRSInstruction" xfId="94"/>
    <cellStyle name="RRSInstruction 2" xfId="122"/>
    <cellStyle name="s_HardInc " xfId="95"/>
    <cellStyle name="s_Valuation " xfId="96"/>
    <cellStyle name="ssp " xfId="97"/>
    <cellStyle name="Style 1" xfId="98"/>
    <cellStyle name="Style 2" xfId="99"/>
    <cellStyle name="Style 2 2" xfId="123"/>
    <cellStyle name="Style 32" xfId="100"/>
    <cellStyle name="Title" xfId="101" builtinId="15" customBuiltin="1"/>
    <cellStyle name="Total" xfId="102" builtinId="25" customBuiltin="1"/>
    <cellStyle name="Underline" xfId="103"/>
    <cellStyle name="Warning Text" xfId="104" builtinId="11" customBuiltin="1"/>
  </cellStyles>
  <dxfs count="8">
    <dxf>
      <font>
        <condense val="0"/>
        <extend val="0"/>
        <color indexed="9"/>
      </font>
    </dxf>
    <dxf>
      <font>
        <condense val="0"/>
        <extend val="0"/>
        <color indexed="9"/>
      </font>
    </dxf>
    <dxf>
      <font>
        <condense val="0"/>
        <extend val="0"/>
        <color indexed="9"/>
      </font>
    </dxf>
    <dxf>
      <font>
        <condense val="0"/>
        <extend val="0"/>
        <color indexed="12"/>
      </font>
    </dxf>
    <dxf>
      <font>
        <condense val="0"/>
        <extend val="0"/>
        <color indexed="10"/>
      </font>
    </dxf>
    <dxf>
      <font>
        <condense val="0"/>
        <extend val="0"/>
        <color indexed="9"/>
      </font>
      <fill>
        <patternFill>
          <bgColor indexed="9"/>
        </patternFill>
      </fill>
      <border>
        <left/>
        <right/>
        <top/>
        <bottom/>
      </border>
    </dxf>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$50 </v>
        <stp/>
        <stp>de5a4e45-3330-4e83-a983-5ec76dadd036</stp>
        <tr r="E22" s="39"/>
      </tp>
      <tp t="s">
        <v>Manual Calculation</v>
        <stp/>
        <stp>4da5e3fd-1c46-4f84-917f-1316485d4bda</stp>
        <tr r="H78" s="38"/>
      </tp>
      <tp t="s">
        <v xml:space="preserve">   $   122.86   </v>
        <stp/>
        <stp>3fa80697-7f3d-49b1-b9ba-c9df6949889c</stp>
        <tr r="D37" s="60"/>
      </tp>
      <tp>
        <v>6.8000000000000005E-2</v>
        <stp/>
        <stp>5826eebc-292b-4e0e-b076-6c963cf1b162</stp>
        <tr r="P190" s="38"/>
      </tp>
      <tp t="s">
        <v xml:space="preserve">               -     </v>
        <stp/>
        <stp>1faa6cdd-4d12-4a2c-81d1-5c3b5b684916</stp>
        <tr r="H194" s="38"/>
      </tp>
      <tp t="s">
        <v>Manual Calculation</v>
        <stp/>
        <stp>833fef7b-cd9c-4ca7-aa19-f9bda2ff4520</stp>
        <tr r="H80" s="38"/>
      </tp>
      <tp>
        <v>91</v>
        <stp/>
        <stp>22f24d52-1fc1-41eb-a761-bfc7fbf5187c</stp>
        <tr r="E14" s="39"/>
      </tp>
      <tp>
        <v>0</v>
        <stp/>
        <stp>cb60560a-7d4c-44bf-be06-5c177dbd72f1</stp>
        <tr r="I191" s="38"/>
      </tp>
      <tp>
        <v>0</v>
        <stp/>
        <stp>b1099b65-4702-40d6-adef-e0899d7ffa80</stp>
        <tr r="N190" s="38"/>
      </tp>
      <tp t="s">
        <v xml:space="preserve">               -     </v>
        <stp/>
        <stp>db1cde4d-4561-4766-b372-041243e1442d</stp>
        <tr r="H196" s="38"/>
      </tp>
      <tp>
        <v>0</v>
        <stp/>
        <stp>9f06cd10-4969-4af6-a7b5-223be0352b55</stp>
        <tr r="L190" s="38"/>
      </tp>
      <tp t="s">
        <v xml:space="preserve">               -     </v>
        <stp/>
        <stp>07bd3162-b6ec-41ca-9844-da6333202f0b</stp>
        <tr r="H195" s="38"/>
      </tp>
      <tp>
        <v>0</v>
        <stp/>
        <stp>f23b7759-0e20-43ae-8765-c502a12f3d05</stp>
        <tr r="I190" s="38"/>
      </tp>
      <tp t="s">
        <v xml:space="preserve">$0.70 </v>
        <stp/>
        <stp>268c0656-ab71-4a92-a717-4ea62d081e48</stp>
        <tr r="E25" s="39"/>
      </tp>
      <tp t="s">
        <v>Burlington Stores Inc</v>
        <stp/>
        <stp>6608048c-b10e-49d6-9b12-1e9d2de13a7c</stp>
        <tr r="C4" s="38"/>
      </tp>
      <tp t="s">
        <v>Manual Calculation</v>
        <stp/>
        <stp>a421df31-65f3-409b-b28a-019ea53bbced</stp>
        <tr r="H79" s="38"/>
      </tp>
      <tp>
        <v>553</v>
        <stp/>
        <stp>b6587f9b-6692-4049-a884-8a073937eeeb</stp>
        <tr r="E8" s="39"/>
      </tp>
      <tp>
        <v>0</v>
        <stp/>
        <stp>e9ef119e-150b-44ea-b779-6428029be379</stp>
        <tr r="J190" s="38"/>
      </tp>
      <tp t="s">
        <v>Manual Calculation</v>
        <stp/>
        <stp>2be0c786-d326-445f-938e-4eadf7eddfa9</stp>
        <tr r="H76" s="38"/>
      </tp>
      <tp>
        <v>78</v>
        <stp/>
        <stp>fa29bb1f-1f86-4026-af5d-3fa1e2e7c90d</stp>
        <tr r="E18" s="39"/>
      </tp>
      <tp>
        <v>0</v>
        <stp/>
        <stp>1c43df6f-4340-4798-b123-3543ed6a47b6</stp>
        <tr r="K190" s="38"/>
      </tp>
      <tp>
        <v>7.2999999999999995E-2</v>
        <stp/>
        <stp>d44b4bad-f5c2-4144-a3ea-e20c87e7b9df</stp>
        <tr r="O190" s="38"/>
      </tp>
      <tp>
        <v>2.9</v>
        <stp/>
        <stp>043f7f90-d976-44f8-87a6-3325afe31dab</stp>
        <tr r="I30" s="60"/>
      </tp>
      <tp>
        <v>0</v>
        <stp/>
        <stp>aa8ad4d2-b9fd-40b1-85c0-33e24e1a3b93</stp>
        <tr r="M190" s="38"/>
      </tp>
      <tp>
        <v>42763</v>
        <stp/>
        <stp>0b6a240f-6067-41ed-bc28-b594947e8ec1</stp>
        <tr r="I4" s="38"/>
      </tp>
      <tp>
        <v>0</v>
        <stp/>
        <stp>4ac8cf4c-0bd1-4d18-929a-9607f4220fc0</stp>
        <tr r="G56" s="38"/>
      </tp>
      <tp t="s">
        <v>Manual Calculation</v>
        <stp/>
        <stp>9aea73f2-3675-4aa1-8ca4-3c9caec28db7</stp>
        <tr r="H77" s="38"/>
      </tp>
      <tp>
        <v>0</v>
        <stp/>
        <stp>c34b3560-5986-4756-a124-21a771065c55</stp>
        <tr r="H190" s="38"/>
      </tp>
      <tp t="s">
        <v>Manual Calculation</v>
        <stp/>
        <stp>de8e3515-d0f8-43ed-b8e9-ec6c2ffccd96</stp>
        <tr r="H81" s="38"/>
      </tp>
      <tp>
        <v>1364.8</v>
        <stp/>
        <stp>6da04c81-01d1-4bdb-b978-6281cc0f5fc7</stp>
        <tr r="E4" s="39"/>
      </tp>
      <tp t="s">
        <v xml:space="preserve">               -     </v>
        <stp/>
        <stp>be04115f-2f5a-4151-ae4c-2f4d06277e07</stp>
        <tr r="H68" s="38"/>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externalLinks/externalLink1.xml" Type="http://schemas.openxmlformats.org/officeDocument/2006/relationships/externalLink"/>
<Relationship Id="rId42" Target="externalLinks/externalLink2.xml" Type="http://schemas.openxmlformats.org/officeDocument/2006/relationships/externalLink"/>
<Relationship Id="rId43" Target="externalLinks/externalLink3.xml" Type="http://schemas.openxmlformats.org/officeDocument/2006/relationships/externalLink"/>
<Relationship Id="rId44" Target="theme/theme1.xml" Type="http://schemas.openxmlformats.org/officeDocument/2006/relationships/theme"/>
<Relationship Id="rId45" Target="styles.xml" Type="http://schemas.openxmlformats.org/officeDocument/2006/relationships/styles"/>
<Relationship Id="rId46" Target="sharedStrings.xml" Type="http://schemas.openxmlformats.org/officeDocument/2006/relationships/sharedStrings"/>
<Relationship Id="rId47" Target="calcChain.xml" Type="http://schemas.openxmlformats.org/officeDocument/2006/relationships/calcChain"/>
<Relationship Id="rId48" Target="../customXml/item1.xml" Type="http://schemas.openxmlformats.org/officeDocument/2006/relationships/customXml"/>
<Relationship Id="rId49" Target="../customXml/item2.xml" Type="http://schemas.openxmlformats.org/officeDocument/2006/relationships/customXml"/>
<Relationship Id="rId5" Target="worksheets/sheet5.xml" Type="http://schemas.openxmlformats.org/officeDocument/2006/relationships/worksheet"/>
<Relationship Id="rId50" Target="volatileDependencies.xml" Type="http://schemas.openxmlformats.org/officeDocument/2006/relationships/volatileDependencies"/>
<Relationship Id="rId51"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_rels/activeX5.xml.rels><?xml version="1.0" encoding="UTF-8" standalone="yes"?>
<Relationships xmlns="http://schemas.openxmlformats.org/package/2006/relationships">
<Relationship Id="rId1" Target="activeX5.bin" Type="http://schemas.microsoft.com/office/2006/relationships/activeXControlBinary"/>
</Relationships>

</file>

<file path=xl/activeX/_rels/activeX6.xml.rels><?xml version="1.0" encoding="UTF-8" standalone="yes"?>
<Relationships xmlns="http://schemas.openxmlformats.org/package/2006/relationships">
<Relationship Id="rId1" Target="activeX6.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harts/_rels/chart4.xml.rels><?xml version="1.0" encoding="UTF-8" standalone="yes"?>
<Relationships xmlns="http://schemas.openxmlformats.org/package/2006/relationships">
<Relationship Id="rId1" Target="../media/image11.jpeg" Type="http://schemas.openxmlformats.org/officeDocument/2006/relationships/image"/>
<Relationship Id="rId2" Target="../media/image12.jpeg" Type="http://schemas.openxmlformats.org/officeDocument/2006/relationships/image"/>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'MW Valuation'!$X$25</c:f>
              <c:strCache>
                <c:ptCount val="1"/>
                <c:pt idx="0">
                  <c:v>2018</c:v>
                </c:pt>
              </c:strCache>
            </c:strRef>
          </c:tx>
          <c:spPr>
            <a:ln w="12700">
              <a:solidFill>
                <a:srgbClr val="CCFFCC"/>
              </a:solidFill>
              <a:prstDash val="solid"/>
            </a:ln>
          </c:spPr>
          <c:marker>
            <c:symbol val="none"/>
          </c:marker>
          <c:cat>
            <c:strRef>
              <c:f>'MW Valuation'!$C$40:$IR$40</c:f>
              <c:strCache>
                <c:ptCount val="250"/>
                <c:pt idx="0">
                  <c:v>F2015e</c:v>
                </c:pt>
                <c:pt idx="1">
                  <c:v>F2016e</c:v>
                </c:pt>
                <c:pt idx="2">
                  <c:v>F2017e</c:v>
                </c:pt>
                <c:pt idx="3">
                  <c:v>F2018e</c:v>
                </c:pt>
                <c:pt idx="4">
                  <c:v>F2019e</c:v>
                </c:pt>
                <c:pt idx="5">
                  <c:v>F2020e</c:v>
                </c:pt>
                <c:pt idx="6">
                  <c:v>F2021e</c:v>
                </c:pt>
                <c:pt idx="7">
                  <c:v>F2022e</c:v>
                </c:pt>
                <c:pt idx="8">
                  <c:v>F2023e</c:v>
                </c:pt>
                <c:pt idx="9">
                  <c:v>F2024e</c:v>
                </c:pt>
                <c:pt idx="10">
                  <c:v>F2025e</c:v>
                </c:pt>
                <c:pt idx="11">
                  <c:v>F2026e</c:v>
                </c:pt>
                <c:pt idx="12">
                  <c:v>F2027e</c:v>
                </c:pt>
                <c:pt idx="13">
                  <c:v>F2028e</c:v>
                </c:pt>
                <c:pt idx="14">
                  <c:v>F2029e</c:v>
                </c:pt>
                <c:pt idx="15">
                  <c:v>F2030e</c:v>
                </c:pt>
                <c:pt idx="16">
                  <c:v>F2031e</c:v>
                </c:pt>
                <c:pt idx="17">
                  <c:v>F2032e</c:v>
                </c:pt>
                <c:pt idx="18">
                  <c:v>F2033e</c:v>
                </c:pt>
                <c:pt idx="19">
                  <c:v>F2034e</c:v>
                </c:pt>
                <c:pt idx="20">
                  <c:v>F2035e</c:v>
                </c:pt>
                <c:pt idx="21">
                  <c:v>F2036e</c:v>
                </c:pt>
                <c:pt idx="22">
                  <c:v>F2037e</c:v>
                </c:pt>
                <c:pt idx="23">
                  <c:v>F2038e</c:v>
                </c:pt>
                <c:pt idx="24">
                  <c:v>F2039e</c:v>
                </c:pt>
                <c:pt idx="25">
                  <c:v>F2040e</c:v>
                </c:pt>
                <c:pt idx="26">
                  <c:v>F2041e</c:v>
                </c:pt>
                <c:pt idx="27">
                  <c:v>F2042e</c:v>
                </c:pt>
                <c:pt idx="28">
                  <c:v>F2043e</c:v>
                </c:pt>
                <c:pt idx="29">
                  <c:v>F2044e</c:v>
                </c:pt>
                <c:pt idx="30">
                  <c:v>F2045e</c:v>
                </c:pt>
                <c:pt idx="31">
                  <c:v>F2046e</c:v>
                </c:pt>
                <c:pt idx="32">
                  <c:v>F2047e</c:v>
                </c:pt>
                <c:pt idx="33">
                  <c:v>F2048e</c:v>
                </c:pt>
                <c:pt idx="34">
                  <c:v>F2049e</c:v>
                </c:pt>
                <c:pt idx="35">
                  <c:v>F2050e</c:v>
                </c:pt>
                <c:pt idx="36">
                  <c:v>F2051e</c:v>
                </c:pt>
                <c:pt idx="37">
                  <c:v>F2052e</c:v>
                </c:pt>
                <c:pt idx="38">
                  <c:v>F2053e</c:v>
                </c:pt>
                <c:pt idx="39">
                  <c:v>F2054e</c:v>
                </c:pt>
                <c:pt idx="40">
                  <c:v>F2055e</c:v>
                </c:pt>
                <c:pt idx="41">
                  <c:v>F2056e</c:v>
                </c:pt>
                <c:pt idx="42">
                  <c:v>F2057e</c:v>
                </c:pt>
                <c:pt idx="43">
                  <c:v>F2058e</c:v>
                </c:pt>
                <c:pt idx="44">
                  <c:v>F2059e</c:v>
                </c:pt>
                <c:pt idx="45">
                  <c:v>F2060e</c:v>
                </c:pt>
                <c:pt idx="46">
                  <c:v>F2061e</c:v>
                </c:pt>
                <c:pt idx="47">
                  <c:v>F2062e</c:v>
                </c:pt>
                <c:pt idx="48">
                  <c:v>F2063e</c:v>
                </c:pt>
                <c:pt idx="49">
                  <c:v>F2064e</c:v>
                </c:pt>
                <c:pt idx="50">
                  <c:v>F2065e</c:v>
                </c:pt>
                <c:pt idx="51">
                  <c:v>F2066e</c:v>
                </c:pt>
                <c:pt idx="52">
                  <c:v>F2067e</c:v>
                </c:pt>
                <c:pt idx="53">
                  <c:v>F2068e</c:v>
                </c:pt>
                <c:pt idx="54">
                  <c:v>F2069e</c:v>
                </c:pt>
                <c:pt idx="55">
                  <c:v>F2070e</c:v>
                </c:pt>
                <c:pt idx="56">
                  <c:v>F2071e</c:v>
                </c:pt>
                <c:pt idx="57">
                  <c:v>F2072e</c:v>
                </c:pt>
                <c:pt idx="58">
                  <c:v>F2073e</c:v>
                </c:pt>
                <c:pt idx="59">
                  <c:v>F2074e</c:v>
                </c:pt>
                <c:pt idx="60">
                  <c:v>F2075e</c:v>
                </c:pt>
                <c:pt idx="61">
                  <c:v>F2076e</c:v>
                </c:pt>
                <c:pt idx="62">
                  <c:v>F2077e</c:v>
                </c:pt>
                <c:pt idx="63">
                  <c:v>F2078e</c:v>
                </c:pt>
                <c:pt idx="64">
                  <c:v>F2079e</c:v>
                </c:pt>
                <c:pt idx="65">
                  <c:v>F2080e</c:v>
                </c:pt>
                <c:pt idx="66">
                  <c:v>F2081e</c:v>
                </c:pt>
                <c:pt idx="67">
                  <c:v>F2082e</c:v>
                </c:pt>
                <c:pt idx="68">
                  <c:v>F2083e</c:v>
                </c:pt>
                <c:pt idx="69">
                  <c:v>F2084e</c:v>
                </c:pt>
                <c:pt idx="70">
                  <c:v>F2085e</c:v>
                </c:pt>
                <c:pt idx="71">
                  <c:v>F2086e</c:v>
                </c:pt>
                <c:pt idx="72">
                  <c:v>F2087e</c:v>
                </c:pt>
                <c:pt idx="73">
                  <c:v>F2088e</c:v>
                </c:pt>
                <c:pt idx="74">
                  <c:v>F2089e</c:v>
                </c:pt>
                <c:pt idx="75">
                  <c:v>F2090e</c:v>
                </c:pt>
                <c:pt idx="76">
                  <c:v>F2091e</c:v>
                </c:pt>
                <c:pt idx="77">
                  <c:v>F2092e</c:v>
                </c:pt>
                <c:pt idx="78">
                  <c:v>F2093e</c:v>
                </c:pt>
                <c:pt idx="79">
                  <c:v>F2094e</c:v>
                </c:pt>
                <c:pt idx="80">
                  <c:v>F2095e</c:v>
                </c:pt>
                <c:pt idx="81">
                  <c:v>F2096e</c:v>
                </c:pt>
                <c:pt idx="82">
                  <c:v>F2097e</c:v>
                </c:pt>
                <c:pt idx="83">
                  <c:v>F2098e</c:v>
                </c:pt>
                <c:pt idx="84">
                  <c:v>F2099e</c:v>
                </c:pt>
                <c:pt idx="85">
                  <c:v>F2100e</c:v>
                </c:pt>
                <c:pt idx="86">
                  <c:v>F2101e</c:v>
                </c:pt>
                <c:pt idx="87">
                  <c:v>F2102e</c:v>
                </c:pt>
                <c:pt idx="88">
                  <c:v>F2103e</c:v>
                </c:pt>
                <c:pt idx="89">
                  <c:v>F2104e</c:v>
                </c:pt>
                <c:pt idx="90">
                  <c:v>F2105e</c:v>
                </c:pt>
                <c:pt idx="91">
                  <c:v>F2106e</c:v>
                </c:pt>
                <c:pt idx="92">
                  <c:v>F2107e</c:v>
                </c:pt>
                <c:pt idx="93">
                  <c:v>F2108e</c:v>
                </c:pt>
                <c:pt idx="94">
                  <c:v>F2109e</c:v>
                </c:pt>
                <c:pt idx="95">
                  <c:v>F2110e</c:v>
                </c:pt>
                <c:pt idx="96">
                  <c:v>F2111e</c:v>
                </c:pt>
                <c:pt idx="97">
                  <c:v>F2112e</c:v>
                </c:pt>
                <c:pt idx="98">
                  <c:v>F2113e</c:v>
                </c:pt>
                <c:pt idx="99">
                  <c:v>F2114e</c:v>
                </c:pt>
                <c:pt idx="100">
                  <c:v>F2115e</c:v>
                </c:pt>
                <c:pt idx="101">
                  <c:v>F2116e</c:v>
                </c:pt>
                <c:pt idx="102">
                  <c:v>F2117e</c:v>
                </c:pt>
                <c:pt idx="103">
                  <c:v>F2118e</c:v>
                </c:pt>
                <c:pt idx="104">
                  <c:v>F2119e</c:v>
                </c:pt>
                <c:pt idx="105">
                  <c:v>F2120e</c:v>
                </c:pt>
                <c:pt idx="106">
                  <c:v>F2121e</c:v>
                </c:pt>
                <c:pt idx="107">
                  <c:v>F2122e</c:v>
                </c:pt>
                <c:pt idx="108">
                  <c:v>F2123e</c:v>
                </c:pt>
                <c:pt idx="109">
                  <c:v>F2124e</c:v>
                </c:pt>
                <c:pt idx="110">
                  <c:v>F2125e</c:v>
                </c:pt>
                <c:pt idx="111">
                  <c:v>F2126e</c:v>
                </c:pt>
                <c:pt idx="112">
                  <c:v>F2127e</c:v>
                </c:pt>
                <c:pt idx="113">
                  <c:v>F2128e</c:v>
                </c:pt>
                <c:pt idx="114">
                  <c:v>F2129e</c:v>
                </c:pt>
                <c:pt idx="115">
                  <c:v>F2130e</c:v>
                </c:pt>
                <c:pt idx="116">
                  <c:v>F2131e</c:v>
                </c:pt>
                <c:pt idx="117">
                  <c:v>F2132e</c:v>
                </c:pt>
                <c:pt idx="118">
                  <c:v>F2133e</c:v>
                </c:pt>
                <c:pt idx="119">
                  <c:v>F2134e</c:v>
                </c:pt>
                <c:pt idx="120">
                  <c:v>F2135e</c:v>
                </c:pt>
                <c:pt idx="121">
                  <c:v>F2136e</c:v>
                </c:pt>
                <c:pt idx="122">
                  <c:v>F2137e</c:v>
                </c:pt>
                <c:pt idx="123">
                  <c:v>F2138e</c:v>
                </c:pt>
                <c:pt idx="124">
                  <c:v>F2139e</c:v>
                </c:pt>
                <c:pt idx="125">
                  <c:v>F2140e</c:v>
                </c:pt>
                <c:pt idx="126">
                  <c:v>F2141e</c:v>
                </c:pt>
                <c:pt idx="127">
                  <c:v>F2142e</c:v>
                </c:pt>
                <c:pt idx="128">
                  <c:v>F2143e</c:v>
                </c:pt>
                <c:pt idx="129">
                  <c:v>F2144e</c:v>
                </c:pt>
                <c:pt idx="130">
                  <c:v>F2145e</c:v>
                </c:pt>
                <c:pt idx="131">
                  <c:v>F2146e</c:v>
                </c:pt>
                <c:pt idx="132">
                  <c:v>F2147e</c:v>
                </c:pt>
                <c:pt idx="133">
                  <c:v>F2148e</c:v>
                </c:pt>
                <c:pt idx="134">
                  <c:v>F2149e</c:v>
                </c:pt>
                <c:pt idx="135">
                  <c:v>F2150e</c:v>
                </c:pt>
                <c:pt idx="136">
                  <c:v>F2151e</c:v>
                </c:pt>
                <c:pt idx="137">
                  <c:v>F2152e</c:v>
                </c:pt>
                <c:pt idx="138">
                  <c:v>F2153e</c:v>
                </c:pt>
                <c:pt idx="139">
                  <c:v>F2154e</c:v>
                </c:pt>
                <c:pt idx="140">
                  <c:v>F2155e</c:v>
                </c:pt>
                <c:pt idx="141">
                  <c:v>F2156e</c:v>
                </c:pt>
                <c:pt idx="142">
                  <c:v>F2157e</c:v>
                </c:pt>
                <c:pt idx="143">
                  <c:v>F2158e</c:v>
                </c:pt>
                <c:pt idx="144">
                  <c:v>F2159e</c:v>
                </c:pt>
                <c:pt idx="145">
                  <c:v>F2160e</c:v>
                </c:pt>
                <c:pt idx="146">
                  <c:v>F2161e</c:v>
                </c:pt>
                <c:pt idx="147">
                  <c:v>F2162e</c:v>
                </c:pt>
                <c:pt idx="148">
                  <c:v>F2163e</c:v>
                </c:pt>
                <c:pt idx="149">
                  <c:v>F2164e</c:v>
                </c:pt>
                <c:pt idx="150">
                  <c:v>F2165e</c:v>
                </c:pt>
                <c:pt idx="151">
                  <c:v>F2166e</c:v>
                </c:pt>
                <c:pt idx="152">
                  <c:v>F2167e</c:v>
                </c:pt>
                <c:pt idx="153">
                  <c:v>F2168e</c:v>
                </c:pt>
                <c:pt idx="154">
                  <c:v>F2169e</c:v>
                </c:pt>
                <c:pt idx="155">
                  <c:v>F2170e</c:v>
                </c:pt>
                <c:pt idx="156">
                  <c:v>F2171e</c:v>
                </c:pt>
                <c:pt idx="157">
                  <c:v>F2172e</c:v>
                </c:pt>
                <c:pt idx="158">
                  <c:v>F2173e</c:v>
                </c:pt>
                <c:pt idx="159">
                  <c:v>F2174e</c:v>
                </c:pt>
                <c:pt idx="160">
                  <c:v>F2175e</c:v>
                </c:pt>
                <c:pt idx="161">
                  <c:v>F2176e</c:v>
                </c:pt>
                <c:pt idx="162">
                  <c:v>F2177e</c:v>
                </c:pt>
                <c:pt idx="163">
                  <c:v>F2178e</c:v>
                </c:pt>
                <c:pt idx="164">
                  <c:v>F2179e</c:v>
                </c:pt>
                <c:pt idx="165">
                  <c:v>F2180e</c:v>
                </c:pt>
                <c:pt idx="166">
                  <c:v>F2181e</c:v>
                </c:pt>
                <c:pt idx="167">
                  <c:v>F2182e</c:v>
                </c:pt>
                <c:pt idx="168">
                  <c:v>F2183e</c:v>
                </c:pt>
                <c:pt idx="169">
                  <c:v>F2184e</c:v>
                </c:pt>
                <c:pt idx="170">
                  <c:v>F2185e</c:v>
                </c:pt>
                <c:pt idx="171">
                  <c:v>F2186e</c:v>
                </c:pt>
                <c:pt idx="172">
                  <c:v>F2187e</c:v>
                </c:pt>
                <c:pt idx="173">
                  <c:v>F2188e</c:v>
                </c:pt>
                <c:pt idx="174">
                  <c:v>F2189e</c:v>
                </c:pt>
                <c:pt idx="175">
                  <c:v>F2190e</c:v>
                </c:pt>
                <c:pt idx="176">
                  <c:v>F2191e</c:v>
                </c:pt>
                <c:pt idx="177">
                  <c:v>F2192e</c:v>
                </c:pt>
                <c:pt idx="178">
                  <c:v>F2193e</c:v>
                </c:pt>
                <c:pt idx="179">
                  <c:v>F2194e</c:v>
                </c:pt>
                <c:pt idx="180">
                  <c:v>F2195e</c:v>
                </c:pt>
                <c:pt idx="181">
                  <c:v>F2196e</c:v>
                </c:pt>
                <c:pt idx="182">
                  <c:v>F2197e</c:v>
                </c:pt>
                <c:pt idx="183">
                  <c:v>F2198e</c:v>
                </c:pt>
                <c:pt idx="184">
                  <c:v>F2199e</c:v>
                </c:pt>
                <c:pt idx="185">
                  <c:v>F2200e</c:v>
                </c:pt>
                <c:pt idx="186">
                  <c:v>F2201e</c:v>
                </c:pt>
                <c:pt idx="187">
                  <c:v>F2202e</c:v>
                </c:pt>
                <c:pt idx="188">
                  <c:v>F2203e</c:v>
                </c:pt>
                <c:pt idx="189">
                  <c:v>F2204e</c:v>
                </c:pt>
                <c:pt idx="190">
                  <c:v>F2205e</c:v>
                </c:pt>
                <c:pt idx="191">
                  <c:v>F2206e</c:v>
                </c:pt>
                <c:pt idx="192">
                  <c:v>F2207e</c:v>
                </c:pt>
                <c:pt idx="193">
                  <c:v>F2208e</c:v>
                </c:pt>
                <c:pt idx="194">
                  <c:v>F2209e</c:v>
                </c:pt>
                <c:pt idx="195">
                  <c:v>F2210e</c:v>
                </c:pt>
                <c:pt idx="196">
                  <c:v>F2211e</c:v>
                </c:pt>
                <c:pt idx="197">
                  <c:v>F2212e</c:v>
                </c:pt>
                <c:pt idx="198">
                  <c:v>F2213e</c:v>
                </c:pt>
                <c:pt idx="199">
                  <c:v>F2214e</c:v>
                </c:pt>
                <c:pt idx="200">
                  <c:v>F2215e</c:v>
                </c:pt>
                <c:pt idx="201">
                  <c:v>F2216e</c:v>
                </c:pt>
                <c:pt idx="202">
                  <c:v>F2217e</c:v>
                </c:pt>
                <c:pt idx="203">
                  <c:v>F2218e</c:v>
                </c:pt>
                <c:pt idx="204">
                  <c:v>F2219e</c:v>
                </c:pt>
                <c:pt idx="205">
                  <c:v>F2220e</c:v>
                </c:pt>
                <c:pt idx="206">
                  <c:v>F2221e</c:v>
                </c:pt>
                <c:pt idx="207">
                  <c:v>F2222e</c:v>
                </c:pt>
                <c:pt idx="208">
                  <c:v>F2223e</c:v>
                </c:pt>
                <c:pt idx="209">
                  <c:v>F2224e</c:v>
                </c:pt>
                <c:pt idx="210">
                  <c:v>F2225e</c:v>
                </c:pt>
                <c:pt idx="211">
                  <c:v>F2226e</c:v>
                </c:pt>
                <c:pt idx="212">
                  <c:v>F2227e</c:v>
                </c:pt>
                <c:pt idx="213">
                  <c:v>F2228e</c:v>
                </c:pt>
                <c:pt idx="214">
                  <c:v>F2229e</c:v>
                </c:pt>
                <c:pt idx="215">
                  <c:v>F2230e</c:v>
                </c:pt>
                <c:pt idx="216">
                  <c:v>F2231e</c:v>
                </c:pt>
                <c:pt idx="217">
                  <c:v>F2232e</c:v>
                </c:pt>
                <c:pt idx="218">
                  <c:v>F2233e</c:v>
                </c:pt>
                <c:pt idx="219">
                  <c:v>F2234e</c:v>
                </c:pt>
                <c:pt idx="220">
                  <c:v>F2235e</c:v>
                </c:pt>
                <c:pt idx="221">
                  <c:v>F2236e</c:v>
                </c:pt>
                <c:pt idx="222">
                  <c:v>F2237e</c:v>
                </c:pt>
                <c:pt idx="223">
                  <c:v>F2238e</c:v>
                </c:pt>
                <c:pt idx="224">
                  <c:v>F2239e</c:v>
                </c:pt>
                <c:pt idx="225">
                  <c:v>F2240e</c:v>
                </c:pt>
                <c:pt idx="226">
                  <c:v>F2241e</c:v>
                </c:pt>
                <c:pt idx="227">
                  <c:v>F2242e</c:v>
                </c:pt>
                <c:pt idx="228">
                  <c:v>F2243e</c:v>
                </c:pt>
                <c:pt idx="229">
                  <c:v>F2244e</c:v>
                </c:pt>
                <c:pt idx="230">
                  <c:v>F2245e</c:v>
                </c:pt>
                <c:pt idx="231">
                  <c:v>F2246e</c:v>
                </c:pt>
                <c:pt idx="232">
                  <c:v>F2247e</c:v>
                </c:pt>
                <c:pt idx="233">
                  <c:v>F2248e</c:v>
                </c:pt>
                <c:pt idx="234">
                  <c:v>F2249e</c:v>
                </c:pt>
                <c:pt idx="235">
                  <c:v>F2250e</c:v>
                </c:pt>
                <c:pt idx="236">
                  <c:v>F2251e</c:v>
                </c:pt>
                <c:pt idx="237">
                  <c:v>F2252e</c:v>
                </c:pt>
                <c:pt idx="238">
                  <c:v>F2253e</c:v>
                </c:pt>
                <c:pt idx="239">
                  <c:v>F2254e</c:v>
                </c:pt>
                <c:pt idx="240">
                  <c:v>F2255e</c:v>
                </c:pt>
                <c:pt idx="241">
                  <c:v>F2256e</c:v>
                </c:pt>
                <c:pt idx="242">
                  <c:v>F2257e</c:v>
                </c:pt>
                <c:pt idx="243">
                  <c:v>F2258e</c:v>
                </c:pt>
                <c:pt idx="244">
                  <c:v>F2259e</c:v>
                </c:pt>
                <c:pt idx="245">
                  <c:v>F2260e</c:v>
                </c:pt>
                <c:pt idx="246">
                  <c:v>F2261e</c:v>
                </c:pt>
                <c:pt idx="247">
                  <c:v>F2262e</c:v>
                </c:pt>
                <c:pt idx="248">
                  <c:v>F2263e</c:v>
                </c:pt>
                <c:pt idx="249">
                  <c:v>F2264e</c:v>
                </c:pt>
              </c:strCache>
            </c:strRef>
          </c:cat>
          <c:val>
            <c:numRef>
              <c:f>'MW Valuation'!Chart_ROE</c:f>
              <c:numCache>
                <c:formatCode>0.0%</c:formatCode>
                <c:ptCount val="1"/>
                <c:pt idx="0">
                  <c:v>-0.72556810993078891</c:v>
                </c:pt>
              </c:numCache>
            </c:numRef>
          </c:val>
          <c:smooth val="1"/>
        </c:ser>
        <c:ser>
          <c:idx val="1"/>
          <c:order val="1"/>
          <c:tx>
            <c:strRef>
              <c:f>'MW Valuation'!$X$26</c:f>
              <c:strCache>
                <c:ptCount val="1"/>
                <c:pt idx="0">
                  <c:v>RNOA</c:v>
                </c:pt>
              </c:strCache>
            </c:strRef>
          </c:tx>
          <c:spPr>
            <a:ln w="12700">
              <a:solidFill>
                <a:srgbClr val="339966"/>
              </a:solidFill>
              <a:prstDash val="solid"/>
            </a:ln>
          </c:spPr>
          <c:marker>
            <c:symbol val="none"/>
          </c:marker>
          <c:cat>
            <c:strRef>
              <c:f>'MW Valuation'!$C$40:$IR$40</c:f>
              <c:strCache>
                <c:ptCount val="250"/>
                <c:pt idx="0">
                  <c:v>F2015e</c:v>
                </c:pt>
                <c:pt idx="1">
                  <c:v>F2016e</c:v>
                </c:pt>
                <c:pt idx="2">
                  <c:v>F2017e</c:v>
                </c:pt>
                <c:pt idx="3">
                  <c:v>F2018e</c:v>
                </c:pt>
                <c:pt idx="4">
                  <c:v>F2019e</c:v>
                </c:pt>
                <c:pt idx="5">
                  <c:v>F2020e</c:v>
                </c:pt>
                <c:pt idx="6">
                  <c:v>F2021e</c:v>
                </c:pt>
                <c:pt idx="7">
                  <c:v>F2022e</c:v>
                </c:pt>
                <c:pt idx="8">
                  <c:v>F2023e</c:v>
                </c:pt>
                <c:pt idx="9">
                  <c:v>F2024e</c:v>
                </c:pt>
                <c:pt idx="10">
                  <c:v>F2025e</c:v>
                </c:pt>
                <c:pt idx="11">
                  <c:v>F2026e</c:v>
                </c:pt>
                <c:pt idx="12">
                  <c:v>F2027e</c:v>
                </c:pt>
                <c:pt idx="13">
                  <c:v>F2028e</c:v>
                </c:pt>
                <c:pt idx="14">
                  <c:v>F2029e</c:v>
                </c:pt>
                <c:pt idx="15">
                  <c:v>F2030e</c:v>
                </c:pt>
                <c:pt idx="16">
                  <c:v>F2031e</c:v>
                </c:pt>
                <c:pt idx="17">
                  <c:v>F2032e</c:v>
                </c:pt>
                <c:pt idx="18">
                  <c:v>F2033e</c:v>
                </c:pt>
                <c:pt idx="19">
                  <c:v>F2034e</c:v>
                </c:pt>
                <c:pt idx="20">
                  <c:v>F2035e</c:v>
                </c:pt>
                <c:pt idx="21">
                  <c:v>F2036e</c:v>
                </c:pt>
                <c:pt idx="22">
                  <c:v>F2037e</c:v>
                </c:pt>
                <c:pt idx="23">
                  <c:v>F2038e</c:v>
                </c:pt>
                <c:pt idx="24">
                  <c:v>F2039e</c:v>
                </c:pt>
                <c:pt idx="25">
                  <c:v>F2040e</c:v>
                </c:pt>
                <c:pt idx="26">
                  <c:v>F2041e</c:v>
                </c:pt>
                <c:pt idx="27">
                  <c:v>F2042e</c:v>
                </c:pt>
                <c:pt idx="28">
                  <c:v>F2043e</c:v>
                </c:pt>
                <c:pt idx="29">
                  <c:v>F2044e</c:v>
                </c:pt>
                <c:pt idx="30">
                  <c:v>F2045e</c:v>
                </c:pt>
                <c:pt idx="31">
                  <c:v>F2046e</c:v>
                </c:pt>
                <c:pt idx="32">
                  <c:v>F2047e</c:v>
                </c:pt>
                <c:pt idx="33">
                  <c:v>F2048e</c:v>
                </c:pt>
                <c:pt idx="34">
                  <c:v>F2049e</c:v>
                </c:pt>
                <c:pt idx="35">
                  <c:v>F2050e</c:v>
                </c:pt>
                <c:pt idx="36">
                  <c:v>F2051e</c:v>
                </c:pt>
                <c:pt idx="37">
                  <c:v>F2052e</c:v>
                </c:pt>
                <c:pt idx="38">
                  <c:v>F2053e</c:v>
                </c:pt>
                <c:pt idx="39">
                  <c:v>F2054e</c:v>
                </c:pt>
                <c:pt idx="40">
                  <c:v>F2055e</c:v>
                </c:pt>
                <c:pt idx="41">
                  <c:v>F2056e</c:v>
                </c:pt>
                <c:pt idx="42">
                  <c:v>F2057e</c:v>
                </c:pt>
                <c:pt idx="43">
                  <c:v>F2058e</c:v>
                </c:pt>
                <c:pt idx="44">
                  <c:v>F2059e</c:v>
                </c:pt>
                <c:pt idx="45">
                  <c:v>F2060e</c:v>
                </c:pt>
                <c:pt idx="46">
                  <c:v>F2061e</c:v>
                </c:pt>
                <c:pt idx="47">
                  <c:v>F2062e</c:v>
                </c:pt>
                <c:pt idx="48">
                  <c:v>F2063e</c:v>
                </c:pt>
                <c:pt idx="49">
                  <c:v>F2064e</c:v>
                </c:pt>
                <c:pt idx="50">
                  <c:v>F2065e</c:v>
                </c:pt>
                <c:pt idx="51">
                  <c:v>F2066e</c:v>
                </c:pt>
                <c:pt idx="52">
                  <c:v>F2067e</c:v>
                </c:pt>
                <c:pt idx="53">
                  <c:v>F2068e</c:v>
                </c:pt>
                <c:pt idx="54">
                  <c:v>F2069e</c:v>
                </c:pt>
                <c:pt idx="55">
                  <c:v>F2070e</c:v>
                </c:pt>
                <c:pt idx="56">
                  <c:v>F2071e</c:v>
                </c:pt>
                <c:pt idx="57">
                  <c:v>F2072e</c:v>
                </c:pt>
                <c:pt idx="58">
                  <c:v>F2073e</c:v>
                </c:pt>
                <c:pt idx="59">
                  <c:v>F2074e</c:v>
                </c:pt>
                <c:pt idx="60">
                  <c:v>F2075e</c:v>
                </c:pt>
                <c:pt idx="61">
                  <c:v>F2076e</c:v>
                </c:pt>
                <c:pt idx="62">
                  <c:v>F2077e</c:v>
                </c:pt>
                <c:pt idx="63">
                  <c:v>F2078e</c:v>
                </c:pt>
                <c:pt idx="64">
                  <c:v>F2079e</c:v>
                </c:pt>
                <c:pt idx="65">
                  <c:v>F2080e</c:v>
                </c:pt>
                <c:pt idx="66">
                  <c:v>F2081e</c:v>
                </c:pt>
                <c:pt idx="67">
                  <c:v>F2082e</c:v>
                </c:pt>
                <c:pt idx="68">
                  <c:v>F2083e</c:v>
                </c:pt>
                <c:pt idx="69">
                  <c:v>F2084e</c:v>
                </c:pt>
                <c:pt idx="70">
                  <c:v>F2085e</c:v>
                </c:pt>
                <c:pt idx="71">
                  <c:v>F2086e</c:v>
                </c:pt>
                <c:pt idx="72">
                  <c:v>F2087e</c:v>
                </c:pt>
                <c:pt idx="73">
                  <c:v>F2088e</c:v>
                </c:pt>
                <c:pt idx="74">
                  <c:v>F2089e</c:v>
                </c:pt>
                <c:pt idx="75">
                  <c:v>F2090e</c:v>
                </c:pt>
                <c:pt idx="76">
                  <c:v>F2091e</c:v>
                </c:pt>
                <c:pt idx="77">
                  <c:v>F2092e</c:v>
                </c:pt>
                <c:pt idx="78">
                  <c:v>F2093e</c:v>
                </c:pt>
                <c:pt idx="79">
                  <c:v>F2094e</c:v>
                </c:pt>
                <c:pt idx="80">
                  <c:v>F2095e</c:v>
                </c:pt>
                <c:pt idx="81">
                  <c:v>F2096e</c:v>
                </c:pt>
                <c:pt idx="82">
                  <c:v>F2097e</c:v>
                </c:pt>
                <c:pt idx="83">
                  <c:v>F2098e</c:v>
                </c:pt>
                <c:pt idx="84">
                  <c:v>F2099e</c:v>
                </c:pt>
                <c:pt idx="85">
                  <c:v>F2100e</c:v>
                </c:pt>
                <c:pt idx="86">
                  <c:v>F2101e</c:v>
                </c:pt>
                <c:pt idx="87">
                  <c:v>F2102e</c:v>
                </c:pt>
                <c:pt idx="88">
                  <c:v>F2103e</c:v>
                </c:pt>
                <c:pt idx="89">
                  <c:v>F2104e</c:v>
                </c:pt>
                <c:pt idx="90">
                  <c:v>F2105e</c:v>
                </c:pt>
                <c:pt idx="91">
                  <c:v>F2106e</c:v>
                </c:pt>
                <c:pt idx="92">
                  <c:v>F2107e</c:v>
                </c:pt>
                <c:pt idx="93">
                  <c:v>F2108e</c:v>
                </c:pt>
                <c:pt idx="94">
                  <c:v>F2109e</c:v>
                </c:pt>
                <c:pt idx="95">
                  <c:v>F2110e</c:v>
                </c:pt>
                <c:pt idx="96">
                  <c:v>F2111e</c:v>
                </c:pt>
                <c:pt idx="97">
                  <c:v>F2112e</c:v>
                </c:pt>
                <c:pt idx="98">
                  <c:v>F2113e</c:v>
                </c:pt>
                <c:pt idx="99">
                  <c:v>F2114e</c:v>
                </c:pt>
                <c:pt idx="100">
                  <c:v>F2115e</c:v>
                </c:pt>
                <c:pt idx="101">
                  <c:v>F2116e</c:v>
                </c:pt>
                <c:pt idx="102">
                  <c:v>F2117e</c:v>
                </c:pt>
                <c:pt idx="103">
                  <c:v>F2118e</c:v>
                </c:pt>
                <c:pt idx="104">
                  <c:v>F2119e</c:v>
                </c:pt>
                <c:pt idx="105">
                  <c:v>F2120e</c:v>
                </c:pt>
                <c:pt idx="106">
                  <c:v>F2121e</c:v>
                </c:pt>
                <c:pt idx="107">
                  <c:v>F2122e</c:v>
                </c:pt>
                <c:pt idx="108">
                  <c:v>F2123e</c:v>
                </c:pt>
                <c:pt idx="109">
                  <c:v>F2124e</c:v>
                </c:pt>
                <c:pt idx="110">
                  <c:v>F2125e</c:v>
                </c:pt>
                <c:pt idx="111">
                  <c:v>F2126e</c:v>
                </c:pt>
                <c:pt idx="112">
                  <c:v>F2127e</c:v>
                </c:pt>
                <c:pt idx="113">
                  <c:v>F2128e</c:v>
                </c:pt>
                <c:pt idx="114">
                  <c:v>F2129e</c:v>
                </c:pt>
                <c:pt idx="115">
                  <c:v>F2130e</c:v>
                </c:pt>
                <c:pt idx="116">
                  <c:v>F2131e</c:v>
                </c:pt>
                <c:pt idx="117">
                  <c:v>F2132e</c:v>
                </c:pt>
                <c:pt idx="118">
                  <c:v>F2133e</c:v>
                </c:pt>
                <c:pt idx="119">
                  <c:v>F2134e</c:v>
                </c:pt>
                <c:pt idx="120">
                  <c:v>F2135e</c:v>
                </c:pt>
                <c:pt idx="121">
                  <c:v>F2136e</c:v>
                </c:pt>
                <c:pt idx="122">
                  <c:v>F2137e</c:v>
                </c:pt>
                <c:pt idx="123">
                  <c:v>F2138e</c:v>
                </c:pt>
                <c:pt idx="124">
                  <c:v>F2139e</c:v>
                </c:pt>
                <c:pt idx="125">
                  <c:v>F2140e</c:v>
                </c:pt>
                <c:pt idx="126">
                  <c:v>F2141e</c:v>
                </c:pt>
                <c:pt idx="127">
                  <c:v>F2142e</c:v>
                </c:pt>
                <c:pt idx="128">
                  <c:v>F2143e</c:v>
                </c:pt>
                <c:pt idx="129">
                  <c:v>F2144e</c:v>
                </c:pt>
                <c:pt idx="130">
                  <c:v>F2145e</c:v>
                </c:pt>
                <c:pt idx="131">
                  <c:v>F2146e</c:v>
                </c:pt>
                <c:pt idx="132">
                  <c:v>F2147e</c:v>
                </c:pt>
                <c:pt idx="133">
                  <c:v>F2148e</c:v>
                </c:pt>
                <c:pt idx="134">
                  <c:v>F2149e</c:v>
                </c:pt>
                <c:pt idx="135">
                  <c:v>F2150e</c:v>
                </c:pt>
                <c:pt idx="136">
                  <c:v>F2151e</c:v>
                </c:pt>
                <c:pt idx="137">
                  <c:v>F2152e</c:v>
                </c:pt>
                <c:pt idx="138">
                  <c:v>F2153e</c:v>
                </c:pt>
                <c:pt idx="139">
                  <c:v>F2154e</c:v>
                </c:pt>
                <c:pt idx="140">
                  <c:v>F2155e</c:v>
                </c:pt>
                <c:pt idx="141">
                  <c:v>F2156e</c:v>
                </c:pt>
                <c:pt idx="142">
                  <c:v>F2157e</c:v>
                </c:pt>
                <c:pt idx="143">
                  <c:v>F2158e</c:v>
                </c:pt>
                <c:pt idx="144">
                  <c:v>F2159e</c:v>
                </c:pt>
                <c:pt idx="145">
                  <c:v>F2160e</c:v>
                </c:pt>
                <c:pt idx="146">
                  <c:v>F2161e</c:v>
                </c:pt>
                <c:pt idx="147">
                  <c:v>F2162e</c:v>
                </c:pt>
                <c:pt idx="148">
                  <c:v>F2163e</c:v>
                </c:pt>
                <c:pt idx="149">
                  <c:v>F2164e</c:v>
                </c:pt>
                <c:pt idx="150">
                  <c:v>F2165e</c:v>
                </c:pt>
                <c:pt idx="151">
                  <c:v>F2166e</c:v>
                </c:pt>
                <c:pt idx="152">
                  <c:v>F2167e</c:v>
                </c:pt>
                <c:pt idx="153">
                  <c:v>F2168e</c:v>
                </c:pt>
                <c:pt idx="154">
                  <c:v>F2169e</c:v>
                </c:pt>
                <c:pt idx="155">
                  <c:v>F2170e</c:v>
                </c:pt>
                <c:pt idx="156">
                  <c:v>F2171e</c:v>
                </c:pt>
                <c:pt idx="157">
                  <c:v>F2172e</c:v>
                </c:pt>
                <c:pt idx="158">
                  <c:v>F2173e</c:v>
                </c:pt>
                <c:pt idx="159">
                  <c:v>F2174e</c:v>
                </c:pt>
                <c:pt idx="160">
                  <c:v>F2175e</c:v>
                </c:pt>
                <c:pt idx="161">
                  <c:v>F2176e</c:v>
                </c:pt>
                <c:pt idx="162">
                  <c:v>F2177e</c:v>
                </c:pt>
                <c:pt idx="163">
                  <c:v>F2178e</c:v>
                </c:pt>
                <c:pt idx="164">
                  <c:v>F2179e</c:v>
                </c:pt>
                <c:pt idx="165">
                  <c:v>F2180e</c:v>
                </c:pt>
                <c:pt idx="166">
                  <c:v>F2181e</c:v>
                </c:pt>
                <c:pt idx="167">
                  <c:v>F2182e</c:v>
                </c:pt>
                <c:pt idx="168">
                  <c:v>F2183e</c:v>
                </c:pt>
                <c:pt idx="169">
                  <c:v>F2184e</c:v>
                </c:pt>
                <c:pt idx="170">
                  <c:v>F2185e</c:v>
                </c:pt>
                <c:pt idx="171">
                  <c:v>F2186e</c:v>
                </c:pt>
                <c:pt idx="172">
                  <c:v>F2187e</c:v>
                </c:pt>
                <c:pt idx="173">
                  <c:v>F2188e</c:v>
                </c:pt>
                <c:pt idx="174">
                  <c:v>F2189e</c:v>
                </c:pt>
                <c:pt idx="175">
                  <c:v>F2190e</c:v>
                </c:pt>
                <c:pt idx="176">
                  <c:v>F2191e</c:v>
                </c:pt>
                <c:pt idx="177">
                  <c:v>F2192e</c:v>
                </c:pt>
                <c:pt idx="178">
                  <c:v>F2193e</c:v>
                </c:pt>
                <c:pt idx="179">
                  <c:v>F2194e</c:v>
                </c:pt>
                <c:pt idx="180">
                  <c:v>F2195e</c:v>
                </c:pt>
                <c:pt idx="181">
                  <c:v>F2196e</c:v>
                </c:pt>
                <c:pt idx="182">
                  <c:v>F2197e</c:v>
                </c:pt>
                <c:pt idx="183">
                  <c:v>F2198e</c:v>
                </c:pt>
                <c:pt idx="184">
                  <c:v>F2199e</c:v>
                </c:pt>
                <c:pt idx="185">
                  <c:v>F2200e</c:v>
                </c:pt>
                <c:pt idx="186">
                  <c:v>F2201e</c:v>
                </c:pt>
                <c:pt idx="187">
                  <c:v>F2202e</c:v>
                </c:pt>
                <c:pt idx="188">
                  <c:v>F2203e</c:v>
                </c:pt>
                <c:pt idx="189">
                  <c:v>F2204e</c:v>
                </c:pt>
                <c:pt idx="190">
                  <c:v>F2205e</c:v>
                </c:pt>
                <c:pt idx="191">
                  <c:v>F2206e</c:v>
                </c:pt>
                <c:pt idx="192">
                  <c:v>F2207e</c:v>
                </c:pt>
                <c:pt idx="193">
                  <c:v>F2208e</c:v>
                </c:pt>
                <c:pt idx="194">
                  <c:v>F2209e</c:v>
                </c:pt>
                <c:pt idx="195">
                  <c:v>F2210e</c:v>
                </c:pt>
                <c:pt idx="196">
                  <c:v>F2211e</c:v>
                </c:pt>
                <c:pt idx="197">
                  <c:v>F2212e</c:v>
                </c:pt>
                <c:pt idx="198">
                  <c:v>F2213e</c:v>
                </c:pt>
                <c:pt idx="199">
                  <c:v>F2214e</c:v>
                </c:pt>
                <c:pt idx="200">
                  <c:v>F2215e</c:v>
                </c:pt>
                <c:pt idx="201">
                  <c:v>F2216e</c:v>
                </c:pt>
                <c:pt idx="202">
                  <c:v>F2217e</c:v>
                </c:pt>
                <c:pt idx="203">
                  <c:v>F2218e</c:v>
                </c:pt>
                <c:pt idx="204">
                  <c:v>F2219e</c:v>
                </c:pt>
                <c:pt idx="205">
                  <c:v>F2220e</c:v>
                </c:pt>
                <c:pt idx="206">
                  <c:v>F2221e</c:v>
                </c:pt>
                <c:pt idx="207">
                  <c:v>F2222e</c:v>
                </c:pt>
                <c:pt idx="208">
                  <c:v>F2223e</c:v>
                </c:pt>
                <c:pt idx="209">
                  <c:v>F2224e</c:v>
                </c:pt>
                <c:pt idx="210">
                  <c:v>F2225e</c:v>
                </c:pt>
                <c:pt idx="211">
                  <c:v>F2226e</c:v>
                </c:pt>
                <c:pt idx="212">
                  <c:v>F2227e</c:v>
                </c:pt>
                <c:pt idx="213">
                  <c:v>F2228e</c:v>
                </c:pt>
                <c:pt idx="214">
                  <c:v>F2229e</c:v>
                </c:pt>
                <c:pt idx="215">
                  <c:v>F2230e</c:v>
                </c:pt>
                <c:pt idx="216">
                  <c:v>F2231e</c:v>
                </c:pt>
                <c:pt idx="217">
                  <c:v>F2232e</c:v>
                </c:pt>
                <c:pt idx="218">
                  <c:v>F2233e</c:v>
                </c:pt>
                <c:pt idx="219">
                  <c:v>F2234e</c:v>
                </c:pt>
                <c:pt idx="220">
                  <c:v>F2235e</c:v>
                </c:pt>
                <c:pt idx="221">
                  <c:v>F2236e</c:v>
                </c:pt>
                <c:pt idx="222">
                  <c:v>F2237e</c:v>
                </c:pt>
                <c:pt idx="223">
                  <c:v>F2238e</c:v>
                </c:pt>
                <c:pt idx="224">
                  <c:v>F2239e</c:v>
                </c:pt>
                <c:pt idx="225">
                  <c:v>F2240e</c:v>
                </c:pt>
                <c:pt idx="226">
                  <c:v>F2241e</c:v>
                </c:pt>
                <c:pt idx="227">
                  <c:v>F2242e</c:v>
                </c:pt>
                <c:pt idx="228">
                  <c:v>F2243e</c:v>
                </c:pt>
                <c:pt idx="229">
                  <c:v>F2244e</c:v>
                </c:pt>
                <c:pt idx="230">
                  <c:v>F2245e</c:v>
                </c:pt>
                <c:pt idx="231">
                  <c:v>F2246e</c:v>
                </c:pt>
                <c:pt idx="232">
                  <c:v>F2247e</c:v>
                </c:pt>
                <c:pt idx="233">
                  <c:v>F2248e</c:v>
                </c:pt>
                <c:pt idx="234">
                  <c:v>F2249e</c:v>
                </c:pt>
                <c:pt idx="235">
                  <c:v>F2250e</c:v>
                </c:pt>
                <c:pt idx="236">
                  <c:v>F2251e</c:v>
                </c:pt>
                <c:pt idx="237">
                  <c:v>F2252e</c:v>
                </c:pt>
                <c:pt idx="238">
                  <c:v>F2253e</c:v>
                </c:pt>
                <c:pt idx="239">
                  <c:v>F2254e</c:v>
                </c:pt>
                <c:pt idx="240">
                  <c:v>F2255e</c:v>
                </c:pt>
                <c:pt idx="241">
                  <c:v>F2256e</c:v>
                </c:pt>
                <c:pt idx="242">
                  <c:v>F2257e</c:v>
                </c:pt>
                <c:pt idx="243">
                  <c:v>F2258e</c:v>
                </c:pt>
                <c:pt idx="244">
                  <c:v>F2259e</c:v>
                </c:pt>
                <c:pt idx="245">
                  <c:v>F2260e</c:v>
                </c:pt>
                <c:pt idx="246">
                  <c:v>F2261e</c:v>
                </c:pt>
                <c:pt idx="247">
                  <c:v>F2262e</c:v>
                </c:pt>
                <c:pt idx="248">
                  <c:v>F2263e</c:v>
                </c:pt>
                <c:pt idx="249">
                  <c:v>F2264e</c:v>
                </c:pt>
              </c:strCache>
            </c:strRef>
          </c:cat>
          <c:val>
            <c:numRef>
              <c:f>'MW Valuation'!Chart_RNOA</c:f>
              <c:numCache>
                <c:formatCode>0.0%</c:formatCode>
                <c:ptCount val="1"/>
                <c:pt idx="0">
                  <c:v>7.0304978364622739E-2</c:v>
                </c:pt>
              </c:numCache>
            </c:numRef>
          </c:val>
          <c:smooth val="0"/>
        </c:ser>
        <c:ser>
          <c:idx val="2"/>
          <c:order val="2"/>
          <c:tx>
            <c:strRef>
              <c:f>'MW Valuation'!$X$27</c:f>
              <c:strCache>
                <c:ptCount val="1"/>
                <c:pt idx="0">
                  <c:v>COE</c:v>
                </c:pt>
              </c:strCache>
            </c:strRef>
          </c:tx>
          <c:spPr>
            <a:ln w="12700">
              <a:solidFill>
                <a:srgbClr val="000000"/>
              </a:solidFill>
              <a:prstDash val="sysDash"/>
            </a:ln>
          </c:spPr>
          <c:marker>
            <c:symbol val="none"/>
          </c:marker>
          <c:cat>
            <c:strRef>
              <c:f>'MW Valuation'!$C$40:$IR$40</c:f>
              <c:strCache>
                <c:ptCount val="250"/>
                <c:pt idx="0">
                  <c:v>F2015e</c:v>
                </c:pt>
                <c:pt idx="1">
                  <c:v>F2016e</c:v>
                </c:pt>
                <c:pt idx="2">
                  <c:v>F2017e</c:v>
                </c:pt>
                <c:pt idx="3">
                  <c:v>F2018e</c:v>
                </c:pt>
                <c:pt idx="4">
                  <c:v>F2019e</c:v>
                </c:pt>
                <c:pt idx="5">
                  <c:v>F2020e</c:v>
                </c:pt>
                <c:pt idx="6">
                  <c:v>F2021e</c:v>
                </c:pt>
                <c:pt idx="7">
                  <c:v>F2022e</c:v>
                </c:pt>
                <c:pt idx="8">
                  <c:v>F2023e</c:v>
                </c:pt>
                <c:pt idx="9">
                  <c:v>F2024e</c:v>
                </c:pt>
                <c:pt idx="10">
                  <c:v>F2025e</c:v>
                </c:pt>
                <c:pt idx="11">
                  <c:v>F2026e</c:v>
                </c:pt>
                <c:pt idx="12">
                  <c:v>F2027e</c:v>
                </c:pt>
                <c:pt idx="13">
                  <c:v>F2028e</c:v>
                </c:pt>
                <c:pt idx="14">
                  <c:v>F2029e</c:v>
                </c:pt>
                <c:pt idx="15">
                  <c:v>F2030e</c:v>
                </c:pt>
                <c:pt idx="16">
                  <c:v>F2031e</c:v>
                </c:pt>
                <c:pt idx="17">
                  <c:v>F2032e</c:v>
                </c:pt>
                <c:pt idx="18">
                  <c:v>F2033e</c:v>
                </c:pt>
                <c:pt idx="19">
                  <c:v>F2034e</c:v>
                </c:pt>
                <c:pt idx="20">
                  <c:v>F2035e</c:v>
                </c:pt>
                <c:pt idx="21">
                  <c:v>F2036e</c:v>
                </c:pt>
                <c:pt idx="22">
                  <c:v>F2037e</c:v>
                </c:pt>
                <c:pt idx="23">
                  <c:v>F2038e</c:v>
                </c:pt>
                <c:pt idx="24">
                  <c:v>F2039e</c:v>
                </c:pt>
                <c:pt idx="25">
                  <c:v>F2040e</c:v>
                </c:pt>
                <c:pt idx="26">
                  <c:v>F2041e</c:v>
                </c:pt>
                <c:pt idx="27">
                  <c:v>F2042e</c:v>
                </c:pt>
                <c:pt idx="28">
                  <c:v>F2043e</c:v>
                </c:pt>
                <c:pt idx="29">
                  <c:v>F2044e</c:v>
                </c:pt>
                <c:pt idx="30">
                  <c:v>F2045e</c:v>
                </c:pt>
                <c:pt idx="31">
                  <c:v>F2046e</c:v>
                </c:pt>
                <c:pt idx="32">
                  <c:v>F2047e</c:v>
                </c:pt>
                <c:pt idx="33">
                  <c:v>F2048e</c:v>
                </c:pt>
                <c:pt idx="34">
                  <c:v>F2049e</c:v>
                </c:pt>
                <c:pt idx="35">
                  <c:v>F2050e</c:v>
                </c:pt>
                <c:pt idx="36">
                  <c:v>F2051e</c:v>
                </c:pt>
                <c:pt idx="37">
                  <c:v>F2052e</c:v>
                </c:pt>
                <c:pt idx="38">
                  <c:v>F2053e</c:v>
                </c:pt>
                <c:pt idx="39">
                  <c:v>F2054e</c:v>
                </c:pt>
                <c:pt idx="40">
                  <c:v>F2055e</c:v>
                </c:pt>
                <c:pt idx="41">
                  <c:v>F2056e</c:v>
                </c:pt>
                <c:pt idx="42">
                  <c:v>F2057e</c:v>
                </c:pt>
                <c:pt idx="43">
                  <c:v>F2058e</c:v>
                </c:pt>
                <c:pt idx="44">
                  <c:v>F2059e</c:v>
                </c:pt>
                <c:pt idx="45">
                  <c:v>F2060e</c:v>
                </c:pt>
                <c:pt idx="46">
                  <c:v>F2061e</c:v>
                </c:pt>
                <c:pt idx="47">
                  <c:v>F2062e</c:v>
                </c:pt>
                <c:pt idx="48">
                  <c:v>F2063e</c:v>
                </c:pt>
                <c:pt idx="49">
                  <c:v>F2064e</c:v>
                </c:pt>
                <c:pt idx="50">
                  <c:v>F2065e</c:v>
                </c:pt>
                <c:pt idx="51">
                  <c:v>F2066e</c:v>
                </c:pt>
                <c:pt idx="52">
                  <c:v>F2067e</c:v>
                </c:pt>
                <c:pt idx="53">
                  <c:v>F2068e</c:v>
                </c:pt>
                <c:pt idx="54">
                  <c:v>F2069e</c:v>
                </c:pt>
                <c:pt idx="55">
                  <c:v>F2070e</c:v>
                </c:pt>
                <c:pt idx="56">
                  <c:v>F2071e</c:v>
                </c:pt>
                <c:pt idx="57">
                  <c:v>F2072e</c:v>
                </c:pt>
                <c:pt idx="58">
                  <c:v>F2073e</c:v>
                </c:pt>
                <c:pt idx="59">
                  <c:v>F2074e</c:v>
                </c:pt>
                <c:pt idx="60">
                  <c:v>F2075e</c:v>
                </c:pt>
                <c:pt idx="61">
                  <c:v>F2076e</c:v>
                </c:pt>
                <c:pt idx="62">
                  <c:v>F2077e</c:v>
                </c:pt>
                <c:pt idx="63">
                  <c:v>F2078e</c:v>
                </c:pt>
                <c:pt idx="64">
                  <c:v>F2079e</c:v>
                </c:pt>
                <c:pt idx="65">
                  <c:v>F2080e</c:v>
                </c:pt>
                <c:pt idx="66">
                  <c:v>F2081e</c:v>
                </c:pt>
                <c:pt idx="67">
                  <c:v>F2082e</c:v>
                </c:pt>
                <c:pt idx="68">
                  <c:v>F2083e</c:v>
                </c:pt>
                <c:pt idx="69">
                  <c:v>F2084e</c:v>
                </c:pt>
                <c:pt idx="70">
                  <c:v>F2085e</c:v>
                </c:pt>
                <c:pt idx="71">
                  <c:v>F2086e</c:v>
                </c:pt>
                <c:pt idx="72">
                  <c:v>F2087e</c:v>
                </c:pt>
                <c:pt idx="73">
                  <c:v>F2088e</c:v>
                </c:pt>
                <c:pt idx="74">
                  <c:v>F2089e</c:v>
                </c:pt>
                <c:pt idx="75">
                  <c:v>F2090e</c:v>
                </c:pt>
                <c:pt idx="76">
                  <c:v>F2091e</c:v>
                </c:pt>
                <c:pt idx="77">
                  <c:v>F2092e</c:v>
                </c:pt>
                <c:pt idx="78">
                  <c:v>F2093e</c:v>
                </c:pt>
                <c:pt idx="79">
                  <c:v>F2094e</c:v>
                </c:pt>
                <c:pt idx="80">
                  <c:v>F2095e</c:v>
                </c:pt>
                <c:pt idx="81">
                  <c:v>F2096e</c:v>
                </c:pt>
                <c:pt idx="82">
                  <c:v>F2097e</c:v>
                </c:pt>
                <c:pt idx="83">
                  <c:v>F2098e</c:v>
                </c:pt>
                <c:pt idx="84">
                  <c:v>F2099e</c:v>
                </c:pt>
                <c:pt idx="85">
                  <c:v>F2100e</c:v>
                </c:pt>
                <c:pt idx="86">
                  <c:v>F2101e</c:v>
                </c:pt>
                <c:pt idx="87">
                  <c:v>F2102e</c:v>
                </c:pt>
                <c:pt idx="88">
                  <c:v>F2103e</c:v>
                </c:pt>
                <c:pt idx="89">
                  <c:v>F2104e</c:v>
                </c:pt>
                <c:pt idx="90">
                  <c:v>F2105e</c:v>
                </c:pt>
                <c:pt idx="91">
                  <c:v>F2106e</c:v>
                </c:pt>
                <c:pt idx="92">
                  <c:v>F2107e</c:v>
                </c:pt>
                <c:pt idx="93">
                  <c:v>F2108e</c:v>
                </c:pt>
                <c:pt idx="94">
                  <c:v>F2109e</c:v>
                </c:pt>
                <c:pt idx="95">
                  <c:v>F2110e</c:v>
                </c:pt>
                <c:pt idx="96">
                  <c:v>F2111e</c:v>
                </c:pt>
                <c:pt idx="97">
                  <c:v>F2112e</c:v>
                </c:pt>
                <c:pt idx="98">
                  <c:v>F2113e</c:v>
                </c:pt>
                <c:pt idx="99">
                  <c:v>F2114e</c:v>
                </c:pt>
                <c:pt idx="100">
                  <c:v>F2115e</c:v>
                </c:pt>
                <c:pt idx="101">
                  <c:v>F2116e</c:v>
                </c:pt>
                <c:pt idx="102">
                  <c:v>F2117e</c:v>
                </c:pt>
                <c:pt idx="103">
                  <c:v>F2118e</c:v>
                </c:pt>
                <c:pt idx="104">
                  <c:v>F2119e</c:v>
                </c:pt>
                <c:pt idx="105">
                  <c:v>F2120e</c:v>
                </c:pt>
                <c:pt idx="106">
                  <c:v>F2121e</c:v>
                </c:pt>
                <c:pt idx="107">
                  <c:v>F2122e</c:v>
                </c:pt>
                <c:pt idx="108">
                  <c:v>F2123e</c:v>
                </c:pt>
                <c:pt idx="109">
                  <c:v>F2124e</c:v>
                </c:pt>
                <c:pt idx="110">
                  <c:v>F2125e</c:v>
                </c:pt>
                <c:pt idx="111">
                  <c:v>F2126e</c:v>
                </c:pt>
                <c:pt idx="112">
                  <c:v>F2127e</c:v>
                </c:pt>
                <c:pt idx="113">
                  <c:v>F2128e</c:v>
                </c:pt>
                <c:pt idx="114">
                  <c:v>F2129e</c:v>
                </c:pt>
                <c:pt idx="115">
                  <c:v>F2130e</c:v>
                </c:pt>
                <c:pt idx="116">
                  <c:v>F2131e</c:v>
                </c:pt>
                <c:pt idx="117">
                  <c:v>F2132e</c:v>
                </c:pt>
                <c:pt idx="118">
                  <c:v>F2133e</c:v>
                </c:pt>
                <c:pt idx="119">
                  <c:v>F2134e</c:v>
                </c:pt>
                <c:pt idx="120">
                  <c:v>F2135e</c:v>
                </c:pt>
                <c:pt idx="121">
                  <c:v>F2136e</c:v>
                </c:pt>
                <c:pt idx="122">
                  <c:v>F2137e</c:v>
                </c:pt>
                <c:pt idx="123">
                  <c:v>F2138e</c:v>
                </c:pt>
                <c:pt idx="124">
                  <c:v>F2139e</c:v>
                </c:pt>
                <c:pt idx="125">
                  <c:v>F2140e</c:v>
                </c:pt>
                <c:pt idx="126">
                  <c:v>F2141e</c:v>
                </c:pt>
                <c:pt idx="127">
                  <c:v>F2142e</c:v>
                </c:pt>
                <c:pt idx="128">
                  <c:v>F2143e</c:v>
                </c:pt>
                <c:pt idx="129">
                  <c:v>F2144e</c:v>
                </c:pt>
                <c:pt idx="130">
                  <c:v>F2145e</c:v>
                </c:pt>
                <c:pt idx="131">
                  <c:v>F2146e</c:v>
                </c:pt>
                <c:pt idx="132">
                  <c:v>F2147e</c:v>
                </c:pt>
                <c:pt idx="133">
                  <c:v>F2148e</c:v>
                </c:pt>
                <c:pt idx="134">
                  <c:v>F2149e</c:v>
                </c:pt>
                <c:pt idx="135">
                  <c:v>F2150e</c:v>
                </c:pt>
                <c:pt idx="136">
                  <c:v>F2151e</c:v>
                </c:pt>
                <c:pt idx="137">
                  <c:v>F2152e</c:v>
                </c:pt>
                <c:pt idx="138">
                  <c:v>F2153e</c:v>
                </c:pt>
                <c:pt idx="139">
                  <c:v>F2154e</c:v>
                </c:pt>
                <c:pt idx="140">
                  <c:v>F2155e</c:v>
                </c:pt>
                <c:pt idx="141">
                  <c:v>F2156e</c:v>
                </c:pt>
                <c:pt idx="142">
                  <c:v>F2157e</c:v>
                </c:pt>
                <c:pt idx="143">
                  <c:v>F2158e</c:v>
                </c:pt>
                <c:pt idx="144">
                  <c:v>F2159e</c:v>
                </c:pt>
                <c:pt idx="145">
                  <c:v>F2160e</c:v>
                </c:pt>
                <c:pt idx="146">
                  <c:v>F2161e</c:v>
                </c:pt>
                <c:pt idx="147">
                  <c:v>F2162e</c:v>
                </c:pt>
                <c:pt idx="148">
                  <c:v>F2163e</c:v>
                </c:pt>
                <c:pt idx="149">
                  <c:v>F2164e</c:v>
                </c:pt>
                <c:pt idx="150">
                  <c:v>F2165e</c:v>
                </c:pt>
                <c:pt idx="151">
                  <c:v>F2166e</c:v>
                </c:pt>
                <c:pt idx="152">
                  <c:v>F2167e</c:v>
                </c:pt>
                <c:pt idx="153">
                  <c:v>F2168e</c:v>
                </c:pt>
                <c:pt idx="154">
                  <c:v>F2169e</c:v>
                </c:pt>
                <c:pt idx="155">
                  <c:v>F2170e</c:v>
                </c:pt>
                <c:pt idx="156">
                  <c:v>F2171e</c:v>
                </c:pt>
                <c:pt idx="157">
                  <c:v>F2172e</c:v>
                </c:pt>
                <c:pt idx="158">
                  <c:v>F2173e</c:v>
                </c:pt>
                <c:pt idx="159">
                  <c:v>F2174e</c:v>
                </c:pt>
                <c:pt idx="160">
                  <c:v>F2175e</c:v>
                </c:pt>
                <c:pt idx="161">
                  <c:v>F2176e</c:v>
                </c:pt>
                <c:pt idx="162">
                  <c:v>F2177e</c:v>
                </c:pt>
                <c:pt idx="163">
                  <c:v>F2178e</c:v>
                </c:pt>
                <c:pt idx="164">
                  <c:v>F2179e</c:v>
                </c:pt>
                <c:pt idx="165">
                  <c:v>F2180e</c:v>
                </c:pt>
                <c:pt idx="166">
                  <c:v>F2181e</c:v>
                </c:pt>
                <c:pt idx="167">
                  <c:v>F2182e</c:v>
                </c:pt>
                <c:pt idx="168">
                  <c:v>F2183e</c:v>
                </c:pt>
                <c:pt idx="169">
                  <c:v>F2184e</c:v>
                </c:pt>
                <c:pt idx="170">
                  <c:v>F2185e</c:v>
                </c:pt>
                <c:pt idx="171">
                  <c:v>F2186e</c:v>
                </c:pt>
                <c:pt idx="172">
                  <c:v>F2187e</c:v>
                </c:pt>
                <c:pt idx="173">
                  <c:v>F2188e</c:v>
                </c:pt>
                <c:pt idx="174">
                  <c:v>F2189e</c:v>
                </c:pt>
                <c:pt idx="175">
                  <c:v>F2190e</c:v>
                </c:pt>
                <c:pt idx="176">
                  <c:v>F2191e</c:v>
                </c:pt>
                <c:pt idx="177">
                  <c:v>F2192e</c:v>
                </c:pt>
                <c:pt idx="178">
                  <c:v>F2193e</c:v>
                </c:pt>
                <c:pt idx="179">
                  <c:v>F2194e</c:v>
                </c:pt>
                <c:pt idx="180">
                  <c:v>F2195e</c:v>
                </c:pt>
                <c:pt idx="181">
                  <c:v>F2196e</c:v>
                </c:pt>
                <c:pt idx="182">
                  <c:v>F2197e</c:v>
                </c:pt>
                <c:pt idx="183">
                  <c:v>F2198e</c:v>
                </c:pt>
                <c:pt idx="184">
                  <c:v>F2199e</c:v>
                </c:pt>
                <c:pt idx="185">
                  <c:v>F2200e</c:v>
                </c:pt>
                <c:pt idx="186">
                  <c:v>F2201e</c:v>
                </c:pt>
                <c:pt idx="187">
                  <c:v>F2202e</c:v>
                </c:pt>
                <c:pt idx="188">
                  <c:v>F2203e</c:v>
                </c:pt>
                <c:pt idx="189">
                  <c:v>F2204e</c:v>
                </c:pt>
                <c:pt idx="190">
                  <c:v>F2205e</c:v>
                </c:pt>
                <c:pt idx="191">
                  <c:v>F2206e</c:v>
                </c:pt>
                <c:pt idx="192">
                  <c:v>F2207e</c:v>
                </c:pt>
                <c:pt idx="193">
                  <c:v>F2208e</c:v>
                </c:pt>
                <c:pt idx="194">
                  <c:v>F2209e</c:v>
                </c:pt>
                <c:pt idx="195">
                  <c:v>F2210e</c:v>
                </c:pt>
                <c:pt idx="196">
                  <c:v>F2211e</c:v>
                </c:pt>
                <c:pt idx="197">
                  <c:v>F2212e</c:v>
                </c:pt>
                <c:pt idx="198">
                  <c:v>F2213e</c:v>
                </c:pt>
                <c:pt idx="199">
                  <c:v>F2214e</c:v>
                </c:pt>
                <c:pt idx="200">
                  <c:v>F2215e</c:v>
                </c:pt>
                <c:pt idx="201">
                  <c:v>F2216e</c:v>
                </c:pt>
                <c:pt idx="202">
                  <c:v>F2217e</c:v>
                </c:pt>
                <c:pt idx="203">
                  <c:v>F2218e</c:v>
                </c:pt>
                <c:pt idx="204">
                  <c:v>F2219e</c:v>
                </c:pt>
                <c:pt idx="205">
                  <c:v>F2220e</c:v>
                </c:pt>
                <c:pt idx="206">
                  <c:v>F2221e</c:v>
                </c:pt>
                <c:pt idx="207">
                  <c:v>F2222e</c:v>
                </c:pt>
                <c:pt idx="208">
                  <c:v>F2223e</c:v>
                </c:pt>
                <c:pt idx="209">
                  <c:v>F2224e</c:v>
                </c:pt>
                <c:pt idx="210">
                  <c:v>F2225e</c:v>
                </c:pt>
                <c:pt idx="211">
                  <c:v>F2226e</c:v>
                </c:pt>
                <c:pt idx="212">
                  <c:v>F2227e</c:v>
                </c:pt>
                <c:pt idx="213">
                  <c:v>F2228e</c:v>
                </c:pt>
                <c:pt idx="214">
                  <c:v>F2229e</c:v>
                </c:pt>
                <c:pt idx="215">
                  <c:v>F2230e</c:v>
                </c:pt>
                <c:pt idx="216">
                  <c:v>F2231e</c:v>
                </c:pt>
                <c:pt idx="217">
                  <c:v>F2232e</c:v>
                </c:pt>
                <c:pt idx="218">
                  <c:v>F2233e</c:v>
                </c:pt>
                <c:pt idx="219">
                  <c:v>F2234e</c:v>
                </c:pt>
                <c:pt idx="220">
                  <c:v>F2235e</c:v>
                </c:pt>
                <c:pt idx="221">
                  <c:v>F2236e</c:v>
                </c:pt>
                <c:pt idx="222">
                  <c:v>F2237e</c:v>
                </c:pt>
                <c:pt idx="223">
                  <c:v>F2238e</c:v>
                </c:pt>
                <c:pt idx="224">
                  <c:v>F2239e</c:v>
                </c:pt>
                <c:pt idx="225">
                  <c:v>F2240e</c:v>
                </c:pt>
                <c:pt idx="226">
                  <c:v>F2241e</c:v>
                </c:pt>
                <c:pt idx="227">
                  <c:v>F2242e</c:v>
                </c:pt>
                <c:pt idx="228">
                  <c:v>F2243e</c:v>
                </c:pt>
                <c:pt idx="229">
                  <c:v>F2244e</c:v>
                </c:pt>
                <c:pt idx="230">
                  <c:v>F2245e</c:v>
                </c:pt>
                <c:pt idx="231">
                  <c:v>F2246e</c:v>
                </c:pt>
                <c:pt idx="232">
                  <c:v>F2247e</c:v>
                </c:pt>
                <c:pt idx="233">
                  <c:v>F2248e</c:v>
                </c:pt>
                <c:pt idx="234">
                  <c:v>F2249e</c:v>
                </c:pt>
                <c:pt idx="235">
                  <c:v>F2250e</c:v>
                </c:pt>
                <c:pt idx="236">
                  <c:v>F2251e</c:v>
                </c:pt>
                <c:pt idx="237">
                  <c:v>F2252e</c:v>
                </c:pt>
                <c:pt idx="238">
                  <c:v>F2253e</c:v>
                </c:pt>
                <c:pt idx="239">
                  <c:v>F2254e</c:v>
                </c:pt>
                <c:pt idx="240">
                  <c:v>F2255e</c:v>
                </c:pt>
                <c:pt idx="241">
                  <c:v>F2256e</c:v>
                </c:pt>
                <c:pt idx="242">
                  <c:v>F2257e</c:v>
                </c:pt>
                <c:pt idx="243">
                  <c:v>F2258e</c:v>
                </c:pt>
                <c:pt idx="244">
                  <c:v>F2259e</c:v>
                </c:pt>
                <c:pt idx="245">
                  <c:v>F2260e</c:v>
                </c:pt>
                <c:pt idx="246">
                  <c:v>F2261e</c:v>
                </c:pt>
                <c:pt idx="247">
                  <c:v>F2262e</c:v>
                </c:pt>
                <c:pt idx="248">
                  <c:v>F2263e</c:v>
                </c:pt>
                <c:pt idx="249">
                  <c:v>F2264e</c:v>
                </c:pt>
              </c:strCache>
            </c:strRef>
          </c:cat>
          <c:val>
            <c:numRef>
              <c:f>'MW Valuation'!Chart_COE</c:f>
              <c:numCache>
                <c:formatCode>0.0%</c:formatCode>
                <c:ptCount val="1"/>
                <c:pt idx="0">
                  <c:v>0.05</c:v>
                </c:pt>
              </c:numCache>
            </c:numRef>
          </c:val>
          <c:smooth val="0"/>
        </c:ser>
        <c:ser>
          <c:idx val="3"/>
          <c:order val="3"/>
          <c:tx>
            <c:strRef>
              <c:f>'MW Valuation'!$X$28</c:f>
              <c:strCache>
                <c:ptCount val="1"/>
                <c:pt idx="0">
                  <c:v>WACC</c:v>
                </c:pt>
              </c:strCache>
            </c:strRef>
          </c:tx>
          <c:spPr>
            <a:ln w="12700">
              <a:solidFill>
                <a:srgbClr val="FF6600"/>
              </a:solidFill>
              <a:prstDash val="sysDash"/>
            </a:ln>
          </c:spPr>
          <c:marker>
            <c:symbol val="none"/>
          </c:marker>
          <c:cat>
            <c:strRef>
              <c:f>'MW Valuation'!$C$40:$IR$40</c:f>
              <c:strCache>
                <c:ptCount val="250"/>
                <c:pt idx="0">
                  <c:v>F2015e</c:v>
                </c:pt>
                <c:pt idx="1">
                  <c:v>F2016e</c:v>
                </c:pt>
                <c:pt idx="2">
                  <c:v>F2017e</c:v>
                </c:pt>
                <c:pt idx="3">
                  <c:v>F2018e</c:v>
                </c:pt>
                <c:pt idx="4">
                  <c:v>F2019e</c:v>
                </c:pt>
                <c:pt idx="5">
                  <c:v>F2020e</c:v>
                </c:pt>
                <c:pt idx="6">
                  <c:v>F2021e</c:v>
                </c:pt>
                <c:pt idx="7">
                  <c:v>F2022e</c:v>
                </c:pt>
                <c:pt idx="8">
                  <c:v>F2023e</c:v>
                </c:pt>
                <c:pt idx="9">
                  <c:v>F2024e</c:v>
                </c:pt>
                <c:pt idx="10">
                  <c:v>F2025e</c:v>
                </c:pt>
                <c:pt idx="11">
                  <c:v>F2026e</c:v>
                </c:pt>
                <c:pt idx="12">
                  <c:v>F2027e</c:v>
                </c:pt>
                <c:pt idx="13">
                  <c:v>F2028e</c:v>
                </c:pt>
                <c:pt idx="14">
                  <c:v>F2029e</c:v>
                </c:pt>
                <c:pt idx="15">
                  <c:v>F2030e</c:v>
                </c:pt>
                <c:pt idx="16">
                  <c:v>F2031e</c:v>
                </c:pt>
                <c:pt idx="17">
                  <c:v>F2032e</c:v>
                </c:pt>
                <c:pt idx="18">
                  <c:v>F2033e</c:v>
                </c:pt>
                <c:pt idx="19">
                  <c:v>F2034e</c:v>
                </c:pt>
                <c:pt idx="20">
                  <c:v>F2035e</c:v>
                </c:pt>
                <c:pt idx="21">
                  <c:v>F2036e</c:v>
                </c:pt>
                <c:pt idx="22">
                  <c:v>F2037e</c:v>
                </c:pt>
                <c:pt idx="23">
                  <c:v>F2038e</c:v>
                </c:pt>
                <c:pt idx="24">
                  <c:v>F2039e</c:v>
                </c:pt>
                <c:pt idx="25">
                  <c:v>F2040e</c:v>
                </c:pt>
                <c:pt idx="26">
                  <c:v>F2041e</c:v>
                </c:pt>
                <c:pt idx="27">
                  <c:v>F2042e</c:v>
                </c:pt>
                <c:pt idx="28">
                  <c:v>F2043e</c:v>
                </c:pt>
                <c:pt idx="29">
                  <c:v>F2044e</c:v>
                </c:pt>
                <c:pt idx="30">
                  <c:v>F2045e</c:v>
                </c:pt>
                <c:pt idx="31">
                  <c:v>F2046e</c:v>
                </c:pt>
                <c:pt idx="32">
                  <c:v>F2047e</c:v>
                </c:pt>
                <c:pt idx="33">
                  <c:v>F2048e</c:v>
                </c:pt>
                <c:pt idx="34">
                  <c:v>F2049e</c:v>
                </c:pt>
                <c:pt idx="35">
                  <c:v>F2050e</c:v>
                </c:pt>
                <c:pt idx="36">
                  <c:v>F2051e</c:v>
                </c:pt>
                <c:pt idx="37">
                  <c:v>F2052e</c:v>
                </c:pt>
                <c:pt idx="38">
                  <c:v>F2053e</c:v>
                </c:pt>
                <c:pt idx="39">
                  <c:v>F2054e</c:v>
                </c:pt>
                <c:pt idx="40">
                  <c:v>F2055e</c:v>
                </c:pt>
                <c:pt idx="41">
                  <c:v>F2056e</c:v>
                </c:pt>
                <c:pt idx="42">
                  <c:v>F2057e</c:v>
                </c:pt>
                <c:pt idx="43">
                  <c:v>F2058e</c:v>
                </c:pt>
                <c:pt idx="44">
                  <c:v>F2059e</c:v>
                </c:pt>
                <c:pt idx="45">
                  <c:v>F2060e</c:v>
                </c:pt>
                <c:pt idx="46">
                  <c:v>F2061e</c:v>
                </c:pt>
                <c:pt idx="47">
                  <c:v>F2062e</c:v>
                </c:pt>
                <c:pt idx="48">
                  <c:v>F2063e</c:v>
                </c:pt>
                <c:pt idx="49">
                  <c:v>F2064e</c:v>
                </c:pt>
                <c:pt idx="50">
                  <c:v>F2065e</c:v>
                </c:pt>
                <c:pt idx="51">
                  <c:v>F2066e</c:v>
                </c:pt>
                <c:pt idx="52">
                  <c:v>F2067e</c:v>
                </c:pt>
                <c:pt idx="53">
                  <c:v>F2068e</c:v>
                </c:pt>
                <c:pt idx="54">
                  <c:v>F2069e</c:v>
                </c:pt>
                <c:pt idx="55">
                  <c:v>F2070e</c:v>
                </c:pt>
                <c:pt idx="56">
                  <c:v>F2071e</c:v>
                </c:pt>
                <c:pt idx="57">
                  <c:v>F2072e</c:v>
                </c:pt>
                <c:pt idx="58">
                  <c:v>F2073e</c:v>
                </c:pt>
                <c:pt idx="59">
                  <c:v>F2074e</c:v>
                </c:pt>
                <c:pt idx="60">
                  <c:v>F2075e</c:v>
                </c:pt>
                <c:pt idx="61">
                  <c:v>F2076e</c:v>
                </c:pt>
                <c:pt idx="62">
                  <c:v>F2077e</c:v>
                </c:pt>
                <c:pt idx="63">
                  <c:v>F2078e</c:v>
                </c:pt>
                <c:pt idx="64">
                  <c:v>F2079e</c:v>
                </c:pt>
                <c:pt idx="65">
                  <c:v>F2080e</c:v>
                </c:pt>
                <c:pt idx="66">
                  <c:v>F2081e</c:v>
                </c:pt>
                <c:pt idx="67">
                  <c:v>F2082e</c:v>
                </c:pt>
                <c:pt idx="68">
                  <c:v>F2083e</c:v>
                </c:pt>
                <c:pt idx="69">
                  <c:v>F2084e</c:v>
                </c:pt>
                <c:pt idx="70">
                  <c:v>F2085e</c:v>
                </c:pt>
                <c:pt idx="71">
                  <c:v>F2086e</c:v>
                </c:pt>
                <c:pt idx="72">
                  <c:v>F2087e</c:v>
                </c:pt>
                <c:pt idx="73">
                  <c:v>F2088e</c:v>
                </c:pt>
                <c:pt idx="74">
                  <c:v>F2089e</c:v>
                </c:pt>
                <c:pt idx="75">
                  <c:v>F2090e</c:v>
                </c:pt>
                <c:pt idx="76">
                  <c:v>F2091e</c:v>
                </c:pt>
                <c:pt idx="77">
                  <c:v>F2092e</c:v>
                </c:pt>
                <c:pt idx="78">
                  <c:v>F2093e</c:v>
                </c:pt>
                <c:pt idx="79">
                  <c:v>F2094e</c:v>
                </c:pt>
                <c:pt idx="80">
                  <c:v>F2095e</c:v>
                </c:pt>
                <c:pt idx="81">
                  <c:v>F2096e</c:v>
                </c:pt>
                <c:pt idx="82">
                  <c:v>F2097e</c:v>
                </c:pt>
                <c:pt idx="83">
                  <c:v>F2098e</c:v>
                </c:pt>
                <c:pt idx="84">
                  <c:v>F2099e</c:v>
                </c:pt>
                <c:pt idx="85">
                  <c:v>F2100e</c:v>
                </c:pt>
                <c:pt idx="86">
                  <c:v>F2101e</c:v>
                </c:pt>
                <c:pt idx="87">
                  <c:v>F2102e</c:v>
                </c:pt>
                <c:pt idx="88">
                  <c:v>F2103e</c:v>
                </c:pt>
                <c:pt idx="89">
                  <c:v>F2104e</c:v>
                </c:pt>
                <c:pt idx="90">
                  <c:v>F2105e</c:v>
                </c:pt>
                <c:pt idx="91">
                  <c:v>F2106e</c:v>
                </c:pt>
                <c:pt idx="92">
                  <c:v>F2107e</c:v>
                </c:pt>
                <c:pt idx="93">
                  <c:v>F2108e</c:v>
                </c:pt>
                <c:pt idx="94">
                  <c:v>F2109e</c:v>
                </c:pt>
                <c:pt idx="95">
                  <c:v>F2110e</c:v>
                </c:pt>
                <c:pt idx="96">
                  <c:v>F2111e</c:v>
                </c:pt>
                <c:pt idx="97">
                  <c:v>F2112e</c:v>
                </c:pt>
                <c:pt idx="98">
                  <c:v>F2113e</c:v>
                </c:pt>
                <c:pt idx="99">
                  <c:v>F2114e</c:v>
                </c:pt>
                <c:pt idx="100">
                  <c:v>F2115e</c:v>
                </c:pt>
                <c:pt idx="101">
                  <c:v>F2116e</c:v>
                </c:pt>
                <c:pt idx="102">
                  <c:v>F2117e</c:v>
                </c:pt>
                <c:pt idx="103">
                  <c:v>F2118e</c:v>
                </c:pt>
                <c:pt idx="104">
                  <c:v>F2119e</c:v>
                </c:pt>
                <c:pt idx="105">
                  <c:v>F2120e</c:v>
                </c:pt>
                <c:pt idx="106">
                  <c:v>F2121e</c:v>
                </c:pt>
                <c:pt idx="107">
                  <c:v>F2122e</c:v>
                </c:pt>
                <c:pt idx="108">
                  <c:v>F2123e</c:v>
                </c:pt>
                <c:pt idx="109">
                  <c:v>F2124e</c:v>
                </c:pt>
                <c:pt idx="110">
                  <c:v>F2125e</c:v>
                </c:pt>
                <c:pt idx="111">
                  <c:v>F2126e</c:v>
                </c:pt>
                <c:pt idx="112">
                  <c:v>F2127e</c:v>
                </c:pt>
                <c:pt idx="113">
                  <c:v>F2128e</c:v>
                </c:pt>
                <c:pt idx="114">
                  <c:v>F2129e</c:v>
                </c:pt>
                <c:pt idx="115">
                  <c:v>F2130e</c:v>
                </c:pt>
                <c:pt idx="116">
                  <c:v>F2131e</c:v>
                </c:pt>
                <c:pt idx="117">
                  <c:v>F2132e</c:v>
                </c:pt>
                <c:pt idx="118">
                  <c:v>F2133e</c:v>
                </c:pt>
                <c:pt idx="119">
                  <c:v>F2134e</c:v>
                </c:pt>
                <c:pt idx="120">
                  <c:v>F2135e</c:v>
                </c:pt>
                <c:pt idx="121">
                  <c:v>F2136e</c:v>
                </c:pt>
                <c:pt idx="122">
                  <c:v>F2137e</c:v>
                </c:pt>
                <c:pt idx="123">
                  <c:v>F2138e</c:v>
                </c:pt>
                <c:pt idx="124">
                  <c:v>F2139e</c:v>
                </c:pt>
                <c:pt idx="125">
                  <c:v>F2140e</c:v>
                </c:pt>
                <c:pt idx="126">
                  <c:v>F2141e</c:v>
                </c:pt>
                <c:pt idx="127">
                  <c:v>F2142e</c:v>
                </c:pt>
                <c:pt idx="128">
                  <c:v>F2143e</c:v>
                </c:pt>
                <c:pt idx="129">
                  <c:v>F2144e</c:v>
                </c:pt>
                <c:pt idx="130">
                  <c:v>F2145e</c:v>
                </c:pt>
                <c:pt idx="131">
                  <c:v>F2146e</c:v>
                </c:pt>
                <c:pt idx="132">
                  <c:v>F2147e</c:v>
                </c:pt>
                <c:pt idx="133">
                  <c:v>F2148e</c:v>
                </c:pt>
                <c:pt idx="134">
                  <c:v>F2149e</c:v>
                </c:pt>
                <c:pt idx="135">
                  <c:v>F2150e</c:v>
                </c:pt>
                <c:pt idx="136">
                  <c:v>F2151e</c:v>
                </c:pt>
                <c:pt idx="137">
                  <c:v>F2152e</c:v>
                </c:pt>
                <c:pt idx="138">
                  <c:v>F2153e</c:v>
                </c:pt>
                <c:pt idx="139">
                  <c:v>F2154e</c:v>
                </c:pt>
                <c:pt idx="140">
                  <c:v>F2155e</c:v>
                </c:pt>
                <c:pt idx="141">
                  <c:v>F2156e</c:v>
                </c:pt>
                <c:pt idx="142">
                  <c:v>F2157e</c:v>
                </c:pt>
                <c:pt idx="143">
                  <c:v>F2158e</c:v>
                </c:pt>
                <c:pt idx="144">
                  <c:v>F2159e</c:v>
                </c:pt>
                <c:pt idx="145">
                  <c:v>F2160e</c:v>
                </c:pt>
                <c:pt idx="146">
                  <c:v>F2161e</c:v>
                </c:pt>
                <c:pt idx="147">
                  <c:v>F2162e</c:v>
                </c:pt>
                <c:pt idx="148">
                  <c:v>F2163e</c:v>
                </c:pt>
                <c:pt idx="149">
                  <c:v>F2164e</c:v>
                </c:pt>
                <c:pt idx="150">
                  <c:v>F2165e</c:v>
                </c:pt>
                <c:pt idx="151">
                  <c:v>F2166e</c:v>
                </c:pt>
                <c:pt idx="152">
                  <c:v>F2167e</c:v>
                </c:pt>
                <c:pt idx="153">
                  <c:v>F2168e</c:v>
                </c:pt>
                <c:pt idx="154">
                  <c:v>F2169e</c:v>
                </c:pt>
                <c:pt idx="155">
                  <c:v>F2170e</c:v>
                </c:pt>
                <c:pt idx="156">
                  <c:v>F2171e</c:v>
                </c:pt>
                <c:pt idx="157">
                  <c:v>F2172e</c:v>
                </c:pt>
                <c:pt idx="158">
                  <c:v>F2173e</c:v>
                </c:pt>
                <c:pt idx="159">
                  <c:v>F2174e</c:v>
                </c:pt>
                <c:pt idx="160">
                  <c:v>F2175e</c:v>
                </c:pt>
                <c:pt idx="161">
                  <c:v>F2176e</c:v>
                </c:pt>
                <c:pt idx="162">
                  <c:v>F2177e</c:v>
                </c:pt>
                <c:pt idx="163">
                  <c:v>F2178e</c:v>
                </c:pt>
                <c:pt idx="164">
                  <c:v>F2179e</c:v>
                </c:pt>
                <c:pt idx="165">
                  <c:v>F2180e</c:v>
                </c:pt>
                <c:pt idx="166">
                  <c:v>F2181e</c:v>
                </c:pt>
                <c:pt idx="167">
                  <c:v>F2182e</c:v>
                </c:pt>
                <c:pt idx="168">
                  <c:v>F2183e</c:v>
                </c:pt>
                <c:pt idx="169">
                  <c:v>F2184e</c:v>
                </c:pt>
                <c:pt idx="170">
                  <c:v>F2185e</c:v>
                </c:pt>
                <c:pt idx="171">
                  <c:v>F2186e</c:v>
                </c:pt>
                <c:pt idx="172">
                  <c:v>F2187e</c:v>
                </c:pt>
                <c:pt idx="173">
                  <c:v>F2188e</c:v>
                </c:pt>
                <c:pt idx="174">
                  <c:v>F2189e</c:v>
                </c:pt>
                <c:pt idx="175">
                  <c:v>F2190e</c:v>
                </c:pt>
                <c:pt idx="176">
                  <c:v>F2191e</c:v>
                </c:pt>
                <c:pt idx="177">
                  <c:v>F2192e</c:v>
                </c:pt>
                <c:pt idx="178">
                  <c:v>F2193e</c:v>
                </c:pt>
                <c:pt idx="179">
                  <c:v>F2194e</c:v>
                </c:pt>
                <c:pt idx="180">
                  <c:v>F2195e</c:v>
                </c:pt>
                <c:pt idx="181">
                  <c:v>F2196e</c:v>
                </c:pt>
                <c:pt idx="182">
                  <c:v>F2197e</c:v>
                </c:pt>
                <c:pt idx="183">
                  <c:v>F2198e</c:v>
                </c:pt>
                <c:pt idx="184">
                  <c:v>F2199e</c:v>
                </c:pt>
                <c:pt idx="185">
                  <c:v>F2200e</c:v>
                </c:pt>
                <c:pt idx="186">
                  <c:v>F2201e</c:v>
                </c:pt>
                <c:pt idx="187">
                  <c:v>F2202e</c:v>
                </c:pt>
                <c:pt idx="188">
                  <c:v>F2203e</c:v>
                </c:pt>
                <c:pt idx="189">
                  <c:v>F2204e</c:v>
                </c:pt>
                <c:pt idx="190">
                  <c:v>F2205e</c:v>
                </c:pt>
                <c:pt idx="191">
                  <c:v>F2206e</c:v>
                </c:pt>
                <c:pt idx="192">
                  <c:v>F2207e</c:v>
                </c:pt>
                <c:pt idx="193">
                  <c:v>F2208e</c:v>
                </c:pt>
                <c:pt idx="194">
                  <c:v>F2209e</c:v>
                </c:pt>
                <c:pt idx="195">
                  <c:v>F2210e</c:v>
                </c:pt>
                <c:pt idx="196">
                  <c:v>F2211e</c:v>
                </c:pt>
                <c:pt idx="197">
                  <c:v>F2212e</c:v>
                </c:pt>
                <c:pt idx="198">
                  <c:v>F2213e</c:v>
                </c:pt>
                <c:pt idx="199">
                  <c:v>F2214e</c:v>
                </c:pt>
                <c:pt idx="200">
                  <c:v>F2215e</c:v>
                </c:pt>
                <c:pt idx="201">
                  <c:v>F2216e</c:v>
                </c:pt>
                <c:pt idx="202">
                  <c:v>F2217e</c:v>
                </c:pt>
                <c:pt idx="203">
                  <c:v>F2218e</c:v>
                </c:pt>
                <c:pt idx="204">
                  <c:v>F2219e</c:v>
                </c:pt>
                <c:pt idx="205">
                  <c:v>F2220e</c:v>
                </c:pt>
                <c:pt idx="206">
                  <c:v>F2221e</c:v>
                </c:pt>
                <c:pt idx="207">
                  <c:v>F2222e</c:v>
                </c:pt>
                <c:pt idx="208">
                  <c:v>F2223e</c:v>
                </c:pt>
                <c:pt idx="209">
                  <c:v>F2224e</c:v>
                </c:pt>
                <c:pt idx="210">
                  <c:v>F2225e</c:v>
                </c:pt>
                <c:pt idx="211">
                  <c:v>F2226e</c:v>
                </c:pt>
                <c:pt idx="212">
                  <c:v>F2227e</c:v>
                </c:pt>
                <c:pt idx="213">
                  <c:v>F2228e</c:v>
                </c:pt>
                <c:pt idx="214">
                  <c:v>F2229e</c:v>
                </c:pt>
                <c:pt idx="215">
                  <c:v>F2230e</c:v>
                </c:pt>
                <c:pt idx="216">
                  <c:v>F2231e</c:v>
                </c:pt>
                <c:pt idx="217">
                  <c:v>F2232e</c:v>
                </c:pt>
                <c:pt idx="218">
                  <c:v>F2233e</c:v>
                </c:pt>
                <c:pt idx="219">
                  <c:v>F2234e</c:v>
                </c:pt>
                <c:pt idx="220">
                  <c:v>F2235e</c:v>
                </c:pt>
                <c:pt idx="221">
                  <c:v>F2236e</c:v>
                </c:pt>
                <c:pt idx="222">
                  <c:v>F2237e</c:v>
                </c:pt>
                <c:pt idx="223">
                  <c:v>F2238e</c:v>
                </c:pt>
                <c:pt idx="224">
                  <c:v>F2239e</c:v>
                </c:pt>
                <c:pt idx="225">
                  <c:v>F2240e</c:v>
                </c:pt>
                <c:pt idx="226">
                  <c:v>F2241e</c:v>
                </c:pt>
                <c:pt idx="227">
                  <c:v>F2242e</c:v>
                </c:pt>
                <c:pt idx="228">
                  <c:v>F2243e</c:v>
                </c:pt>
                <c:pt idx="229">
                  <c:v>F2244e</c:v>
                </c:pt>
                <c:pt idx="230">
                  <c:v>F2245e</c:v>
                </c:pt>
                <c:pt idx="231">
                  <c:v>F2246e</c:v>
                </c:pt>
                <c:pt idx="232">
                  <c:v>F2247e</c:v>
                </c:pt>
                <c:pt idx="233">
                  <c:v>F2248e</c:v>
                </c:pt>
                <c:pt idx="234">
                  <c:v>F2249e</c:v>
                </c:pt>
                <c:pt idx="235">
                  <c:v>F2250e</c:v>
                </c:pt>
                <c:pt idx="236">
                  <c:v>F2251e</c:v>
                </c:pt>
                <c:pt idx="237">
                  <c:v>F2252e</c:v>
                </c:pt>
                <c:pt idx="238">
                  <c:v>F2253e</c:v>
                </c:pt>
                <c:pt idx="239">
                  <c:v>F2254e</c:v>
                </c:pt>
                <c:pt idx="240">
                  <c:v>F2255e</c:v>
                </c:pt>
                <c:pt idx="241">
                  <c:v>F2256e</c:v>
                </c:pt>
                <c:pt idx="242">
                  <c:v>F2257e</c:v>
                </c:pt>
                <c:pt idx="243">
                  <c:v>F2258e</c:v>
                </c:pt>
                <c:pt idx="244">
                  <c:v>F2259e</c:v>
                </c:pt>
                <c:pt idx="245">
                  <c:v>F2260e</c:v>
                </c:pt>
                <c:pt idx="246">
                  <c:v>F2261e</c:v>
                </c:pt>
                <c:pt idx="247">
                  <c:v>F2262e</c:v>
                </c:pt>
                <c:pt idx="248">
                  <c:v>F2263e</c:v>
                </c:pt>
                <c:pt idx="249">
                  <c:v>F2264e</c:v>
                </c:pt>
              </c:strCache>
            </c:strRef>
          </c:cat>
          <c:val>
            <c:numRef>
              <c:f>'MW Valuation'!Chart_WACC</c:f>
              <c:numCache>
                <c:formatCode>0.0%</c:formatCode>
                <c:ptCount val="1"/>
                <c:pt idx="0">
                  <c:v>0.05</c:v>
                </c:pt>
              </c:numCache>
            </c:numRef>
          </c:val>
          <c:smooth val="0"/>
        </c:ser>
        <c:dLbls>
          <c:showLegendKey val="0"/>
          <c:showVal val="0"/>
          <c:showCatName val="0"/>
          <c:showSerName val="0"/>
          <c:showPercent val="0"/>
          <c:showBubbleSize val="0"/>
        </c:dLbls>
        <c:marker val="1"/>
        <c:smooth val="0"/>
        <c:axId val="372091520"/>
        <c:axId val="372118272"/>
      </c:lineChart>
      <c:scatterChart>
        <c:scatterStyle val="lineMarker"/>
        <c:varyColors val="0"/>
        <c:ser>
          <c:idx val="4"/>
          <c:order val="4"/>
          <c:tx>
            <c:strRef>
              <c:f>'MW Valuation'!$B$142</c:f>
              <c:strCache>
                <c:ptCount val="1"/>
                <c:pt idx="0">
                  <c:v>Explicit</c:v>
                </c:pt>
              </c:strCache>
            </c:strRef>
          </c:tx>
          <c:spPr>
            <a:ln w="12700">
              <a:solidFill>
                <a:srgbClr val="FFCC00"/>
              </a:solidFill>
              <a:prstDash val="solid"/>
            </a:ln>
          </c:spPr>
          <c:marker>
            <c:symbol val="none"/>
          </c:marker>
          <c:xVal>
            <c:numRef>
              <c:f>'MW Valuation'!$C$142:$C$143</c:f>
              <c:numCache>
                <c:formatCode>_(* #,##0_);_(* \(#,##0\);_(* "-"??_);_(@_)</c:formatCode>
                <c:ptCount val="2"/>
                <c:pt idx="0">
                  <c:v>4</c:v>
                </c:pt>
                <c:pt idx="1">
                  <c:v>4</c:v>
                </c:pt>
              </c:numCache>
            </c:numRef>
          </c:xVal>
          <c:yVal>
            <c:numRef>
              <c:f>'MW Valuation'!$D$142:$D$143</c:f>
              <c:numCache>
                <c:formatCode>0%</c:formatCode>
                <c:ptCount val="2"/>
                <c:pt idx="0">
                  <c:v>1</c:v>
                </c:pt>
                <c:pt idx="1">
                  <c:v>0</c:v>
                </c:pt>
              </c:numCache>
            </c:numRef>
          </c:yVal>
          <c:smooth val="0"/>
        </c:ser>
        <c:ser>
          <c:idx val="5"/>
          <c:order val="5"/>
          <c:tx>
            <c:strRef>
              <c:f>'MW Valuation'!$B$144</c:f>
              <c:strCache>
                <c:ptCount val="1"/>
                <c:pt idx="0">
                  <c:v>Transition</c:v>
                </c:pt>
              </c:strCache>
            </c:strRef>
          </c:tx>
          <c:spPr>
            <a:ln w="12700">
              <a:solidFill>
                <a:srgbClr val="99CCFF"/>
              </a:solidFill>
              <a:prstDash val="solid"/>
            </a:ln>
          </c:spPr>
          <c:marker>
            <c:symbol val="none"/>
          </c:marker>
          <c:xVal>
            <c:numRef>
              <c:f>'MW Valuation'!$C$144:$C$145</c:f>
              <c:numCache>
                <c:formatCode>_(* #,##0_);_(* \(#,##0\);_(* "-"??_);_(@_)</c:formatCode>
                <c:ptCount val="2"/>
                <c:pt idx="0">
                  <c:v>20</c:v>
                </c:pt>
                <c:pt idx="1">
                  <c:v>20</c:v>
                </c:pt>
              </c:numCache>
            </c:numRef>
          </c:xVal>
          <c:yVal>
            <c:numRef>
              <c:f>'MW Valuation'!$D$144:$D$145</c:f>
              <c:numCache>
                <c:formatCode>0%</c:formatCode>
                <c:ptCount val="2"/>
                <c:pt idx="0">
                  <c:v>1</c:v>
                </c:pt>
                <c:pt idx="1">
                  <c:v>0</c:v>
                </c:pt>
              </c:numCache>
            </c:numRef>
          </c:yVal>
          <c:smooth val="0"/>
        </c:ser>
        <c:dLbls>
          <c:showLegendKey val="0"/>
          <c:showVal val="0"/>
          <c:showCatName val="0"/>
          <c:showSerName val="0"/>
          <c:showPercent val="0"/>
          <c:showBubbleSize val="0"/>
        </c:dLbls>
        <c:axId val="372091520"/>
        <c:axId val="372118272"/>
      </c:scatterChart>
      <c:catAx>
        <c:axId val="372091520"/>
        <c:scaling>
          <c:orientation val="minMax"/>
        </c:scaling>
        <c:delete val="0"/>
        <c:axPos val="b"/>
        <c:title>
          <c:tx>
            <c:strRef>
              <c:f>'MW Valuation'!$B$336</c:f>
              <c:strCache>
                <c:ptCount val="1"/>
                <c:pt idx="0">
                  <c:v>Source: Morgan Stanley Research, ModelWare</c:v>
                </c:pt>
              </c:strCache>
            </c:strRef>
          </c:tx>
          <c:overlay val="0"/>
          <c:spPr>
            <a:noFill/>
            <a:ln w="25400">
              <a:noFill/>
            </a:ln>
          </c:spPr>
          <c:txPr>
            <a:bodyPr/>
            <a:lstStyle/>
            <a:p>
              <a:pPr>
                <a:defRPr sz="700" b="0" i="0" u="none" strike="noStrike" baseline="0">
                  <a:solidFill>
                    <a:srgbClr val="000000"/>
                  </a:solidFill>
                  <a:latin typeface="Arial"/>
                  <a:ea typeface="Arial"/>
                  <a:cs typeface="Arial"/>
                </a:defRPr>
              </a:pPr>
              <a:endParaRPr lang="en-US"/>
            </a:p>
          </c:txPr>
        </c:title>
        <c:numFmt formatCode="General" sourceLinked="1"/>
        <c:majorTickMark val="none"/>
        <c:minorTickMark val="none"/>
        <c:tickLblPos val="nextTo"/>
        <c:txPr>
          <a:bodyPr rot="-5400000" vert="horz"/>
          <a:lstStyle/>
          <a:p>
            <a:pPr>
              <a:defRPr sz="700" b="0" i="0" u="none" strike="noStrike" baseline="0">
                <a:solidFill>
                  <a:srgbClr val="000000"/>
                </a:solidFill>
                <a:latin typeface="Arial"/>
                <a:ea typeface="Arial"/>
                <a:cs typeface="Arial"/>
              </a:defRPr>
            </a:pPr>
            <a:endParaRPr lang="en-US"/>
          </a:p>
        </c:txPr>
        <c:crossAx val="372118272"/>
        <c:crosses val="autoZero"/>
        <c:auto val="1"/>
        <c:lblAlgn val="ctr"/>
        <c:lblOffset val="100"/>
        <c:noMultiLvlLbl val="0"/>
      </c:catAx>
      <c:valAx>
        <c:axId val="372118272"/>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372091520"/>
        <c:crossesAt val="1"/>
        <c:crossBetween val="between"/>
      </c:valAx>
      <c:spPr>
        <a:noFill/>
        <a:ln w="25400">
          <a:noFill/>
        </a:ln>
      </c:spPr>
    </c:plotArea>
    <c:legend>
      <c:legendPos val="r"/>
      <c:overlay val="0"/>
      <c:spPr>
        <a:noFill/>
        <a:ln w="25400">
          <a:noFill/>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no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'MW Valuation'!$B$336</c:f>
          <c:strCache>
            <c:ptCount val="1"/>
            <c:pt idx="0">
              <c:v>Source: Morgan Stanley Research, ModelWare</c:v>
            </c:pt>
          </c:strCache>
        </c:strRef>
      </c:tx>
      <c:layout>
        <c:manualLayout>
          <c:xMode val="edge"/>
          <c:yMode val="edge"/>
          <c:x val="1.1451017135443881E-2"/>
          <c:y val="0.91418580282027484"/>
        </c:manualLayout>
      </c:layout>
      <c:overlay val="0"/>
      <c:spPr>
        <a:noFill/>
        <a:ln w="25400">
          <a:noFill/>
        </a:ln>
      </c:spPr>
      <c:txPr>
        <a:bodyPr/>
        <a:lstStyle/>
        <a:p>
          <a:pPr>
            <a:defRPr sz="7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7.0995581600058297E-2"/>
          <c:y val="9.5227703326025925E-2"/>
          <c:w val="0.90920148049106919"/>
          <c:h val="0.62469373381873006"/>
        </c:manualLayout>
      </c:layout>
      <c:barChart>
        <c:barDir val="col"/>
        <c:grouping val="clustered"/>
        <c:varyColors val="0"/>
        <c:ser>
          <c:idx val="0"/>
          <c:order val="0"/>
          <c:spPr>
            <a:solidFill>
              <a:srgbClr val="4091BF"/>
            </a:solidFill>
            <a:ln w="25400">
              <a:noFill/>
            </a:ln>
          </c:spPr>
          <c:invertIfNegative val="0"/>
          <c:dLbls>
            <c:numFmt formatCode="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'MW Valuation'!$B$112:$B$115</c:f>
              <c:strCache>
                <c:ptCount val="4"/>
                <c:pt idx="0">
                  <c:v>Cost of Equity</c:v>
                </c:pt>
                <c:pt idx="1">
                  <c:v>Price-Implied Cost of Equity</c:v>
                </c:pt>
                <c:pt idx="2">
                  <c:v>WACC</c:v>
                </c:pt>
                <c:pt idx="3">
                  <c:v>Price-Implied WACC</c:v>
                </c:pt>
              </c:strCache>
            </c:strRef>
          </c:cat>
          <c:val>
            <c:numRef>
              <c:f>'MW Valuation'!$C$112:$C$115</c:f>
              <c:numCache>
                <c:formatCode>0.0%</c:formatCode>
                <c:ptCount val="4"/>
                <c:pt idx="0">
                  <c:v>0.05</c:v>
                </c:pt>
                <c:pt idx="1">
                  <c:v>6.175930464967494E-2</c:v>
                </c:pt>
                <c:pt idx="2">
                  <c:v>4.901996446968937E-2</c:v>
                </c:pt>
                <c:pt idx="3">
                  <c:v>5.7195832160804816E-2</c:v>
                </c:pt>
              </c:numCache>
            </c:numRef>
          </c:val>
        </c:ser>
        <c:dLbls>
          <c:showLegendKey val="0"/>
          <c:showVal val="0"/>
          <c:showCatName val="0"/>
          <c:showSerName val="0"/>
          <c:showPercent val="0"/>
          <c:showBubbleSize val="0"/>
        </c:dLbls>
        <c:gapWidth val="100"/>
        <c:axId val="411919488"/>
        <c:axId val="411921408"/>
      </c:barChart>
      <c:catAx>
        <c:axId val="41191948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rtl="1">
              <a:defRPr sz="750" b="0" i="0" u="none" strike="noStrike" baseline="0">
                <a:solidFill>
                  <a:srgbClr val="000000"/>
                </a:solidFill>
                <a:latin typeface="Arial"/>
                <a:ea typeface="Arial"/>
                <a:cs typeface="Arial"/>
              </a:defRPr>
            </a:pPr>
            <a:endParaRPr lang="en-US"/>
          </a:p>
        </c:txPr>
        <c:crossAx val="411921408"/>
        <c:crosses val="autoZero"/>
        <c:auto val="1"/>
        <c:lblAlgn val="ctr"/>
        <c:lblOffset val="0"/>
        <c:tickLblSkip val="1"/>
        <c:tickMarkSkip val="1"/>
        <c:noMultiLvlLbl val="0"/>
      </c:catAx>
      <c:valAx>
        <c:axId val="411921408"/>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4119194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'MW Valuation'!$B$336</c:f>
          <c:strCache>
            <c:ptCount val="1"/>
            <c:pt idx="0">
              <c:v>Source: Morgan Stanley Research, ModelWare</c:v>
            </c:pt>
          </c:strCache>
        </c:strRef>
      </c:tx>
      <c:overlay val="0"/>
      <c:spPr>
        <a:noFill/>
        <a:ln w="25400">
          <a:noFill/>
        </a:ln>
      </c:spPr>
      <c:txPr>
        <a:bodyPr/>
        <a:lstStyle/>
        <a:p>
          <a:pPr>
            <a:defRPr sz="700" b="0" i="0" u="none" strike="noStrike" baseline="0">
              <a:solidFill>
                <a:srgbClr val="000000"/>
              </a:solidFill>
              <a:latin typeface="Arial"/>
              <a:ea typeface="Arial"/>
              <a:cs typeface="Arial"/>
            </a:defRPr>
          </a:pPr>
          <a:endParaRPr lang="en-US"/>
        </a:p>
      </c:txPr>
    </c:title>
    <c:autoTitleDeleted val="0"/>
    <c:plotArea>
      <c:layout/>
      <c:lineChart>
        <c:grouping val="standard"/>
        <c:varyColors val="0"/>
        <c:ser>
          <c:idx val="0"/>
          <c:order val="0"/>
          <c:spPr>
            <a:ln w="25400">
              <a:solidFill>
                <a:srgbClr val="CCFFCC"/>
              </a:solidFill>
              <a:prstDash val="solid"/>
            </a:ln>
          </c:spPr>
          <c:marker>
            <c:symbol val="diamond"/>
            <c:size val="7"/>
            <c:spPr>
              <a:solidFill>
                <a:srgbClr val="4AAC6B"/>
              </a:solidFill>
              <a:ln>
                <a:solidFill>
                  <a:srgbClr val="BCE3A1"/>
                </a:solidFill>
                <a:prstDash val="solid"/>
              </a:ln>
            </c:spPr>
          </c:marker>
          <c:dLbls>
            <c:dLbl>
              <c:idx val="0"/>
              <c:tx>
                <c:strRef>
                  <c:f>'MW Valuation'!$AJ$9</c:f>
                  <c:strCache>
                    <c:ptCount val="1"/>
                  </c:strCache>
                </c:strRef>
              </c:tx>
              <c:dLblPos val="t"/>
              <c:showLegendKey val="0"/>
              <c:showVal val="0"/>
              <c:showCatName val="0"/>
              <c:showSerName val="0"/>
              <c:showPercent val="0"/>
              <c:showBubbleSize val="0"/>
            </c:dLbl>
            <c:dLbl>
              <c:idx val="1"/>
              <c:tx>
                <c:strRef>
                  <c:f>'MW Valuation'!$AK$9</c:f>
                  <c:strCache>
                    <c:ptCount val="1"/>
                  </c:strCache>
                </c:strRef>
              </c:tx>
              <c:dLblPos val="t"/>
              <c:showLegendKey val="0"/>
              <c:showVal val="0"/>
              <c:showCatName val="0"/>
              <c:showSerName val="0"/>
              <c:showPercent val="0"/>
              <c:showBubbleSize val="0"/>
            </c:dLbl>
            <c:dLbl>
              <c:idx val="2"/>
              <c:tx>
                <c:strRef>
                  <c:f>'MW Valuation'!$AL$9</c:f>
                  <c:strCache>
                    <c:ptCount val="1"/>
                  </c:strCache>
                </c:strRef>
              </c:tx>
              <c:dLblPos val="t"/>
              <c:showLegendKey val="0"/>
              <c:showVal val="0"/>
              <c:showCatName val="0"/>
              <c:showSerName val="0"/>
              <c:showPercent val="0"/>
              <c:showBubbleSize val="0"/>
            </c:dLbl>
            <c:dLbl>
              <c:idx val="3"/>
              <c:tx>
                <c:strRef>
                  <c:f>'MW Valuation'!$AM$9</c:f>
                  <c:strCache>
                    <c:ptCount val="1"/>
                  </c:strCache>
                </c:strRef>
              </c:tx>
              <c:dLblPos val="t"/>
              <c:showLegendKey val="0"/>
              <c:showVal val="0"/>
              <c:showCatName val="0"/>
              <c:showSerName val="0"/>
              <c:showPercent val="0"/>
              <c:showBubbleSize val="0"/>
            </c:dLbl>
            <c:dLbl>
              <c:idx val="4"/>
              <c:tx>
                <c:strRef>
                  <c:f>'MW Valuation'!$AN$9</c:f>
                  <c:strCache>
                    <c:ptCount val="1"/>
                  </c:strCache>
                </c:strRef>
              </c:tx>
              <c:dLblPos val="t"/>
              <c:showLegendKey val="0"/>
              <c:showVal val="0"/>
              <c:showCatName val="0"/>
              <c:showSerName val="0"/>
              <c:showPercent val="0"/>
              <c:showBubbleSize val="0"/>
            </c:dLbl>
            <c:spPr>
              <a:noFill/>
              <a:ln w="25400">
                <a:noFill/>
              </a:ln>
            </c:spPr>
            <c:txPr>
              <a:bodyPr/>
              <a:lstStyle/>
              <a:p>
                <a:pPr>
                  <a:defRPr sz="700" b="0" i="0" u="none" strike="noStrike" baseline="0">
                    <a:solidFill>
                      <a:srgbClr val="000000"/>
                    </a:solidFill>
                    <a:latin typeface="Arial"/>
                    <a:ea typeface="Arial"/>
                    <a:cs typeface="Arial"/>
                  </a:defRPr>
                </a:pPr>
                <a:endParaRPr lang="en-US"/>
              </a:p>
            </c:txPr>
            <c:dLblPos val="t"/>
            <c:showLegendKey val="0"/>
            <c:showVal val="0"/>
            <c:showCatName val="0"/>
            <c:showSerName val="1"/>
            <c:showPercent val="0"/>
            <c:showBubbleSize val="0"/>
            <c:showLeaderLines val="0"/>
          </c:dLbls>
          <c:cat>
            <c:numRef>
              <c:f>'MW Valuation'!$AJ$10:$AN$10</c:f>
              <c:numCache>
                <c:formatCode>General</c:formatCode>
                <c:ptCount val="5"/>
              </c:numCache>
            </c:numRef>
          </c:cat>
          <c:val>
            <c:numRef>
              <c:f>'MW Valuation'!$AJ$11:$AN$11</c:f>
              <c:numCache>
                <c:formatCode>General</c:formatCode>
                <c:ptCount val="5"/>
              </c:numCache>
            </c:numRef>
          </c:val>
          <c:smooth val="0"/>
        </c:ser>
        <c:dLbls>
          <c:showLegendKey val="0"/>
          <c:showVal val="0"/>
          <c:showCatName val="0"/>
          <c:showSerName val="0"/>
          <c:showPercent val="0"/>
          <c:showBubbleSize val="0"/>
        </c:dLbls>
        <c:marker val="1"/>
        <c:smooth val="0"/>
        <c:axId val="580401408"/>
        <c:axId val="580614400"/>
      </c:lineChart>
      <c:catAx>
        <c:axId val="580401408"/>
        <c:scaling>
          <c:orientation val="minMax"/>
        </c:scaling>
        <c:delete val="0"/>
        <c:axPos val="b"/>
        <c:numFmt formatCode="0.0" sourceLinked="0"/>
        <c:majorTickMark val="none"/>
        <c:minorTickMark val="none"/>
        <c:tickLblPos val="low"/>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580614400"/>
        <c:crosses val="autoZero"/>
        <c:auto val="1"/>
        <c:lblAlgn val="ctr"/>
        <c:lblOffset val="100"/>
        <c:tickLblSkip val="1"/>
        <c:tickMarkSkip val="1"/>
        <c:noMultiLvlLbl val="0"/>
      </c:catAx>
      <c:valAx>
        <c:axId val="580614400"/>
        <c:scaling>
          <c:orientation val="minMax"/>
        </c:scaling>
        <c:delete val="0"/>
        <c:axPos val="l"/>
        <c:numFmt formatCode="0.0" sourceLinked="0"/>
        <c:majorTickMark val="none"/>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580401408"/>
        <c:crosses val="autoZero"/>
        <c:crossBetween val="between"/>
      </c:valAx>
      <c:spPr>
        <a:noFill/>
        <a:ln w="25400">
          <a:noFill/>
        </a:ln>
      </c:spPr>
    </c:plotArea>
    <c:plotVisOnly val="1"/>
    <c:dispBlanksAs val="gap"/>
    <c:showDLblsOverMax val="0"/>
  </c:chart>
  <c:spPr>
    <a:noFill/>
    <a:ln w="9525">
      <a:noFill/>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7126534285758E-2"/>
          <c:y val="5.3231939163498096E-2"/>
          <c:w val="0.89830601403810051"/>
          <c:h val="0.60836501901140683"/>
        </c:manualLayout>
      </c:layout>
      <c:barChart>
        <c:barDir val="col"/>
        <c:grouping val="stacked"/>
        <c:varyColors val="0"/>
        <c:ser>
          <c:idx val="0"/>
          <c:order val="0"/>
          <c:tx>
            <c:strRef>
              <c:f>'MW Valuation'!$C$132</c:f>
              <c:strCache>
                <c:ptCount val="1"/>
                <c:pt idx="0">
                  <c:v>Invisible</c:v>
                </c:pt>
              </c:strCache>
            </c:strRef>
          </c:tx>
          <c:spPr>
            <a:noFill/>
            <a:ln w="25400">
              <a:noFill/>
            </a:ln>
          </c:spPr>
          <c:invertIfNegative val="0"/>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Valuation'!$C$133:$C$138</c:f>
              <c:numCache>
                <c:formatCode>0.00</c:formatCode>
                <c:ptCount val="6"/>
                <c:pt idx="1">
                  <c:v>28.40495379034941</c:v>
                </c:pt>
                <c:pt idx="2">
                  <c:v>39.479850955934722</c:v>
                </c:pt>
                <c:pt idx="4">
                  <c:v>48.98</c:v>
                </c:pt>
              </c:numCache>
            </c:numRef>
          </c:val>
        </c:ser>
        <c:ser>
          <c:idx val="1"/>
          <c:order val="1"/>
          <c:tx>
            <c:strRef>
              <c:f>'MW Valuation'!$D$132</c:f>
              <c:strCache>
                <c:ptCount val="1"/>
                <c:pt idx="0">
                  <c:v>Input
Bases</c:v>
                </c:pt>
              </c:strCache>
            </c:strRef>
          </c:tx>
          <c:spPr>
            <a:solidFill>
              <a:srgbClr val="4091BF"/>
            </a:solidFill>
            <a:ln w="25400">
              <a:noFill/>
            </a:ln>
          </c:spPr>
          <c:invertIfNegative val="0"/>
          <c:dLbls>
            <c:dLbl>
              <c:idx val="0"/>
              <c:numFmt formatCode="0.00" sourceLinked="0"/>
              <c:spPr>
                <a:noFill/>
                <a:ln w="25400">
                  <a:noFill/>
                </a:ln>
              </c:spPr>
              <c:txPr>
                <a:bodyPr/>
                <a:lstStyle/>
                <a:p>
                  <a:pPr>
                    <a:defRPr sz="7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dLbl>
            <c:dLbl>
              <c:idx val="1"/>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2"/>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3"/>
              <c:numFmt formatCode="0.00" sourceLinked="0"/>
              <c:spPr>
                <a:noFill/>
                <a:ln w="25400">
                  <a:noFill/>
                </a:ln>
              </c:spPr>
              <c:txPr>
                <a:bodyPr/>
                <a:lstStyle/>
                <a:p>
                  <a:pPr>
                    <a:defRPr sz="7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dLbl>
            <c:dLbl>
              <c:idx val="4"/>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5"/>
              <c:numFmt formatCode="0.00" sourceLinked="0"/>
              <c:spPr>
                <a:noFill/>
                <a:ln w="25400">
                  <a:noFill/>
                </a:ln>
              </c:spPr>
              <c:txPr>
                <a:bodyPr/>
                <a:lstStyle/>
                <a:p>
                  <a:pPr>
                    <a:defRPr sz="7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dLbl>
            <c:numFmt formatCode="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Valuation'!$D$133:$D$138</c:f>
              <c:numCache>
                <c:formatCode>0.00</c:formatCode>
                <c:ptCount val="6"/>
                <c:pt idx="0">
                  <c:v>28.40495379034941</c:v>
                </c:pt>
                <c:pt idx="3">
                  <c:v>107.54858540883581</c:v>
                </c:pt>
                <c:pt idx="5">
                  <c:v>48.98</c:v>
                </c:pt>
              </c:numCache>
            </c:numRef>
          </c:val>
        </c:ser>
        <c:ser>
          <c:idx val="4"/>
          <c:order val="2"/>
          <c:tx>
            <c:v>Pos Data</c:v>
          </c:tx>
          <c:spPr>
            <a:solidFill>
              <a:srgbClr val="9DC9DC"/>
            </a:solidFill>
            <a:ln w="25400">
              <a:noFill/>
            </a:ln>
          </c:spPr>
          <c:invertIfNegative val="0"/>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Valuation'!$G$133:$G$138</c:f>
              <c:numCache>
                <c:formatCode>0.00</c:formatCode>
                <c:ptCount val="6"/>
                <c:pt idx="1">
                  <c:v>11.074897165585311</c:v>
                </c:pt>
                <c:pt idx="2">
                  <c:v>68.068734452901083</c:v>
                </c:pt>
              </c:numCache>
            </c:numRef>
          </c:val>
        </c:ser>
        <c:ser>
          <c:idx val="2"/>
          <c:order val="3"/>
          <c:tx>
            <c:v>Neg Data</c:v>
          </c:tx>
          <c:spPr>
            <a:solidFill>
              <a:srgbClr val="EACC80"/>
            </a:solidFill>
            <a:ln w="25400">
              <a:noFill/>
            </a:ln>
          </c:spPr>
          <c:invertIfNegative val="0"/>
          <c:dPt>
            <c:idx val="1"/>
            <c:invertIfNegative val="0"/>
            <c:bubble3D val="0"/>
            <c:spPr>
              <a:solidFill>
                <a:srgbClr val="9DC9DC"/>
              </a:solidFill>
              <a:ln w="25400">
                <a:noFill/>
              </a:ln>
            </c:spPr>
          </c:dPt>
          <c:dPt>
            <c:idx val="2"/>
            <c:invertIfNegative val="0"/>
            <c:bubble3D val="0"/>
            <c:spPr>
              <a:solidFill>
                <a:srgbClr val="9DC9DC"/>
              </a:solidFill>
              <a:ln w="25400">
                <a:noFill/>
              </a:ln>
            </c:spPr>
          </c:dPt>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Valuation'!$H$133:$H$138</c:f>
              <c:numCache>
                <c:formatCode>0.00</c:formatCode>
                <c:ptCount val="6"/>
                <c:pt idx="1">
                  <c:v>0</c:v>
                </c:pt>
                <c:pt idx="2">
                  <c:v>0</c:v>
                </c:pt>
              </c:numCache>
            </c:numRef>
          </c:val>
        </c:ser>
        <c:ser>
          <c:idx val="5"/>
          <c:order val="4"/>
          <c:tx>
            <c:v>Inc Data</c:v>
          </c:tx>
          <c:spPr>
            <a:noFill/>
            <a:ln w="25400">
              <a:noFill/>
            </a:ln>
          </c:spPr>
          <c:invertIfNegative val="0"/>
          <c:dLbls>
            <c:dLbl>
              <c:idx val="0"/>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1"/>
              <c:tx>
                <c:rich>
                  <a:bodyPr/>
                  <a:lstStyle/>
                  <a:p>
                    <a:pPr>
                      <a:defRPr sz="700" b="0" i="0" u="none" strike="noStrike" baseline="0">
                        <a:solidFill>
                          <a:srgbClr val="000000"/>
                        </a:solidFill>
                        <a:latin typeface="Arial"/>
                        <a:ea typeface="Arial"/>
                        <a:cs typeface="Arial"/>
                      </a:defRPr>
                    </a:pPr>
                    <a:r>
                      <a:rPr lang="en-US"/>
                      <a:t>21.81</a:t>
                    </a:r>
                  </a:p>
                </c:rich>
              </c:tx>
              <c:numFmt formatCode="0.00" sourceLinked="0"/>
              <c:spPr>
                <a:noFill/>
                <a:ln w="25400">
                  <a:noFill/>
                </a:ln>
              </c:spPr>
              <c:showLegendKey val="0"/>
              <c:showVal val="0"/>
              <c:showCatName val="0"/>
              <c:showSerName val="0"/>
              <c:showPercent val="0"/>
              <c:showBubbleSize val="0"/>
            </c:dLbl>
            <c:dLbl>
              <c:idx val="2"/>
              <c:tx>
                <c:rich>
                  <a:bodyPr/>
                  <a:lstStyle/>
                  <a:p>
                    <a:pPr>
                      <a:defRPr sz="700" b="0" i="0" u="none" strike="noStrike" baseline="0">
                        <a:solidFill>
                          <a:srgbClr val="000000"/>
                        </a:solidFill>
                        <a:latin typeface="Arial"/>
                        <a:ea typeface="Arial"/>
                        <a:cs typeface="Arial"/>
                      </a:defRPr>
                    </a:pPr>
                    <a:r>
                      <a:rPr lang="en-US"/>
                      <a:t>29.4</a:t>
                    </a:r>
                  </a:p>
                </c:rich>
              </c:tx>
              <c:numFmt formatCode="0.00" sourceLinked="0"/>
              <c:spPr>
                <a:noFill/>
                <a:ln w="25400">
                  <a:noFill/>
                </a:ln>
              </c:spPr>
              <c:showLegendKey val="0"/>
              <c:showVal val="0"/>
              <c:showCatName val="0"/>
              <c:showSerName val="0"/>
              <c:showPercent val="0"/>
              <c:showBubbleSize val="0"/>
            </c:dLbl>
            <c:dLbl>
              <c:idx val="3"/>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4"/>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dLbl>
              <c:idx val="5"/>
              <c:numFmt formatCode="0.0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dLbl>
            <c:numFmt formatCode="0" sourceLinked="0"/>
            <c:spPr>
              <a:noFill/>
              <a:ln w="25400">
                <a:noFill/>
              </a:ln>
            </c:spPr>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Valuation'!$I$133:$I$138</c:f>
              <c:numCache>
                <c:formatCode>0.00</c:formatCode>
                <c:ptCount val="6"/>
                <c:pt idx="1">
                  <c:v>11.074897165585311</c:v>
                </c:pt>
                <c:pt idx="2">
                  <c:v>68.068734452901083</c:v>
                </c:pt>
              </c:numCache>
            </c:numRef>
          </c:val>
        </c:ser>
        <c:ser>
          <c:idx val="3"/>
          <c:order val="5"/>
          <c:tx>
            <c:strRef>
              <c:f>'MW Valuation'!$F$132</c:f>
              <c:strCache>
                <c:ptCount val="1"/>
                <c:pt idx="0">
                  <c:v>Value
Gap +Ve</c:v>
                </c:pt>
              </c:strCache>
            </c:strRef>
          </c:tx>
          <c:spPr>
            <a:blipFill dpi="0" rotWithShape="0">
              <a:blip xmlns:r="http://schemas.openxmlformats.org/officeDocument/2006/relationships" r:embed="rId1"/>
              <a:srcRect/>
              <a:stretch>
                <a:fillRect/>
              </a:stretch>
            </a:blipFill>
            <a:ln w="25400">
              <a:noFill/>
            </a:ln>
          </c:spPr>
          <c:invertIfNegative val="0"/>
          <c:pictureOptions>
            <c:pictureFormat val="stretch"/>
          </c:pictureOptions>
          <c:dLbls>
            <c:numFmt formatCode="0.00" sourceLinked="0"/>
            <c:txPr>
              <a:bodyPr/>
              <a:lstStyle/>
              <a:p>
                <a:pPr>
                  <a:defRPr sz="7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Valuation'!$F$133:$F$138</c:f>
              <c:numCache>
                <c:formatCode>0.00</c:formatCode>
                <c:ptCount val="6"/>
                <c:pt idx="4">
                  <c:v>58.568585408835808</c:v>
                </c:pt>
              </c:numCache>
            </c:numRef>
          </c:val>
        </c:ser>
        <c:ser>
          <c:idx val="6"/>
          <c:order val="6"/>
          <c:tx>
            <c:strRef>
              <c:f>'MW Valuation'!$J$132</c:f>
              <c:strCache>
                <c:ptCount val="1"/>
                <c:pt idx="0">
                  <c:v>Value
Gap -ve</c:v>
                </c:pt>
              </c:strCache>
            </c:strRef>
          </c:tx>
          <c:spPr>
            <a:blipFill dpi="0" rotWithShape="0">
              <a:blip xmlns:r="http://schemas.openxmlformats.org/officeDocument/2006/relationships" r:embed="rId2"/>
              <a:srcRect/>
              <a:stretch>
                <a:fillRect/>
              </a:stretch>
            </a:blipFill>
            <a:ln w="25400">
              <a:noFill/>
            </a:ln>
          </c:spPr>
          <c:invertIfNegative val="0"/>
          <c:pictureOptions>
            <c:pictureFormat val="stretch"/>
          </c:pictureOptions>
          <c:cat>
            <c:strRef>
              <c:f>'MW Valuation'!$B$133:$B$138</c:f>
              <c:strCache>
                <c:ptCount val="6"/>
                <c:pt idx="0">
                  <c:v>Value of
current 
earnings</c:v>
                </c:pt>
                <c:pt idx="1">
                  <c:v>Value of 
growth in
explicit period</c:v>
                </c:pt>
                <c:pt idx="2">
                  <c:v>Value of
growth in
terminal period</c:v>
                </c:pt>
                <c:pt idx="3">
                  <c:v>Estimated
intrinsic value</c:v>
                </c:pt>
                <c:pt idx="4">
                  <c:v>VALUE GAP</c:v>
                </c:pt>
                <c:pt idx="5">
                  <c:v>Current
price</c:v>
                </c:pt>
              </c:strCache>
            </c:strRef>
          </c:cat>
          <c:val>
            <c:numRef>
              <c:f>'MW Valuation'!$J$133:$J$138</c:f>
              <c:numCache>
                <c:formatCode>0.00</c:formatCode>
                <c:ptCount val="6"/>
                <c:pt idx="4">
                  <c:v>0</c:v>
                </c:pt>
              </c:numCache>
            </c:numRef>
          </c:val>
        </c:ser>
        <c:dLbls>
          <c:showLegendKey val="0"/>
          <c:showVal val="0"/>
          <c:showCatName val="0"/>
          <c:showSerName val="0"/>
          <c:showPercent val="0"/>
          <c:showBubbleSize val="0"/>
        </c:dLbls>
        <c:gapWidth val="50"/>
        <c:overlap val="100"/>
        <c:axId val="624357760"/>
        <c:axId val="624360448"/>
      </c:barChart>
      <c:catAx>
        <c:axId val="624357760"/>
        <c:scaling>
          <c:orientation val="minMax"/>
        </c:scaling>
        <c:delete val="0"/>
        <c:axPos val="b"/>
        <c:title>
          <c:tx>
            <c:rich>
              <a:bodyPr/>
              <a:lstStyle/>
              <a:p>
                <a:pPr>
                  <a:defRPr sz="700" b="0" i="0" u="none" strike="noStrike" baseline="0">
                    <a:solidFill>
                      <a:srgbClr val="000000"/>
                    </a:solidFill>
                    <a:latin typeface="Arial"/>
                    <a:ea typeface="Arial"/>
                    <a:cs typeface="Arial"/>
                  </a:defRPr>
                </a:pPr>
                <a:r>
                  <a:rPr lang="en-US"/>
                  <a:t>Source: Morgan Stanley Research, ModelWare</a:t>
                </a:r>
              </a:p>
            </c:rich>
          </c:tx>
          <c:layout>
            <c:manualLayout>
              <c:xMode val="edge"/>
              <c:yMode val="edge"/>
              <c:x val="6.7796610169491525E-2"/>
              <c:y val="0.9125475285171103"/>
            </c:manualLayout>
          </c:layout>
          <c:overlay val="0"/>
          <c:spPr>
            <a:noFill/>
            <a:ln w="25400">
              <a:noFill/>
            </a:ln>
          </c:spPr>
        </c:title>
        <c:numFmt formatCode="General" sourceLinked="1"/>
        <c:majorTickMark val="none"/>
        <c:minorTickMark val="none"/>
        <c:tickLblPos val="low"/>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624360448"/>
        <c:crosses val="autoZero"/>
        <c:auto val="1"/>
        <c:lblAlgn val="ctr"/>
        <c:lblOffset val="100"/>
        <c:tickLblSkip val="1"/>
        <c:tickMarkSkip val="1"/>
        <c:noMultiLvlLbl val="0"/>
      </c:catAx>
      <c:valAx>
        <c:axId val="624360448"/>
        <c:scaling>
          <c:orientation val="minMax"/>
        </c:scaling>
        <c:delete val="0"/>
        <c:axPos val="l"/>
        <c:numFmt formatCode="0.00" sourceLinked="1"/>
        <c:majorTickMark val="none"/>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62435776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vs. Forward Sales</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3314035766224586"/>
          <c:y val="0.14946650145784912"/>
          <c:w val="0.85766170267623831"/>
          <c:h val="0.5721654928833666"/>
        </c:manualLayout>
      </c:layout>
      <c:barChart>
        <c:barDir val="col"/>
        <c:grouping val="clustered"/>
        <c:varyColors val="0"/>
        <c:ser>
          <c:idx val="0"/>
          <c:order val="0"/>
          <c:tx>
            <c:strRef>
              <c:f>'inv vs. fwd sales'!$A$5</c:f>
              <c:strCache>
                <c:ptCount val="1"/>
                <c:pt idx="0">
                  <c:v>Inventory</c:v>
                </c:pt>
              </c:strCache>
            </c:strRef>
          </c:tx>
          <c:spPr>
            <a:solidFill>
              <a:srgbClr val="137CB1"/>
            </a:solidFill>
            <a:ln w="25400">
              <a:noFill/>
            </a:ln>
            <a:effectLst/>
          </c:spPr>
          <c:invertIfNegative val="0"/>
          <c:cat>
            <c:strRef>
              <c:f>'inv vs. fwd sales'!$B$3:$M$3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vs. fwd sales'!$B$5:$M$5</c:f>
              <c:numCache>
                <c:formatCode>0.0%</c:formatCode>
                <c:ptCount val="12"/>
                <c:pt idx="0">
                  <c:v>0.16207126070655864</c:v>
                </c:pt>
                <c:pt idx="1">
                  <c:v>0.12765948475776878</c:v>
                </c:pt>
                <c:pt idx="2">
                  <c:v>3.7928390452060201E-2</c:v>
                </c:pt>
                <c:pt idx="3">
                  <c:v>-6.5677031296752508E-3</c:v>
                </c:pt>
                <c:pt idx="4">
                  <c:v>-2.1426147950962759E-2</c:v>
                </c:pt>
                <c:pt idx="5">
                  <c:v>-7.1510741692123347E-2</c:v>
                </c:pt>
                <c:pt idx="6">
                  <c:v>-0.11942257639363983</c:v>
                </c:pt>
                <c:pt idx="7">
                  <c:v>-0.10419155409889636</c:v>
                </c:pt>
                <c:pt idx="8">
                  <c:v>-9.8415049695909196E-2</c:v>
                </c:pt>
                <c:pt idx="9">
                  <c:v>-2.4135362063989585E-2</c:v>
                </c:pt>
                <c:pt idx="10">
                  <c:v>9.8719830169890846E-2</c:v>
                </c:pt>
                <c:pt idx="11">
                  <c:v>7.2192120998844533E-2</c:v>
                </c:pt>
              </c:numCache>
            </c:numRef>
          </c:val>
        </c:ser>
        <c:ser>
          <c:idx val="1"/>
          <c:order val="1"/>
          <c:tx>
            <c:strRef>
              <c:f>'inv vs. fwd sales'!$A$8</c:f>
              <c:strCache>
                <c:ptCount val="1"/>
                <c:pt idx="0">
                  <c:v>Forward Sales</c:v>
                </c:pt>
              </c:strCache>
            </c:strRef>
          </c:tx>
          <c:spPr>
            <a:solidFill>
              <a:srgbClr val="EACC80"/>
            </a:solidFill>
            <a:ln w="25400">
              <a:noFill/>
            </a:ln>
            <a:effectLst/>
          </c:spPr>
          <c:invertIfNegative val="0"/>
          <c:cat>
            <c:strRef>
              <c:f>'inv vs. fwd sales'!$B$3:$M$3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vs. fwd sales'!$B$8:$M$8</c:f>
              <c:numCache>
                <c:formatCode>0.0%</c:formatCode>
                <c:ptCount val="12"/>
                <c:pt idx="0">
                  <c:v>9.6434296906517294E-2</c:v>
                </c:pt>
                <c:pt idx="1">
                  <c:v>6.3591556841315899E-2</c:v>
                </c:pt>
                <c:pt idx="2">
                  <c:v>3.7302017959258471E-2</c:v>
                </c:pt>
                <c:pt idx="3">
                  <c:v>8.4197829524985668E-2</c:v>
                </c:pt>
                <c:pt idx="4">
                  <c:v>9.6865282664666985E-2</c:v>
                </c:pt>
                <c:pt idx="5">
                  <c:v>9.0759014238524185E-2</c:v>
                </c:pt>
                <c:pt idx="6">
                  <c:v>9.4073803405961609E-2</c:v>
                </c:pt>
                <c:pt idx="7">
                  <c:v>4.9799246883454051E-2</c:v>
                </c:pt>
                <c:pt idx="8">
                  <c:v>8.6188392044001194E-2</c:v>
                </c:pt>
                <c:pt idx="9">
                  <c:v>7.1180545210784985E-2</c:v>
                </c:pt>
                <c:pt idx="10">
                  <c:v>0.14896586908225884</c:v>
                </c:pt>
                <c:pt idx="11">
                  <c:v>0.10356902356902363</c:v>
                </c:pt>
              </c:numCache>
            </c:numRef>
          </c:val>
        </c:ser>
        <c:dLbls>
          <c:showLegendKey val="0"/>
          <c:showVal val="0"/>
          <c:showCatName val="0"/>
          <c:showSerName val="0"/>
          <c:showPercent val="0"/>
          <c:showBubbleSize val="0"/>
        </c:dLbls>
        <c:gapWidth val="60"/>
        <c:axId val="699310848"/>
        <c:axId val="699312384"/>
      </c:barChart>
      <c:lineChart>
        <c:grouping val="standard"/>
        <c:varyColors val="0"/>
        <c:ser>
          <c:idx val="2"/>
          <c:order val="2"/>
          <c:tx>
            <c:strRef>
              <c:f>'inv vs. fwd sales'!$A$11</c:f>
              <c:strCache>
                <c:ptCount val="1"/>
                <c:pt idx="0">
                  <c:v>Spread</c:v>
                </c:pt>
              </c:strCache>
            </c:strRef>
          </c:tx>
          <c:marker>
            <c:symbol val="none"/>
          </c:marker>
          <c:cat>
            <c:strRef>
              <c:f>'inv vs. fwd sales'!$B$3:$L$3</c:f>
              <c:strCache>
                <c:ptCount val="11"/>
                <c:pt idx="0">
                  <c:v>1Q15</c:v>
                </c:pt>
                <c:pt idx="1">
                  <c:v>2Q15</c:v>
                </c:pt>
                <c:pt idx="2">
                  <c:v>3Q15</c:v>
                </c:pt>
                <c:pt idx="3">
                  <c:v>4Q15</c:v>
                </c:pt>
                <c:pt idx="4">
                  <c:v>1Q16</c:v>
                </c:pt>
                <c:pt idx="5">
                  <c:v>2Q16</c:v>
                </c:pt>
                <c:pt idx="6">
                  <c:v>3Q16</c:v>
                </c:pt>
                <c:pt idx="7">
                  <c:v>4Q16</c:v>
                </c:pt>
                <c:pt idx="8">
                  <c:v>1Q17</c:v>
                </c:pt>
                <c:pt idx="9">
                  <c:v>2Q17</c:v>
                </c:pt>
                <c:pt idx="10">
                  <c:v>3Q17</c:v>
                </c:pt>
              </c:strCache>
            </c:strRef>
          </c:cat>
          <c:val>
            <c:numRef>
              <c:f>'inv vs. fwd sales'!$B$13:$M$13</c:f>
              <c:numCache>
                <c:formatCode>0.0%</c:formatCode>
                <c:ptCount val="12"/>
                <c:pt idx="0">
                  <c:v>-6.5636963800041345E-2</c:v>
                </c:pt>
                <c:pt idx="1">
                  <c:v>-6.4067927916452883E-2</c:v>
                </c:pt>
                <c:pt idx="2">
                  <c:v>-6.2637249280173002E-4</c:v>
                </c:pt>
                <c:pt idx="3">
                  <c:v>9.0765532654660919E-2</c:v>
                </c:pt>
                <c:pt idx="4">
                  <c:v>0.11829143061562974</c:v>
                </c:pt>
                <c:pt idx="5">
                  <c:v>0.16226975593064752</c:v>
                </c:pt>
                <c:pt idx="6">
                  <c:v>0.21349637979960145</c:v>
                </c:pt>
                <c:pt idx="7">
                  <c:v>0.15399080098235041</c:v>
                </c:pt>
                <c:pt idx="8">
                  <c:v>0.18460344173991039</c:v>
                </c:pt>
                <c:pt idx="9">
                  <c:v>9.5315907274774569E-2</c:v>
                </c:pt>
                <c:pt idx="10">
                  <c:v>5.0246038912367993E-2</c:v>
                </c:pt>
                <c:pt idx="11">
                  <c:v>3.1376902570179097E-2</c:v>
                </c:pt>
              </c:numCache>
            </c:numRef>
          </c:val>
          <c:smooth val="0"/>
        </c:ser>
        <c:dLbls>
          <c:showLegendKey val="0"/>
          <c:showVal val="0"/>
          <c:showCatName val="0"/>
          <c:showSerName val="0"/>
          <c:showPercent val="0"/>
          <c:showBubbleSize val="0"/>
        </c:dLbls>
        <c:marker val="1"/>
        <c:smooth val="0"/>
        <c:axId val="699310848"/>
        <c:axId val="699312384"/>
      </c:lineChart>
      <c:catAx>
        <c:axId val="699310848"/>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699312384"/>
        <c:crosses val="autoZero"/>
        <c:auto val="1"/>
        <c:lblAlgn val="ctr"/>
        <c:lblOffset val="100"/>
        <c:tickLblSkip val="1"/>
        <c:tickMarkSkip val="1"/>
        <c:noMultiLvlLbl val="0"/>
      </c:catAx>
      <c:valAx>
        <c:axId val="699312384"/>
        <c:scaling>
          <c:orientation val="minMax"/>
        </c:scaling>
        <c:delete val="0"/>
        <c:axPos val="l"/>
        <c:majorGridlines>
          <c:spPr>
            <a:ln w="12700">
              <a:solidFill>
                <a:srgbClr val="C0C0C0"/>
              </a:solidFill>
              <a:prstDash val="solid"/>
            </a:ln>
          </c:spPr>
        </c:majorGridlines>
        <c:numFmt formatCode="0.0%"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99310848"/>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less Forward Sales Spread</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0"/>
          <c:y val="0.11949655167835219"/>
          <c:w val="0.98850257542310527"/>
          <c:h val="0.83294244106288096"/>
        </c:manualLayout>
      </c:layout>
      <c:barChart>
        <c:barDir val="col"/>
        <c:grouping val="clustered"/>
        <c:varyColors val="0"/>
        <c:ser>
          <c:idx val="0"/>
          <c:order val="0"/>
          <c:spPr>
            <a:solidFill>
              <a:srgbClr val="137CB1"/>
            </a:solidFill>
            <a:ln w="25400">
              <a:noFill/>
            </a:ln>
            <a:effectLst/>
          </c:spPr>
          <c:invertIfNegative val="0"/>
          <c:dPt>
            <c:idx val="0"/>
            <c:invertIfNegative val="0"/>
            <c:bubble3D val="0"/>
            <c:spPr>
              <a:solidFill>
                <a:srgbClr val="FF0000"/>
              </a:solidFill>
              <a:ln w="25400">
                <a:noFill/>
              </a:ln>
              <a:effectLst/>
            </c:spPr>
          </c:dPt>
          <c:dPt>
            <c:idx val="1"/>
            <c:invertIfNegative val="0"/>
            <c:bubble3D val="0"/>
            <c:spPr>
              <a:solidFill>
                <a:srgbClr val="FF0000"/>
              </a:solidFill>
              <a:ln w="25400">
                <a:noFill/>
              </a:ln>
              <a:effectLst/>
            </c:spPr>
          </c:dPt>
          <c:dPt>
            <c:idx val="2"/>
            <c:invertIfNegative val="0"/>
            <c:bubble3D val="0"/>
            <c:spPr>
              <a:solidFill>
                <a:srgbClr val="FF0000"/>
              </a:solidFill>
              <a:ln w="25400">
                <a:noFill/>
              </a:ln>
              <a:effectLst/>
            </c:spPr>
          </c:dPt>
          <c:dPt>
            <c:idx val="3"/>
            <c:invertIfNegative val="0"/>
            <c:bubble3D val="0"/>
            <c:spPr>
              <a:solidFill>
                <a:srgbClr val="FF0000"/>
              </a:solidFill>
              <a:ln w="25400">
                <a:noFill/>
              </a:ln>
              <a:effectLst/>
            </c:spPr>
          </c:dPt>
          <c:dPt>
            <c:idx val="4"/>
            <c:invertIfNegative val="0"/>
            <c:bubble3D val="0"/>
            <c:spPr>
              <a:solidFill>
                <a:srgbClr val="FF0000"/>
              </a:solidFill>
              <a:ln w="25400">
                <a:noFill/>
              </a:ln>
              <a:effectLst/>
            </c:spPr>
          </c:dPt>
          <c:dPt>
            <c:idx val="5"/>
            <c:invertIfNegative val="0"/>
            <c:bubble3D val="0"/>
            <c:spPr>
              <a:solidFill>
                <a:srgbClr val="008000"/>
              </a:solidFill>
              <a:ln w="25400">
                <a:noFill/>
              </a:ln>
              <a:effectLst/>
            </c:spPr>
          </c:dPt>
          <c:dPt>
            <c:idx val="6"/>
            <c:invertIfNegative val="0"/>
            <c:bubble3D val="0"/>
            <c:spPr>
              <a:solidFill>
                <a:srgbClr val="008000"/>
              </a:solidFill>
              <a:ln w="25400">
                <a:noFill/>
              </a:ln>
              <a:effectLst/>
            </c:spPr>
          </c:dPt>
          <c:dPt>
            <c:idx val="7"/>
            <c:invertIfNegative val="0"/>
            <c:bubble3D val="0"/>
            <c:spPr>
              <a:solidFill>
                <a:srgbClr val="008000"/>
              </a:solidFill>
              <a:ln w="25400">
                <a:noFill/>
              </a:ln>
              <a:effectLst/>
            </c:spPr>
          </c:dPt>
          <c:dPt>
            <c:idx val="8"/>
            <c:invertIfNegative val="0"/>
            <c:bubble3D val="0"/>
            <c:spPr>
              <a:solidFill>
                <a:srgbClr val="008000"/>
              </a:solidFill>
              <a:ln w="25400">
                <a:noFill/>
              </a:ln>
              <a:effectLst/>
            </c:spPr>
          </c:dPt>
          <c:dPt>
            <c:idx val="9"/>
            <c:invertIfNegative val="0"/>
            <c:bubble3D val="0"/>
            <c:spPr>
              <a:solidFill>
                <a:srgbClr val="FF0000"/>
              </a:solidFill>
              <a:ln w="25400">
                <a:noFill/>
              </a:ln>
              <a:effectLst/>
            </c:spPr>
          </c:dPt>
          <c:cat>
            <c:strLit>
              <c:ptCount val="10"/>
              <c:pt idx="0">
                <c:v>1Q15</c:v>
              </c:pt>
              <c:pt idx="1">
                <c:v>2Q15</c:v>
              </c:pt>
              <c:pt idx="2">
                <c:v>3Q15</c:v>
              </c:pt>
              <c:pt idx="3">
                <c:v>4Q15</c:v>
              </c:pt>
              <c:pt idx="4">
                <c:v>1Q16</c:v>
              </c:pt>
              <c:pt idx="5">
                <c:v>2Q16</c:v>
              </c:pt>
              <c:pt idx="6">
                <c:v>3Q16</c:v>
              </c:pt>
              <c:pt idx="7">
                <c:v>4Q16</c:v>
              </c:pt>
              <c:pt idx="8">
                <c:v>1Q17</c:v>
              </c:pt>
              <c:pt idx="9">
                <c:v>2Q17</c:v>
              </c:pt>
            </c:strLit>
          </c:cat>
          <c:val>
            <c:numLit>
              <c:formatCode>General</c:formatCode>
              <c:ptCount val="10"/>
              <c:pt idx="0">
                <c:v>-3.6149387904208741E-2</c:v>
              </c:pt>
              <c:pt idx="1">
                <c:v>-5.4067844950780986E-2</c:v>
              </c:pt>
              <c:pt idx="2">
                <c:v>-4.2859817355323196E-2</c:v>
              </c:pt>
              <c:pt idx="3">
                <c:v>-4.9729381393896599E-2</c:v>
              </c:pt>
              <c:pt idx="4">
                <c:v>-3.5342610591575965E-2</c:v>
              </c:pt>
              <c:pt idx="5">
                <c:v>3.714284624930464E-2</c:v>
              </c:pt>
              <c:pt idx="6">
                <c:v>6.9424538863295915E-2</c:v>
              </c:pt>
              <c:pt idx="7">
                <c:v>4.5599943383244912E-2</c:v>
              </c:pt>
              <c:pt idx="8">
                <c:v>0.1035978131205646</c:v>
              </c:pt>
              <c:pt idx="9">
                <c:v>5.8349250725460711E-2</c:v>
              </c:pt>
            </c:numLit>
          </c:val>
        </c:ser>
        <c:dLbls>
          <c:showLegendKey val="0"/>
          <c:showVal val="0"/>
          <c:showCatName val="0"/>
          <c:showSerName val="0"/>
          <c:showPercent val="0"/>
          <c:showBubbleSize val="0"/>
        </c:dLbls>
        <c:gapWidth val="60"/>
        <c:axId val="581506560"/>
        <c:axId val="581508096"/>
      </c:barChart>
      <c:catAx>
        <c:axId val="581506560"/>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581508096"/>
        <c:crosses val="autoZero"/>
        <c:auto val="1"/>
        <c:lblAlgn val="ctr"/>
        <c:lblOffset val="100"/>
        <c:tickLblSkip val="1"/>
        <c:tickMarkSkip val="1"/>
        <c:noMultiLvlLbl val="0"/>
      </c:catAx>
      <c:valAx>
        <c:axId val="581508096"/>
        <c:scaling>
          <c:orientation val="minMax"/>
        </c:scaling>
        <c:delete val="0"/>
        <c:axPos val="l"/>
        <c:majorGridlines>
          <c:spPr>
            <a:ln w="12700">
              <a:solidFill>
                <a:srgbClr val="C0C0C0"/>
              </a:solidFill>
              <a:prstDash val="solid"/>
            </a:ln>
          </c:spPr>
        </c:majorGridlines>
        <c:numFmt formatCode="General"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581506560"/>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s>

</file>

<file path=xl/drawings/_rels/drawing4.xml.rels><?xml version="1.0" encoding="UTF-8" standalone="yes"?>
<Relationships xmlns="http://schemas.openxmlformats.org/package/2006/relationships">
<Relationship Id="rId1" Target="../charts/chart5.xml" Type="http://schemas.openxmlformats.org/officeDocument/2006/relationships/chart"/>
<Relationship Id="rId2" Target="../charts/chart6.xml" Type="http://schemas.openxmlformats.org/officeDocument/2006/relationships/chart"/>
</Relationships>

</file>

<file path=xl/drawings/_rels/vmlDrawing16.vml.rels><?xml version="1.0" encoding="UTF-8" standalone="yes"?>
<Relationships xmlns="http://schemas.openxmlformats.org/package/2006/relationships">
<Relationship Id="rId1" Target="../media/image4.emf" Type="http://schemas.openxmlformats.org/officeDocument/2006/relationships/image"/>
</Relationships>

</file>

<file path=xl/drawings/_rels/vmlDrawing18.vml.rels><?xml version="1.0" encoding="UTF-8" standalone="yes"?>
<Relationships xmlns="http://schemas.openxmlformats.org/package/2006/relationships">
<Relationship Id="rId1" Target="../media/image6.emf" Type="http://schemas.openxmlformats.org/officeDocument/2006/relationships/image"/>
<Relationship Id="rId2" Target="../media/image7.emf" Type="http://schemas.openxmlformats.org/officeDocument/2006/relationships/image"/>
<Relationship Id="rId3" Target="../media/image8.emf" Type="http://schemas.openxmlformats.org/officeDocument/2006/relationships/image"/>
<Relationship Id="rId4" Target="../media/image9.emf" Type="http://schemas.openxmlformats.org/officeDocument/2006/relationships/image"/>
<Relationship Id="rId5" Target="../media/image10.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4184065" name="Picture 1" descr="C:\Users\robertcy\AppData\Local\Temp\MercuryPriceRatingHistoryChart\BURL.N_2018_04_12_00_10_2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53255"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1. Enter Ticker in I3 and press refresh button.</a:t>
          </a:r>
        </a:p>
        <a:p>
          <a:pPr algn="l" rtl="0">
            <a:defRPr sz="1000"/>
          </a:pPr>
          <a:r>
            <a:rPr lang="en-US" sz="1000" b="0" i="0" u="none" strike="noStrike" baseline="0">
              <a:solidFill>
                <a:srgbClr val="000000"/>
              </a:solidFill>
              <a:latin typeface="Arial"/>
              <a:cs typeface="Arial"/>
            </a:rPr>
            <a:t>2. Check all data in </a:t>
          </a:r>
          <a:r>
            <a:rPr lang="en-US" sz="1000" b="1" i="0" u="none" strike="noStrike" baseline="0">
              <a:solidFill>
                <a:srgbClr val="0000FF"/>
              </a:solidFill>
              <a:latin typeface="Arial"/>
              <a:cs typeface="Arial"/>
            </a:rPr>
            <a:t>blue</a:t>
          </a:r>
          <a:r>
            <a:rPr lang="en-US" sz="1000" b="0" i="0" u="none" strike="noStrike" baseline="0">
              <a:solidFill>
                <a:srgbClr val="000000"/>
              </a:solidFill>
              <a:latin typeface="Arial"/>
              <a:cs typeface="Arial"/>
            </a:rPr>
            <a:t> for accuracy.</a:t>
          </a:r>
          <a:endParaRPr lang="en-US" sz="1000" b="1" i="0" u="none" strike="noStrike" baseline="0">
            <a:solidFill>
              <a:srgbClr val="000000"/>
            </a:solidFill>
            <a:latin typeface="Arial"/>
            <a:cs typeface="Arial"/>
          </a:endParaRP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18620009"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17</xdr:col>
          <xdr:colOff>600075</xdr:colOff>
          <xdr:row>3</xdr:row>
          <xdr:rowOff>19050</xdr:rowOff>
        </xdr:to>
        <xdr:sp macro="" textlink="">
          <xdr:nvSpPr>
            <xdr:cNvPr id="53270" name="CommandButton2" hidden="1">
              <a:extLst>
                <a:ext uri="{63B3BB69-23CF-44E3-9099-C40C66FF867C}">
                  <a14:compatExt spid="_x0000_s5327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47</xdr:col>
      <xdr:colOff>19050</xdr:colOff>
      <xdr:row>7</xdr:row>
      <xdr:rowOff>1257300</xdr:rowOff>
    </xdr:from>
    <xdr:to>
      <xdr:col>47</xdr:col>
      <xdr:colOff>66675</xdr:colOff>
      <xdr:row>7</xdr:row>
      <xdr:rowOff>1285875</xdr:rowOff>
    </xdr:to>
    <xdr:graphicFrame macro="">
      <xdr:nvGraphicFramePr>
        <xdr:cNvPr id="20041124" name="MW_ROE_CO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57150</xdr:colOff>
      <xdr:row>7</xdr:row>
      <xdr:rowOff>19050</xdr:rowOff>
    </xdr:from>
    <xdr:to>
      <xdr:col>9</xdr:col>
      <xdr:colOff>495300</xdr:colOff>
      <xdr:row>7</xdr:row>
      <xdr:rowOff>2524125</xdr:rowOff>
    </xdr:to>
    <xdr:graphicFrame macro="">
      <xdr:nvGraphicFramePr>
        <xdr:cNvPr id="20041125" name="Bar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457200</xdr:colOff>
      <xdr:row>7</xdr:row>
      <xdr:rowOff>276225</xdr:rowOff>
    </xdr:from>
    <xdr:to>
      <xdr:col>14</xdr:col>
      <xdr:colOff>466725</xdr:colOff>
      <xdr:row>8</xdr:row>
      <xdr:rowOff>0</xdr:rowOff>
    </xdr:to>
    <xdr:graphicFrame macro="">
      <xdr:nvGraphicFramePr>
        <xdr:cNvPr id="20041126"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228600</xdr:colOff>
      <xdr:row>4</xdr:row>
      <xdr:rowOff>228600</xdr:rowOff>
    </xdr:from>
    <xdr:to>
      <xdr:col>10</xdr:col>
      <xdr:colOff>457200</xdr:colOff>
      <xdr:row>4</xdr:row>
      <xdr:rowOff>228600</xdr:rowOff>
    </xdr:to>
    <xdr:sp macro="" textlink="">
      <xdr:nvSpPr>
        <xdr:cNvPr id="20041127" name="Line 401"/>
        <xdr:cNvSpPr>
          <a:spLocks noChangeShapeType="1"/>
        </xdr:cNvSpPr>
      </xdr:nvSpPr>
      <xdr:spPr bwMode="auto">
        <a:xfrm>
          <a:off x="381000" y="533400"/>
          <a:ext cx="9296400" cy="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1</xdr:col>
      <xdr:colOff>152400</xdr:colOff>
      <xdr:row>4</xdr:row>
      <xdr:rowOff>19050</xdr:rowOff>
    </xdr:from>
    <xdr:to>
      <xdr:col>9</xdr:col>
      <xdr:colOff>638175</xdr:colOff>
      <xdr:row>4</xdr:row>
      <xdr:rowOff>457200</xdr:rowOff>
    </xdr:to>
    <xdr:sp macro="" textlink="">
      <xdr:nvSpPr>
        <xdr:cNvPr id="20041128" name="Rectangle 400"/>
        <xdr:cNvSpPr>
          <a:spLocks noChangeArrowheads="1"/>
        </xdr:cNvSpPr>
      </xdr:nvSpPr>
      <xdr:spPr bwMode="auto">
        <a:xfrm>
          <a:off x="304800" y="323850"/>
          <a:ext cx="8839200" cy="438150"/>
        </a:xfrm>
        <a:prstGeom prst="rect">
          <a:avLst/>
        </a:prstGeom>
        <a:noFill/>
        <a:ln w="22225"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152400</xdr:colOff>
      <xdr:row>5</xdr:row>
      <xdr:rowOff>228600</xdr:rowOff>
    </xdr:from>
    <xdr:to>
      <xdr:col>9</xdr:col>
      <xdr:colOff>628650</xdr:colOff>
      <xdr:row>5</xdr:row>
      <xdr:rowOff>228600</xdr:rowOff>
    </xdr:to>
    <xdr:sp macro="" textlink="">
      <xdr:nvSpPr>
        <xdr:cNvPr id="20041129" name="Line 402"/>
        <xdr:cNvSpPr>
          <a:spLocks noChangeShapeType="1"/>
        </xdr:cNvSpPr>
      </xdr:nvSpPr>
      <xdr:spPr bwMode="auto">
        <a:xfrm>
          <a:off x="304800" y="1019175"/>
          <a:ext cx="8829675" cy="0"/>
        </a:xfrm>
        <a:prstGeom prst="line">
          <a:avLst/>
        </a:prstGeom>
        <a:noFill/>
        <a:ln w="0">
          <a:solidFill>
            <a:srgbClr val="80808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133350</xdr:colOff>
      <xdr:row>7</xdr:row>
      <xdr:rowOff>9525</xdr:rowOff>
    </xdr:from>
    <xdr:to>
      <xdr:col>4</xdr:col>
      <xdr:colOff>0</xdr:colOff>
      <xdr:row>7</xdr:row>
      <xdr:rowOff>2514600</xdr:rowOff>
    </xdr:to>
    <xdr:graphicFrame macro="">
      <xdr:nvGraphicFramePr>
        <xdr:cNvPr id="20041130" name="MW_ChartPri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10</xdr:row>
      <xdr:rowOff>9525</xdr:rowOff>
    </xdr:from>
    <xdr:to>
      <xdr:col>9</xdr:col>
      <xdr:colOff>647700</xdr:colOff>
      <xdr:row>10</xdr:row>
      <xdr:rowOff>9525</xdr:rowOff>
    </xdr:to>
    <xdr:sp macro="" textlink="">
      <xdr:nvSpPr>
        <xdr:cNvPr id="20041131" name="Line 430"/>
        <xdr:cNvSpPr>
          <a:spLocks noChangeShapeType="1"/>
        </xdr:cNvSpPr>
      </xdr:nvSpPr>
      <xdr:spPr bwMode="auto">
        <a:xfrm flipV="1">
          <a:off x="276225" y="4105275"/>
          <a:ext cx="8877300" cy="0"/>
        </a:xfrm>
        <a:prstGeom prst="line">
          <a:avLst/>
        </a:prstGeom>
        <a:noFill/>
        <a:ln w="0">
          <a:solidFill>
            <a:srgbClr val="80808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114300</xdr:colOff>
      <xdr:row>23</xdr:row>
      <xdr:rowOff>142875</xdr:rowOff>
    </xdr:from>
    <xdr:to>
      <xdr:col>9</xdr:col>
      <xdr:colOff>628650</xdr:colOff>
      <xdr:row>23</xdr:row>
      <xdr:rowOff>142875</xdr:rowOff>
    </xdr:to>
    <xdr:sp macro="" textlink="">
      <xdr:nvSpPr>
        <xdr:cNvPr id="20041132" name="Line 431"/>
        <xdr:cNvSpPr>
          <a:spLocks noChangeShapeType="1"/>
        </xdr:cNvSpPr>
      </xdr:nvSpPr>
      <xdr:spPr bwMode="auto">
        <a:xfrm flipV="1">
          <a:off x="266700" y="6219825"/>
          <a:ext cx="8867775" cy="0"/>
        </a:xfrm>
        <a:prstGeom prst="line">
          <a:avLst/>
        </a:prstGeom>
        <a:noFill/>
        <a:ln w="0">
          <a:solidFill>
            <a:srgbClr val="80808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142875</xdr:colOff>
      <xdr:row>0</xdr:row>
      <xdr:rowOff>19050</xdr:rowOff>
    </xdr:from>
    <xdr:to>
      <xdr:col>10</xdr:col>
      <xdr:colOff>190500</xdr:colOff>
      <xdr:row>36</xdr:row>
      <xdr:rowOff>9525</xdr:rowOff>
    </xdr:to>
    <xdr:grpSp>
      <xdr:nvGrpSpPr>
        <xdr:cNvPr id="20041133" name="Group 449"/>
        <xdr:cNvGrpSpPr>
          <a:grpSpLocks/>
        </xdr:cNvGrpSpPr>
      </xdr:nvGrpSpPr>
      <xdr:grpSpPr bwMode="auto">
        <a:xfrm>
          <a:off x="142875" y="19050"/>
          <a:ext cx="9281272" cy="8226799"/>
          <a:chOff x="0" y="1"/>
          <a:chExt cx="949" cy="870"/>
        </a:xfrm>
      </xdr:grpSpPr>
      <xdr:sp macro="" textlink="" fLocksText="0">
        <xdr:nvSpPr>
          <xdr:cNvPr id="12" name="Rectangle 406"/>
          <xdr:cNvSpPr>
            <a:spLocks noChangeArrowheads="1"/>
          </xdr:cNvSpPr>
        </xdr:nvSpPr>
        <xdr:spPr bwMode="auto">
          <a:xfrm>
            <a:off x="932" y="1"/>
            <a:ext cx="17" cy="870"/>
          </a:xfrm>
          <a:prstGeom prst="rect">
            <a:avLst/>
          </a:prstGeom>
          <a:solidFill>
            <a:srgbClr val="C0C0C0"/>
          </a:solidFill>
          <a:ln>
            <a:noFill/>
          </a:ln>
          <a:extLst>
            <a:ext uri="{91240B29-F687-4F45-9708-019B960494DF}">
              <a14:hiddenLine xmlns:a14="http://schemas.microsoft.com/office/drawing/2010/main" w="0" algn="ctr">
                <a:solidFill>
                  <a:srgbClr val="000000"/>
                </a:solidFill>
                <a:miter lim="800000"/>
                <a:headEnd/>
                <a:tailEnd/>
              </a14:hiddenLine>
            </a:ext>
          </a:extLst>
        </xdr:spPr>
      </xdr:sp>
      <xdr:sp macro="" textlink="">
        <xdr:nvSpPr>
          <xdr:cNvPr id="20041136" name="Rectangle 421"/>
          <xdr:cNvSpPr>
            <a:spLocks noChangeArrowheads="1"/>
          </xdr:cNvSpPr>
        </xdr:nvSpPr>
        <xdr:spPr bwMode="auto">
          <a:xfrm>
            <a:off x="0" y="850"/>
            <a:ext cx="947" cy="21"/>
          </a:xfrm>
          <a:prstGeom prst="rect">
            <a:avLst/>
          </a:prstGeom>
          <a:solidFill>
            <a:srgbClr val="C0C0C0"/>
          </a:solidFill>
          <a:ln>
            <a:noFill/>
          </a:ln>
          <a:extLst>
            <a:ext uri="{91240B29-F687-4F45-9708-019B960494DF}">
              <a14:hiddenLine xmlns:a14="http://schemas.microsoft.com/office/drawing/2010/main" w="0" algn="ctr">
                <a:solidFill>
                  <a:srgbClr val="000000"/>
                </a:solidFill>
                <a:miter lim="800000"/>
                <a:headEnd/>
                <a:tailEnd/>
              </a14:hiddenLine>
            </a:ext>
          </a:extLst>
        </xdr:spPr>
      </xdr:sp>
    </xdr:grpSp>
    <xdr:clientData/>
  </xdr:twoCellAnchor>
  <xdr:twoCellAnchor>
    <xdr:from>
      <xdr:col>1</xdr:col>
      <xdr:colOff>0</xdr:colOff>
      <xdr:row>0</xdr:row>
      <xdr:rowOff>9525</xdr:rowOff>
    </xdr:from>
    <xdr:to>
      <xdr:col>10</xdr:col>
      <xdr:colOff>180975</xdr:colOff>
      <xdr:row>0</xdr:row>
      <xdr:rowOff>190500</xdr:rowOff>
    </xdr:to>
    <xdr:sp macro="" textlink="">
      <xdr:nvSpPr>
        <xdr:cNvPr id="20041134" name="Rectangle 420"/>
        <xdr:cNvSpPr>
          <a:spLocks noChangeArrowheads="1"/>
        </xdr:cNvSpPr>
      </xdr:nvSpPr>
      <xdr:spPr bwMode="auto">
        <a:xfrm>
          <a:off x="152400" y="9525"/>
          <a:ext cx="9248775" cy="180975"/>
        </a:xfrm>
        <a:prstGeom prst="rect">
          <a:avLst/>
        </a:prstGeom>
        <a:solidFill>
          <a:srgbClr val="C0C0C0"/>
        </a:solidFill>
        <a:ln>
          <a:noFill/>
        </a:ln>
        <a:extLst>
          <a:ext uri="{91240B29-F687-4F45-9708-019B960494DF}">
            <a14:hiddenLine xmlns:a14="http://schemas.microsoft.com/office/drawing/2010/main" w="0" algn="ctr">
              <a:solidFill>
                <a:srgbClr val="000000"/>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0</xdr:col>
          <xdr:colOff>38100</xdr:colOff>
          <xdr:row>96</xdr:row>
          <xdr:rowOff>0</xdr:rowOff>
        </xdr:from>
        <xdr:to>
          <xdr:col>1</xdr:col>
          <xdr:colOff>2905125</xdr:colOff>
          <xdr:row>96</xdr:row>
          <xdr:rowOff>0</xdr:rowOff>
        </xdr:to>
        <xdr:sp macro="" textlink="">
          <xdr:nvSpPr>
            <xdr:cNvPr id="1424385" name="cboTickers" hidden="1">
              <a:extLst>
                <a:ext uri="{63B3BB69-23CF-44E3-9099-C40C66FF867C}">
                  <a14:compatExt spid="_x0000_s1424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4</xdr:row>
          <xdr:rowOff>114300</xdr:rowOff>
        </xdr:from>
        <xdr:to>
          <xdr:col>14</xdr:col>
          <xdr:colOff>581025</xdr:colOff>
          <xdr:row>4</xdr:row>
          <xdr:rowOff>352425</xdr:rowOff>
        </xdr:to>
        <xdr:sp macro="" textlink="">
          <xdr:nvSpPr>
            <xdr:cNvPr id="1424386" name="cmbLanguage" hidden="1">
              <a:extLst>
                <a:ext uri="{63B3BB69-23CF-44E3-9099-C40C66FF867C}">
                  <a14:compatExt spid="_x0000_s1424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0</xdr:row>
          <xdr:rowOff>57150</xdr:rowOff>
        </xdr:from>
        <xdr:to>
          <xdr:col>14</xdr:col>
          <xdr:colOff>581025</xdr:colOff>
          <xdr:row>4</xdr:row>
          <xdr:rowOff>0</xdr:rowOff>
        </xdr:to>
        <xdr:sp macro="" textlink="">
          <xdr:nvSpPr>
            <xdr:cNvPr id="1424387" name="ComboBox1" hidden="1">
              <a:extLst>
                <a:ext uri="{63B3BB69-23CF-44E3-9099-C40C66FF867C}">
                  <a14:compatExt spid="_x0000_s1424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295275</xdr:colOff>
          <xdr:row>7</xdr:row>
          <xdr:rowOff>2514600</xdr:rowOff>
        </xdr:from>
        <xdr:to>
          <xdr:col>53</xdr:col>
          <xdr:colOff>133350</xdr:colOff>
          <xdr:row>9</xdr:row>
          <xdr:rowOff>19050</xdr:rowOff>
        </xdr:to>
        <xdr:sp macro="" textlink="">
          <xdr:nvSpPr>
            <xdr:cNvPr id="1424388" name="ComboBox2" hidden="1">
              <a:extLst>
                <a:ext uri="{63B3BB69-23CF-44E3-9099-C40C66FF867C}">
                  <a14:compatExt spid="_x0000_s1424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4</xdr:row>
          <xdr:rowOff>457200</xdr:rowOff>
        </xdr:from>
        <xdr:to>
          <xdr:col>14</xdr:col>
          <xdr:colOff>619125</xdr:colOff>
          <xdr:row>5</xdr:row>
          <xdr:rowOff>200025</xdr:rowOff>
        </xdr:to>
        <xdr:sp macro="" textlink="">
          <xdr:nvSpPr>
            <xdr:cNvPr id="1424389" name="ComboBox3" hidden="1">
              <a:extLst>
                <a:ext uri="{63B3BB69-23CF-44E3-9099-C40C66FF867C}">
                  <a14:compatExt spid="_x0000_s142438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390525</xdr:colOff>
      <xdr:row>17</xdr:row>
      <xdr:rowOff>52387</xdr:rowOff>
    </xdr:from>
    <xdr:to>
      <xdr:col>10</xdr:col>
      <xdr:colOff>389001</xdr:colOff>
      <xdr:row>37</xdr:row>
      <xdr:rowOff>127673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42</xdr:row>
      <xdr:rowOff>23812</xdr:rowOff>
    </xdr:from>
    <xdr:to>
      <xdr:col>10</xdr:col>
      <xdr:colOff>36576</xdr:colOff>
      <xdr:row>62</xdr:row>
      <xdr:rowOff>99098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2.xml" Type="http://schemas.openxmlformats.org/officeDocument/2006/relationships/drawing"/>
<Relationship Id="rId3" Target="../drawings/vmlDrawing16.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6.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vmlDrawing17.vml" Type="http://schemas.openxmlformats.org/officeDocument/2006/relationships/vmlDrawing"/>
<Relationship Id="rId3" Target="../comments17.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10" Target="../activeX/activeX5.xml" Type="http://schemas.openxmlformats.org/officeDocument/2006/relationships/control"/>
<Relationship Id="rId11" Target="../media/image9.emf" Type="http://schemas.openxmlformats.org/officeDocument/2006/relationships/image"/>
<Relationship Id="rId12" Target="../activeX/activeX6.xml" Type="http://schemas.openxmlformats.org/officeDocument/2006/relationships/control"/>
<Relationship Id="rId13" Target="../media/image10.emf" Type="http://schemas.openxmlformats.org/officeDocument/2006/relationships/image"/>
<Relationship Id="rId14" Target="../comments18.xml" Type="http://schemas.openxmlformats.org/officeDocument/2006/relationships/comments"/>
<Relationship Id="rId2" Target="../drawings/drawing3.xml" Type="http://schemas.openxmlformats.org/officeDocument/2006/relationships/drawing"/>
<Relationship Id="rId3" Target="../drawings/vmlDrawing18.vml" Type="http://schemas.openxmlformats.org/officeDocument/2006/relationships/vmlDrawing"/>
<Relationship Id="rId4" Target="../activeX/activeX2.xml" Type="http://schemas.openxmlformats.org/officeDocument/2006/relationships/control"/>
<Relationship Id="rId5" Target="../media/image6.emf" Type="http://schemas.openxmlformats.org/officeDocument/2006/relationships/image"/>
<Relationship Id="rId6" Target="../activeX/activeX3.xml" Type="http://schemas.openxmlformats.org/officeDocument/2006/relationships/control"/>
<Relationship Id="rId7" Target="../media/image7.emf" Type="http://schemas.openxmlformats.org/officeDocument/2006/relationships/image"/>
<Relationship Id="rId8" Target="../activeX/activeX4.xml" Type="http://schemas.openxmlformats.org/officeDocument/2006/relationships/control"/>
<Relationship Id="rId9" Target="../media/image8.emf" Type="http://schemas.openxmlformats.org/officeDocument/2006/relationships/image"/>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 Id="rId2" Target="../drawings/vmlDrawing19.vml" Type="http://schemas.openxmlformats.org/officeDocument/2006/relationships/vmlDrawing"/>
<Relationship Id="rId3" Target="../comments19.xml" Type="http://schemas.openxmlformats.org/officeDocument/2006/relationships/comment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28.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printerSettings/printerSettings30.bin" Type="http://schemas.openxmlformats.org/officeDocument/2006/relationships/printerSettings"/>
</Relationships>

</file>

<file path=xl/worksheets/_rels/sheet31.xml.rels><?xml version="1.0" encoding="UTF-8" standalone="yes"?>
<Relationships xmlns="http://schemas.openxmlformats.org/package/2006/relationships">
<Relationship Id="rId1" Target="../printerSettings/printerSettings31.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32.bin" Type="http://schemas.openxmlformats.org/officeDocument/2006/relationships/printerSettings"/>
</Relationships>

</file>

<file path=xl/worksheets/_rels/sheet33.xml.rels><?xml version="1.0" encoding="UTF-8" standalone="yes"?>
<Relationships xmlns="http://schemas.openxmlformats.org/package/2006/relationships">
<Relationship Id="rId1" Target="../printerSettings/printerSettings33.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34.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35.bin" Type="http://schemas.openxmlformats.org/officeDocument/2006/relationships/printerSettings"/>
</Relationships>

</file>

<file path=xl/worksheets/_rels/sheet36.xml.rels><?xml version="1.0" encoding="UTF-8" standalone="yes"?>
<Relationships xmlns="http://schemas.openxmlformats.org/package/2006/relationships">
<Relationship Id="rId1" Target="../printerSettings/printerSettings36.bin" Type="http://schemas.openxmlformats.org/officeDocument/2006/relationships/printerSettings"/>
<Relationship Id="rId2" Target="../drawings/drawing4.xml" Type="http://schemas.openxmlformats.org/officeDocument/2006/relationships/drawing"/>
</Relationships>

</file>

<file path=xl/worksheets/_rels/sheet37.xml.rels><?xml version="1.0" encoding="UTF-8" standalone="yes"?>
<Relationships xmlns="http://schemas.openxmlformats.org/package/2006/relationships">
<Relationship Id="rId1" Target="../printerSettings/printerSettings37.bin" Type="http://schemas.openxmlformats.org/officeDocument/2006/relationships/printerSettings"/>
<Relationship Id="rId2" Target="../drawings/vmlDrawing20.vml" Type="http://schemas.openxmlformats.org/officeDocument/2006/relationships/vmlDrawing"/>
<Relationship Id="rId3" Target="../comments20.xml" Type="http://schemas.openxmlformats.org/officeDocument/2006/relationships/comments"/>
</Relationships>

</file>

<file path=xl/worksheets/_rels/sheet38.xml.rels><?xml version="1.0" encoding="UTF-8" standalone="yes"?>
<Relationships xmlns="http://schemas.openxmlformats.org/package/2006/relationships">
<Relationship Id="rId1" Target="../printerSettings/printerSettings38.bin" Type="http://schemas.openxmlformats.org/officeDocument/2006/relationships/printerSettings"/>
</Relationships>

</file>

<file path=xl/worksheets/_rels/sheet39.xml.rels><?xml version="1.0" encoding="UTF-8" standalone="yes"?>
<Relationships xmlns="http://schemas.openxmlformats.org/package/2006/relationships">
<Relationship Id="rId1" Target="../printerSettings/printerSettings3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1"/>
  <sheetViews>
    <sheetView showGridLines="0" tabSelected="1" workbookViewId="0">
      <selection activeCell="Z1" sqref="Z1"/>
    </sheetView>
  </sheetViews>
  <sheetFormatPr defaultRowHeight="12.75"/>
  <cols>
    <col min="1" max="1" width="25.7109375" style="2283" customWidth="1"/>
    <col min="2" max="5" width="9.140625" style="2283"/>
    <col min="6" max="6" width="18.7109375" style="2283" customWidth="1"/>
    <col min="7" max="256" width="9.140625" style="2283"/>
    <col min="257" max="257" width="100.7109375" style="2283" customWidth="1"/>
    <col min="258" max="512" width="9.140625" style="2283"/>
    <col min="513" max="513" width="100.7109375" style="2283" customWidth="1"/>
    <col min="514" max="768" width="9.140625" style="2283"/>
    <col min="769" max="769" width="100.7109375" style="2283" customWidth="1"/>
    <col min="770" max="1024" width="9.140625" style="2283"/>
    <col min="1025" max="1025" width="100.7109375" style="2283" customWidth="1"/>
    <col min="1026" max="1280" width="9.140625" style="2283"/>
    <col min="1281" max="1281" width="100.7109375" style="2283" customWidth="1"/>
    <col min="1282" max="1536" width="9.140625" style="2283"/>
    <col min="1537" max="1537" width="100.7109375" style="2283" customWidth="1"/>
    <col min="1538" max="1792" width="9.140625" style="2283"/>
    <col min="1793" max="1793" width="100.7109375" style="2283" customWidth="1"/>
    <col min="1794" max="2048" width="9.140625" style="2283"/>
    <col min="2049" max="2049" width="100.7109375" style="2283" customWidth="1"/>
    <col min="2050" max="2304" width="9.140625" style="2283"/>
    <col min="2305" max="2305" width="100.7109375" style="2283" customWidth="1"/>
    <col min="2306" max="2560" width="9.140625" style="2283"/>
    <col min="2561" max="2561" width="100.7109375" style="2283" customWidth="1"/>
    <col min="2562" max="2816" width="9.140625" style="2283"/>
    <col min="2817" max="2817" width="100.7109375" style="2283" customWidth="1"/>
    <col min="2818" max="3072" width="9.140625" style="2283"/>
    <col min="3073" max="3073" width="100.7109375" style="2283" customWidth="1"/>
    <col min="3074" max="3328" width="9.140625" style="2283"/>
    <col min="3329" max="3329" width="100.7109375" style="2283" customWidth="1"/>
    <col min="3330" max="3584" width="9.140625" style="2283"/>
    <col min="3585" max="3585" width="100.7109375" style="2283" customWidth="1"/>
    <col min="3586" max="3840" width="9.140625" style="2283"/>
    <col min="3841" max="3841" width="100.7109375" style="2283" customWidth="1"/>
    <col min="3842" max="4096" width="9.140625" style="2283"/>
    <col min="4097" max="4097" width="100.7109375" style="2283" customWidth="1"/>
    <col min="4098" max="4352" width="9.140625" style="2283"/>
    <col min="4353" max="4353" width="100.7109375" style="2283" customWidth="1"/>
    <col min="4354" max="4608" width="9.140625" style="2283"/>
    <col min="4609" max="4609" width="100.7109375" style="2283" customWidth="1"/>
    <col min="4610" max="4864" width="9.140625" style="2283"/>
    <col min="4865" max="4865" width="100.7109375" style="2283" customWidth="1"/>
    <col min="4866" max="5120" width="9.140625" style="2283"/>
    <col min="5121" max="5121" width="100.7109375" style="2283" customWidth="1"/>
    <col min="5122" max="5376" width="9.140625" style="2283"/>
    <col min="5377" max="5377" width="100.7109375" style="2283" customWidth="1"/>
    <col min="5378" max="5632" width="9.140625" style="2283"/>
    <col min="5633" max="5633" width="100.7109375" style="2283" customWidth="1"/>
    <col min="5634" max="5888" width="9.140625" style="2283"/>
    <col min="5889" max="5889" width="100.7109375" style="2283" customWidth="1"/>
    <col min="5890" max="6144" width="9.140625" style="2283"/>
    <col min="6145" max="6145" width="100.7109375" style="2283" customWidth="1"/>
    <col min="6146" max="6400" width="9.140625" style="2283"/>
    <col min="6401" max="6401" width="100.7109375" style="2283" customWidth="1"/>
    <col min="6402" max="6656" width="9.140625" style="2283"/>
    <col min="6657" max="6657" width="100.7109375" style="2283" customWidth="1"/>
    <col min="6658" max="6912" width="9.140625" style="2283"/>
    <col min="6913" max="6913" width="100.7109375" style="2283" customWidth="1"/>
    <col min="6914" max="7168" width="9.140625" style="2283"/>
    <col min="7169" max="7169" width="100.7109375" style="2283" customWidth="1"/>
    <col min="7170" max="7424" width="9.140625" style="2283"/>
    <col min="7425" max="7425" width="100.7109375" style="2283" customWidth="1"/>
    <col min="7426" max="7680" width="9.140625" style="2283"/>
    <col min="7681" max="7681" width="100.7109375" style="2283" customWidth="1"/>
    <col min="7682" max="7936" width="9.140625" style="2283"/>
    <col min="7937" max="7937" width="100.7109375" style="2283" customWidth="1"/>
    <col min="7938" max="8192" width="9.140625" style="2283"/>
    <col min="8193" max="8193" width="100.7109375" style="2283" customWidth="1"/>
    <col min="8194" max="8448" width="9.140625" style="2283"/>
    <col min="8449" max="8449" width="100.7109375" style="2283" customWidth="1"/>
    <col min="8450" max="8704" width="9.140625" style="2283"/>
    <col min="8705" max="8705" width="100.7109375" style="2283" customWidth="1"/>
    <col min="8706" max="8960" width="9.140625" style="2283"/>
    <col min="8961" max="8961" width="100.7109375" style="2283" customWidth="1"/>
    <col min="8962" max="9216" width="9.140625" style="2283"/>
    <col min="9217" max="9217" width="100.7109375" style="2283" customWidth="1"/>
    <col min="9218" max="9472" width="9.140625" style="2283"/>
    <col min="9473" max="9473" width="100.7109375" style="2283" customWidth="1"/>
    <col min="9474" max="9728" width="9.140625" style="2283"/>
    <col min="9729" max="9729" width="100.7109375" style="2283" customWidth="1"/>
    <col min="9730" max="9984" width="9.140625" style="2283"/>
    <col min="9985" max="9985" width="100.7109375" style="2283" customWidth="1"/>
    <col min="9986" max="10240" width="9.140625" style="2283"/>
    <col min="10241" max="10241" width="100.7109375" style="2283" customWidth="1"/>
    <col min="10242" max="10496" width="9.140625" style="2283"/>
    <col min="10497" max="10497" width="100.7109375" style="2283" customWidth="1"/>
    <col min="10498" max="10752" width="9.140625" style="2283"/>
    <col min="10753" max="10753" width="100.7109375" style="2283" customWidth="1"/>
    <col min="10754" max="11008" width="9.140625" style="2283"/>
    <col min="11009" max="11009" width="100.7109375" style="2283" customWidth="1"/>
    <col min="11010" max="11264" width="9.140625" style="2283"/>
    <col min="11265" max="11265" width="100.7109375" style="2283" customWidth="1"/>
    <col min="11266" max="11520" width="9.140625" style="2283"/>
    <col min="11521" max="11521" width="100.7109375" style="2283" customWidth="1"/>
    <col min="11522" max="11776" width="9.140625" style="2283"/>
    <col min="11777" max="11777" width="100.7109375" style="2283" customWidth="1"/>
    <col min="11778" max="12032" width="9.140625" style="2283"/>
    <col min="12033" max="12033" width="100.7109375" style="2283" customWidth="1"/>
    <col min="12034" max="12288" width="9.140625" style="2283"/>
    <col min="12289" max="12289" width="100.7109375" style="2283" customWidth="1"/>
    <col min="12290" max="12544" width="9.140625" style="2283"/>
    <col min="12545" max="12545" width="100.7109375" style="2283" customWidth="1"/>
    <col min="12546" max="12800" width="9.140625" style="2283"/>
    <col min="12801" max="12801" width="100.7109375" style="2283" customWidth="1"/>
    <col min="12802" max="13056" width="9.140625" style="2283"/>
    <col min="13057" max="13057" width="100.7109375" style="2283" customWidth="1"/>
    <col min="13058" max="13312" width="9.140625" style="2283"/>
    <col min="13313" max="13313" width="100.7109375" style="2283" customWidth="1"/>
    <col min="13314" max="13568" width="9.140625" style="2283"/>
    <col min="13569" max="13569" width="100.7109375" style="2283" customWidth="1"/>
    <col min="13570" max="13824" width="9.140625" style="2283"/>
    <col min="13825" max="13825" width="100.7109375" style="2283" customWidth="1"/>
    <col min="13826" max="14080" width="9.140625" style="2283"/>
    <col min="14081" max="14081" width="100.7109375" style="2283" customWidth="1"/>
    <col min="14082" max="14336" width="9.140625" style="2283"/>
    <col min="14337" max="14337" width="100.7109375" style="2283" customWidth="1"/>
    <col min="14338" max="14592" width="9.140625" style="2283"/>
    <col min="14593" max="14593" width="100.7109375" style="2283" customWidth="1"/>
    <col min="14594" max="14848" width="9.140625" style="2283"/>
    <col min="14849" max="14849" width="100.7109375" style="2283" customWidth="1"/>
    <col min="14850" max="15104" width="9.140625" style="2283"/>
    <col min="15105" max="15105" width="100.7109375" style="2283" customWidth="1"/>
    <col min="15106" max="15360" width="9.140625" style="2283"/>
    <col min="15361" max="15361" width="100.7109375" style="2283" customWidth="1"/>
    <col min="15362" max="15616" width="9.140625" style="2283"/>
    <col min="15617" max="15617" width="100.7109375" style="2283" customWidth="1"/>
    <col min="15618" max="15872" width="9.140625" style="2283"/>
    <col min="15873" max="15873" width="100.7109375" style="2283" customWidth="1"/>
    <col min="15874" max="16128" width="9.140625" style="2283"/>
    <col min="16129" max="16129" width="100.7109375" style="2283" customWidth="1"/>
    <col min="16130" max="16384" width="9.140625" style="2283"/>
  </cols>
  <sheetData>
    <row r="1" spans="1:8" ht="30" customHeight="1">
      <c r="A1" s="2281"/>
      <c r="B1" s="2282"/>
      <c r="C1" s="2282"/>
      <c r="D1" s="2282"/>
      <c r="E1" s="2282"/>
      <c r="F1" s="2282"/>
      <c r="G1" s="2282"/>
      <c r="H1" s="2282"/>
    </row>
    <row r="2" spans="1:8" ht="14.25">
      <c r="A2" s="2284" t="s">
        <v>1107</v>
      </c>
      <c r="B2" s="2282"/>
      <c r="C2" s="2282"/>
      <c r="D2" s="2282"/>
      <c r="E2" s="2282"/>
      <c r="F2" s="2282"/>
      <c r="G2" s="2282"/>
      <c r="H2" s="2282"/>
    </row>
    <row r="3" spans="1:8" ht="14.25">
      <c r="A3" s="2284" t="s">
        <v>1108</v>
      </c>
      <c r="B3" s="2282"/>
      <c r="C3" s="2282"/>
      <c r="D3" s="2282"/>
      <c r="E3" s="2282"/>
      <c r="F3" s="2282"/>
      <c r="G3" s="2282"/>
      <c r="H3" s="2282"/>
    </row>
    <row r="4" spans="1:8" ht="14.25">
      <c r="A4" s="2284" t="s">
        <v>1109</v>
      </c>
      <c r="B4" s="2282"/>
      <c r="C4" s="2282"/>
      <c r="D4" s="2282"/>
      <c r="E4" s="2282"/>
      <c r="F4" s="2282"/>
      <c r="G4" s="2282"/>
      <c r="H4" s="2282"/>
    </row>
    <row r="5" spans="1:8" ht="14.25">
      <c r="A5" s="2284" t="s">
        <v>1110</v>
      </c>
      <c r="B5" s="2282"/>
      <c r="C5" s="2282"/>
      <c r="D5" s="2282"/>
      <c r="E5" s="2282"/>
      <c r="F5" s="2282"/>
      <c r="G5" s="2282"/>
      <c r="H5" s="2282"/>
    </row>
    <row r="6" spans="1:8" ht="14.25">
      <c r="A6" s="2284"/>
      <c r="B6" s="2282"/>
      <c r="C6" s="2282"/>
      <c r="D6" s="2282"/>
      <c r="E6" s="2282"/>
      <c r="F6" s="2282"/>
      <c r="G6" s="2282"/>
      <c r="H6" s="2282"/>
    </row>
    <row r="7" spans="1:8">
      <c r="A7" s="2281" t="s">
        <v>1111</v>
      </c>
      <c r="B7" s="2282"/>
      <c r="C7" s="2282"/>
      <c r="D7" s="2282"/>
      <c r="E7" s="2282"/>
      <c r="F7" s="2282"/>
      <c r="G7" s="2282"/>
      <c r="H7" s="2282"/>
    </row>
    <row r="8" spans="1:8">
      <c r="A8" s="2281" t="s">
        <v>1112</v>
      </c>
      <c r="B8" s="2282"/>
      <c r="C8" s="2282"/>
      <c r="D8" s="2282"/>
      <c r="E8" s="2282"/>
      <c r="F8" s="2282"/>
      <c r="G8" s="2282"/>
      <c r="H8" s="2282"/>
    </row>
    <row r="9" spans="1:8">
      <c r="A9" s="2281"/>
      <c r="B9" s="2282"/>
      <c r="C9" s="2282"/>
      <c r="D9" s="2282"/>
      <c r="E9" s="2282"/>
      <c r="F9" s="2282"/>
      <c r="G9" s="2282"/>
      <c r="H9" s="2282"/>
    </row>
    <row r="10" spans="1:8">
      <c r="A10" s="2285" t="s">
        <v>1113</v>
      </c>
      <c r="B10" s="2282"/>
      <c r="C10" s="2282"/>
      <c r="D10" s="2282"/>
      <c r="E10" s="2282"/>
      <c r="F10" s="2282"/>
      <c r="G10" s="2282"/>
      <c r="H10" s="2282"/>
    </row>
    <row r="11" spans="1:8">
      <c r="A11" s="2285" t="s">
        <v>1114</v>
      </c>
      <c r="B11" s="2282"/>
      <c r="C11" s="2282"/>
      <c r="D11" s="2282"/>
      <c r="E11" s="2282"/>
      <c r="F11" s="2282"/>
      <c r="G11" s="2282"/>
      <c r="H11" s="2282"/>
    </row>
    <row r="12" spans="1:8">
      <c r="A12" s="2285" t="s">
        <v>1115</v>
      </c>
      <c r="B12" s="2282"/>
      <c r="C12" s="2282"/>
      <c r="D12" s="2282"/>
      <c r="E12" s="2282"/>
      <c r="F12" s="2282"/>
      <c r="G12" s="2282"/>
      <c r="H12" s="2282"/>
    </row>
    <row r="13" spans="1:8">
      <c r="A13" s="2285" t="s">
        <v>1116</v>
      </c>
      <c r="B13" s="2282"/>
      <c r="C13" s="2282"/>
      <c r="D13" s="2282"/>
      <c r="E13" s="2282"/>
      <c r="F13" s="2282"/>
      <c r="G13" s="2282"/>
      <c r="H13" s="2282"/>
    </row>
    <row r="14" spans="1:8">
      <c r="A14" s="2285" t="s">
        <v>1117</v>
      </c>
      <c r="B14" s="2282"/>
      <c r="C14" s="2282"/>
      <c r="D14" s="2282"/>
      <c r="E14" s="2282"/>
      <c r="F14" s="2282"/>
      <c r="G14" s="2282"/>
      <c r="H14" s="2282"/>
    </row>
    <row r="15" spans="1:8">
      <c r="A15" s="2285" t="s">
        <v>1118</v>
      </c>
      <c r="B15" s="2282"/>
      <c r="C15" s="2282"/>
      <c r="D15" s="2282"/>
      <c r="E15" s="2282"/>
      <c r="F15" s="2282"/>
      <c r="G15" s="2282"/>
      <c r="H15" s="2282"/>
    </row>
    <row r="16" spans="1:8">
      <c r="A16" s="2285"/>
      <c r="B16" s="2282"/>
      <c r="C16" s="2282"/>
      <c r="D16" s="2282"/>
      <c r="E16" s="2282"/>
      <c r="F16" s="2282"/>
      <c r="G16" s="2282"/>
      <c r="H16" s="2282"/>
    </row>
    <row r="17" spans="1:8">
      <c r="A17" s="2285" t="s">
        <v>1104</v>
      </c>
      <c r="B17" s="2282"/>
      <c r="C17" s="2282"/>
      <c r="D17" s="2282"/>
      <c r="E17" s="2282"/>
      <c r="F17" s="2282"/>
      <c r="G17" s="2282"/>
      <c r="H17" s="2282"/>
    </row>
    <row r="18" spans="1:8">
      <c r="A18" s="2285"/>
      <c r="B18" s="2282"/>
      <c r="C18" s="2282"/>
      <c r="D18" s="2282"/>
      <c r="E18" s="2282"/>
      <c r="F18" s="2282"/>
      <c r="G18" s="2282"/>
      <c r="H18" s="2282"/>
    </row>
    <row r="19" spans="1:8">
      <c r="A19" s="2285" t="s">
        <v>1105</v>
      </c>
      <c r="B19" s="2282"/>
      <c r="C19" s="2282"/>
      <c r="D19" s="2282"/>
      <c r="E19" s="2282"/>
      <c r="F19" s="2282"/>
      <c r="G19" s="2282"/>
      <c r="H19" s="2282"/>
    </row>
    <row r="20" spans="1:8">
      <c r="A20" s="2281"/>
      <c r="B20" s="2282"/>
      <c r="C20" s="2282"/>
      <c r="D20" s="2282"/>
      <c r="E20" s="2282"/>
      <c r="F20" s="2282"/>
      <c r="G20" s="2282"/>
      <c r="H20" s="2282"/>
    </row>
    <row r="21" spans="1:8">
      <c r="A21" s="2286" t="s">
        <v>1106</v>
      </c>
      <c r="B21" s="2282"/>
      <c r="C21" s="2282"/>
      <c r="D21" s="2282"/>
      <c r="E21" s="2282"/>
      <c r="F21" s="2282"/>
      <c r="G21" s="2282"/>
      <c r="H21" s="2282"/>
    </row>
    <row r="22" spans="1:8">
      <c r="A22" s="2287"/>
      <c r="B22" s="2287"/>
      <c r="C22" s="2287"/>
      <c r="D22" s="2287"/>
      <c r="E22" s="2287"/>
      <c r="F22" s="2287"/>
      <c r="G22" s="2287"/>
      <c r="H22" s="2287"/>
    </row>
    <row r="23" spans="1:8">
      <c r="A23" s="2288" t="s">
        <v>1397</v>
      </c>
      <c r="B23" s="2287"/>
      <c r="C23" s="2287"/>
      <c r="D23" s="2287"/>
      <c r="E23" s="2287"/>
      <c r="F23" s="2287"/>
      <c r="G23" s="2287"/>
      <c r="H23" s="2287"/>
    </row>
    <row r="24" spans="1:8">
      <c r="A24" s="2288" t="s">
        <v>1398</v>
      </c>
      <c r="B24" s="2287"/>
      <c r="C24" s="2287"/>
      <c r="D24" s="2287"/>
      <c r="E24" s="2287"/>
      <c r="F24" s="2287"/>
      <c r="G24" s="2287"/>
      <c r="H24" s="2287"/>
    </row>
    <row r="25" spans="1:8">
      <c r="A25" s="2288" t="s">
        <v>1399</v>
      </c>
      <c r="B25" s="2287"/>
      <c r="C25" s="2287"/>
      <c r="D25" s="2287"/>
      <c r="E25" s="2287"/>
      <c r="F25" s="2287"/>
      <c r="G25" s="2287"/>
      <c r="H25" s="2287"/>
    </row>
    <row r="26" spans="1:8">
      <c r="A26" s="2288" t="s">
        <v>1400</v>
      </c>
      <c r="B26" s="2287"/>
      <c r="C26" s="2287"/>
      <c r="D26" s="2287"/>
      <c r="E26" s="2287"/>
      <c r="F26" s="2287"/>
      <c r="G26" s="2287"/>
      <c r="H26" s="2287"/>
    </row>
    <row r="27" spans="1:8">
      <c r="A27" s="2287"/>
      <c r="B27" s="2287"/>
      <c r="C27" s="2287"/>
      <c r="D27" s="2287"/>
      <c r="E27" s="2287"/>
      <c r="F27" s="2287"/>
      <c r="G27" s="2287"/>
      <c r="H27" s="2287"/>
    </row>
    <row r="28" spans="1:8">
      <c r="A28" s="2287"/>
      <c r="B28" s="2287"/>
      <c r="C28" s="2287"/>
      <c r="D28" s="2287"/>
      <c r="E28" s="2287"/>
      <c r="F28" s="2287"/>
      <c r="G28" s="2287"/>
      <c r="H28" s="2287"/>
    </row>
    <row r="29" spans="1:8">
      <c r="A29" s="2288" t="s">
        <v>1392</v>
      </c>
      <c r="B29" s="2287"/>
      <c r="C29" s="2287"/>
      <c r="D29" s="2287"/>
      <c r="E29" s="2287"/>
      <c r="F29" s="2287"/>
      <c r="G29" s="2287"/>
      <c r="H29" s="2287"/>
    </row>
    <row r="30" spans="1:8">
      <c r="A30" s="2288" t="s">
        <v>1393</v>
      </c>
      <c r="B30" s="2287"/>
      <c r="C30" s="2287"/>
      <c r="D30" s="2287"/>
      <c r="E30" s="2287"/>
      <c r="F30" s="2287"/>
      <c r="G30" s="2287"/>
      <c r="H30" s="2287"/>
    </row>
    <row r="31" spans="1:8">
      <c r="A31" s="2288" t="s">
        <v>1394</v>
      </c>
      <c r="B31" s="2287"/>
      <c r="C31" s="2287"/>
      <c r="D31" s="2287"/>
      <c r="E31" s="2287"/>
      <c r="F31" s="2287"/>
      <c r="G31" s="2287"/>
      <c r="H31" s="2287"/>
    </row>
    <row r="32" spans="1:8">
      <c r="A32" s="2288" t="s">
        <v>1395</v>
      </c>
      <c r="B32" s="2287"/>
      <c r="C32" s="2287"/>
      <c r="D32" s="2287"/>
      <c r="E32" s="2287"/>
      <c r="F32" s="2287"/>
      <c r="G32" s="2287"/>
      <c r="H32" s="2287"/>
    </row>
    <row r="33" spans="1:8">
      <c r="A33" s="2288" t="s">
        <v>1396</v>
      </c>
      <c r="B33" s="2287"/>
      <c r="C33" s="2287"/>
      <c r="D33" s="2287"/>
      <c r="E33" s="2287"/>
      <c r="F33" s="2287"/>
      <c r="G33" s="2287"/>
      <c r="H33" s="2287"/>
    </row>
    <row r="34" spans="1:8">
      <c r="A34" s="2287"/>
      <c r="B34" s="2287"/>
      <c r="C34" s="2287"/>
      <c r="D34" s="2287"/>
      <c r="E34" s="2287"/>
      <c r="F34" s="2287"/>
      <c r="G34" s="2287"/>
      <c r="H34" s="2287"/>
    </row>
    <row r="35" spans="1:8">
      <c r="A35" s="2288" t="s">
        <v>1388</v>
      </c>
      <c r="B35" s="2287"/>
      <c r="C35" s="2287"/>
      <c r="D35" s="2287"/>
      <c r="E35" s="2287"/>
      <c r="F35" s="2287"/>
      <c r="G35" s="2287"/>
      <c r="H35" s="2287"/>
    </row>
    <row r="36" spans="1:8">
      <c r="A36" s="2288" t="s">
        <v>1389</v>
      </c>
      <c r="B36" s="2287"/>
      <c r="C36" s="2287"/>
      <c r="D36" s="2287"/>
      <c r="E36" s="2287"/>
      <c r="F36" s="2287"/>
      <c r="G36" s="2287"/>
      <c r="H36" s="2287"/>
    </row>
    <row r="37" spans="1:8">
      <c r="A37" s="2288" t="s">
        <v>1390</v>
      </c>
      <c r="B37" s="2287"/>
      <c r="C37" s="2287"/>
      <c r="D37" s="2287"/>
      <c r="E37" s="2287"/>
      <c r="F37" s="2287"/>
      <c r="G37" s="2287"/>
      <c r="H37" s="2287"/>
    </row>
    <row r="38" spans="1:8">
      <c r="A38" s="2288" t="s">
        <v>1391</v>
      </c>
      <c r="B38" s="2287"/>
      <c r="C38" s="2287"/>
      <c r="D38" s="2287"/>
      <c r="E38" s="2287"/>
      <c r="F38" s="2287"/>
      <c r="G38" s="2287"/>
      <c r="H38" s="2287"/>
    </row>
    <row r="39" spans="1:8">
      <c r="A39" s="2287"/>
      <c r="B39" s="2287"/>
      <c r="C39" s="2287"/>
      <c r="D39" s="2287"/>
      <c r="E39" s="2287"/>
      <c r="F39" s="2287"/>
      <c r="G39" s="2287"/>
      <c r="H39" s="2287"/>
    </row>
    <row r="40" spans="1:8">
      <c r="A40" s="2288" t="s">
        <v>1382</v>
      </c>
      <c r="B40" s="2287"/>
      <c r="C40" s="2287"/>
      <c r="D40" s="2287"/>
      <c r="E40" s="2287"/>
      <c r="F40" s="2287"/>
      <c r="G40" s="2287"/>
      <c r="H40" s="2287"/>
    </row>
    <row r="41" spans="1:8">
      <c r="A41" s="2288" t="s">
        <v>1383</v>
      </c>
      <c r="B41" s="2287"/>
      <c r="C41" s="2287"/>
      <c r="D41" s="2287"/>
      <c r="E41" s="2287"/>
      <c r="F41" s="2287"/>
      <c r="G41" s="2287"/>
      <c r="H41" s="2287"/>
    </row>
    <row r="42" spans="1:8">
      <c r="A42" s="2288" t="s">
        <v>1384</v>
      </c>
      <c r="B42" s="2287"/>
      <c r="C42" s="2287"/>
      <c r="D42" s="2287"/>
      <c r="E42" s="2287"/>
      <c r="F42" s="2287"/>
      <c r="G42" s="2287"/>
      <c r="H42" s="2287"/>
    </row>
    <row r="43" spans="1:8">
      <c r="A43" s="2288" t="s">
        <v>1385</v>
      </c>
      <c r="B43" s="2287"/>
      <c r="C43" s="2287"/>
      <c r="D43" s="2287"/>
      <c r="E43" s="2287"/>
      <c r="F43" s="2287"/>
      <c r="G43" s="2287"/>
      <c r="H43" s="2287"/>
    </row>
    <row r="44" spans="1:8">
      <c r="A44" s="2288" t="s">
        <v>1386</v>
      </c>
      <c r="B44" s="2287"/>
      <c r="C44" s="2287"/>
      <c r="D44" s="2287"/>
      <c r="E44" s="2287"/>
      <c r="F44" s="2287"/>
      <c r="G44" s="2287"/>
      <c r="H44" s="2287"/>
    </row>
    <row r="45" spans="1:8">
      <c r="A45" s="2288" t="s">
        <v>1387</v>
      </c>
      <c r="B45" s="2287"/>
      <c r="C45" s="2287"/>
      <c r="D45" s="2287"/>
      <c r="E45" s="2287"/>
      <c r="F45" s="2287"/>
      <c r="G45" s="2287"/>
      <c r="H45" s="2287"/>
    </row>
    <row r="46" spans="1:8">
      <c r="A46" s="2287"/>
      <c r="B46" s="2287"/>
      <c r="C46" s="2287"/>
      <c r="D46" s="2287"/>
      <c r="E46" s="2287"/>
      <c r="F46" s="2287"/>
      <c r="G46" s="2287"/>
      <c r="H46" s="2287"/>
    </row>
    <row r="47" spans="1:8" ht="15.75">
      <c r="A47" s="2289" t="s">
        <v>1119</v>
      </c>
      <c r="B47" s="2287"/>
      <c r="C47" s="2287"/>
      <c r="D47" s="2287"/>
      <c r="E47" s="2287"/>
      <c r="F47" s="2287"/>
      <c r="G47" s="2287"/>
      <c r="H47" s="2287"/>
    </row>
    <row r="48" spans="1:8">
      <c r="A48" s="2287"/>
      <c r="B48" s="2287"/>
      <c r="C48" s="2287"/>
      <c r="D48" s="2287"/>
      <c r="E48" s="2287"/>
      <c r="F48" s="2287"/>
      <c r="G48" s="2287"/>
      <c r="H48" s="2287"/>
    </row>
    <row r="49" spans="1:8">
      <c r="A49" s="2288" t="s">
        <v>1378</v>
      </c>
      <c r="B49" s="2287"/>
      <c r="C49" s="2287"/>
      <c r="D49" s="2287"/>
      <c r="E49" s="2287"/>
      <c r="F49" s="2287"/>
      <c r="G49" s="2287"/>
      <c r="H49" s="2287"/>
    </row>
    <row r="50" spans="1:8">
      <c r="A50" s="2288" t="s">
        <v>1379</v>
      </c>
      <c r="B50" s="2287"/>
      <c r="C50" s="2287"/>
      <c r="D50" s="2287"/>
      <c r="E50" s="2287"/>
      <c r="F50" s="2287"/>
      <c r="G50" s="2287"/>
      <c r="H50" s="2287"/>
    </row>
    <row r="51" spans="1:8">
      <c r="A51" s="2288" t="s">
        <v>1380</v>
      </c>
      <c r="B51" s="2287"/>
      <c r="C51" s="2287"/>
      <c r="D51" s="2287"/>
      <c r="E51" s="2287"/>
      <c r="F51" s="2287"/>
      <c r="G51" s="2287"/>
      <c r="H51" s="2287"/>
    </row>
    <row r="52" spans="1:8">
      <c r="A52" s="2288" t="s">
        <v>1381</v>
      </c>
      <c r="B52" s="2287"/>
      <c r="C52" s="2287"/>
      <c r="D52" s="2287"/>
      <c r="E52" s="2287"/>
      <c r="F52" s="2287"/>
      <c r="G52" s="2287"/>
      <c r="H52" s="2287"/>
    </row>
    <row r="53" spans="1:8">
      <c r="A53" s="2287"/>
      <c r="B53" s="2287"/>
      <c r="C53" s="2287"/>
      <c r="D53" s="2287"/>
      <c r="E53" s="2287"/>
      <c r="F53" s="2287"/>
      <c r="G53" s="2287"/>
      <c r="H53" s="2287"/>
    </row>
    <row r="54" spans="1:8">
      <c r="A54" s="2288" t="s">
        <v>1120</v>
      </c>
      <c r="B54" s="2287"/>
      <c r="C54" s="2287"/>
      <c r="D54" s="2287"/>
      <c r="E54" s="2287"/>
      <c r="F54" s="2287"/>
      <c r="G54" s="2287"/>
      <c r="H54" s="2287"/>
    </row>
    <row r="55" spans="1:8">
      <c r="A55" s="2287"/>
      <c r="B55" s="2287"/>
      <c r="C55" s="2287"/>
      <c r="D55" s="2287"/>
      <c r="E55" s="2287"/>
      <c r="F55" s="2287"/>
      <c r="G55" s="2287"/>
      <c r="H55" s="2287"/>
    </row>
    <row r="56" spans="1:8" ht="15.75">
      <c r="A56" s="2289" t="s">
        <v>1121</v>
      </c>
      <c r="B56" s="2287"/>
      <c r="C56" s="2287"/>
      <c r="D56" s="2287"/>
      <c r="E56" s="2287"/>
      <c r="F56" s="2287"/>
      <c r="G56" s="2287"/>
      <c r="H56" s="2287"/>
    </row>
    <row r="57" spans="1:8">
      <c r="A57" s="2287"/>
      <c r="B57" s="2287"/>
      <c r="C57" s="2287"/>
      <c r="D57" s="2287"/>
      <c r="E57" s="2287"/>
      <c r="F57" s="2287"/>
      <c r="G57" s="2287"/>
      <c r="H57" s="2287"/>
    </row>
    <row r="58" spans="1:8">
      <c r="A58" s="2288" t="s">
        <v>1376</v>
      </c>
      <c r="B58" s="2287"/>
      <c r="C58" s="2287"/>
      <c r="D58" s="2287"/>
      <c r="E58" s="2287"/>
      <c r="F58" s="2287"/>
      <c r="G58" s="2287"/>
      <c r="H58" s="2287"/>
    </row>
    <row r="59" spans="1:8">
      <c r="A59" s="2288" t="s">
        <v>1377</v>
      </c>
      <c r="B59" s="2287"/>
      <c r="C59" s="2287"/>
      <c r="D59" s="2287"/>
      <c r="E59" s="2287"/>
      <c r="F59" s="2287"/>
      <c r="G59" s="2287"/>
      <c r="H59" s="2287"/>
    </row>
    <row r="60" spans="1:8">
      <c r="A60" s="2287"/>
      <c r="B60" s="2287"/>
      <c r="C60" s="2287"/>
      <c r="D60" s="2287"/>
      <c r="E60" s="2287"/>
      <c r="F60" s="2287"/>
      <c r="G60" s="2287"/>
      <c r="H60" s="2287"/>
    </row>
    <row r="61" spans="1:8" ht="15.75">
      <c r="A61" s="2289" t="s">
        <v>1122</v>
      </c>
      <c r="B61" s="2287"/>
      <c r="C61" s="2287"/>
      <c r="D61" s="2287"/>
      <c r="E61" s="2287"/>
      <c r="F61" s="2287"/>
      <c r="G61" s="2287"/>
      <c r="H61" s="2287"/>
    </row>
    <row r="62" spans="1:8">
      <c r="A62" s="2287"/>
      <c r="B62" s="2287"/>
      <c r="C62" s="2287"/>
      <c r="D62" s="2287"/>
      <c r="E62" s="2287"/>
      <c r="F62" s="2287"/>
      <c r="G62" s="2287"/>
      <c r="H62" s="2287"/>
    </row>
    <row r="63" spans="1:8">
      <c r="A63" s="2288" t="s">
        <v>1374</v>
      </c>
      <c r="B63" s="2287"/>
      <c r="C63" s="2287"/>
      <c r="D63" s="2287"/>
      <c r="E63" s="2287"/>
      <c r="F63" s="2287"/>
      <c r="G63" s="2287"/>
      <c r="H63" s="2287"/>
    </row>
    <row r="64" spans="1:8">
      <c r="A64" s="2288" t="s">
        <v>1375</v>
      </c>
      <c r="B64" s="2287"/>
      <c r="C64" s="2287"/>
      <c r="D64" s="2287"/>
      <c r="E64" s="2287"/>
      <c r="F64" s="2287"/>
      <c r="G64" s="2287"/>
      <c r="H64" s="2287"/>
    </row>
    <row r="65" spans="1:8">
      <c r="A65" s="2287"/>
      <c r="B65" s="2287"/>
      <c r="C65" s="2287"/>
      <c r="D65" s="2287"/>
      <c r="E65" s="2287"/>
      <c r="F65" s="2287"/>
      <c r="G65" s="2287"/>
      <c r="H65" s="2287"/>
    </row>
    <row r="66" spans="1:8">
      <c r="A66" s="2288" t="s">
        <v>1372</v>
      </c>
      <c r="B66" s="2287"/>
      <c r="C66" s="2287"/>
      <c r="D66" s="2287"/>
      <c r="E66" s="2287"/>
      <c r="F66" s="2287"/>
      <c r="G66" s="2287"/>
      <c r="H66" s="2287"/>
    </row>
    <row r="67" spans="1:8">
      <c r="A67" s="2288" t="s">
        <v>1373</v>
      </c>
      <c r="B67" s="2287"/>
      <c r="C67" s="2287"/>
      <c r="D67" s="2287"/>
      <c r="E67" s="2287"/>
      <c r="F67" s="2287"/>
      <c r="G67" s="2287"/>
      <c r="H67" s="2287"/>
    </row>
    <row r="68" spans="1:8">
      <c r="A68" s="2287"/>
      <c r="B68" s="2287"/>
      <c r="C68" s="2287"/>
      <c r="D68" s="2287"/>
      <c r="E68" s="2287"/>
      <c r="F68" s="2287"/>
      <c r="G68" s="2287"/>
      <c r="H68" s="2287"/>
    </row>
    <row r="69" spans="1:8">
      <c r="A69" s="2288" t="s">
        <v>1370</v>
      </c>
      <c r="B69" s="2287"/>
      <c r="C69" s="2287"/>
      <c r="D69" s="2287"/>
      <c r="E69" s="2287"/>
      <c r="F69" s="2287"/>
      <c r="G69" s="2287"/>
      <c r="H69" s="2287"/>
    </row>
    <row r="70" spans="1:8">
      <c r="A70" s="2288" t="s">
        <v>1371</v>
      </c>
      <c r="B70" s="2287"/>
      <c r="C70" s="2287"/>
      <c r="D70" s="2287"/>
      <c r="E70" s="2287"/>
      <c r="F70" s="2287"/>
      <c r="G70" s="2287"/>
      <c r="H70" s="2287"/>
    </row>
    <row r="71" spans="1:8">
      <c r="A71" s="2287"/>
      <c r="B71" s="2287"/>
      <c r="C71" s="2287"/>
      <c r="D71" s="2287"/>
      <c r="E71" s="2287"/>
      <c r="F71" s="2287"/>
      <c r="G71" s="2287"/>
      <c r="H71" s="2287"/>
    </row>
    <row r="72" spans="1:8">
      <c r="A72" s="2288" t="s">
        <v>1368</v>
      </c>
      <c r="B72" s="2287"/>
      <c r="C72" s="2287"/>
      <c r="D72" s="2287"/>
      <c r="E72" s="2287"/>
      <c r="F72" s="2287"/>
      <c r="G72" s="2287"/>
      <c r="H72" s="2287"/>
    </row>
    <row r="73" spans="1:8">
      <c r="A73" s="2288" t="s">
        <v>1369</v>
      </c>
      <c r="B73" s="2287"/>
      <c r="C73" s="2287"/>
      <c r="D73" s="2287"/>
      <c r="E73" s="2287"/>
      <c r="F73" s="2287"/>
      <c r="G73" s="2287"/>
      <c r="H73" s="2287"/>
    </row>
    <row r="74" spans="1:8">
      <c r="A74" s="2287"/>
      <c r="B74" s="2287"/>
      <c r="C74" s="2287"/>
      <c r="D74" s="2287"/>
      <c r="E74" s="2287"/>
      <c r="F74" s="2287"/>
      <c r="G74" s="2287"/>
      <c r="H74" s="2287"/>
    </row>
    <row r="75" spans="1:8">
      <c r="A75" s="2288" t="s">
        <v>1365</v>
      </c>
      <c r="B75" s="2287"/>
      <c r="C75" s="2287"/>
      <c r="D75" s="2287"/>
      <c r="E75" s="2287"/>
      <c r="F75" s="2287"/>
      <c r="G75" s="2287"/>
      <c r="H75" s="2287"/>
    </row>
    <row r="76" spans="1:8">
      <c r="A76" s="2288" t="s">
        <v>1366</v>
      </c>
      <c r="B76" s="2287"/>
      <c r="C76" s="2287"/>
      <c r="D76" s="2287"/>
      <c r="E76" s="2287"/>
      <c r="F76" s="2287"/>
      <c r="G76" s="2287"/>
      <c r="H76" s="2287"/>
    </row>
    <row r="77" spans="1:8">
      <c r="A77" s="2288" t="s">
        <v>1367</v>
      </c>
      <c r="B77" s="2287"/>
      <c r="C77" s="2287"/>
      <c r="D77" s="2287"/>
      <c r="E77" s="2287"/>
      <c r="F77" s="2287"/>
      <c r="G77" s="2287"/>
      <c r="H77" s="2287"/>
    </row>
    <row r="78" spans="1:8">
      <c r="A78" s="2287"/>
      <c r="B78" s="2287"/>
      <c r="C78" s="2287"/>
      <c r="D78" s="2287"/>
      <c r="E78" s="2287"/>
      <c r="F78" s="2287"/>
      <c r="G78" s="2287"/>
      <c r="H78" s="2287"/>
    </row>
    <row r="79" spans="1:8">
      <c r="A79" s="2288" t="s">
        <v>1123</v>
      </c>
      <c r="B79" s="2287"/>
      <c r="C79" s="2287"/>
      <c r="D79" s="2287"/>
      <c r="E79" s="2287"/>
      <c r="F79" s="2287"/>
      <c r="G79" s="2287"/>
      <c r="H79" s="2287"/>
    </row>
    <row r="80" spans="1:8">
      <c r="A80" s="2287"/>
      <c r="B80" s="2287"/>
      <c r="C80" s="2287"/>
      <c r="D80" s="2287"/>
      <c r="E80" s="2287"/>
      <c r="F80" s="2287"/>
      <c r="G80" s="2287"/>
      <c r="H80" s="2287"/>
    </row>
    <row r="81" spans="1:8">
      <c r="A81" s="2288" t="s">
        <v>1360</v>
      </c>
      <c r="B81" s="2287"/>
      <c r="C81" s="2287"/>
      <c r="D81" s="2287"/>
      <c r="E81" s="2287"/>
      <c r="F81" s="2287"/>
      <c r="G81" s="2287"/>
      <c r="H81" s="2287"/>
    </row>
    <row r="82" spans="1:8">
      <c r="A82" s="2288" t="s">
        <v>1361</v>
      </c>
      <c r="B82" s="2287"/>
      <c r="C82" s="2287"/>
      <c r="D82" s="2287"/>
      <c r="E82" s="2287"/>
      <c r="F82" s="2287"/>
      <c r="G82" s="2287"/>
      <c r="H82" s="2287"/>
    </row>
    <row r="83" spans="1:8">
      <c r="A83" s="2288" t="s">
        <v>1362</v>
      </c>
      <c r="B83" s="2287"/>
      <c r="C83" s="2287"/>
      <c r="D83" s="2287"/>
      <c r="E83" s="2287"/>
      <c r="F83" s="2287"/>
      <c r="G83" s="2287"/>
      <c r="H83" s="2287"/>
    </row>
    <row r="84" spans="1:8">
      <c r="A84" s="2288" t="s">
        <v>1363</v>
      </c>
      <c r="B84" s="2287"/>
      <c r="C84" s="2287"/>
      <c r="D84" s="2287"/>
      <c r="E84" s="2287"/>
      <c r="F84" s="2287"/>
      <c r="G84" s="2287"/>
      <c r="H84" s="2287"/>
    </row>
    <row r="85" spans="1:8">
      <c r="A85" s="2288" t="s">
        <v>1364</v>
      </c>
      <c r="B85" s="2287"/>
      <c r="C85" s="2287"/>
      <c r="D85" s="2287"/>
      <c r="E85" s="2287"/>
      <c r="F85" s="2287"/>
      <c r="G85" s="2287"/>
      <c r="H85" s="2287"/>
    </row>
    <row r="86" spans="1:8">
      <c r="A86" s="2288" t="s">
        <v>1249</v>
      </c>
      <c r="B86" s="2287"/>
      <c r="C86" s="2287"/>
      <c r="D86" s="2287"/>
      <c r="E86" s="2287"/>
      <c r="F86" s="2287"/>
      <c r="G86" s="2287"/>
      <c r="H86" s="2287"/>
    </row>
    <row r="87" spans="1:8">
      <c r="A87" s="2287"/>
      <c r="B87" s="2287"/>
      <c r="C87" s="2287"/>
      <c r="D87" s="2287"/>
      <c r="E87" s="2287"/>
      <c r="F87" s="2287"/>
      <c r="G87" s="2287"/>
      <c r="H87" s="2287"/>
    </row>
    <row r="88" spans="1:8">
      <c r="A88" s="2288" t="s">
        <v>1353</v>
      </c>
      <c r="B88" s="2287"/>
      <c r="C88" s="2287"/>
      <c r="D88" s="2287"/>
      <c r="E88" s="2287"/>
      <c r="F88" s="2287"/>
      <c r="G88" s="2287"/>
      <c r="H88" s="2287"/>
    </row>
    <row r="89" spans="1:8">
      <c r="A89" s="2288" t="s">
        <v>1354</v>
      </c>
      <c r="B89" s="2287"/>
      <c r="C89" s="2287"/>
      <c r="D89" s="2287"/>
      <c r="E89" s="2287"/>
      <c r="F89" s="2287"/>
      <c r="G89" s="2287"/>
      <c r="H89" s="2287"/>
    </row>
    <row r="90" spans="1:8">
      <c r="A90" s="2288" t="s">
        <v>1355</v>
      </c>
      <c r="B90" s="2287"/>
      <c r="C90" s="2287"/>
      <c r="D90" s="2287"/>
      <c r="E90" s="2287"/>
      <c r="F90" s="2287"/>
      <c r="G90" s="2287"/>
      <c r="H90" s="2287"/>
    </row>
    <row r="91" spans="1:8">
      <c r="A91" s="2288" t="s">
        <v>1356</v>
      </c>
      <c r="B91" s="2287"/>
      <c r="C91" s="2287"/>
      <c r="D91" s="2287"/>
      <c r="E91" s="2287"/>
      <c r="F91" s="2287"/>
      <c r="G91" s="2287"/>
      <c r="H91" s="2287"/>
    </row>
    <row r="92" spans="1:8">
      <c r="A92" s="2288" t="s">
        <v>1357</v>
      </c>
      <c r="B92" s="2287"/>
      <c r="C92" s="2287"/>
      <c r="D92" s="2287"/>
      <c r="E92" s="2287"/>
      <c r="F92" s="2287"/>
      <c r="G92" s="2287"/>
      <c r="H92" s="2287"/>
    </row>
    <row r="93" spans="1:8">
      <c r="A93" s="2288" t="s">
        <v>1358</v>
      </c>
      <c r="B93" s="2287"/>
      <c r="C93" s="2287"/>
      <c r="D93" s="2287"/>
      <c r="E93" s="2287"/>
      <c r="F93" s="2287"/>
      <c r="G93" s="2287"/>
      <c r="H93" s="2287"/>
    </row>
    <row r="94" spans="1:8">
      <c r="A94" s="2288" t="s">
        <v>1359</v>
      </c>
      <c r="B94" s="2287"/>
      <c r="C94" s="2287"/>
      <c r="D94" s="2287"/>
      <c r="E94" s="2287"/>
      <c r="F94" s="2287"/>
      <c r="G94" s="2287"/>
      <c r="H94" s="2287"/>
    </row>
    <row r="95" spans="1:8">
      <c r="A95" s="2287"/>
      <c r="B95" s="2287"/>
      <c r="C95" s="2287"/>
      <c r="D95" s="2287"/>
      <c r="E95" s="2287"/>
      <c r="F95" s="2287"/>
      <c r="G95" s="2287"/>
      <c r="H95" s="2287"/>
    </row>
    <row r="96" spans="1:8">
      <c r="A96" s="2288" t="s">
        <v>1351</v>
      </c>
      <c r="B96" s="2287"/>
      <c r="C96" s="2287"/>
      <c r="D96" s="2287"/>
      <c r="E96" s="2287"/>
      <c r="F96" s="2287"/>
      <c r="G96" s="2287"/>
      <c r="H96" s="2287"/>
    </row>
    <row r="97" spans="1:8">
      <c r="A97" s="2288" t="s">
        <v>1352</v>
      </c>
      <c r="B97" s="2287"/>
      <c r="C97" s="2287"/>
      <c r="D97" s="2287"/>
      <c r="E97" s="2287"/>
      <c r="F97" s="2287"/>
      <c r="G97" s="2287"/>
      <c r="H97" s="2287"/>
    </row>
    <row r="98" spans="1:8">
      <c r="A98" s="2287"/>
      <c r="B98" s="2287"/>
      <c r="C98" s="2287"/>
      <c r="D98" s="2287"/>
      <c r="E98" s="2287"/>
      <c r="F98" s="2287"/>
      <c r="G98" s="2287"/>
      <c r="H98" s="2287"/>
    </row>
    <row r="99" spans="1:8" ht="15.75">
      <c r="A99" s="2289" t="s">
        <v>1124</v>
      </c>
      <c r="B99" s="2287"/>
      <c r="C99" s="2287"/>
      <c r="D99" s="2287"/>
      <c r="E99" s="2287"/>
      <c r="F99" s="2287"/>
      <c r="G99" s="2287"/>
      <c r="H99" s="2287"/>
    </row>
    <row r="100" spans="1:8">
      <c r="A100" s="2287"/>
      <c r="B100" s="2287"/>
      <c r="C100" s="2287"/>
      <c r="D100" s="2287"/>
      <c r="E100" s="2287"/>
      <c r="F100" s="2287"/>
      <c r="G100" s="2287"/>
      <c r="H100" s="2287"/>
    </row>
    <row r="101" spans="1:8">
      <c r="A101" s="2288" t="s">
        <v>1342</v>
      </c>
      <c r="B101" s="2287"/>
      <c r="C101" s="2287"/>
      <c r="D101" s="2287"/>
      <c r="E101" s="2287"/>
      <c r="F101" s="2287"/>
      <c r="G101" s="2287"/>
      <c r="H101" s="2287"/>
    </row>
    <row r="102" spans="1:8">
      <c r="A102" s="2288" t="s">
        <v>1343</v>
      </c>
      <c r="B102" s="2287"/>
      <c r="C102" s="2287"/>
      <c r="D102" s="2287"/>
      <c r="E102" s="2287"/>
      <c r="F102" s="2287"/>
      <c r="G102" s="2287"/>
      <c r="H102" s="2287"/>
    </row>
    <row r="103" spans="1:8">
      <c r="A103" s="2288" t="s">
        <v>1344</v>
      </c>
      <c r="B103" s="2287"/>
      <c r="C103" s="2287"/>
      <c r="D103" s="2287"/>
      <c r="E103" s="2287"/>
      <c r="F103" s="2287"/>
      <c r="G103" s="2287"/>
      <c r="H103" s="2287"/>
    </row>
    <row r="104" spans="1:8">
      <c r="A104" s="2288" t="s">
        <v>1345</v>
      </c>
      <c r="B104" s="2287"/>
      <c r="C104" s="2287"/>
      <c r="D104" s="2287"/>
      <c r="E104" s="2287"/>
      <c r="F104" s="2287"/>
      <c r="G104" s="2287"/>
      <c r="H104" s="2287"/>
    </row>
    <row r="105" spans="1:8">
      <c r="A105" s="2288" t="s">
        <v>1346</v>
      </c>
      <c r="B105" s="2287"/>
      <c r="C105" s="2287"/>
      <c r="D105" s="2287"/>
      <c r="E105" s="2287"/>
      <c r="F105" s="2287"/>
      <c r="G105" s="2287"/>
      <c r="H105" s="2287"/>
    </row>
    <row r="106" spans="1:8">
      <c r="A106" s="2288" t="s">
        <v>1347</v>
      </c>
      <c r="B106" s="2287"/>
      <c r="C106" s="2287"/>
      <c r="D106" s="2287"/>
      <c r="E106" s="2287"/>
      <c r="F106" s="2287"/>
      <c r="G106" s="2287"/>
      <c r="H106" s="2287"/>
    </row>
    <row r="107" spans="1:8">
      <c r="A107" s="2288" t="s">
        <v>1348</v>
      </c>
      <c r="B107" s="2287"/>
      <c r="C107" s="2287"/>
      <c r="D107" s="2287"/>
      <c r="E107" s="2287"/>
      <c r="F107" s="2287"/>
      <c r="G107" s="2287"/>
      <c r="H107" s="2287"/>
    </row>
    <row r="108" spans="1:8">
      <c r="A108" s="2288" t="s">
        <v>1349</v>
      </c>
      <c r="B108" s="2287"/>
      <c r="C108" s="2287"/>
      <c r="D108" s="2287"/>
      <c r="E108" s="2287"/>
      <c r="F108" s="2287"/>
      <c r="G108" s="2287"/>
      <c r="H108" s="2287"/>
    </row>
    <row r="109" spans="1:8">
      <c r="A109" s="2288" t="s">
        <v>1350</v>
      </c>
      <c r="B109" s="2287"/>
      <c r="C109" s="2287"/>
      <c r="D109" s="2287"/>
      <c r="E109" s="2287"/>
      <c r="F109" s="2287"/>
      <c r="G109" s="2287"/>
      <c r="H109" s="2287"/>
    </row>
    <row r="110" spans="1:8">
      <c r="A110" s="2287"/>
      <c r="B110" s="2287"/>
      <c r="C110" s="2287"/>
      <c r="D110" s="2287"/>
      <c r="E110" s="2287"/>
      <c r="F110" s="2287"/>
      <c r="G110" s="2287"/>
      <c r="H110" s="2287"/>
    </row>
    <row r="111" spans="1:8" ht="15.75">
      <c r="A111" s="2290" t="s">
        <v>1125</v>
      </c>
      <c r="B111" s="2290"/>
      <c r="C111" s="2290"/>
      <c r="D111" s="2290"/>
      <c r="E111" s="2290"/>
      <c r="F111" s="2290"/>
      <c r="G111" s="2290"/>
      <c r="H111" s="2290"/>
    </row>
    <row r="112" spans="1:8">
      <c r="A112" s="2291" t="s">
        <v>1126</v>
      </c>
      <c r="B112" s="2291"/>
      <c r="C112" s="2291"/>
      <c r="D112" s="2291"/>
      <c r="E112" s="2291"/>
      <c r="F112" s="2291"/>
      <c r="G112" s="2291"/>
      <c r="H112" s="2291"/>
    </row>
    <row r="113" spans="1:8">
      <c r="A113" s="2292"/>
      <c r="B113" s="2292"/>
      <c r="C113" s="2292"/>
      <c r="D113" s="2292"/>
      <c r="E113" s="2292"/>
      <c r="F113" s="2292"/>
      <c r="G113" s="2292"/>
      <c r="H113" s="2292"/>
    </row>
    <row r="114" spans="1:8">
      <c r="A114" s="2291" t="s">
        <v>1340</v>
      </c>
      <c r="B114" s="2291"/>
      <c r="C114" s="2291"/>
      <c r="D114" s="2291"/>
      <c r="E114" s="2291"/>
      <c r="F114" s="2291"/>
      <c r="G114" s="2291"/>
      <c r="H114" s="2291"/>
    </row>
    <row r="115" spans="1:8">
      <c r="A115" s="2288" t="s">
        <v>1341</v>
      </c>
      <c r="B115" s="2288"/>
      <c r="C115" s="2288"/>
      <c r="D115" s="2288"/>
      <c r="E115" s="2288"/>
      <c r="F115" s="2288"/>
      <c r="G115" s="2288"/>
      <c r="H115" s="2288"/>
    </row>
    <row r="116" spans="1:8">
      <c r="A116" s="2292"/>
      <c r="B116" s="2292"/>
      <c r="C116" s="2292"/>
      <c r="D116" s="2292"/>
      <c r="E116" s="2292"/>
      <c r="F116" s="2292"/>
      <c r="G116" s="2292"/>
      <c r="H116" s="2292"/>
    </row>
    <row r="117" spans="1:8">
      <c r="A117" s="2291" t="s">
        <v>1333</v>
      </c>
      <c r="B117" s="2291"/>
      <c r="C117" s="2291"/>
      <c r="D117" s="2291"/>
      <c r="E117" s="2291"/>
      <c r="F117" s="2291"/>
      <c r="G117" s="2291"/>
      <c r="H117" s="2291"/>
    </row>
    <row r="118" spans="1:8">
      <c r="A118" s="2288" t="s">
        <v>1334</v>
      </c>
      <c r="B118" s="2288"/>
      <c r="C118" s="2288"/>
      <c r="D118" s="2288"/>
      <c r="E118" s="2288"/>
      <c r="F118" s="2288"/>
      <c r="G118" s="2288"/>
      <c r="H118" s="2288"/>
    </row>
    <row r="119" spans="1:8">
      <c r="A119" s="2288" t="s">
        <v>1335</v>
      </c>
      <c r="B119" s="2288"/>
      <c r="C119" s="2288"/>
      <c r="D119" s="2288"/>
      <c r="E119" s="2288"/>
      <c r="F119" s="2288"/>
      <c r="G119" s="2288"/>
      <c r="H119" s="2288"/>
    </row>
    <row r="120" spans="1:8">
      <c r="A120" s="2288" t="s">
        <v>1336</v>
      </c>
      <c r="B120" s="2288"/>
      <c r="C120" s="2288"/>
      <c r="D120" s="2288"/>
      <c r="E120" s="2288"/>
      <c r="F120" s="2288"/>
      <c r="G120" s="2288"/>
      <c r="H120" s="2288"/>
    </row>
    <row r="121" spans="1:8">
      <c r="A121" s="2288" t="s">
        <v>1337</v>
      </c>
      <c r="B121" s="2288"/>
      <c r="C121" s="2288"/>
      <c r="D121" s="2288"/>
      <c r="E121" s="2288"/>
      <c r="F121" s="2288"/>
      <c r="G121" s="2288"/>
      <c r="H121" s="2288"/>
    </row>
    <row r="122" spans="1:8">
      <c r="A122" s="2288" t="s">
        <v>1338</v>
      </c>
      <c r="B122" s="2288"/>
      <c r="C122" s="2288"/>
      <c r="D122" s="2288"/>
      <c r="E122" s="2288"/>
      <c r="F122" s="2288"/>
      <c r="G122" s="2288"/>
      <c r="H122" s="2288"/>
    </row>
    <row r="123" spans="1:8">
      <c r="A123" s="2288" t="s">
        <v>1339</v>
      </c>
      <c r="B123" s="2288"/>
      <c r="C123" s="2288"/>
      <c r="D123" s="2288"/>
      <c r="E123" s="2288"/>
      <c r="F123" s="2288"/>
      <c r="G123" s="2288"/>
      <c r="H123" s="2288"/>
    </row>
    <row r="124" spans="1:8">
      <c r="A124" s="2293"/>
      <c r="B124" s="2293"/>
      <c r="C124" s="2293"/>
      <c r="D124" s="2293"/>
      <c r="E124" s="2293"/>
      <c r="F124" s="2293"/>
      <c r="G124" s="2293"/>
      <c r="H124" s="2293"/>
    </row>
    <row r="125" spans="1:8">
      <c r="A125" s="2294"/>
      <c r="B125" s="2295" t="s">
        <v>1127</v>
      </c>
      <c r="C125" s="2296"/>
      <c r="D125" s="2295" t="s">
        <v>1128</v>
      </c>
      <c r="E125" s="2297"/>
      <c r="F125" s="2296"/>
      <c r="G125" s="2295" t="s">
        <v>1129</v>
      </c>
      <c r="H125" s="2296"/>
    </row>
    <row r="126" spans="1:8">
      <c r="A126" s="2294" t="s">
        <v>1130</v>
      </c>
      <c r="B126" s="2294" t="s">
        <v>477</v>
      </c>
      <c r="C126" s="2294" t="s">
        <v>1131</v>
      </c>
      <c r="D126" s="2294" t="s">
        <v>477</v>
      </c>
      <c r="E126" s="2294" t="s">
        <v>1132</v>
      </c>
      <c r="F126" s="2294" t="s">
        <v>1133</v>
      </c>
      <c r="G126" s="2294" t="s">
        <v>477</v>
      </c>
      <c r="H126" s="2294" t="s">
        <v>1134</v>
      </c>
    </row>
    <row r="127" spans="1:8">
      <c r="A127" s="2294" t="s">
        <v>1135</v>
      </c>
      <c r="B127" s="2294">
        <v>1189</v>
      </c>
      <c r="C127" s="2298">
        <v>0.38</v>
      </c>
      <c r="D127" s="2294">
        <v>315</v>
      </c>
      <c r="E127" s="2298">
        <v>0.41</v>
      </c>
      <c r="F127" s="2298">
        <v>0.26</v>
      </c>
      <c r="G127" s="2294">
        <v>555</v>
      </c>
      <c r="H127" s="2298">
        <v>0.39</v>
      </c>
    </row>
    <row r="128" spans="1:8">
      <c r="A128" s="2294" t="s">
        <v>1136</v>
      </c>
      <c r="B128" s="2294">
        <v>1355</v>
      </c>
      <c r="C128" s="2298">
        <v>0.43</v>
      </c>
      <c r="D128" s="2294">
        <v>364</v>
      </c>
      <c r="E128" s="2298">
        <v>0.47</v>
      </c>
      <c r="F128" s="2298">
        <v>0.27</v>
      </c>
      <c r="G128" s="2294">
        <v>644</v>
      </c>
      <c r="H128" s="2298">
        <v>0.45</v>
      </c>
    </row>
    <row r="129" spans="1:8">
      <c r="A129" s="2294" t="s">
        <v>1137</v>
      </c>
      <c r="B129" s="2294">
        <v>53</v>
      </c>
      <c r="C129" s="2298">
        <v>0.02</v>
      </c>
      <c r="D129" s="2294">
        <v>4</v>
      </c>
      <c r="E129" s="2298">
        <v>0.01</v>
      </c>
      <c r="F129" s="2298">
        <v>0.08</v>
      </c>
      <c r="G129" s="2294">
        <v>7</v>
      </c>
      <c r="H129" s="2298">
        <v>0</v>
      </c>
    </row>
    <row r="130" spans="1:8">
      <c r="A130" s="2294" t="s">
        <v>1138</v>
      </c>
      <c r="B130" s="2294">
        <v>545</v>
      </c>
      <c r="C130" s="2298">
        <v>0.17</v>
      </c>
      <c r="D130" s="2294">
        <v>84</v>
      </c>
      <c r="E130" s="2298">
        <v>0.11</v>
      </c>
      <c r="F130" s="2298">
        <v>0.15</v>
      </c>
      <c r="G130" s="2294">
        <v>214</v>
      </c>
      <c r="H130" s="2298">
        <v>0.15</v>
      </c>
    </row>
    <row r="131" spans="1:8">
      <c r="A131" s="2294" t="s">
        <v>1035</v>
      </c>
      <c r="B131" s="2299">
        <v>3142</v>
      </c>
      <c r="C131" s="2294"/>
      <c r="D131" s="2294">
        <v>767</v>
      </c>
      <c r="E131" s="2294"/>
      <c r="F131" s="2294"/>
      <c r="G131" s="2294">
        <v>1420</v>
      </c>
      <c r="H131" s="2294"/>
    </row>
    <row r="132" spans="1:8">
      <c r="A132" s="2300"/>
      <c r="B132" s="2300"/>
      <c r="C132" s="2300"/>
      <c r="D132" s="2300"/>
      <c r="E132" s="2300"/>
      <c r="F132" s="2300"/>
      <c r="G132" s="2300"/>
      <c r="H132" s="2300"/>
    </row>
    <row r="133" spans="1:8">
      <c r="A133" s="2291" t="s">
        <v>1329</v>
      </c>
      <c r="B133" s="2291"/>
      <c r="C133" s="2291"/>
      <c r="D133" s="2291"/>
      <c r="E133" s="2291"/>
      <c r="F133" s="2291"/>
      <c r="G133" s="2291"/>
      <c r="H133" s="2291"/>
    </row>
    <row r="134" spans="1:8">
      <c r="A134" s="2288" t="s">
        <v>1330</v>
      </c>
      <c r="B134" s="2288"/>
      <c r="C134" s="2288"/>
      <c r="D134" s="2288"/>
      <c r="E134" s="2288"/>
      <c r="F134" s="2288"/>
      <c r="G134" s="2288"/>
      <c r="H134" s="2288"/>
    </row>
    <row r="135" spans="1:8">
      <c r="A135" s="2288" t="s">
        <v>1331</v>
      </c>
      <c r="B135" s="2288"/>
      <c r="C135" s="2288"/>
      <c r="D135" s="2288"/>
      <c r="E135" s="2288"/>
      <c r="F135" s="2288"/>
      <c r="G135" s="2288"/>
      <c r="H135" s="2288"/>
    </row>
    <row r="136" spans="1:8">
      <c r="A136" s="2288" t="s">
        <v>1332</v>
      </c>
      <c r="B136" s="2288"/>
      <c r="C136" s="2288"/>
      <c r="D136" s="2288"/>
      <c r="E136" s="2288"/>
      <c r="F136" s="2288"/>
      <c r="G136" s="2288"/>
      <c r="H136" s="2288"/>
    </row>
    <row r="137" spans="1:8">
      <c r="A137" s="2287"/>
      <c r="B137" s="2287"/>
      <c r="C137" s="2287"/>
      <c r="D137" s="2287"/>
      <c r="E137" s="2287"/>
      <c r="F137" s="2287"/>
      <c r="G137" s="2287"/>
      <c r="H137" s="2287"/>
    </row>
    <row r="138" spans="1:8" ht="15.75">
      <c r="A138" s="2289" t="s">
        <v>1139</v>
      </c>
      <c r="B138" s="2287"/>
      <c r="C138" s="2287"/>
      <c r="D138" s="2287"/>
      <c r="E138" s="2287"/>
      <c r="F138" s="2287"/>
      <c r="G138" s="2287"/>
      <c r="H138" s="2287"/>
    </row>
    <row r="139" spans="1:8">
      <c r="A139" s="2287"/>
      <c r="B139" s="2287"/>
      <c r="C139" s="2287"/>
      <c r="D139" s="2287"/>
      <c r="E139" s="2287"/>
      <c r="F139" s="2287"/>
      <c r="G139" s="2287"/>
      <c r="H139" s="2287"/>
    </row>
    <row r="140" spans="1:8">
      <c r="A140" s="2288" t="s">
        <v>1327</v>
      </c>
      <c r="B140" s="2287"/>
      <c r="C140" s="2287"/>
      <c r="D140" s="2287"/>
      <c r="E140" s="2287"/>
      <c r="F140" s="2287"/>
      <c r="G140" s="2287"/>
      <c r="H140" s="2287"/>
    </row>
    <row r="141" spans="1:8">
      <c r="A141" s="2288" t="s">
        <v>1328</v>
      </c>
      <c r="B141" s="2287"/>
      <c r="C141" s="2287"/>
      <c r="D141" s="2287"/>
      <c r="E141" s="2287"/>
      <c r="F141" s="2287"/>
      <c r="G141" s="2287"/>
      <c r="H141" s="2287"/>
    </row>
    <row r="142" spans="1:8">
      <c r="A142" s="2287"/>
      <c r="B142" s="2287"/>
      <c r="C142" s="2287"/>
      <c r="D142" s="2287"/>
      <c r="E142" s="2287"/>
      <c r="F142" s="2287"/>
      <c r="G142" s="2287"/>
      <c r="H142" s="2287"/>
    </row>
    <row r="143" spans="1:8">
      <c r="A143" s="2288" t="s">
        <v>1324</v>
      </c>
      <c r="B143" s="2287"/>
      <c r="C143" s="2287"/>
      <c r="D143" s="2287"/>
      <c r="E143" s="2287"/>
      <c r="F143" s="2287"/>
      <c r="G143" s="2287"/>
      <c r="H143" s="2287"/>
    </row>
    <row r="144" spans="1:8">
      <c r="A144" s="2288" t="s">
        <v>1325</v>
      </c>
      <c r="B144" s="2287"/>
      <c r="C144" s="2287"/>
      <c r="D144" s="2287"/>
      <c r="E144" s="2287"/>
      <c r="F144" s="2287"/>
      <c r="G144" s="2287"/>
      <c r="H144" s="2287"/>
    </row>
    <row r="145" spans="1:8">
      <c r="A145" s="2288" t="s">
        <v>1326</v>
      </c>
      <c r="B145" s="2287"/>
      <c r="C145" s="2287"/>
      <c r="D145" s="2287"/>
      <c r="E145" s="2287"/>
      <c r="F145" s="2287"/>
      <c r="G145" s="2287"/>
      <c r="H145" s="2287"/>
    </row>
    <row r="146" spans="1:8">
      <c r="A146" s="2287"/>
      <c r="B146" s="2287"/>
      <c r="C146" s="2287"/>
      <c r="D146" s="2287"/>
      <c r="E146" s="2287"/>
      <c r="F146" s="2287"/>
      <c r="G146" s="2287"/>
      <c r="H146" s="2287"/>
    </row>
    <row r="147" spans="1:8">
      <c r="A147" s="2288" t="s">
        <v>1321</v>
      </c>
      <c r="B147" s="2287"/>
      <c r="C147" s="2287"/>
      <c r="D147" s="2287"/>
      <c r="E147" s="2287"/>
      <c r="F147" s="2287"/>
      <c r="G147" s="2287"/>
      <c r="H147" s="2287"/>
    </row>
    <row r="148" spans="1:8">
      <c r="A148" s="2288" t="s">
        <v>1322</v>
      </c>
      <c r="B148" s="2287"/>
      <c r="C148" s="2287"/>
      <c r="D148" s="2287"/>
      <c r="E148" s="2287"/>
      <c r="F148" s="2287"/>
      <c r="G148" s="2287"/>
      <c r="H148" s="2287"/>
    </row>
    <row r="149" spans="1:8">
      <c r="A149" s="2288" t="s">
        <v>1323</v>
      </c>
      <c r="B149" s="2287"/>
      <c r="C149" s="2287"/>
      <c r="D149" s="2287"/>
      <c r="E149" s="2287"/>
      <c r="F149" s="2287"/>
      <c r="G149" s="2287"/>
      <c r="H149" s="2287"/>
    </row>
    <row r="150" spans="1:8">
      <c r="A150" s="2287"/>
      <c r="B150" s="2287"/>
      <c r="C150" s="2287"/>
      <c r="D150" s="2287"/>
      <c r="E150" s="2287"/>
      <c r="F150" s="2287"/>
      <c r="G150" s="2287"/>
      <c r="H150" s="2287"/>
    </row>
    <row r="151" spans="1:8">
      <c r="A151" s="2288" t="s">
        <v>1318</v>
      </c>
      <c r="B151" s="2287"/>
      <c r="C151" s="2287"/>
      <c r="D151" s="2287"/>
      <c r="E151" s="2287"/>
      <c r="F151" s="2287"/>
      <c r="G151" s="2287"/>
      <c r="H151" s="2287"/>
    </row>
    <row r="152" spans="1:8">
      <c r="A152" s="2288" t="s">
        <v>1319</v>
      </c>
      <c r="B152" s="2287"/>
      <c r="C152" s="2287"/>
      <c r="D152" s="2287"/>
      <c r="E152" s="2287"/>
      <c r="F152" s="2287"/>
      <c r="G152" s="2287"/>
      <c r="H152" s="2287"/>
    </row>
    <row r="153" spans="1:8">
      <c r="A153" s="2288" t="s">
        <v>1320</v>
      </c>
      <c r="B153" s="2287"/>
      <c r="C153" s="2287"/>
      <c r="D153" s="2287"/>
      <c r="E153" s="2287"/>
      <c r="F153" s="2287"/>
      <c r="G153" s="2287"/>
      <c r="H153" s="2287"/>
    </row>
    <row r="154" spans="1:8">
      <c r="A154" s="2287"/>
      <c r="B154" s="2287"/>
      <c r="C154" s="2287"/>
      <c r="D154" s="2287"/>
      <c r="E154" s="2287"/>
      <c r="F154" s="2287"/>
      <c r="G154" s="2287"/>
      <c r="H154" s="2287"/>
    </row>
    <row r="155" spans="1:8">
      <c r="A155" s="2288" t="s">
        <v>1316</v>
      </c>
      <c r="B155" s="2287"/>
      <c r="C155" s="2287"/>
      <c r="D155" s="2287"/>
      <c r="E155" s="2287"/>
      <c r="F155" s="2287"/>
      <c r="G155" s="2287"/>
      <c r="H155" s="2287"/>
    </row>
    <row r="156" spans="1:8">
      <c r="A156" s="2288" t="s">
        <v>1317</v>
      </c>
      <c r="B156" s="2287"/>
      <c r="C156" s="2287"/>
      <c r="D156" s="2287"/>
      <c r="E156" s="2287"/>
      <c r="F156" s="2287"/>
      <c r="G156" s="2287"/>
      <c r="H156" s="2287"/>
    </row>
    <row r="157" spans="1:8">
      <c r="A157" s="2287"/>
      <c r="B157" s="2287"/>
      <c r="C157" s="2287"/>
      <c r="D157" s="2287"/>
      <c r="E157" s="2287"/>
      <c r="F157" s="2287"/>
      <c r="G157" s="2287"/>
      <c r="H157" s="2287"/>
    </row>
    <row r="158" spans="1:8" ht="15.75">
      <c r="A158" s="2289" t="s">
        <v>1140</v>
      </c>
      <c r="B158" s="2287"/>
      <c r="C158" s="2287"/>
      <c r="D158" s="2287"/>
      <c r="E158" s="2287"/>
      <c r="F158" s="2287"/>
      <c r="G158" s="2287"/>
      <c r="H158" s="2287"/>
    </row>
    <row r="159" spans="1:8">
      <c r="A159" s="2287"/>
      <c r="B159" s="2287"/>
      <c r="C159" s="2287"/>
      <c r="D159" s="2287"/>
      <c r="E159" s="2287"/>
      <c r="F159" s="2287"/>
      <c r="G159" s="2287"/>
      <c r="H159" s="2287"/>
    </row>
    <row r="160" spans="1:8">
      <c r="A160" s="2288" t="s">
        <v>1314</v>
      </c>
      <c r="B160" s="2287"/>
      <c r="C160" s="2287"/>
      <c r="D160" s="2287"/>
      <c r="E160" s="2287"/>
      <c r="F160" s="2287"/>
      <c r="G160" s="2287"/>
      <c r="H160" s="2287"/>
    </row>
    <row r="161" spans="1:8">
      <c r="A161" s="2288" t="s">
        <v>1315</v>
      </c>
      <c r="B161" s="2287"/>
      <c r="C161" s="2287"/>
      <c r="D161" s="2287"/>
      <c r="E161" s="2287"/>
      <c r="F161" s="2287"/>
      <c r="G161" s="2287"/>
      <c r="H161" s="2287"/>
    </row>
    <row r="162" spans="1:8">
      <c r="A162" s="2287"/>
      <c r="B162" s="2287"/>
      <c r="C162" s="2287"/>
      <c r="D162" s="2287"/>
      <c r="E162" s="2287"/>
      <c r="F162" s="2287"/>
      <c r="G162" s="2287"/>
      <c r="H162" s="2287"/>
    </row>
    <row r="163" spans="1:8">
      <c r="A163" s="2288" t="s">
        <v>1312</v>
      </c>
      <c r="B163" s="2287"/>
      <c r="C163" s="2287"/>
      <c r="D163" s="2287"/>
      <c r="E163" s="2287"/>
      <c r="F163" s="2287"/>
      <c r="G163" s="2287"/>
      <c r="H163" s="2287"/>
    </row>
    <row r="164" spans="1:8">
      <c r="A164" s="2288" t="s">
        <v>1313</v>
      </c>
      <c r="B164" s="2287"/>
      <c r="C164" s="2287"/>
      <c r="D164" s="2287"/>
      <c r="E164" s="2287"/>
      <c r="F164" s="2287"/>
      <c r="G164" s="2287"/>
      <c r="H164" s="2287"/>
    </row>
    <row r="165" spans="1:8">
      <c r="A165" s="2287"/>
      <c r="B165" s="2287"/>
      <c r="C165" s="2287"/>
      <c r="D165" s="2287"/>
      <c r="E165" s="2287"/>
      <c r="F165" s="2287"/>
      <c r="G165" s="2287"/>
      <c r="H165" s="2287"/>
    </row>
    <row r="166" spans="1:8">
      <c r="A166" s="2288" t="s">
        <v>1310</v>
      </c>
      <c r="B166" s="2287"/>
      <c r="C166" s="2287"/>
      <c r="D166" s="2287"/>
      <c r="E166" s="2287"/>
      <c r="F166" s="2287"/>
      <c r="G166" s="2287"/>
      <c r="H166" s="2287"/>
    </row>
    <row r="167" spans="1:8">
      <c r="A167" s="2288" t="s">
        <v>1311</v>
      </c>
      <c r="B167" s="2287"/>
      <c r="C167" s="2287"/>
      <c r="D167" s="2287"/>
      <c r="E167" s="2287"/>
      <c r="F167" s="2287"/>
      <c r="G167" s="2287"/>
      <c r="H167" s="2287"/>
    </row>
    <row r="168" spans="1:8">
      <c r="A168" s="2287"/>
      <c r="B168" s="2287"/>
      <c r="C168" s="2287"/>
      <c r="D168" s="2287"/>
      <c r="E168" s="2287"/>
      <c r="F168" s="2287"/>
      <c r="G168" s="2287"/>
      <c r="H168" s="2287"/>
    </row>
    <row r="169" spans="1:8">
      <c r="A169" s="2288" t="s">
        <v>1307</v>
      </c>
      <c r="B169" s="2287"/>
      <c r="C169" s="2287"/>
      <c r="D169" s="2287"/>
      <c r="E169" s="2287"/>
      <c r="F169" s="2287"/>
      <c r="G169" s="2287"/>
      <c r="H169" s="2287"/>
    </row>
    <row r="170" spans="1:8">
      <c r="A170" s="2288" t="s">
        <v>1308</v>
      </c>
      <c r="B170" s="2287"/>
      <c r="C170" s="2287"/>
      <c r="D170" s="2287"/>
      <c r="E170" s="2287"/>
      <c r="F170" s="2287"/>
      <c r="G170" s="2287"/>
      <c r="H170" s="2287"/>
    </row>
    <row r="171" spans="1:8">
      <c r="A171" s="2288" t="s">
        <v>1309</v>
      </c>
      <c r="B171" s="2287"/>
      <c r="C171" s="2287"/>
      <c r="D171" s="2287"/>
      <c r="E171" s="2287"/>
      <c r="F171" s="2287"/>
      <c r="G171" s="2287"/>
      <c r="H171" s="2287"/>
    </row>
    <row r="172" spans="1:8">
      <c r="A172" s="2287"/>
      <c r="B172" s="2287"/>
      <c r="C172" s="2287"/>
      <c r="D172" s="2287"/>
      <c r="E172" s="2287"/>
      <c r="F172" s="2287"/>
      <c r="G172" s="2287"/>
      <c r="H172" s="2287"/>
    </row>
    <row r="173" spans="1:8">
      <c r="A173" s="2287"/>
      <c r="B173" s="2287"/>
      <c r="C173" s="2287"/>
      <c r="D173" s="2287"/>
      <c r="E173" s="2287"/>
      <c r="F173" s="2287"/>
      <c r="G173" s="2287"/>
      <c r="H173" s="2287"/>
    </row>
    <row r="174" spans="1:8">
      <c r="A174" s="2288" t="s">
        <v>1141</v>
      </c>
      <c r="B174" s="2287"/>
      <c r="C174" s="2287"/>
      <c r="D174" s="2287"/>
      <c r="E174" s="2287"/>
      <c r="F174" s="2287"/>
      <c r="G174" s="2287"/>
      <c r="H174" s="2287"/>
    </row>
    <row r="175" spans="1:8">
      <c r="A175" s="2287"/>
      <c r="B175" s="2287"/>
      <c r="C175" s="2287"/>
      <c r="D175" s="2287"/>
      <c r="E175" s="2287"/>
      <c r="F175" s="2287"/>
      <c r="G175" s="2287"/>
      <c r="H175" s="2287"/>
    </row>
    <row r="176" spans="1:8" ht="15.75">
      <c r="A176" s="2289" t="s">
        <v>1142</v>
      </c>
      <c r="B176" s="2287"/>
      <c r="C176" s="2287"/>
      <c r="D176" s="2287"/>
      <c r="E176" s="2287"/>
      <c r="F176" s="2287"/>
      <c r="G176" s="2287"/>
      <c r="H176" s="2287"/>
    </row>
    <row r="177" spans="1:8">
      <c r="A177" s="2287"/>
      <c r="B177" s="2287"/>
      <c r="C177" s="2287"/>
      <c r="D177" s="2287"/>
      <c r="E177" s="2287"/>
      <c r="F177" s="2287"/>
      <c r="G177" s="2287"/>
      <c r="H177" s="2287"/>
    </row>
    <row r="178" spans="1:8">
      <c r="A178" s="2287"/>
      <c r="B178" s="2287"/>
      <c r="C178" s="2287"/>
      <c r="D178" s="2287"/>
      <c r="E178" s="2287"/>
      <c r="F178" s="2287"/>
      <c r="G178" s="2287"/>
      <c r="H178" s="2287"/>
    </row>
    <row r="179" spans="1:8">
      <c r="A179" s="2287"/>
      <c r="B179" s="2287"/>
      <c r="C179" s="2287"/>
      <c r="D179" s="2287"/>
      <c r="E179" s="2287"/>
      <c r="F179" s="2287"/>
      <c r="G179" s="2287"/>
      <c r="H179" s="2287"/>
    </row>
    <row r="180" spans="1:8">
      <c r="A180" s="2287"/>
      <c r="B180" s="2287"/>
      <c r="C180" s="2287"/>
      <c r="D180" s="2287"/>
      <c r="E180" s="2287"/>
      <c r="F180" s="2287"/>
      <c r="G180" s="2287"/>
      <c r="H180" s="2287"/>
    </row>
    <row r="181" spans="1:8">
      <c r="A181" s="2287"/>
      <c r="B181" s="2287"/>
      <c r="C181" s="2287"/>
      <c r="D181" s="2287"/>
      <c r="E181" s="2287"/>
      <c r="F181" s="2287"/>
      <c r="G181" s="2287"/>
      <c r="H181" s="2287"/>
    </row>
    <row r="182" spans="1:8">
      <c r="A182" s="2287"/>
      <c r="B182" s="2287"/>
      <c r="C182" s="2287"/>
      <c r="D182" s="2287"/>
      <c r="E182" s="2287"/>
      <c r="F182" s="2287"/>
      <c r="G182" s="2287"/>
      <c r="H182" s="2287"/>
    </row>
    <row r="183" spans="1:8">
      <c r="A183" s="2287"/>
      <c r="B183" s="2287"/>
      <c r="C183" s="2287"/>
      <c r="D183" s="2287"/>
      <c r="E183" s="2287"/>
      <c r="F183" s="2287"/>
      <c r="G183" s="2287"/>
      <c r="H183" s="2287"/>
    </row>
    <row r="184" spans="1:8">
      <c r="A184" s="2287"/>
      <c r="B184" s="2287"/>
      <c r="C184" s="2287"/>
      <c r="D184" s="2287"/>
      <c r="E184" s="2287"/>
      <c r="F184" s="2287"/>
      <c r="G184" s="2287"/>
      <c r="H184" s="2287"/>
    </row>
    <row r="185" spans="1:8">
      <c r="A185" s="2287"/>
      <c r="B185" s="2287"/>
      <c r="C185" s="2287"/>
      <c r="D185" s="2287"/>
      <c r="E185" s="2287"/>
      <c r="F185" s="2287"/>
      <c r="G185" s="2287"/>
      <c r="H185" s="2287"/>
    </row>
    <row r="186" spans="1:8">
      <c r="A186" s="2287"/>
      <c r="B186" s="2287"/>
      <c r="C186" s="2287"/>
      <c r="D186" s="2287"/>
      <c r="E186" s="2287"/>
      <c r="F186" s="2287"/>
      <c r="G186" s="2287"/>
      <c r="H186" s="2287"/>
    </row>
    <row r="187" spans="1:8">
      <c r="A187" s="2287"/>
      <c r="B187" s="2287"/>
      <c r="C187" s="2287"/>
      <c r="D187" s="2287"/>
      <c r="E187" s="2287"/>
      <c r="F187" s="2287"/>
      <c r="G187" s="2287"/>
      <c r="H187" s="2287"/>
    </row>
    <row r="188" spans="1:8">
      <c r="A188" s="2287"/>
      <c r="B188" s="2287"/>
      <c r="C188" s="2287"/>
      <c r="D188" s="2287"/>
      <c r="E188" s="2287"/>
      <c r="F188" s="2287"/>
      <c r="G188" s="2287"/>
      <c r="H188" s="2287"/>
    </row>
    <row r="189" spans="1:8">
      <c r="A189" s="2287"/>
      <c r="B189" s="2287"/>
      <c r="C189" s="2287"/>
      <c r="D189" s="2287"/>
      <c r="E189" s="2287"/>
      <c r="F189" s="2287"/>
      <c r="G189" s="2287"/>
      <c r="H189" s="2287"/>
    </row>
    <row r="190" spans="1:8">
      <c r="A190" s="2287"/>
      <c r="B190" s="2287"/>
      <c r="C190" s="2287"/>
      <c r="D190" s="2287"/>
      <c r="E190" s="2287"/>
      <c r="F190" s="2287"/>
      <c r="G190" s="2287"/>
      <c r="H190" s="2287"/>
    </row>
    <row r="191" spans="1:8">
      <c r="A191" s="2287"/>
      <c r="B191" s="2287"/>
      <c r="C191" s="2287"/>
      <c r="D191" s="2287"/>
      <c r="E191" s="2287"/>
      <c r="F191" s="2287"/>
      <c r="G191" s="2287"/>
      <c r="H191" s="2287"/>
    </row>
    <row r="192" spans="1:8">
      <c r="A192" s="2287"/>
      <c r="B192" s="2287"/>
      <c r="C192" s="2287"/>
      <c r="D192" s="2287"/>
      <c r="E192" s="2287"/>
      <c r="F192" s="2287"/>
      <c r="G192" s="2287"/>
      <c r="H192" s="2287"/>
    </row>
    <row r="193" spans="1:8">
      <c r="A193" s="2287"/>
      <c r="B193" s="2287"/>
      <c r="C193" s="2287"/>
      <c r="D193" s="2287"/>
      <c r="E193" s="2287"/>
      <c r="F193" s="2287"/>
      <c r="G193" s="2287"/>
      <c r="H193" s="2287"/>
    </row>
    <row r="194" spans="1:8">
      <c r="A194" s="2287"/>
      <c r="B194" s="2287"/>
      <c r="C194" s="2287"/>
      <c r="D194" s="2287"/>
      <c r="E194" s="2287"/>
      <c r="F194" s="2287"/>
      <c r="G194" s="2287"/>
      <c r="H194" s="2287"/>
    </row>
    <row r="195" spans="1:8">
      <c r="A195" s="2287"/>
      <c r="B195" s="2287"/>
      <c r="C195" s="2287"/>
      <c r="D195" s="2287"/>
      <c r="E195" s="2287"/>
      <c r="F195" s="2287"/>
      <c r="G195" s="2287"/>
      <c r="H195" s="2287"/>
    </row>
    <row r="196" spans="1:8">
      <c r="A196" s="2287"/>
      <c r="B196" s="2287"/>
      <c r="C196" s="2287"/>
      <c r="D196" s="2287"/>
      <c r="E196" s="2287"/>
      <c r="F196" s="2287"/>
      <c r="G196" s="2287"/>
      <c r="H196" s="2287"/>
    </row>
    <row r="197" spans="1:8">
      <c r="A197" s="2287"/>
      <c r="B197" s="2287"/>
      <c r="C197" s="2287"/>
      <c r="D197" s="2287"/>
      <c r="E197" s="2287"/>
      <c r="F197" s="2287"/>
      <c r="G197" s="2287"/>
      <c r="H197" s="2287"/>
    </row>
    <row r="198" spans="1:8">
      <c r="A198" s="2287"/>
      <c r="B198" s="2287"/>
      <c r="C198" s="2287"/>
      <c r="D198" s="2287"/>
      <c r="E198" s="2287"/>
      <c r="F198" s="2287"/>
      <c r="G198" s="2287"/>
      <c r="H198" s="2287"/>
    </row>
    <row r="199" spans="1:8">
      <c r="A199" s="2287"/>
      <c r="B199" s="2287"/>
      <c r="C199" s="2287"/>
      <c r="D199" s="2287"/>
      <c r="E199" s="2287"/>
      <c r="F199" s="2287"/>
      <c r="G199" s="2287"/>
      <c r="H199" s="2287"/>
    </row>
    <row r="200" spans="1:8">
      <c r="A200" s="2287"/>
      <c r="B200" s="2287"/>
      <c r="C200" s="2287"/>
      <c r="D200" s="2287"/>
      <c r="E200" s="2287"/>
      <c r="F200" s="2287"/>
      <c r="G200" s="2287"/>
      <c r="H200" s="2287"/>
    </row>
    <row r="201" spans="1:8">
      <c r="A201" s="2287"/>
      <c r="B201" s="2287"/>
      <c r="C201" s="2287"/>
      <c r="D201" s="2287"/>
      <c r="E201" s="2287"/>
      <c r="F201" s="2287"/>
      <c r="G201" s="2287"/>
      <c r="H201" s="2287"/>
    </row>
    <row r="202" spans="1:8">
      <c r="A202" s="2287"/>
      <c r="B202" s="2287"/>
      <c r="C202" s="2287"/>
      <c r="D202" s="2287"/>
      <c r="E202" s="2287"/>
      <c r="F202" s="2287"/>
      <c r="G202" s="2287"/>
      <c r="H202" s="2287"/>
    </row>
    <row r="203" spans="1:8" ht="15.75">
      <c r="A203" s="2289" t="s">
        <v>1143</v>
      </c>
      <c r="B203" s="2287"/>
      <c r="C203" s="2287"/>
      <c r="D203" s="2287"/>
      <c r="E203" s="2287"/>
      <c r="F203" s="2287"/>
      <c r="G203" s="2287"/>
      <c r="H203" s="2287"/>
    </row>
    <row r="204" spans="1:8">
      <c r="A204" s="2287"/>
      <c r="B204" s="2287"/>
      <c r="C204" s="2287"/>
      <c r="D204" s="2287"/>
      <c r="E204" s="2287"/>
      <c r="F204" s="2287"/>
      <c r="G204" s="2287"/>
      <c r="H204" s="2287"/>
    </row>
    <row r="205" spans="1:8">
      <c r="A205" s="2288" t="s">
        <v>1302</v>
      </c>
      <c r="B205" s="2287"/>
      <c r="C205" s="2287"/>
      <c r="D205" s="2287"/>
      <c r="E205" s="2287"/>
      <c r="F205" s="2287"/>
      <c r="G205" s="2287"/>
      <c r="H205" s="2287"/>
    </row>
    <row r="206" spans="1:8">
      <c r="A206" s="2288" t="s">
        <v>1303</v>
      </c>
      <c r="B206" s="2287"/>
      <c r="C206" s="2287"/>
      <c r="D206" s="2287"/>
      <c r="E206" s="2287"/>
      <c r="F206" s="2287"/>
      <c r="G206" s="2287"/>
      <c r="H206" s="2287"/>
    </row>
    <row r="207" spans="1:8">
      <c r="A207" s="2288" t="s">
        <v>1304</v>
      </c>
      <c r="B207" s="2287"/>
      <c r="C207" s="2287"/>
      <c r="D207" s="2287"/>
      <c r="E207" s="2287"/>
      <c r="F207" s="2287"/>
      <c r="G207" s="2287"/>
      <c r="H207" s="2287"/>
    </row>
    <row r="208" spans="1:8">
      <c r="A208" s="2288" t="s">
        <v>1305</v>
      </c>
      <c r="B208" s="2287"/>
      <c r="C208" s="2287"/>
      <c r="D208" s="2287"/>
      <c r="E208" s="2287"/>
      <c r="F208" s="2287"/>
      <c r="G208" s="2287"/>
      <c r="H208" s="2287"/>
    </row>
    <row r="209" spans="1:8">
      <c r="A209" s="2288" t="s">
        <v>1306</v>
      </c>
      <c r="B209" s="2287"/>
      <c r="C209" s="2287"/>
      <c r="D209" s="2287"/>
      <c r="E209" s="2287"/>
      <c r="F209" s="2287"/>
      <c r="G209" s="2287"/>
      <c r="H209" s="2287"/>
    </row>
    <row r="210" spans="1:8">
      <c r="A210" s="2287"/>
      <c r="B210" s="2287"/>
      <c r="C210" s="2287"/>
      <c r="D210" s="2287"/>
      <c r="E210" s="2287"/>
      <c r="F210" s="2287"/>
      <c r="G210" s="2287"/>
      <c r="H210" s="2287"/>
    </row>
    <row r="211" spans="1:8">
      <c r="A211" s="2288" t="s">
        <v>1299</v>
      </c>
      <c r="B211" s="2287"/>
      <c r="C211" s="2287"/>
      <c r="D211" s="2287"/>
      <c r="E211" s="2287"/>
      <c r="F211" s="2287"/>
      <c r="G211" s="2287"/>
      <c r="H211" s="2287"/>
    </row>
    <row r="212" spans="1:8">
      <c r="A212" s="2288" t="s">
        <v>1300</v>
      </c>
      <c r="B212" s="2287"/>
      <c r="C212" s="2287"/>
      <c r="D212" s="2287"/>
      <c r="E212" s="2287"/>
      <c r="F212" s="2287"/>
      <c r="G212" s="2287"/>
      <c r="H212" s="2287"/>
    </row>
    <row r="213" spans="1:8">
      <c r="A213" s="2288" t="s">
        <v>1301</v>
      </c>
      <c r="B213" s="2287"/>
      <c r="C213" s="2287"/>
      <c r="D213" s="2287"/>
      <c r="E213" s="2287"/>
      <c r="F213" s="2287"/>
      <c r="G213" s="2287"/>
      <c r="H213" s="2287"/>
    </row>
    <row r="214" spans="1:8" ht="15.75">
      <c r="A214" s="2289" t="s">
        <v>1144</v>
      </c>
      <c r="B214" s="2287"/>
      <c r="C214" s="2287"/>
      <c r="D214" s="2287"/>
      <c r="E214" s="2287"/>
      <c r="F214" s="2287"/>
      <c r="G214" s="2287"/>
      <c r="H214" s="2287"/>
    </row>
    <row r="215" spans="1:8">
      <c r="A215" s="2287"/>
      <c r="B215" s="2287"/>
      <c r="C215" s="2287"/>
      <c r="D215" s="2287"/>
      <c r="E215" s="2287"/>
      <c r="F215" s="2287"/>
      <c r="G215" s="2287"/>
      <c r="H215" s="2287"/>
    </row>
    <row r="216" spans="1:8">
      <c r="A216" s="2288" t="s">
        <v>1292</v>
      </c>
      <c r="B216" s="2287"/>
      <c r="C216" s="2287"/>
      <c r="D216" s="2287"/>
      <c r="E216" s="2287"/>
      <c r="F216" s="2287"/>
      <c r="G216" s="2287"/>
      <c r="H216" s="2287"/>
    </row>
    <row r="217" spans="1:8">
      <c r="A217" s="2288" t="s">
        <v>1293</v>
      </c>
      <c r="B217" s="2287"/>
      <c r="C217" s="2287"/>
      <c r="D217" s="2287"/>
      <c r="E217" s="2287"/>
      <c r="F217" s="2287"/>
      <c r="G217" s="2287"/>
      <c r="H217" s="2287"/>
    </row>
    <row r="218" spans="1:8">
      <c r="A218" s="2288" t="s">
        <v>1294</v>
      </c>
      <c r="B218" s="2287"/>
      <c r="C218" s="2287"/>
      <c r="D218" s="2287"/>
      <c r="E218" s="2287"/>
      <c r="F218" s="2287"/>
      <c r="G218" s="2287"/>
      <c r="H218" s="2287"/>
    </row>
    <row r="219" spans="1:8">
      <c r="A219" s="2288" t="s">
        <v>1295</v>
      </c>
      <c r="B219" s="2287"/>
      <c r="C219" s="2287"/>
      <c r="D219" s="2287"/>
      <c r="E219" s="2287"/>
      <c r="F219" s="2287"/>
      <c r="G219" s="2287"/>
      <c r="H219" s="2287"/>
    </row>
    <row r="220" spans="1:8">
      <c r="A220" s="2288" t="s">
        <v>1296</v>
      </c>
      <c r="B220" s="2287"/>
      <c r="C220" s="2287"/>
      <c r="D220" s="2287"/>
      <c r="E220" s="2287"/>
      <c r="F220" s="2287"/>
      <c r="G220" s="2287"/>
      <c r="H220" s="2287"/>
    </row>
    <row r="221" spans="1:8">
      <c r="A221" s="2288" t="s">
        <v>1297</v>
      </c>
      <c r="B221" s="2287"/>
      <c r="C221" s="2287"/>
      <c r="D221" s="2287"/>
      <c r="E221" s="2287"/>
      <c r="F221" s="2287"/>
      <c r="G221" s="2287"/>
      <c r="H221" s="2287"/>
    </row>
    <row r="222" spans="1:8">
      <c r="A222" s="2288" t="s">
        <v>1298</v>
      </c>
      <c r="B222" s="2287"/>
      <c r="C222" s="2287"/>
      <c r="D222" s="2287"/>
      <c r="E222" s="2287"/>
      <c r="F222" s="2287"/>
      <c r="G222" s="2287"/>
      <c r="H222" s="2287"/>
    </row>
    <row r="223" spans="1:8">
      <c r="A223" s="2287"/>
      <c r="B223" s="2287"/>
      <c r="C223" s="2287"/>
      <c r="D223" s="2287"/>
      <c r="E223" s="2287"/>
      <c r="F223" s="2287"/>
      <c r="G223" s="2287"/>
      <c r="H223" s="2287"/>
    </row>
    <row r="224" spans="1:8">
      <c r="A224" s="2288" t="s">
        <v>1289</v>
      </c>
      <c r="B224" s="2287"/>
      <c r="C224" s="2287"/>
      <c r="D224" s="2287"/>
      <c r="E224" s="2287"/>
      <c r="F224" s="2287"/>
      <c r="G224" s="2287"/>
      <c r="H224" s="2287"/>
    </row>
    <row r="225" spans="1:8">
      <c r="A225" s="2288" t="s">
        <v>1290</v>
      </c>
      <c r="B225" s="2287"/>
      <c r="C225" s="2287"/>
      <c r="D225" s="2287"/>
      <c r="E225" s="2287"/>
      <c r="F225" s="2287"/>
      <c r="G225" s="2287"/>
      <c r="H225" s="2287"/>
    </row>
    <row r="226" spans="1:8">
      <c r="A226" s="2288" t="s">
        <v>1291</v>
      </c>
      <c r="B226" s="2287"/>
      <c r="C226" s="2287"/>
      <c r="D226" s="2287"/>
      <c r="E226" s="2287"/>
      <c r="F226" s="2287"/>
      <c r="G226" s="2287"/>
      <c r="H226" s="2287"/>
    </row>
    <row r="227" spans="1:8">
      <c r="A227" s="2287"/>
      <c r="B227" s="2287"/>
      <c r="C227" s="2287"/>
      <c r="D227" s="2287"/>
      <c r="E227" s="2287"/>
      <c r="F227" s="2287"/>
      <c r="G227" s="2287"/>
      <c r="H227" s="2287"/>
    </row>
    <row r="228" spans="1:8">
      <c r="A228" s="2288" t="s">
        <v>1284</v>
      </c>
      <c r="B228" s="2287"/>
      <c r="C228" s="2287"/>
      <c r="D228" s="2287"/>
      <c r="E228" s="2287"/>
      <c r="F228" s="2287"/>
      <c r="G228" s="2287"/>
      <c r="H228" s="2287"/>
    </row>
    <row r="229" spans="1:8">
      <c r="A229" s="2288" t="s">
        <v>1285</v>
      </c>
      <c r="B229" s="2287"/>
      <c r="C229" s="2287"/>
      <c r="D229" s="2287"/>
      <c r="E229" s="2287"/>
      <c r="F229" s="2287"/>
      <c r="G229" s="2287"/>
      <c r="H229" s="2287"/>
    </row>
    <row r="230" spans="1:8">
      <c r="A230" s="2288" t="s">
        <v>1286</v>
      </c>
      <c r="B230" s="2287"/>
      <c r="C230" s="2287"/>
      <c r="D230" s="2287"/>
      <c r="E230" s="2287"/>
      <c r="F230" s="2287"/>
      <c r="G230" s="2287"/>
      <c r="H230" s="2287"/>
    </row>
    <row r="231" spans="1:8">
      <c r="A231" s="2288" t="s">
        <v>1287</v>
      </c>
      <c r="B231" s="2287"/>
      <c r="C231" s="2287"/>
      <c r="D231" s="2287"/>
      <c r="E231" s="2287"/>
      <c r="F231" s="2287"/>
      <c r="G231" s="2287"/>
      <c r="H231" s="2287"/>
    </row>
    <row r="232" spans="1:8">
      <c r="A232" s="2288" t="s">
        <v>1288</v>
      </c>
      <c r="B232" s="2287"/>
      <c r="C232" s="2287"/>
      <c r="D232" s="2287"/>
      <c r="E232" s="2287"/>
      <c r="F232" s="2287"/>
      <c r="G232" s="2287"/>
      <c r="H232" s="2287"/>
    </row>
    <row r="233" spans="1:8">
      <c r="A233" s="2287"/>
      <c r="B233" s="2287"/>
      <c r="C233" s="2287"/>
      <c r="D233" s="2287"/>
      <c r="E233" s="2287"/>
      <c r="F233" s="2287"/>
      <c r="G233" s="2287"/>
      <c r="H233" s="2287"/>
    </row>
    <row r="234" spans="1:8">
      <c r="A234" s="2288" t="s">
        <v>1278</v>
      </c>
      <c r="B234" s="2287"/>
      <c r="C234" s="2287"/>
      <c r="D234" s="2287"/>
      <c r="E234" s="2287"/>
      <c r="F234" s="2287"/>
      <c r="G234" s="2287"/>
      <c r="H234" s="2287"/>
    </row>
    <row r="235" spans="1:8">
      <c r="A235" s="2288" t="s">
        <v>1279</v>
      </c>
      <c r="B235" s="2287"/>
      <c r="C235" s="2287"/>
      <c r="D235" s="2287"/>
      <c r="E235" s="2287"/>
      <c r="F235" s="2287"/>
      <c r="G235" s="2287"/>
      <c r="H235" s="2287"/>
    </row>
    <row r="236" spans="1:8">
      <c r="A236" s="2288" t="s">
        <v>1280</v>
      </c>
      <c r="B236" s="2287"/>
      <c r="C236" s="2287"/>
      <c r="D236" s="2287"/>
      <c r="E236" s="2287"/>
      <c r="F236" s="2287"/>
      <c r="G236" s="2287"/>
      <c r="H236" s="2287"/>
    </row>
    <row r="237" spans="1:8">
      <c r="A237" s="2288" t="s">
        <v>1281</v>
      </c>
      <c r="B237" s="2287"/>
      <c r="C237" s="2287"/>
      <c r="D237" s="2287"/>
      <c r="E237" s="2287"/>
      <c r="F237" s="2287"/>
      <c r="G237" s="2287"/>
      <c r="H237" s="2287"/>
    </row>
    <row r="238" spans="1:8">
      <c r="A238" s="2288" t="s">
        <v>1282</v>
      </c>
      <c r="B238" s="2287"/>
      <c r="C238" s="2287"/>
      <c r="D238" s="2287"/>
      <c r="E238" s="2287"/>
      <c r="F238" s="2287"/>
      <c r="G238" s="2287"/>
      <c r="H238" s="2287"/>
    </row>
    <row r="239" spans="1:8">
      <c r="A239" s="2288" t="s">
        <v>1283</v>
      </c>
      <c r="B239" s="2287"/>
      <c r="C239" s="2287"/>
      <c r="D239" s="2287"/>
      <c r="E239" s="2287"/>
      <c r="F239" s="2287"/>
      <c r="G239" s="2287"/>
      <c r="H239" s="2287"/>
    </row>
    <row r="240" spans="1:8">
      <c r="A240" s="2287"/>
      <c r="B240" s="2287"/>
      <c r="C240" s="2287"/>
      <c r="D240" s="2287"/>
      <c r="E240" s="2287"/>
      <c r="F240" s="2287"/>
      <c r="G240" s="2287"/>
      <c r="H240" s="2287"/>
    </row>
    <row r="241" spans="1:8">
      <c r="A241" s="2288" t="s">
        <v>1268</v>
      </c>
      <c r="B241" s="2287"/>
      <c r="C241" s="2287"/>
      <c r="D241" s="2287"/>
      <c r="E241" s="2287"/>
      <c r="F241" s="2287"/>
      <c r="G241" s="2287"/>
      <c r="H241" s="2287"/>
    </row>
    <row r="242" spans="1:8">
      <c r="A242" s="2288" t="s">
        <v>1269</v>
      </c>
      <c r="B242" s="2287"/>
      <c r="C242" s="2287"/>
      <c r="D242" s="2287"/>
      <c r="E242" s="2287"/>
      <c r="F242" s="2287"/>
      <c r="G242" s="2287"/>
      <c r="H242" s="2287"/>
    </row>
    <row r="243" spans="1:8">
      <c r="A243" s="2288" t="s">
        <v>1270</v>
      </c>
      <c r="B243" s="2287"/>
      <c r="C243" s="2287"/>
      <c r="D243" s="2287"/>
      <c r="E243" s="2287"/>
      <c r="F243" s="2287"/>
      <c r="G243" s="2287"/>
      <c r="H243" s="2287"/>
    </row>
    <row r="244" spans="1:8">
      <c r="A244" s="2288" t="s">
        <v>1271</v>
      </c>
      <c r="B244" s="2287"/>
      <c r="C244" s="2287"/>
      <c r="D244" s="2287"/>
      <c r="E244" s="2287"/>
      <c r="F244" s="2287"/>
      <c r="G244" s="2287"/>
      <c r="H244" s="2287"/>
    </row>
    <row r="245" spans="1:8">
      <c r="A245" s="2288" t="s">
        <v>1272</v>
      </c>
      <c r="B245" s="2287"/>
      <c r="C245" s="2287"/>
      <c r="D245" s="2287"/>
      <c r="E245" s="2287"/>
      <c r="F245" s="2287"/>
      <c r="G245" s="2287"/>
      <c r="H245" s="2287"/>
    </row>
    <row r="246" spans="1:8">
      <c r="A246" s="2288" t="s">
        <v>1273</v>
      </c>
      <c r="B246" s="2287"/>
      <c r="C246" s="2287"/>
      <c r="D246" s="2287"/>
      <c r="E246" s="2287"/>
      <c r="F246" s="2287"/>
      <c r="G246" s="2287"/>
      <c r="H246" s="2287"/>
    </row>
    <row r="247" spans="1:8">
      <c r="A247" s="2288" t="s">
        <v>1274</v>
      </c>
      <c r="B247" s="2287"/>
      <c r="C247" s="2287"/>
      <c r="D247" s="2287"/>
      <c r="E247" s="2287"/>
      <c r="F247" s="2287"/>
      <c r="G247" s="2287"/>
      <c r="H247" s="2287"/>
    </row>
    <row r="248" spans="1:8">
      <c r="A248" s="2288" t="s">
        <v>1275</v>
      </c>
      <c r="B248" s="2287"/>
      <c r="C248" s="2287"/>
      <c r="D248" s="2287"/>
      <c r="E248" s="2287"/>
      <c r="F248" s="2287"/>
      <c r="G248" s="2287"/>
      <c r="H248" s="2287"/>
    </row>
    <row r="249" spans="1:8">
      <c r="A249" s="2288" t="s">
        <v>1276</v>
      </c>
      <c r="B249" s="2287"/>
      <c r="C249" s="2287"/>
      <c r="D249" s="2287"/>
      <c r="E249" s="2287"/>
      <c r="F249" s="2287"/>
      <c r="G249" s="2287"/>
      <c r="H249" s="2287"/>
    </row>
    <row r="250" spans="1:8">
      <c r="A250" s="2288" t="s">
        <v>1277</v>
      </c>
      <c r="B250" s="2287"/>
      <c r="C250" s="2287"/>
      <c r="D250" s="2287"/>
      <c r="E250" s="2287"/>
      <c r="F250" s="2287"/>
      <c r="G250" s="2287"/>
      <c r="H250" s="2287"/>
    </row>
    <row r="251" spans="1:8">
      <c r="A251" s="2287"/>
      <c r="B251" s="2287"/>
      <c r="C251" s="2287"/>
      <c r="D251" s="2287"/>
      <c r="E251" s="2287"/>
      <c r="F251" s="2287"/>
      <c r="G251" s="2287"/>
      <c r="H251" s="2287"/>
    </row>
    <row r="252" spans="1:8">
      <c r="A252" s="2288" t="s">
        <v>1266</v>
      </c>
      <c r="B252" s="2287"/>
      <c r="C252" s="2287"/>
      <c r="D252" s="2287"/>
      <c r="E252" s="2287"/>
      <c r="F252" s="2287"/>
      <c r="G252" s="2287"/>
      <c r="H252" s="2287"/>
    </row>
    <row r="253" spans="1:8">
      <c r="A253" s="2288" t="s">
        <v>1267</v>
      </c>
      <c r="B253" s="2287"/>
      <c r="C253" s="2287"/>
      <c r="D253" s="2287"/>
      <c r="E253" s="2287"/>
      <c r="F253" s="2287"/>
      <c r="G253" s="2287"/>
      <c r="H253" s="2287"/>
    </row>
    <row r="254" spans="1:8">
      <c r="A254" s="2287"/>
      <c r="B254" s="2287"/>
      <c r="C254" s="2287"/>
      <c r="D254" s="2287"/>
      <c r="E254" s="2287"/>
      <c r="F254" s="2287"/>
      <c r="G254" s="2287"/>
      <c r="H254" s="2287"/>
    </row>
    <row r="255" spans="1:8">
      <c r="A255" s="2288" t="s">
        <v>1250</v>
      </c>
      <c r="B255" s="2287"/>
      <c r="C255" s="2287"/>
      <c r="D255" s="2287"/>
      <c r="E255" s="2287"/>
      <c r="F255" s="2287"/>
      <c r="G255" s="2287"/>
      <c r="H255" s="2287"/>
    </row>
    <row r="256" spans="1:8">
      <c r="A256" s="2288" t="s">
        <v>1251</v>
      </c>
      <c r="B256" s="2287"/>
      <c r="C256" s="2287"/>
      <c r="D256" s="2287"/>
      <c r="E256" s="2287"/>
      <c r="F256" s="2287"/>
      <c r="G256" s="2287"/>
      <c r="H256" s="2287"/>
    </row>
    <row r="257" spans="1:8">
      <c r="A257" s="2288" t="s">
        <v>1252</v>
      </c>
      <c r="B257" s="2287"/>
      <c r="C257" s="2287"/>
      <c r="D257" s="2287"/>
      <c r="E257" s="2287"/>
      <c r="F257" s="2287"/>
      <c r="G257" s="2287"/>
      <c r="H257" s="2287"/>
    </row>
    <row r="258" spans="1:8">
      <c r="A258" s="2288" t="s">
        <v>1253</v>
      </c>
      <c r="B258" s="2287"/>
      <c r="C258" s="2287"/>
      <c r="D258" s="2287"/>
      <c r="E258" s="2287"/>
      <c r="F258" s="2287"/>
      <c r="G258" s="2287"/>
      <c r="H258" s="2287"/>
    </row>
    <row r="259" spans="1:8">
      <c r="A259" s="2288" t="s">
        <v>1254</v>
      </c>
      <c r="B259" s="2287"/>
      <c r="C259" s="2287"/>
      <c r="D259" s="2287"/>
      <c r="E259" s="2287"/>
      <c r="F259" s="2287"/>
      <c r="G259" s="2287"/>
      <c r="H259" s="2287"/>
    </row>
    <row r="260" spans="1:8">
      <c r="A260" s="2288" t="s">
        <v>1255</v>
      </c>
      <c r="B260" s="2287"/>
      <c r="C260" s="2287"/>
      <c r="D260" s="2287"/>
      <c r="E260" s="2287"/>
      <c r="F260" s="2287"/>
      <c r="G260" s="2287"/>
      <c r="H260" s="2287"/>
    </row>
    <row r="261" spans="1:8">
      <c r="A261" s="2288" t="s">
        <v>1256</v>
      </c>
      <c r="B261" s="2287"/>
      <c r="C261" s="2287"/>
      <c r="D261" s="2287"/>
      <c r="E261" s="2287"/>
      <c r="F261" s="2287"/>
      <c r="G261" s="2287"/>
      <c r="H261" s="2287"/>
    </row>
    <row r="262" spans="1:8">
      <c r="A262" s="2288" t="s">
        <v>1257</v>
      </c>
      <c r="B262" s="2287"/>
      <c r="C262" s="2287"/>
      <c r="D262" s="2287"/>
      <c r="E262" s="2287"/>
      <c r="F262" s="2287"/>
      <c r="G262" s="2287"/>
      <c r="H262" s="2287"/>
    </row>
    <row r="263" spans="1:8">
      <c r="A263" s="2288" t="s">
        <v>1258</v>
      </c>
      <c r="B263" s="2287"/>
      <c r="C263" s="2287"/>
      <c r="D263" s="2287"/>
      <c r="E263" s="2287"/>
      <c r="F263" s="2287"/>
      <c r="G263" s="2287"/>
      <c r="H263" s="2287"/>
    </row>
    <row r="264" spans="1:8">
      <c r="A264" s="2288" t="s">
        <v>1259</v>
      </c>
      <c r="B264" s="2287"/>
      <c r="C264" s="2287"/>
      <c r="D264" s="2287"/>
      <c r="E264" s="2287"/>
      <c r="F264" s="2287"/>
      <c r="G264" s="2287"/>
      <c r="H264" s="2287"/>
    </row>
    <row r="265" spans="1:8">
      <c r="A265" s="2288" t="s">
        <v>1260</v>
      </c>
      <c r="B265" s="2287"/>
      <c r="C265" s="2287"/>
      <c r="D265" s="2287"/>
      <c r="E265" s="2287"/>
      <c r="F265" s="2287"/>
      <c r="G265" s="2287"/>
      <c r="H265" s="2287"/>
    </row>
    <row r="266" spans="1:8">
      <c r="A266" s="2288" t="s">
        <v>1261</v>
      </c>
      <c r="B266" s="2287"/>
      <c r="C266" s="2287"/>
      <c r="D266" s="2287"/>
      <c r="E266" s="2287"/>
      <c r="F266" s="2287"/>
      <c r="G266" s="2287"/>
      <c r="H266" s="2287"/>
    </row>
    <row r="267" spans="1:8">
      <c r="A267" s="2288" t="s">
        <v>1262</v>
      </c>
      <c r="B267" s="2287"/>
      <c r="C267" s="2287"/>
      <c r="D267" s="2287"/>
      <c r="E267" s="2287"/>
      <c r="F267" s="2287"/>
      <c r="G267" s="2287"/>
      <c r="H267" s="2287"/>
    </row>
    <row r="268" spans="1:8">
      <c r="A268" s="2288" t="s">
        <v>1263</v>
      </c>
      <c r="B268" s="2287"/>
      <c r="C268" s="2287"/>
      <c r="D268" s="2287"/>
      <c r="E268" s="2287"/>
      <c r="F268" s="2287"/>
      <c r="G268" s="2287"/>
      <c r="H268" s="2287"/>
    </row>
    <row r="269" spans="1:8">
      <c r="A269" s="2288" t="s">
        <v>1264</v>
      </c>
      <c r="B269" s="2287"/>
      <c r="C269" s="2287"/>
      <c r="D269" s="2287"/>
      <c r="E269" s="2287"/>
      <c r="F269" s="2287"/>
      <c r="G269" s="2287"/>
      <c r="H269" s="2287"/>
    </row>
    <row r="270" spans="1:8">
      <c r="A270" s="2288" t="s">
        <v>1265</v>
      </c>
      <c r="B270" s="2287"/>
      <c r="C270" s="2287"/>
      <c r="D270" s="2287"/>
      <c r="E270" s="2287"/>
      <c r="F270" s="2287"/>
      <c r="G270" s="2287"/>
      <c r="H270" s="2287"/>
    </row>
    <row r="271" spans="1:8">
      <c r="A271" s="2287"/>
      <c r="B271" s="2287"/>
      <c r="C271" s="2287"/>
      <c r="D271" s="2287"/>
      <c r="E271" s="2287"/>
      <c r="F271" s="2287"/>
      <c r="G271" s="2287"/>
      <c r="H271" s="2287"/>
    </row>
    <row r="272" spans="1:8">
      <c r="A272" s="2288" t="s">
        <v>1243</v>
      </c>
      <c r="B272" s="2287"/>
      <c r="C272" s="2287"/>
      <c r="D272" s="2287"/>
      <c r="E272" s="2287"/>
      <c r="F272" s="2287"/>
      <c r="G272" s="2287"/>
      <c r="H272" s="2287"/>
    </row>
    <row r="273" spans="1:8">
      <c r="A273" s="2288" t="s">
        <v>1244</v>
      </c>
      <c r="B273" s="2287"/>
      <c r="C273" s="2287"/>
      <c r="D273" s="2287"/>
      <c r="E273" s="2287"/>
      <c r="F273" s="2287"/>
      <c r="G273" s="2287"/>
      <c r="H273" s="2287"/>
    </row>
    <row r="274" spans="1:8">
      <c r="A274" s="2288" t="s">
        <v>1245</v>
      </c>
      <c r="B274" s="2287"/>
      <c r="C274" s="2287"/>
      <c r="D274" s="2287"/>
      <c r="E274" s="2287"/>
      <c r="F274" s="2287"/>
      <c r="G274" s="2287"/>
      <c r="H274" s="2287"/>
    </row>
    <row r="275" spans="1:8">
      <c r="A275" s="2288" t="s">
        <v>1246</v>
      </c>
      <c r="B275" s="2287"/>
      <c r="C275" s="2287"/>
      <c r="D275" s="2287"/>
      <c r="E275" s="2287"/>
      <c r="F275" s="2287"/>
      <c r="G275" s="2287"/>
      <c r="H275" s="2287"/>
    </row>
    <row r="276" spans="1:8">
      <c r="A276" s="2288" t="s">
        <v>1247</v>
      </c>
      <c r="B276" s="2287"/>
      <c r="C276" s="2287"/>
      <c r="D276" s="2287"/>
      <c r="E276" s="2287"/>
      <c r="F276" s="2287"/>
      <c r="G276" s="2287"/>
      <c r="H276" s="2287"/>
    </row>
    <row r="277" spans="1:8">
      <c r="A277" s="2288" t="s">
        <v>1248</v>
      </c>
      <c r="B277" s="2287"/>
      <c r="C277" s="2287"/>
      <c r="D277" s="2287"/>
      <c r="E277" s="2287"/>
      <c r="F277" s="2287"/>
      <c r="G277" s="2287"/>
      <c r="H277" s="2287"/>
    </row>
    <row r="278" spans="1:8">
      <c r="A278" s="2288" t="s">
        <v>1249</v>
      </c>
      <c r="B278" s="2287"/>
      <c r="C278" s="2287"/>
      <c r="D278" s="2287"/>
      <c r="E278" s="2287"/>
      <c r="F278" s="2287"/>
      <c r="G278" s="2287"/>
      <c r="H278" s="2287"/>
    </row>
    <row r="279" spans="1:8">
      <c r="A279" s="2287"/>
      <c r="B279" s="2287"/>
      <c r="C279" s="2287"/>
      <c r="D279" s="2287"/>
      <c r="E279" s="2287"/>
      <c r="F279" s="2287"/>
      <c r="G279" s="2287"/>
      <c r="H279" s="2287"/>
    </row>
    <row r="280" spans="1:8">
      <c r="A280" s="2288" t="s">
        <v>1234</v>
      </c>
      <c r="B280" s="2287"/>
      <c r="C280" s="2287"/>
      <c r="D280" s="2287"/>
      <c r="E280" s="2287"/>
      <c r="F280" s="2287"/>
      <c r="G280" s="2287"/>
      <c r="H280" s="2287"/>
    </row>
    <row r="281" spans="1:8">
      <c r="A281" s="2288" t="s">
        <v>1235</v>
      </c>
      <c r="B281" s="2287"/>
      <c r="C281" s="2287"/>
      <c r="D281" s="2287"/>
      <c r="E281" s="2287"/>
      <c r="F281" s="2287"/>
      <c r="G281" s="2287"/>
      <c r="H281" s="2287"/>
    </row>
    <row r="282" spans="1:8">
      <c r="A282" s="2288" t="s">
        <v>1236</v>
      </c>
      <c r="B282" s="2287"/>
      <c r="C282" s="2287"/>
      <c r="D282" s="2287"/>
      <c r="E282" s="2287"/>
      <c r="F282" s="2287"/>
      <c r="G282" s="2287"/>
      <c r="H282" s="2287"/>
    </row>
    <row r="283" spans="1:8">
      <c r="A283" s="2288" t="s">
        <v>1237</v>
      </c>
      <c r="B283" s="2287"/>
      <c r="C283" s="2287"/>
      <c r="D283" s="2287"/>
      <c r="E283" s="2287"/>
      <c r="F283" s="2287"/>
      <c r="G283" s="2287"/>
      <c r="H283" s="2287"/>
    </row>
    <row r="284" spans="1:8">
      <c r="A284" s="2288" t="s">
        <v>1238</v>
      </c>
      <c r="B284" s="2287"/>
      <c r="C284" s="2287"/>
      <c r="D284" s="2287"/>
      <c r="E284" s="2287"/>
      <c r="F284" s="2287"/>
      <c r="G284" s="2287"/>
      <c r="H284" s="2287"/>
    </row>
    <row r="285" spans="1:8">
      <c r="A285" s="2288" t="s">
        <v>1239</v>
      </c>
      <c r="B285" s="2287"/>
      <c r="C285" s="2287"/>
      <c r="D285" s="2287"/>
      <c r="E285" s="2287"/>
      <c r="F285" s="2287"/>
      <c r="G285" s="2287"/>
      <c r="H285" s="2287"/>
    </row>
    <row r="286" spans="1:8">
      <c r="A286" s="2288" t="s">
        <v>1240</v>
      </c>
      <c r="B286" s="2287"/>
      <c r="C286" s="2287"/>
      <c r="D286" s="2287"/>
      <c r="E286" s="2287"/>
      <c r="F286" s="2287"/>
      <c r="G286" s="2287"/>
      <c r="H286" s="2287"/>
    </row>
    <row r="287" spans="1:8">
      <c r="A287" s="2288" t="s">
        <v>1241</v>
      </c>
      <c r="B287" s="2287"/>
      <c r="C287" s="2287"/>
      <c r="D287" s="2287"/>
      <c r="E287" s="2287"/>
      <c r="F287" s="2287"/>
      <c r="G287" s="2287"/>
      <c r="H287" s="2287"/>
    </row>
    <row r="288" spans="1:8">
      <c r="A288" s="2288" t="s">
        <v>1242</v>
      </c>
      <c r="B288" s="2287"/>
      <c r="C288" s="2287"/>
      <c r="D288" s="2287"/>
      <c r="E288" s="2287"/>
      <c r="F288" s="2287"/>
      <c r="G288" s="2287"/>
      <c r="H288" s="2287"/>
    </row>
    <row r="289" spans="1:8">
      <c r="A289" s="2287"/>
      <c r="B289" s="2287"/>
      <c r="C289" s="2287"/>
      <c r="D289" s="2287"/>
      <c r="E289" s="2287"/>
      <c r="F289" s="2287"/>
      <c r="G289" s="2287"/>
      <c r="H289" s="2287"/>
    </row>
    <row r="290" spans="1:8">
      <c r="A290" s="2288" t="s">
        <v>1227</v>
      </c>
      <c r="B290" s="2287"/>
      <c r="C290" s="2287"/>
      <c r="D290" s="2287"/>
      <c r="E290" s="2287"/>
      <c r="F290" s="2287"/>
      <c r="G290" s="2287"/>
      <c r="H290" s="2287"/>
    </row>
    <row r="291" spans="1:8">
      <c r="A291" s="2288" t="s">
        <v>1228</v>
      </c>
      <c r="B291" s="2287"/>
      <c r="C291" s="2287"/>
      <c r="D291" s="2287"/>
      <c r="E291" s="2287"/>
      <c r="F291" s="2287"/>
      <c r="G291" s="2287"/>
      <c r="H291" s="2287"/>
    </row>
    <row r="292" spans="1:8">
      <c r="A292" s="2288" t="s">
        <v>1229</v>
      </c>
      <c r="B292" s="2287"/>
      <c r="C292" s="2287"/>
      <c r="D292" s="2287"/>
      <c r="E292" s="2287"/>
      <c r="F292" s="2287"/>
      <c r="G292" s="2287"/>
      <c r="H292" s="2287"/>
    </row>
    <row r="293" spans="1:8">
      <c r="A293" s="2288" t="s">
        <v>1230</v>
      </c>
      <c r="B293" s="2287"/>
      <c r="C293" s="2287"/>
      <c r="D293" s="2287"/>
      <c r="E293" s="2287"/>
      <c r="F293" s="2287"/>
      <c r="G293" s="2287"/>
      <c r="H293" s="2287"/>
    </row>
    <row r="294" spans="1:8">
      <c r="A294" s="2288" t="s">
        <v>1231</v>
      </c>
      <c r="B294" s="2287"/>
      <c r="C294" s="2287"/>
      <c r="D294" s="2287"/>
      <c r="E294" s="2287"/>
      <c r="F294" s="2287"/>
      <c r="G294" s="2287"/>
      <c r="H294" s="2287"/>
    </row>
    <row r="295" spans="1:8">
      <c r="A295" s="2288" t="s">
        <v>1232</v>
      </c>
      <c r="B295" s="2287"/>
      <c r="C295" s="2287"/>
      <c r="D295" s="2287"/>
      <c r="E295" s="2287"/>
      <c r="F295" s="2287"/>
      <c r="G295" s="2287"/>
      <c r="H295" s="2287"/>
    </row>
    <row r="296" spans="1:8">
      <c r="A296" s="2288" t="s">
        <v>1233</v>
      </c>
      <c r="B296" s="2287"/>
      <c r="C296" s="2287"/>
      <c r="D296" s="2287"/>
      <c r="E296" s="2287"/>
      <c r="F296" s="2287"/>
      <c r="G296" s="2287"/>
      <c r="H296" s="2287"/>
    </row>
    <row r="297" spans="1:8">
      <c r="A297" s="2287"/>
      <c r="B297" s="2287"/>
      <c r="C297" s="2287"/>
      <c r="D297" s="2287"/>
      <c r="E297" s="2287"/>
      <c r="F297" s="2287"/>
      <c r="G297" s="2287"/>
      <c r="H297" s="2287"/>
    </row>
    <row r="298" spans="1:8">
      <c r="A298" s="2288" t="s">
        <v>1224</v>
      </c>
      <c r="B298" s="2287"/>
      <c r="C298" s="2287"/>
      <c r="D298" s="2287"/>
      <c r="E298" s="2287"/>
      <c r="F298" s="2287"/>
      <c r="G298" s="2287"/>
      <c r="H298" s="2287"/>
    </row>
    <row r="299" spans="1:8">
      <c r="A299" s="2288" t="s">
        <v>1225</v>
      </c>
      <c r="B299" s="2287"/>
      <c r="C299" s="2287"/>
      <c r="D299" s="2287"/>
      <c r="E299" s="2287"/>
      <c r="F299" s="2287"/>
      <c r="G299" s="2287"/>
      <c r="H299" s="2287"/>
    </row>
    <row r="300" spans="1:8">
      <c r="A300" s="2288" t="s">
        <v>1226</v>
      </c>
      <c r="B300" s="2287"/>
      <c r="C300" s="2287"/>
      <c r="D300" s="2287"/>
      <c r="E300" s="2287"/>
      <c r="F300" s="2287"/>
      <c r="G300" s="2287"/>
      <c r="H300" s="2287"/>
    </row>
    <row r="301" spans="1:8">
      <c r="A301" s="2287"/>
      <c r="B301" s="2287"/>
      <c r="C301" s="2287"/>
      <c r="D301" s="2287"/>
      <c r="E301" s="2287"/>
      <c r="F301" s="2287"/>
      <c r="G301" s="2287"/>
      <c r="H301" s="2287"/>
    </row>
    <row r="302" spans="1:8">
      <c r="A302" s="2288" t="s">
        <v>1222</v>
      </c>
      <c r="B302" s="2287"/>
      <c r="C302" s="2287"/>
      <c r="D302" s="2287"/>
      <c r="E302" s="2287"/>
      <c r="F302" s="2287"/>
      <c r="G302" s="2287"/>
      <c r="H302" s="2287"/>
    </row>
    <row r="303" spans="1:8">
      <c r="A303" s="2288" t="s">
        <v>1223</v>
      </c>
      <c r="B303" s="2287"/>
      <c r="C303" s="2287"/>
      <c r="D303" s="2287"/>
      <c r="E303" s="2287"/>
      <c r="F303" s="2287"/>
      <c r="G303" s="2287"/>
      <c r="H303" s="2287"/>
    </row>
    <row r="304" spans="1:8">
      <c r="A304" s="2287"/>
      <c r="B304" s="2287"/>
      <c r="C304" s="2287"/>
      <c r="D304" s="2287"/>
      <c r="E304" s="2287"/>
      <c r="F304" s="2287"/>
      <c r="G304" s="2287"/>
      <c r="H304" s="2287"/>
    </row>
    <row r="305" spans="1:8">
      <c r="A305" s="2288" t="s">
        <v>1209</v>
      </c>
      <c r="B305" s="2287"/>
      <c r="C305" s="2287"/>
      <c r="D305" s="2287"/>
      <c r="E305" s="2287"/>
      <c r="F305" s="2287"/>
      <c r="G305" s="2287"/>
      <c r="H305" s="2287"/>
    </row>
    <row r="306" spans="1:8">
      <c r="A306" s="2288" t="s">
        <v>1210</v>
      </c>
      <c r="B306" s="2287"/>
      <c r="C306" s="2287"/>
      <c r="D306" s="2287"/>
      <c r="E306" s="2287"/>
      <c r="F306" s="2287"/>
      <c r="G306" s="2287"/>
      <c r="H306" s="2287"/>
    </row>
    <row r="307" spans="1:8">
      <c r="A307" s="2288" t="s">
        <v>1211</v>
      </c>
      <c r="B307" s="2287"/>
      <c r="C307" s="2287"/>
      <c r="D307" s="2287"/>
      <c r="E307" s="2287"/>
      <c r="F307" s="2287"/>
      <c r="G307" s="2287"/>
      <c r="H307" s="2287"/>
    </row>
    <row r="308" spans="1:8">
      <c r="A308" s="2288" t="s">
        <v>1212</v>
      </c>
      <c r="B308" s="2287"/>
      <c r="C308" s="2287"/>
      <c r="D308" s="2287"/>
      <c r="E308" s="2287"/>
      <c r="F308" s="2287"/>
      <c r="G308" s="2287"/>
      <c r="H308" s="2287"/>
    </row>
    <row r="309" spans="1:8">
      <c r="A309" s="2288" t="s">
        <v>1213</v>
      </c>
      <c r="B309" s="2287"/>
      <c r="C309" s="2287"/>
      <c r="D309" s="2287"/>
      <c r="E309" s="2287"/>
      <c r="F309" s="2287"/>
      <c r="G309" s="2287"/>
      <c r="H309" s="2287"/>
    </row>
    <row r="310" spans="1:8">
      <c r="A310" s="2288" t="s">
        <v>1214</v>
      </c>
      <c r="B310" s="2287"/>
      <c r="C310" s="2287"/>
      <c r="D310" s="2287"/>
      <c r="E310" s="2287"/>
      <c r="F310" s="2287"/>
      <c r="G310" s="2287"/>
      <c r="H310" s="2287"/>
    </row>
    <row r="311" spans="1:8">
      <c r="A311" s="2288" t="s">
        <v>1215</v>
      </c>
      <c r="B311" s="2287"/>
      <c r="C311" s="2287"/>
      <c r="D311" s="2287"/>
      <c r="E311" s="2287"/>
      <c r="F311" s="2287"/>
      <c r="G311" s="2287"/>
      <c r="H311" s="2287"/>
    </row>
    <row r="312" spans="1:8">
      <c r="A312" s="2288" t="s">
        <v>1216</v>
      </c>
      <c r="B312" s="2287"/>
      <c r="C312" s="2287"/>
      <c r="D312" s="2287"/>
      <c r="E312" s="2287"/>
      <c r="F312" s="2287"/>
      <c r="G312" s="2287"/>
      <c r="H312" s="2287"/>
    </row>
    <row r="313" spans="1:8">
      <c r="A313" s="2288" t="s">
        <v>1217</v>
      </c>
      <c r="B313" s="2287"/>
      <c r="C313" s="2287"/>
      <c r="D313" s="2287"/>
      <c r="E313" s="2287"/>
      <c r="F313" s="2287"/>
      <c r="G313" s="2287"/>
      <c r="H313" s="2287"/>
    </row>
    <row r="314" spans="1:8">
      <c r="A314" s="2288" t="s">
        <v>1218</v>
      </c>
      <c r="B314" s="2287"/>
      <c r="C314" s="2287"/>
      <c r="D314" s="2287"/>
      <c r="E314" s="2287"/>
      <c r="F314" s="2287"/>
      <c r="G314" s="2287"/>
      <c r="H314" s="2287"/>
    </row>
    <row r="315" spans="1:8">
      <c r="A315" s="2288" t="s">
        <v>1219</v>
      </c>
      <c r="B315" s="2287"/>
      <c r="C315" s="2287"/>
      <c r="D315" s="2287"/>
      <c r="E315" s="2287"/>
      <c r="F315" s="2287"/>
      <c r="G315" s="2287"/>
      <c r="H315" s="2287"/>
    </row>
    <row r="316" spans="1:8">
      <c r="A316" s="2288" t="s">
        <v>1220</v>
      </c>
      <c r="B316" s="2287"/>
      <c r="C316" s="2287"/>
      <c r="D316" s="2287"/>
      <c r="E316" s="2287"/>
      <c r="F316" s="2287"/>
      <c r="G316" s="2287"/>
      <c r="H316" s="2287"/>
    </row>
    <row r="317" spans="1:8">
      <c r="A317" s="2288" t="s">
        <v>1221</v>
      </c>
      <c r="B317" s="2287"/>
      <c r="C317" s="2287"/>
      <c r="D317" s="2287"/>
      <c r="E317" s="2287"/>
      <c r="F317" s="2287"/>
      <c r="G317" s="2287"/>
      <c r="H317" s="2287"/>
    </row>
    <row r="318" spans="1:8">
      <c r="A318" s="2287"/>
      <c r="B318" s="2287"/>
      <c r="C318" s="2287"/>
      <c r="D318" s="2287"/>
      <c r="E318" s="2287"/>
      <c r="F318" s="2287"/>
      <c r="G318" s="2287"/>
      <c r="H318" s="2287"/>
    </row>
    <row r="319" spans="1:8">
      <c r="A319" s="2288" t="s">
        <v>1201</v>
      </c>
      <c r="B319" s="2287"/>
      <c r="C319" s="2287"/>
      <c r="D319" s="2287"/>
      <c r="E319" s="2287"/>
      <c r="F319" s="2287"/>
      <c r="G319" s="2287"/>
      <c r="H319" s="2287"/>
    </row>
    <row r="320" spans="1:8">
      <c r="A320" s="2288" t="s">
        <v>1202</v>
      </c>
      <c r="B320" s="2287"/>
      <c r="C320" s="2287"/>
      <c r="D320" s="2287"/>
      <c r="E320" s="2287"/>
      <c r="F320" s="2287"/>
      <c r="G320" s="2287"/>
      <c r="H320" s="2287"/>
    </row>
    <row r="321" spans="1:8">
      <c r="A321" s="2288" t="s">
        <v>1203</v>
      </c>
      <c r="B321" s="2287"/>
      <c r="C321" s="2287"/>
      <c r="D321" s="2287"/>
      <c r="E321" s="2287"/>
      <c r="F321" s="2287"/>
      <c r="G321" s="2287"/>
      <c r="H321" s="2287"/>
    </row>
    <row r="322" spans="1:8">
      <c r="A322" s="2288" t="s">
        <v>1204</v>
      </c>
      <c r="B322" s="2287"/>
      <c r="C322" s="2287"/>
      <c r="D322" s="2287"/>
      <c r="E322" s="2287"/>
      <c r="F322" s="2287"/>
      <c r="G322" s="2287"/>
      <c r="H322" s="2287"/>
    </row>
    <row r="323" spans="1:8">
      <c r="A323" s="2288" t="s">
        <v>1205</v>
      </c>
      <c r="B323" s="2287"/>
      <c r="C323" s="2287"/>
      <c r="D323" s="2287"/>
      <c r="E323" s="2287"/>
      <c r="F323" s="2287"/>
      <c r="G323" s="2287"/>
      <c r="H323" s="2287"/>
    </row>
    <row r="324" spans="1:8">
      <c r="A324" s="2288" t="s">
        <v>1206</v>
      </c>
      <c r="B324" s="2287"/>
      <c r="C324" s="2287"/>
      <c r="D324" s="2287"/>
      <c r="E324" s="2287"/>
      <c r="F324" s="2287"/>
      <c r="G324" s="2287"/>
      <c r="H324" s="2287"/>
    </row>
    <row r="325" spans="1:8">
      <c r="A325" s="2288" t="s">
        <v>1207</v>
      </c>
      <c r="B325" s="2287"/>
      <c r="C325" s="2287"/>
      <c r="D325" s="2287"/>
      <c r="E325" s="2287"/>
      <c r="F325" s="2287"/>
      <c r="G325" s="2287"/>
      <c r="H325" s="2287"/>
    </row>
    <row r="326" spans="1:8">
      <c r="A326" s="2288" t="s">
        <v>1208</v>
      </c>
      <c r="B326" s="2287"/>
      <c r="C326" s="2287"/>
      <c r="D326" s="2287"/>
      <c r="E326" s="2287"/>
      <c r="F326" s="2287"/>
      <c r="G326" s="2287"/>
      <c r="H326" s="2287"/>
    </row>
    <row r="327" spans="1:8">
      <c r="A327" s="2287"/>
      <c r="B327" s="2287"/>
      <c r="C327" s="2287"/>
      <c r="D327" s="2287"/>
      <c r="E327" s="2287"/>
      <c r="F327" s="2287"/>
      <c r="G327" s="2287"/>
      <c r="H327" s="2287"/>
    </row>
    <row r="328" spans="1:8">
      <c r="A328" s="2288" t="s">
        <v>1166</v>
      </c>
      <c r="B328" s="2287"/>
      <c r="C328" s="2287"/>
      <c r="D328" s="2287"/>
      <c r="E328" s="2287"/>
      <c r="F328" s="2287"/>
      <c r="G328" s="2287"/>
      <c r="H328" s="2287"/>
    </row>
    <row r="329" spans="1:8">
      <c r="A329" s="2288" t="s">
        <v>1167</v>
      </c>
      <c r="B329" s="2287"/>
      <c r="C329" s="2287"/>
      <c r="D329" s="2287"/>
      <c r="E329" s="2287"/>
      <c r="F329" s="2287"/>
      <c r="G329" s="2287"/>
      <c r="H329" s="2287"/>
    </row>
    <row r="330" spans="1:8">
      <c r="A330" s="2288" t="s">
        <v>1168</v>
      </c>
      <c r="B330" s="2287"/>
      <c r="C330" s="2287"/>
      <c r="D330" s="2287"/>
      <c r="E330" s="2287"/>
      <c r="F330" s="2287"/>
      <c r="G330" s="2287"/>
      <c r="H330" s="2287"/>
    </row>
    <row r="331" spans="1:8">
      <c r="A331" s="2288" t="s">
        <v>1169</v>
      </c>
      <c r="B331" s="2287"/>
      <c r="C331" s="2287"/>
      <c r="D331" s="2287"/>
      <c r="E331" s="2287"/>
      <c r="F331" s="2287"/>
      <c r="G331" s="2287"/>
      <c r="H331" s="2287"/>
    </row>
    <row r="332" spans="1:8">
      <c r="A332" s="2288" t="s">
        <v>1170</v>
      </c>
      <c r="B332" s="2287"/>
      <c r="C332" s="2287"/>
      <c r="D332" s="2287"/>
      <c r="E332" s="2287"/>
      <c r="F332" s="2287"/>
      <c r="G332" s="2287"/>
      <c r="H332" s="2287"/>
    </row>
    <row r="333" spans="1:8">
      <c r="A333" s="2288" t="s">
        <v>1171</v>
      </c>
      <c r="B333" s="2287"/>
      <c r="C333" s="2287"/>
      <c r="D333" s="2287"/>
      <c r="E333" s="2287"/>
      <c r="F333" s="2287"/>
      <c r="G333" s="2287"/>
      <c r="H333" s="2287"/>
    </row>
    <row r="334" spans="1:8">
      <c r="A334" s="2288" t="s">
        <v>1172</v>
      </c>
      <c r="B334" s="2287"/>
      <c r="C334" s="2287"/>
      <c r="D334" s="2287"/>
      <c r="E334" s="2287"/>
      <c r="F334" s="2287"/>
      <c r="G334" s="2287"/>
      <c r="H334" s="2287"/>
    </row>
    <row r="335" spans="1:8">
      <c r="A335" s="2288" t="s">
        <v>1173</v>
      </c>
      <c r="B335" s="2287"/>
      <c r="C335" s="2287"/>
      <c r="D335" s="2287"/>
      <c r="E335" s="2287"/>
      <c r="F335" s="2287"/>
      <c r="G335" s="2287"/>
      <c r="H335" s="2287"/>
    </row>
    <row r="336" spans="1:8">
      <c r="A336" s="2288" t="s">
        <v>1174</v>
      </c>
      <c r="B336" s="2287"/>
      <c r="C336" s="2287"/>
      <c r="D336" s="2287"/>
      <c r="E336" s="2287"/>
      <c r="F336" s="2287"/>
      <c r="G336" s="2287"/>
      <c r="H336" s="2287"/>
    </row>
    <row r="337" spans="1:8">
      <c r="A337" s="2288" t="s">
        <v>1175</v>
      </c>
      <c r="B337" s="2287"/>
      <c r="C337" s="2287"/>
      <c r="D337" s="2287"/>
      <c r="E337" s="2287"/>
      <c r="F337" s="2287"/>
      <c r="G337" s="2287"/>
      <c r="H337" s="2287"/>
    </row>
    <row r="338" spans="1:8">
      <c r="A338" s="2288" t="s">
        <v>1176</v>
      </c>
      <c r="B338" s="2287"/>
      <c r="C338" s="2287"/>
      <c r="D338" s="2287"/>
      <c r="E338" s="2287"/>
      <c r="F338" s="2287"/>
      <c r="G338" s="2287"/>
      <c r="H338" s="2287"/>
    </row>
    <row r="339" spans="1:8">
      <c r="A339" s="2288" t="s">
        <v>1177</v>
      </c>
      <c r="B339" s="2287"/>
      <c r="C339" s="2287"/>
      <c r="D339" s="2287"/>
      <c r="E339" s="2287"/>
      <c r="F339" s="2287"/>
      <c r="G339" s="2287"/>
      <c r="H339" s="2287"/>
    </row>
    <row r="340" spans="1:8">
      <c r="A340" s="2288" t="s">
        <v>1178</v>
      </c>
      <c r="B340" s="2287"/>
      <c r="C340" s="2287"/>
      <c r="D340" s="2287"/>
      <c r="E340" s="2287"/>
      <c r="F340" s="2287"/>
      <c r="G340" s="2287"/>
      <c r="H340" s="2287"/>
    </row>
    <row r="341" spans="1:8">
      <c r="A341" s="2288" t="s">
        <v>1179</v>
      </c>
      <c r="B341" s="2287"/>
      <c r="C341" s="2287"/>
      <c r="D341" s="2287"/>
      <c r="E341" s="2287"/>
      <c r="F341" s="2287"/>
      <c r="G341" s="2287"/>
      <c r="H341" s="2287"/>
    </row>
    <row r="342" spans="1:8">
      <c r="A342" s="2288" t="s">
        <v>1180</v>
      </c>
      <c r="B342" s="2287"/>
      <c r="C342" s="2287"/>
      <c r="D342" s="2287"/>
      <c r="E342" s="2287"/>
      <c r="F342" s="2287"/>
      <c r="G342" s="2287"/>
      <c r="H342" s="2287"/>
    </row>
    <row r="343" spans="1:8">
      <c r="A343" s="2288" t="s">
        <v>1181</v>
      </c>
      <c r="B343" s="2287"/>
      <c r="C343" s="2287"/>
      <c r="D343" s="2287"/>
      <c r="E343" s="2287"/>
      <c r="F343" s="2287"/>
      <c r="G343" s="2287"/>
      <c r="H343" s="2287"/>
    </row>
    <row r="344" spans="1:8">
      <c r="A344" s="2288" t="s">
        <v>1182</v>
      </c>
      <c r="B344" s="2287"/>
      <c r="C344" s="2287"/>
      <c r="D344" s="2287"/>
      <c r="E344" s="2287"/>
      <c r="F344" s="2287"/>
      <c r="G344" s="2287"/>
      <c r="H344" s="2287"/>
    </row>
    <row r="345" spans="1:8">
      <c r="A345" s="2288" t="s">
        <v>1183</v>
      </c>
      <c r="B345" s="2287"/>
      <c r="C345" s="2287"/>
      <c r="D345" s="2287"/>
      <c r="E345" s="2287"/>
      <c r="F345" s="2287"/>
      <c r="G345" s="2287"/>
      <c r="H345" s="2287"/>
    </row>
    <row r="346" spans="1:8">
      <c r="A346" s="2288" t="s">
        <v>1184</v>
      </c>
      <c r="B346" s="2287"/>
      <c r="C346" s="2287"/>
      <c r="D346" s="2287"/>
      <c r="E346" s="2287"/>
      <c r="F346" s="2287"/>
      <c r="G346" s="2287"/>
      <c r="H346" s="2287"/>
    </row>
    <row r="347" spans="1:8">
      <c r="A347" s="2288" t="s">
        <v>1185</v>
      </c>
      <c r="B347" s="2287"/>
      <c r="C347" s="2287"/>
      <c r="D347" s="2287"/>
      <c r="E347" s="2287"/>
      <c r="F347" s="2287"/>
      <c r="G347" s="2287"/>
      <c r="H347" s="2287"/>
    </row>
    <row r="348" spans="1:8">
      <c r="A348" s="2288" t="s">
        <v>1186</v>
      </c>
      <c r="B348" s="2287"/>
      <c r="C348" s="2287"/>
      <c r="D348" s="2287"/>
      <c r="E348" s="2287"/>
      <c r="F348" s="2287"/>
      <c r="G348" s="2287"/>
      <c r="H348" s="2287"/>
    </row>
    <row r="349" spans="1:8">
      <c r="A349" s="2288" t="s">
        <v>1187</v>
      </c>
      <c r="B349" s="2287"/>
      <c r="C349" s="2287"/>
      <c r="D349" s="2287"/>
      <c r="E349" s="2287"/>
      <c r="F349" s="2287"/>
      <c r="G349" s="2287"/>
      <c r="H349" s="2287"/>
    </row>
    <row r="350" spans="1:8">
      <c r="A350" s="2288" t="s">
        <v>1188</v>
      </c>
      <c r="B350" s="2287"/>
      <c r="C350" s="2287"/>
      <c r="D350" s="2287"/>
      <c r="E350" s="2287"/>
      <c r="F350" s="2287"/>
      <c r="G350" s="2287"/>
      <c r="H350" s="2287"/>
    </row>
    <row r="351" spans="1:8">
      <c r="A351" s="2288" t="s">
        <v>1189</v>
      </c>
      <c r="B351" s="2287"/>
      <c r="C351" s="2287"/>
      <c r="D351" s="2287"/>
      <c r="E351" s="2287"/>
      <c r="F351" s="2287"/>
      <c r="G351" s="2287"/>
      <c r="H351" s="2287"/>
    </row>
    <row r="352" spans="1:8">
      <c r="A352" s="2288" t="s">
        <v>1190</v>
      </c>
      <c r="B352" s="2287"/>
      <c r="C352" s="2287"/>
      <c r="D352" s="2287"/>
      <c r="E352" s="2287"/>
      <c r="F352" s="2287"/>
      <c r="G352" s="2287"/>
      <c r="H352" s="2287"/>
    </row>
    <row r="353" spans="1:8">
      <c r="A353" s="2288" t="s">
        <v>1191</v>
      </c>
      <c r="B353" s="2287"/>
      <c r="C353" s="2287"/>
      <c r="D353" s="2287"/>
      <c r="E353" s="2287"/>
      <c r="F353" s="2287"/>
      <c r="G353" s="2287"/>
      <c r="H353" s="2287"/>
    </row>
    <row r="354" spans="1:8">
      <c r="A354" s="2288" t="s">
        <v>1192</v>
      </c>
      <c r="B354" s="2287"/>
      <c r="C354" s="2287"/>
      <c r="D354" s="2287"/>
      <c r="E354" s="2287"/>
      <c r="F354" s="2287"/>
      <c r="G354" s="2287"/>
      <c r="H354" s="2287"/>
    </row>
    <row r="355" spans="1:8">
      <c r="A355" s="2288" t="s">
        <v>1193</v>
      </c>
      <c r="B355" s="2287"/>
      <c r="C355" s="2287"/>
      <c r="D355" s="2287"/>
      <c r="E355" s="2287"/>
      <c r="F355" s="2287"/>
      <c r="G355" s="2287"/>
      <c r="H355" s="2287"/>
    </row>
    <row r="356" spans="1:8">
      <c r="A356" s="2288" t="s">
        <v>1194</v>
      </c>
      <c r="B356" s="2287"/>
      <c r="C356" s="2287"/>
      <c r="D356" s="2287"/>
      <c r="E356" s="2287"/>
      <c r="F356" s="2287"/>
      <c r="G356" s="2287"/>
      <c r="H356" s="2287"/>
    </row>
    <row r="357" spans="1:8">
      <c r="A357" s="2288" t="s">
        <v>1195</v>
      </c>
      <c r="B357" s="2287"/>
      <c r="C357" s="2287"/>
      <c r="D357" s="2287"/>
      <c r="E357" s="2287"/>
      <c r="F357" s="2287"/>
      <c r="G357" s="2287"/>
      <c r="H357" s="2287"/>
    </row>
    <row r="358" spans="1:8">
      <c r="A358" s="2288" t="s">
        <v>1196</v>
      </c>
      <c r="B358" s="2287"/>
      <c r="C358" s="2287"/>
      <c r="D358" s="2287"/>
      <c r="E358" s="2287"/>
      <c r="F358" s="2287"/>
      <c r="G358" s="2287"/>
      <c r="H358" s="2287"/>
    </row>
    <row r="359" spans="1:8">
      <c r="A359" s="2288" t="s">
        <v>1197</v>
      </c>
      <c r="B359" s="2287"/>
      <c r="C359" s="2287"/>
      <c r="D359" s="2287"/>
      <c r="E359" s="2287"/>
      <c r="F359" s="2287"/>
      <c r="G359" s="2287"/>
      <c r="H359" s="2287"/>
    </row>
    <row r="360" spans="1:8">
      <c r="A360" s="2288" t="s">
        <v>1198</v>
      </c>
      <c r="B360" s="2287"/>
      <c r="C360" s="2287"/>
      <c r="D360" s="2287"/>
      <c r="E360" s="2287"/>
      <c r="F360" s="2287"/>
      <c r="G360" s="2287"/>
      <c r="H360" s="2287"/>
    </row>
    <row r="361" spans="1:8">
      <c r="A361" s="2288" t="s">
        <v>1199</v>
      </c>
      <c r="B361" s="2287"/>
      <c r="C361" s="2287"/>
      <c r="D361" s="2287"/>
      <c r="E361" s="2287"/>
      <c r="F361" s="2287"/>
      <c r="G361" s="2287"/>
      <c r="H361" s="2287"/>
    </row>
    <row r="362" spans="1:8">
      <c r="A362" s="2288" t="s">
        <v>1200</v>
      </c>
      <c r="B362" s="2287"/>
      <c r="C362" s="2287"/>
      <c r="D362" s="2287"/>
      <c r="E362" s="2287"/>
      <c r="F362" s="2287"/>
      <c r="G362" s="2287"/>
      <c r="H362" s="2287"/>
    </row>
    <row r="363" spans="1:8">
      <c r="A363" s="2287"/>
      <c r="B363" s="2287"/>
      <c r="C363" s="2287"/>
      <c r="D363" s="2287"/>
      <c r="E363" s="2287"/>
      <c r="F363" s="2287"/>
      <c r="G363" s="2287"/>
      <c r="H363" s="2287"/>
    </row>
    <row r="364" spans="1:8">
      <c r="A364" s="2288" t="s">
        <v>1158</v>
      </c>
      <c r="B364" s="2287"/>
      <c r="C364" s="2287"/>
      <c r="D364" s="2287"/>
      <c r="E364" s="2287"/>
      <c r="F364" s="2287"/>
      <c r="G364" s="2287"/>
      <c r="H364" s="2287"/>
    </row>
    <row r="365" spans="1:8">
      <c r="A365" s="2288" t="s">
        <v>1162</v>
      </c>
      <c r="B365" s="2287"/>
      <c r="C365" s="2287"/>
      <c r="D365" s="2287"/>
      <c r="E365" s="2287"/>
      <c r="F365" s="2287"/>
      <c r="G365" s="2287"/>
      <c r="H365" s="2287"/>
    </row>
    <row r="366" spans="1:8">
      <c r="A366" s="2288" t="s">
        <v>1163</v>
      </c>
      <c r="B366" s="2287"/>
      <c r="C366" s="2287"/>
      <c r="D366" s="2287"/>
      <c r="E366" s="2287"/>
      <c r="F366" s="2287"/>
      <c r="G366" s="2287"/>
      <c r="H366" s="2287"/>
    </row>
    <row r="367" spans="1:8">
      <c r="A367" s="2288" t="s">
        <v>1164</v>
      </c>
      <c r="B367" s="2287"/>
      <c r="C367" s="2287"/>
      <c r="D367" s="2287"/>
      <c r="E367" s="2287"/>
      <c r="F367" s="2287"/>
      <c r="G367" s="2287"/>
      <c r="H367" s="2287"/>
    </row>
    <row r="368" spans="1:8">
      <c r="A368" s="2288" t="s">
        <v>1165</v>
      </c>
      <c r="B368" s="2287"/>
      <c r="C368" s="2287"/>
      <c r="D368" s="2287"/>
      <c r="E368" s="2287"/>
      <c r="F368" s="2287"/>
      <c r="G368" s="2287"/>
      <c r="H368" s="2287"/>
    </row>
    <row r="369" spans="1:8">
      <c r="A369" s="2287"/>
      <c r="B369" s="2287"/>
      <c r="C369" s="2287"/>
      <c r="D369" s="2287"/>
      <c r="E369" s="2287"/>
      <c r="F369" s="2287"/>
      <c r="G369" s="2287"/>
      <c r="H369" s="2287"/>
    </row>
    <row r="370" spans="1:8">
      <c r="A370" s="2288" t="s">
        <v>1158</v>
      </c>
      <c r="B370" s="2287"/>
      <c r="C370" s="2287"/>
      <c r="D370" s="2287"/>
      <c r="E370" s="2287"/>
      <c r="F370" s="2287"/>
      <c r="G370" s="2287"/>
      <c r="H370" s="2287"/>
    </row>
    <row r="371" spans="1:8">
      <c r="A371" s="2288" t="s">
        <v>1159</v>
      </c>
      <c r="B371" s="2287"/>
      <c r="C371" s="2287"/>
      <c r="D371" s="2287"/>
      <c r="E371" s="2287"/>
      <c r="F371" s="2287"/>
      <c r="G371" s="2287"/>
      <c r="H371" s="2287"/>
    </row>
    <row r="372" spans="1:8">
      <c r="A372" s="2288" t="s">
        <v>1160</v>
      </c>
      <c r="B372" s="2287"/>
      <c r="C372" s="2287"/>
      <c r="D372" s="2287"/>
      <c r="E372" s="2287"/>
      <c r="F372" s="2287"/>
      <c r="G372" s="2287"/>
      <c r="H372" s="2287"/>
    </row>
    <row r="373" spans="1:8">
      <c r="A373" s="2288" t="s">
        <v>1161</v>
      </c>
      <c r="B373" s="2287"/>
      <c r="C373" s="2287"/>
      <c r="D373" s="2287"/>
      <c r="E373" s="2287"/>
      <c r="F373" s="2287"/>
      <c r="G373" s="2287"/>
      <c r="H373" s="2287"/>
    </row>
    <row r="374" spans="1:8">
      <c r="A374" s="2287"/>
      <c r="B374" s="2287"/>
      <c r="C374" s="2287"/>
      <c r="D374" s="2287"/>
      <c r="E374" s="2287"/>
      <c r="F374" s="2287"/>
      <c r="G374" s="2287"/>
      <c r="H374" s="2287"/>
    </row>
    <row r="375" spans="1:8">
      <c r="A375" s="2288" t="s">
        <v>1152</v>
      </c>
      <c r="B375" s="2287"/>
      <c r="C375" s="2287"/>
      <c r="D375" s="2287"/>
      <c r="E375" s="2287"/>
      <c r="F375" s="2287"/>
      <c r="G375" s="2287"/>
      <c r="H375" s="2287"/>
    </row>
    <row r="376" spans="1:8">
      <c r="A376" s="2288" t="s">
        <v>1153</v>
      </c>
      <c r="B376" s="2287"/>
      <c r="C376" s="2287"/>
      <c r="D376" s="2287"/>
      <c r="E376" s="2287"/>
      <c r="F376" s="2287"/>
      <c r="G376" s="2287"/>
      <c r="H376" s="2287"/>
    </row>
    <row r="377" spans="1:8">
      <c r="A377" s="2288" t="s">
        <v>1154</v>
      </c>
      <c r="B377" s="2287"/>
      <c r="C377" s="2287"/>
      <c r="D377" s="2287"/>
      <c r="E377" s="2287"/>
      <c r="F377" s="2287"/>
      <c r="G377" s="2287"/>
      <c r="H377" s="2287"/>
    </row>
    <row r="378" spans="1:8">
      <c r="A378" s="2288" t="s">
        <v>1155</v>
      </c>
      <c r="B378" s="2287"/>
      <c r="C378" s="2287"/>
      <c r="D378" s="2287"/>
      <c r="E378" s="2287"/>
      <c r="F378" s="2287"/>
      <c r="G378" s="2287"/>
      <c r="H378" s="2287"/>
    </row>
    <row r="379" spans="1:8">
      <c r="A379" s="2288" t="s">
        <v>1156</v>
      </c>
      <c r="B379" s="2287"/>
      <c r="C379" s="2287"/>
      <c r="D379" s="2287"/>
      <c r="E379" s="2287"/>
      <c r="F379" s="2287"/>
      <c r="G379" s="2287"/>
      <c r="H379" s="2287"/>
    </row>
    <row r="380" spans="1:8">
      <c r="A380" s="2288" t="s">
        <v>1157</v>
      </c>
      <c r="B380" s="2287"/>
      <c r="C380" s="2287"/>
      <c r="D380" s="2287"/>
      <c r="E380" s="2287"/>
      <c r="F380" s="2287"/>
      <c r="G380" s="2287"/>
      <c r="H380" s="2287"/>
    </row>
    <row r="381" spans="1:8">
      <c r="A381" s="2287"/>
      <c r="B381" s="2287"/>
      <c r="C381" s="2287"/>
      <c r="D381" s="2287"/>
      <c r="E381" s="2287"/>
      <c r="F381" s="2287"/>
      <c r="G381" s="2287"/>
      <c r="H381" s="2287"/>
    </row>
    <row r="382" spans="1:8">
      <c r="A382" s="2288" t="s">
        <v>1147</v>
      </c>
      <c r="B382" s="2287"/>
      <c r="C382" s="2287"/>
      <c r="D382" s="2287"/>
      <c r="E382" s="2287"/>
      <c r="F382" s="2287"/>
      <c r="G382" s="2287"/>
      <c r="H382" s="2287"/>
    </row>
    <row r="383" spans="1:8">
      <c r="A383" s="2288" t="s">
        <v>1148</v>
      </c>
      <c r="B383" s="2287"/>
      <c r="C383" s="2287"/>
      <c r="D383" s="2287"/>
      <c r="E383" s="2287"/>
      <c r="F383" s="2287"/>
      <c r="G383" s="2287"/>
      <c r="H383" s="2287"/>
    </row>
    <row r="384" spans="1:8">
      <c r="A384" s="2288" t="s">
        <v>1149</v>
      </c>
      <c r="B384" s="2287"/>
      <c r="C384" s="2287"/>
      <c r="D384" s="2287"/>
      <c r="E384" s="2287"/>
      <c r="F384" s="2287"/>
      <c r="G384" s="2287"/>
      <c r="H384" s="2287"/>
    </row>
    <row r="385" spans="1:8">
      <c r="A385" s="2288" t="s">
        <v>1150</v>
      </c>
      <c r="B385" s="2287"/>
      <c r="C385" s="2287"/>
      <c r="D385" s="2287"/>
      <c r="E385" s="2287"/>
      <c r="F385" s="2287"/>
      <c r="G385" s="2287"/>
      <c r="H385" s="2287"/>
    </row>
    <row r="386" spans="1:8">
      <c r="A386" s="2288" t="s">
        <v>1151</v>
      </c>
      <c r="B386" s="2287"/>
      <c r="C386" s="2287"/>
      <c r="D386" s="2287"/>
      <c r="E386" s="2287"/>
      <c r="F386" s="2287"/>
      <c r="G386" s="2287"/>
      <c r="H386" s="2287"/>
    </row>
    <row r="387" spans="1:8">
      <c r="A387" s="2287"/>
      <c r="B387" s="2287"/>
      <c r="C387" s="2287"/>
      <c r="D387" s="2287"/>
      <c r="E387" s="2287"/>
      <c r="F387" s="2287"/>
      <c r="G387" s="2287"/>
      <c r="H387" s="2287"/>
    </row>
    <row r="388" spans="1:8">
      <c r="A388" s="2288" t="s">
        <v>1145</v>
      </c>
      <c r="B388" s="2287"/>
      <c r="C388" s="2287"/>
      <c r="D388" s="2287"/>
      <c r="E388" s="2287"/>
      <c r="F388" s="2287"/>
      <c r="G388" s="2287"/>
      <c r="H388" s="2287"/>
    </row>
    <row r="389" spans="1:8">
      <c r="A389" s="2288" t="s">
        <v>1146</v>
      </c>
      <c r="B389" s="2287"/>
      <c r="C389" s="2287"/>
      <c r="D389" s="2287"/>
      <c r="E389" s="2287"/>
      <c r="F389" s="2287"/>
      <c r="G389" s="2287"/>
      <c r="H389" s="2287"/>
    </row>
    <row r="391" spans="1:8">
      <c r="A391" s="2283" t="s">
        <v>1401</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348"/>
  <sheetViews>
    <sheetView topLeftCell="A57" zoomScaleNormal="100" workbookViewId="0">
      <selection activeCell="O64" sqref="O64"/>
    </sheetView>
  </sheetViews>
  <sheetFormatPr defaultRowHeight="11.25" outlineLevelRow="2" outlineLevelCol="1"/>
  <cols>
    <col min="1" max="1" width="24.42578125" style="4" customWidth="1"/>
    <col min="2" max="2" width="1" style="4" hidden="1" customWidth="1"/>
    <col min="3" max="7" width="8.140625" style="4" hidden="1" customWidth="1" outlineLevel="1"/>
    <col min="8" max="8" width="8.140625" style="4" hidden="1" customWidth="1" collapsed="1"/>
    <col min="9" max="11" width="8.140625" style="4" hidden="1" customWidth="1" outlineLevel="1"/>
    <col min="12" max="12" width="8.140625" style="4" customWidth="1" collapsed="1"/>
    <col min="13" max="15" width="8.140625" style="4" customWidth="1"/>
    <col min="16" max="16" width="8" style="4" customWidth="1"/>
    <col min="17" max="21" width="8.140625" style="4" customWidth="1"/>
    <col min="22" max="29" width="9.140625" style="4"/>
    <col min="30" max="30" width="13.42578125" style="4" bestFit="1" customWidth="1"/>
    <col min="31" max="16384" width="9.140625" style="4"/>
  </cols>
  <sheetData>
    <row r="1" spans="1:32" ht="12.75">
      <c r="A1" s="34" t="s">
        <v>440</v>
      </c>
    </row>
    <row r="3" spans="1:32">
      <c r="A3" s="36" t="s">
        <v>235</v>
      </c>
      <c r="C3" s="22" t="s">
        <v>166</v>
      </c>
      <c r="D3" s="22" t="s">
        <v>96</v>
      </c>
      <c r="E3" s="22" t="s">
        <v>95</v>
      </c>
      <c r="F3" s="22" t="s">
        <v>94</v>
      </c>
      <c r="G3" s="22" t="s">
        <v>93</v>
      </c>
      <c r="H3" s="22" t="s">
        <v>83</v>
      </c>
      <c r="I3" s="22" t="s">
        <v>84</v>
      </c>
      <c r="J3" s="22" t="s">
        <v>242</v>
      </c>
      <c r="K3" s="22" t="s">
        <v>393</v>
      </c>
      <c r="L3" s="22" t="s">
        <v>611</v>
      </c>
      <c r="M3" s="22" t="s">
        <v>626</v>
      </c>
      <c r="N3" s="22" t="s">
        <v>933</v>
      </c>
      <c r="O3" s="22" t="s">
        <v>988</v>
      </c>
      <c r="P3" s="22" t="s">
        <v>1097</v>
      </c>
      <c r="Q3" s="22" t="s">
        <v>341</v>
      </c>
      <c r="R3" s="22" t="s">
        <v>420</v>
      </c>
      <c r="S3" s="22" t="s">
        <v>421</v>
      </c>
      <c r="T3" s="22" t="s">
        <v>422</v>
      </c>
      <c r="U3" s="22" t="s">
        <v>464</v>
      </c>
    </row>
    <row r="4" spans="1:32">
      <c r="A4" s="15" t="s">
        <v>185</v>
      </c>
      <c r="C4" s="23" t="s">
        <v>82</v>
      </c>
      <c r="D4" s="23" t="s">
        <v>82</v>
      </c>
      <c r="E4" s="23" t="s">
        <v>82</v>
      </c>
      <c r="F4" s="23" t="s">
        <v>82</v>
      </c>
      <c r="G4" s="23" t="s">
        <v>82</v>
      </c>
      <c r="H4" s="23" t="s">
        <v>82</v>
      </c>
      <c r="I4" s="23" t="s">
        <v>82</v>
      </c>
      <c r="J4" s="23" t="s">
        <v>82</v>
      </c>
      <c r="K4" s="23" t="s">
        <v>82</v>
      </c>
      <c r="L4" s="23" t="s">
        <v>82</v>
      </c>
      <c r="M4" s="23" t="s">
        <v>82</v>
      </c>
      <c r="N4" s="23" t="s">
        <v>82</v>
      </c>
      <c r="O4" s="23" t="s">
        <v>82</v>
      </c>
      <c r="P4" s="23" t="s">
        <v>82</v>
      </c>
      <c r="Q4" s="23" t="s">
        <v>82</v>
      </c>
      <c r="R4" s="23" t="s">
        <v>82</v>
      </c>
      <c r="S4" s="23" t="s">
        <v>82</v>
      </c>
      <c r="T4" s="23" t="s">
        <v>82</v>
      </c>
      <c r="U4" s="23" t="s">
        <v>82</v>
      </c>
    </row>
    <row r="5" spans="1:32">
      <c r="C5" s="24"/>
      <c r="D5" s="24"/>
      <c r="E5" s="24"/>
      <c r="F5" s="24"/>
      <c r="G5" s="24"/>
      <c r="H5" s="24"/>
      <c r="I5" s="24"/>
      <c r="J5" s="24"/>
      <c r="K5" s="24"/>
      <c r="L5" s="24"/>
      <c r="M5" s="24"/>
      <c r="N5" s="24"/>
      <c r="O5" s="24"/>
      <c r="P5" s="24"/>
      <c r="Q5" s="24"/>
      <c r="R5" s="24"/>
      <c r="S5" s="24"/>
      <c r="T5" s="24"/>
      <c r="U5" s="24"/>
    </row>
    <row r="6" spans="1:32" ht="11.25" customHeight="1">
      <c r="A6" s="40" t="s">
        <v>186</v>
      </c>
      <c r="B6" s="40"/>
      <c r="C6" s="41">
        <f>'yrP&amp;L'!F8</f>
        <v>2859.96</v>
      </c>
      <c r="D6" s="41">
        <f>'yrP&amp;L'!G8</f>
        <v>3199.84</v>
      </c>
      <c r="E6" s="41">
        <f>'yrP&amp;L'!H8</f>
        <v>3470.5540000000001</v>
      </c>
      <c r="F6" s="41">
        <f>'yrP&amp;L'!I8</f>
        <v>3441.645</v>
      </c>
      <c r="G6" s="41">
        <f>'yrP&amp;L'!J8</f>
        <v>3423.973</v>
      </c>
      <c r="H6" s="41">
        <f>'yrP&amp;L_new'!B8</f>
        <v>3522.9139999999998</v>
      </c>
      <c r="I6" s="41">
        <f>'yrP&amp;L_new'!C8</f>
        <v>3669.6019999999999</v>
      </c>
      <c r="J6" s="41">
        <f>'yrP&amp;L_new'!D8</f>
        <v>3854.134</v>
      </c>
      <c r="K6" s="41">
        <f>'yrP&amp;L_new'!E8</f>
        <v>4077.034171070005</v>
      </c>
      <c r="L6" s="41">
        <f>'yrP&amp;L_new'!F8</f>
        <v>4427.5029999999997</v>
      </c>
      <c r="M6" s="41">
        <f>'yrP&amp;L_new'!G8</f>
        <v>4814.5039999999999</v>
      </c>
      <c r="N6" s="41">
        <f>'yrP&amp;L_new'!H8</f>
        <v>5098.9319999999998</v>
      </c>
      <c r="O6" s="41">
        <f>'yrP&amp;L_new'!I8</f>
        <v>5566.0379999999996</v>
      </c>
      <c r="P6" s="41">
        <f>'yrP&amp;L_new'!J8</f>
        <v>6084.7659999999996</v>
      </c>
      <c r="Q6" s="41">
        <f>'yrP&amp;L_new'!K8</f>
        <v>6587.3821933692661</v>
      </c>
      <c r="R6" s="41">
        <f>'yrP&amp;L_new'!L8</f>
        <v>7272.2060401899489</v>
      </c>
      <c r="S6" s="41">
        <f>'yrP&amp;L_new'!M8</f>
        <v>7996.9990572869638</v>
      </c>
      <c r="T6" s="41">
        <f>'yrP&amp;L_new'!N8</f>
        <v>8763.46040726315</v>
      </c>
      <c r="U6" s="41">
        <f>'yrP&amp;L_new'!O8</f>
        <v>9573.3682501034527</v>
      </c>
    </row>
    <row r="7" spans="1:32" outlineLevel="1">
      <c r="A7" s="40"/>
      <c r="B7" s="40"/>
      <c r="C7" s="42"/>
      <c r="D7" s="42"/>
      <c r="E7" s="42"/>
      <c r="F7" s="42"/>
      <c r="G7" s="42"/>
      <c r="H7" s="42"/>
      <c r="I7" s="42"/>
      <c r="J7" s="42"/>
      <c r="K7" s="42"/>
      <c r="L7" s="42"/>
      <c r="M7" s="42"/>
      <c r="N7" s="42"/>
      <c r="O7" s="42"/>
      <c r="P7" s="42"/>
      <c r="Q7" s="42"/>
      <c r="R7" s="42"/>
      <c r="S7" s="42"/>
      <c r="T7" s="42"/>
      <c r="U7" s="42"/>
    </row>
    <row r="8" spans="1:32" outlineLevel="1">
      <c r="A8" s="40" t="s">
        <v>187</v>
      </c>
      <c r="B8" s="40"/>
      <c r="C8" s="41">
        <f>'yrP&amp;L'!F11</f>
        <v>1765.4780000000001</v>
      </c>
      <c r="D8" s="41">
        <f>'yrP&amp;L'!G11</f>
        <v>1987.1590000000001</v>
      </c>
      <c r="E8" s="41">
        <f>'yrP&amp;L'!H11</f>
        <v>2183.2629999999999</v>
      </c>
      <c r="F8" s="41">
        <f>'yrP&amp;L'!I11</f>
        <v>2125.16</v>
      </c>
      <c r="G8" s="41">
        <f>'yrP&amp;L'!J11</f>
        <v>2095.364</v>
      </c>
      <c r="H8" s="41">
        <f>'yrP&amp;L_new'!B11</f>
        <v>2181.7069999999999</v>
      </c>
      <c r="I8" s="41">
        <f>'yrP&amp;L_new'!C11</f>
        <v>2252.346</v>
      </c>
      <c r="J8" s="41">
        <f>'yrP&amp;L_new'!D11</f>
        <v>2363.4639999999999</v>
      </c>
      <c r="K8" s="41">
        <f>'yrP&amp;L_new'!E11</f>
        <v>2497.9727558300101</v>
      </c>
      <c r="L8" s="41">
        <f>'yrP&amp;L_new'!F11</f>
        <v>2695.9569999999999</v>
      </c>
      <c r="M8" s="41">
        <f>'yrP&amp;L_new'!G11</f>
        <v>2900.819</v>
      </c>
      <c r="N8" s="41">
        <f>'yrP&amp;L_new'!H11</f>
        <v>3059.6409999999996</v>
      </c>
      <c r="O8" s="41">
        <f>'yrP&amp;L_new'!I11</f>
        <v>3297.373</v>
      </c>
      <c r="P8" s="41">
        <f>'yrP&amp;L_new'!J11</f>
        <v>3559.1579999999999</v>
      </c>
      <c r="Q8" s="41">
        <f>'yrP&amp;L_new'!K11</f>
        <v>3824.8103971044711</v>
      </c>
      <c r="R8" s="41">
        <f>'yrP&amp;L_new'!L11</f>
        <v>4225.1517093503599</v>
      </c>
      <c r="S8" s="41">
        <f>'yrP&amp;L_new'!M11</f>
        <v>4639.8588530378966</v>
      </c>
      <c r="T8" s="41">
        <f>'yrP&amp;L_new'!N11</f>
        <v>5078.4253060089959</v>
      </c>
      <c r="U8" s="41">
        <f>'yrP&amp;L_new'!O11</f>
        <v>5542.9802168098986</v>
      </c>
    </row>
    <row r="9" spans="1:32" outlineLevel="1">
      <c r="A9" s="40"/>
      <c r="B9" s="40"/>
      <c r="C9" s="42"/>
      <c r="D9" s="42"/>
      <c r="E9" s="42"/>
      <c r="F9" s="42"/>
      <c r="G9" s="42"/>
      <c r="H9" s="42"/>
      <c r="I9" s="42"/>
      <c r="J9" s="42"/>
      <c r="K9" s="42"/>
      <c r="L9" s="42"/>
      <c r="M9" s="42"/>
      <c r="N9" s="42"/>
      <c r="O9" s="42"/>
      <c r="P9" s="42"/>
      <c r="Q9" s="42"/>
      <c r="R9" s="42"/>
      <c r="S9" s="42"/>
      <c r="T9" s="42"/>
      <c r="U9" s="42"/>
    </row>
    <row r="10" spans="1:32">
      <c r="A10" s="40" t="s">
        <v>188</v>
      </c>
      <c r="B10" s="40"/>
      <c r="C10" s="41">
        <f t="shared" ref="C10:P10" si="0">C6-C8</f>
        <v>1094.482</v>
      </c>
      <c r="D10" s="41">
        <f t="shared" si="0"/>
        <v>1212.681</v>
      </c>
      <c r="E10" s="41">
        <f t="shared" si="0"/>
        <v>1287.2910000000002</v>
      </c>
      <c r="F10" s="41">
        <f t="shared" si="0"/>
        <v>1316.4850000000001</v>
      </c>
      <c r="G10" s="41">
        <f t="shared" si="0"/>
        <v>1328.6089999999999</v>
      </c>
      <c r="H10" s="41">
        <f t="shared" si="0"/>
        <v>1341.2069999999999</v>
      </c>
      <c r="I10" s="41">
        <f t="shared" si="0"/>
        <v>1417.2559999999999</v>
      </c>
      <c r="J10" s="41">
        <f t="shared" si="0"/>
        <v>1490.67</v>
      </c>
      <c r="K10" s="41">
        <f t="shared" si="0"/>
        <v>1579.0614152399949</v>
      </c>
      <c r="L10" s="41">
        <f t="shared" si="0"/>
        <v>1731.5459999999998</v>
      </c>
      <c r="M10" s="41">
        <f>M6-M8</f>
        <v>1913.6849999999999</v>
      </c>
      <c r="N10" s="41">
        <f t="shared" si="0"/>
        <v>2039.2910000000002</v>
      </c>
      <c r="O10" s="41">
        <f t="shared" si="0"/>
        <v>2268.6649999999995</v>
      </c>
      <c r="P10" s="41">
        <f t="shared" si="0"/>
        <v>2525.6079999999997</v>
      </c>
      <c r="Q10" s="41">
        <f>Q6-Q8</f>
        <v>2762.571796264795</v>
      </c>
      <c r="R10" s="41">
        <f>R6-R8</f>
        <v>3047.0543308395891</v>
      </c>
      <c r="S10" s="41">
        <f>S6-S8</f>
        <v>3357.1402042490672</v>
      </c>
      <c r="T10" s="41">
        <f>T6-T8</f>
        <v>3685.0351012541541</v>
      </c>
      <c r="U10" s="41">
        <f>U6-U8</f>
        <v>4030.3880332935541</v>
      </c>
      <c r="X10" s="2194"/>
      <c r="Y10" s="2197" t="s">
        <v>976</v>
      </c>
      <c r="Z10" s="2197" t="s">
        <v>604</v>
      </c>
      <c r="AA10" s="2197" t="s">
        <v>615</v>
      </c>
      <c r="AB10" s="2197"/>
    </row>
    <row r="11" spans="1:32">
      <c r="A11" s="40" t="s">
        <v>189</v>
      </c>
      <c r="B11" s="40"/>
      <c r="C11" s="43">
        <f>'yrP&amp;L'!F14</f>
        <v>900.05899999999997</v>
      </c>
      <c r="D11" s="43">
        <f>'yrP&amp;L'!G14</f>
        <v>957.75900000000001</v>
      </c>
      <c r="E11" s="43">
        <f>'yrP&amp;L'!H14</f>
        <v>1051.922</v>
      </c>
      <c r="F11" s="43">
        <f>'yrP&amp;L'!I14</f>
        <v>1062.4680000000001</v>
      </c>
      <c r="G11" s="43">
        <f>'yrP&amp;L'!J14</f>
        <v>1090.829</v>
      </c>
      <c r="H11" s="43">
        <f>'yrP&amp;L_new'!B14</f>
        <v>1113.96</v>
      </c>
      <c r="I11" s="43">
        <f>'yrP&amp;L_new'!C14</f>
        <v>1156.6130000000001</v>
      </c>
      <c r="J11" s="43">
        <f>'yrP&amp;L_new'!D14</f>
        <v>1215.7739999999999</v>
      </c>
      <c r="K11" s="43">
        <f>'yrP&amp;L_new'!E14</f>
        <v>1289.1741698830001</v>
      </c>
      <c r="L11" s="43">
        <f>'yrP&amp;L_new'!F14</f>
        <v>1391.788</v>
      </c>
      <c r="M11" s="43">
        <f>'yrP&amp;L_new'!G14</f>
        <v>1511.6480000000001</v>
      </c>
      <c r="N11" s="43">
        <f>'yrP&amp;L_new'!H14</f>
        <v>1597.7180000000001</v>
      </c>
      <c r="O11" s="43">
        <f>'yrP&amp;L_new'!I14</f>
        <v>1723.251</v>
      </c>
      <c r="P11" s="43">
        <f>'yrP&amp;L_new'!J14</f>
        <v>1863.5</v>
      </c>
      <c r="Q11" s="43">
        <f>'yrP&amp;L_new'!K14</f>
        <v>2016.433830767297</v>
      </c>
      <c r="R11" s="43">
        <f>'yrP&amp;L_new'!L14</f>
        <v>2226.0222689021434</v>
      </c>
      <c r="S11" s="43">
        <f>'yrP&amp;L_new'!M14</f>
        <v>2455.0787105870977</v>
      </c>
      <c r="T11" s="43">
        <f>'yrP&amp;L_new'!N14</f>
        <v>2691.2586910705131</v>
      </c>
      <c r="U11" s="43">
        <f>'yrP&amp;L_new'!O14</f>
        <v>2945.7254105568322</v>
      </c>
      <c r="X11" s="2194" t="s">
        <v>249</v>
      </c>
      <c r="Y11" s="2194">
        <v>23</v>
      </c>
      <c r="Z11" s="2195">
        <f>R104</f>
        <v>7.9007442145960569</v>
      </c>
      <c r="AA11" s="2230">
        <f>Z11*Y11</f>
        <v>181.7171169357093</v>
      </c>
      <c r="AB11" s="2197"/>
    </row>
    <row r="12" spans="1:32">
      <c r="A12" s="40" t="s">
        <v>399</v>
      </c>
      <c r="B12" s="40"/>
      <c r="C12" s="43">
        <f>'yrP&amp;L'!F$20</f>
        <v>-10.335000000000001</v>
      </c>
      <c r="D12" s="43">
        <f>'yrP&amp;L'!G$20</f>
        <v>-14.619</v>
      </c>
      <c r="E12" s="43">
        <f>'yrP&amp;L'!H$20</f>
        <v>-8.4480000000000004</v>
      </c>
      <c r="F12" s="43">
        <f>'yrP&amp;L'!I$20</f>
        <v>-6.18</v>
      </c>
      <c r="G12" s="43">
        <f>'yrP&amp;L'!J$20</f>
        <v>-12.861000000000001</v>
      </c>
      <c r="H12" s="43">
        <f>'yrP&amp;L_new'!B37</f>
        <v>-47.475000000000001</v>
      </c>
      <c r="I12" s="43">
        <f>'yrP&amp;L_new'!C37</f>
        <v>-42.832999999999998</v>
      </c>
      <c r="J12" s="43">
        <f>'yrP&amp;L_new'!D37</f>
        <v>-43.338999999999999</v>
      </c>
      <c r="K12" s="43">
        <f>'yrP&amp;L_new'!E37</f>
        <v>-42.24</v>
      </c>
      <c r="L12" s="43">
        <f>'yrP&amp;L_new'!F37</f>
        <v>-43.423000000000002</v>
      </c>
      <c r="M12" s="43">
        <f>'yrP&amp;L_new'!G37</f>
        <v>-45.882999999999996</v>
      </c>
      <c r="N12" s="43">
        <f>'yrP&amp;L_new'!H37</f>
        <v>-36.773000000000003</v>
      </c>
      <c r="O12" s="43">
        <f>'yrP&amp;L_new'!I37</f>
        <v>-35.747</v>
      </c>
      <c r="P12" s="43">
        <f>'yrP&amp;L_new'!J37</f>
        <v>-34.164000000000001</v>
      </c>
      <c r="Q12" s="43">
        <f>'yrP&amp;L_new'!K37</f>
        <v>-36.230602063530966</v>
      </c>
      <c r="R12" s="43">
        <f>'yrP&amp;L_new'!L37</f>
        <v>-36.230602063530966</v>
      </c>
      <c r="S12" s="43">
        <f>'yrP&amp;L_new'!M37</f>
        <v>-36.230602063530966</v>
      </c>
      <c r="T12" s="43">
        <f>'yrP&amp;L_new'!N37</f>
        <v>-36.230602063530966</v>
      </c>
      <c r="U12" s="43">
        <f>'yrP&amp;L_new'!O37</f>
        <v>-36.230602063530966</v>
      </c>
      <c r="X12" s="2194" t="s">
        <v>250</v>
      </c>
      <c r="Y12" s="2194">
        <v>22</v>
      </c>
      <c r="Z12" s="2195">
        <f>R38</f>
        <v>6.6030690697229266</v>
      </c>
      <c r="AA12" s="2196">
        <f>Z12*Y12</f>
        <v>145.26751953390439</v>
      </c>
      <c r="AB12" s="2198"/>
    </row>
    <row r="13" spans="1:32">
      <c r="A13" s="40" t="s">
        <v>190</v>
      </c>
      <c r="B13" s="40"/>
      <c r="C13" s="43">
        <f>'yrP&amp;L'!G26</f>
        <v>89.093000000000004</v>
      </c>
      <c r="D13" s="43">
        <f>'yrP&amp;L'!H26</f>
        <v>107.15299999999999</v>
      </c>
      <c r="E13" s="43">
        <f>'yrP&amp;L'!I26</f>
        <v>174.08699999999999</v>
      </c>
      <c r="F13" s="43">
        <f>'yrP&amp;L'!J26</f>
        <v>166.666</v>
      </c>
      <c r="G13" s="43">
        <f>'yrP&amp;L'!K26</f>
        <v>159.607</v>
      </c>
      <c r="H13" s="43">
        <f>'yrP&amp;L_new'!B33</f>
        <v>156.38800000000001</v>
      </c>
      <c r="I13" s="43">
        <f>'yrP&amp;L_new'!C33</f>
        <v>146.75899999999999</v>
      </c>
      <c r="J13" s="43">
        <f>'yrP&amp;L_new'!D33</f>
        <v>153.07</v>
      </c>
      <c r="K13" s="43">
        <f>'yrP&amp;L_new'!E33</f>
        <v>166.79874882999997</v>
      </c>
      <c r="L13" s="43">
        <f>'yrP&amp;L_new'!F33</f>
        <v>168.19400000000002</v>
      </c>
      <c r="M13" s="43">
        <f>'yrP&amp;L_new'!G33</f>
        <v>167.58</v>
      </c>
      <c r="N13" s="43">
        <f>'yrP&amp;L_new'!H33</f>
        <v>172.09900000000002</v>
      </c>
      <c r="O13" s="43">
        <f>'yrP&amp;L_new'!I33</f>
        <v>183.58600000000001</v>
      </c>
      <c r="P13" s="43">
        <f>'yrP&amp;L_new'!J33</f>
        <v>201.10300000000001</v>
      </c>
      <c r="Q13" s="43">
        <f>'yrP&amp;L_new'!K33</f>
        <v>225.71548000000001</v>
      </c>
      <c r="R13" s="43">
        <f>'yrP&amp;L_new'!L33</f>
        <v>249.18084738921414</v>
      </c>
      <c r="S13" s="43">
        <f>'yrP&amp;L_new'!M33</f>
        <v>274.01575129373856</v>
      </c>
      <c r="T13" s="43">
        <f>'yrP&amp;L_new'!N33</f>
        <v>300.27841321814662</v>
      </c>
      <c r="U13" s="43">
        <f>'yrP&amp;L_new'!O33</f>
        <v>328.0297614982685</v>
      </c>
      <c r="X13" s="2194" t="s">
        <v>251</v>
      </c>
      <c r="Y13" s="2194">
        <v>16</v>
      </c>
      <c r="Z13" s="2195">
        <f>R173</f>
        <v>5.7474295859344764</v>
      </c>
      <c r="AA13" s="2230">
        <f>Z13*Y13</f>
        <v>91.958873374951622</v>
      </c>
      <c r="AB13" s="2194"/>
    </row>
    <row r="14" spans="1:32" outlineLevel="1">
      <c r="A14" s="40" t="s">
        <v>368</v>
      </c>
      <c r="B14" s="40"/>
      <c r="C14" s="43">
        <v>0</v>
      </c>
      <c r="D14" s="43">
        <v>0</v>
      </c>
      <c r="E14" s="43">
        <v>0</v>
      </c>
      <c r="F14" s="43">
        <v>0</v>
      </c>
      <c r="G14" s="43">
        <v>0</v>
      </c>
      <c r="H14" s="43">
        <f>'yrP&amp;L_new'!B30</f>
        <v>78.865380052422509</v>
      </c>
      <c r="I14" s="43">
        <f>'yrP&amp;L_new'!C30</f>
        <v>4.2811663390198724</v>
      </c>
      <c r="J14" s="43">
        <f>'yrP&amp;L_new'!D30</f>
        <v>46.939380041794088</v>
      </c>
      <c r="K14" s="43">
        <f>'yrP&amp;L_new'!E30</f>
        <v>21.749788529892278</v>
      </c>
      <c r="L14" s="43">
        <f>'yrP&amp;L_new'!F30</f>
        <v>54.897762501120823</v>
      </c>
      <c r="M14" s="43">
        <f>'yrP&amp;L_new'!G30</f>
        <v>82.280647521738487</v>
      </c>
      <c r="N14" s="43">
        <f>'yrP&amp;L_new'!H30</f>
        <v>8.3729999999999993</v>
      </c>
      <c r="O14" s="43">
        <f>'yrP&amp;L_new'!I30</f>
        <v>8.202</v>
      </c>
      <c r="P14" s="43">
        <f>'yrP&amp;L_new'!J30</f>
        <v>7.4120000000000008</v>
      </c>
      <c r="Q14" s="43">
        <f>'yrP&amp;L_new'!K30</f>
        <v>0</v>
      </c>
      <c r="R14" s="43">
        <f>'yrP&amp;L_new'!L30</f>
        <v>0</v>
      </c>
      <c r="S14" s="43">
        <f>'yrP&amp;L_new'!M30</f>
        <v>0</v>
      </c>
      <c r="T14" s="43">
        <f>'yrP&amp;L_new'!N30</f>
        <v>0</v>
      </c>
      <c r="U14" s="43">
        <f>'yrP&amp;L_new'!O30</f>
        <v>0</v>
      </c>
    </row>
    <row r="15" spans="1:32" outlineLevel="1">
      <c r="A15" s="40" t="s">
        <v>1099</v>
      </c>
      <c r="B15" s="40"/>
      <c r="C15" s="43"/>
      <c r="D15" s="43"/>
      <c r="E15" s="43"/>
      <c r="F15" s="43"/>
      <c r="G15" s="43"/>
      <c r="H15" s="43"/>
      <c r="I15" s="43">
        <f>'yrP&amp;L_new'!C74</f>
        <v>5.9849999999999994</v>
      </c>
      <c r="J15" s="43">
        <f>'yrP&amp;L_new'!D74</f>
        <v>43.702000000000005</v>
      </c>
      <c r="K15" s="43">
        <f>'yrP&amp;L_new'!E74</f>
        <v>22.894999999999996</v>
      </c>
      <c r="L15" s="43">
        <f>'yrP&amp;L_new'!F74</f>
        <v>55.404999999999994</v>
      </c>
      <c r="M15" s="43">
        <f>'yrP&amp;L_new'!G74</f>
        <v>82.425000000000011</v>
      </c>
      <c r="N15" s="43">
        <f>'yrP&amp;L_new'!H74</f>
        <v>13.985000000000001</v>
      </c>
      <c r="O15" s="43">
        <f>'yrP&amp;L_new'!I74</f>
        <v>11.645</v>
      </c>
      <c r="P15" s="43">
        <f>'yrP&amp;L_new'!J74</f>
        <v>7.3629999999999987</v>
      </c>
      <c r="Q15" s="43">
        <f>'yrP&amp;L_new'!K74</f>
        <v>-4.9000000000000002E-2</v>
      </c>
      <c r="R15" s="43">
        <f>'yrP&amp;L_new'!L74</f>
        <v>-4.9000000000000002E-2</v>
      </c>
      <c r="S15" s="43">
        <f>'yrP&amp;L_new'!M74</f>
        <v>-4.9000000000000002E-2</v>
      </c>
      <c r="T15" s="43">
        <f>'yrP&amp;L_new'!N74</f>
        <v>-4.9000000000000002E-2</v>
      </c>
      <c r="U15" s="43">
        <f>'yrP&amp;L_new'!O74</f>
        <v>-4.9000000000000002E-2</v>
      </c>
    </row>
    <row r="16" spans="1:32">
      <c r="A16" s="44" t="s">
        <v>191</v>
      </c>
      <c r="B16" s="40"/>
      <c r="C16" s="41">
        <f>C10-C11-C13-C12-C14</f>
        <v>115.66499999999999</v>
      </c>
      <c r="D16" s="41">
        <f t="shared" ref="D16:Q16" si="1">D10-D11-D13-D12-D14</f>
        <v>162.38800000000003</v>
      </c>
      <c r="E16" s="41">
        <f t="shared" si="1"/>
        <v>69.73000000000016</v>
      </c>
      <c r="F16" s="41">
        <f t="shared" si="1"/>
        <v>93.531000000000063</v>
      </c>
      <c r="G16" s="41">
        <f t="shared" si="1"/>
        <v>91.033999999999978</v>
      </c>
      <c r="H16" s="41">
        <f t="shared" si="1"/>
        <v>39.468619947577324</v>
      </c>
      <c r="I16" s="41">
        <f t="shared" si="1"/>
        <v>152.43583366097994</v>
      </c>
      <c r="J16" s="41">
        <f t="shared" si="1"/>
        <v>118.2256199582061</v>
      </c>
      <c r="K16" s="41">
        <f t="shared" si="1"/>
        <v>143.57870799710253</v>
      </c>
      <c r="L16" s="41">
        <f t="shared" si="1"/>
        <v>160.08923749887896</v>
      </c>
      <c r="M16" s="41">
        <f>M10-M11-M13-M12-M14</f>
        <v>198.0593524782613</v>
      </c>
      <c r="N16" s="41">
        <f t="shared" si="1"/>
        <v>297.87400000000008</v>
      </c>
      <c r="O16" s="41">
        <f t="shared" si="1"/>
        <v>389.37299999999954</v>
      </c>
      <c r="P16" s="41">
        <f t="shared" si="1"/>
        <v>487.75699999999972</v>
      </c>
      <c r="Q16" s="2256">
        <f t="shared" si="1"/>
        <v>556.653087561029</v>
      </c>
      <c r="R16" s="41">
        <f>R10-R11-R13-R12-R14</f>
        <v>608.08181661176241</v>
      </c>
      <c r="S16" s="41">
        <f>S10-S11-S13-S12-S14</f>
        <v>664.27634443176203</v>
      </c>
      <c r="T16" s="41">
        <f>T10-T11-T13-T12-T14</f>
        <v>729.72859902902542</v>
      </c>
      <c r="U16" s="41">
        <f>U10-U11-U13-U12-U14</f>
        <v>792.86346330198444</v>
      </c>
      <c r="AF16" s="2234"/>
    </row>
    <row r="17" spans="1:32">
      <c r="A17" s="40" t="s">
        <v>199</v>
      </c>
      <c r="B17" s="40"/>
      <c r="C17" s="43">
        <f>'yrP&amp;L'!F35</f>
        <v>5.8630000000000004</v>
      </c>
      <c r="D17" s="43">
        <f>'yrP&amp;L'!G35</f>
        <v>7.3339999999999996</v>
      </c>
      <c r="E17" s="43">
        <f>'yrP&amp;L'!H35</f>
        <v>22.702000000000002</v>
      </c>
      <c r="F17" s="43">
        <f>'yrP&amp;L'!I35</f>
        <v>134.31299999999999</v>
      </c>
      <c r="G17" s="43">
        <f>'yrP&amp;L'!J35</f>
        <v>132.99299999999999</v>
      </c>
      <c r="H17" s="43">
        <f>'yrP&amp;L_new'!B43</f>
        <v>84.423000000000002</v>
      </c>
      <c r="I17" s="43">
        <f>'yrP&amp;L_new'!C43</f>
        <v>99.308999999999997</v>
      </c>
      <c r="J17" s="43">
        <f>'yrP&amp;L_new'!D43</f>
        <v>129.12100000000001</v>
      </c>
      <c r="K17" s="43">
        <f>'yrP&amp;L_new'!E43</f>
        <v>111.770626154</v>
      </c>
      <c r="L17" s="43">
        <f>'yrP&amp;L_new'!F43</f>
        <v>127.73899999999999</v>
      </c>
      <c r="M17" s="43">
        <f>'yrP&amp;L_new'!G43</f>
        <v>83.74499999999999</v>
      </c>
      <c r="N17" s="43">
        <f>'yrP&amp;L_new'!H43</f>
        <v>59.000000000000007</v>
      </c>
      <c r="O17" s="43">
        <f>'yrP&amp;L_new'!I43</f>
        <v>56.161000000000001</v>
      </c>
      <c r="P17" s="43">
        <f>'yrP&amp;L_new'!J43</f>
        <v>58.777000000000001</v>
      </c>
      <c r="Q17" s="43">
        <f>'yrP&amp;L_new'!K43</f>
        <v>60</v>
      </c>
      <c r="R17" s="43">
        <f>'yrP&amp;L_new'!L43</f>
        <v>55</v>
      </c>
      <c r="S17" s="43">
        <f>'yrP&amp;L_new'!M43</f>
        <v>50</v>
      </c>
      <c r="T17" s="43">
        <f>'yrP&amp;L_new'!N43</f>
        <v>45</v>
      </c>
      <c r="U17" s="43">
        <f>'yrP&amp;L_new'!O43</f>
        <v>40</v>
      </c>
      <c r="W17" s="2255"/>
      <c r="AF17" s="2234"/>
    </row>
    <row r="18" spans="1:32">
      <c r="A18" s="44" t="s">
        <v>192</v>
      </c>
      <c r="B18" s="40"/>
      <c r="C18" s="41">
        <f>C16-C17</f>
        <v>109.80199999999999</v>
      </c>
      <c r="D18" s="41">
        <f t="shared" ref="D18:Q18" si="2">D16-D17</f>
        <v>155.05400000000003</v>
      </c>
      <c r="E18" s="41">
        <f t="shared" si="2"/>
        <v>47.028000000000162</v>
      </c>
      <c r="F18" s="41">
        <f t="shared" si="2"/>
        <v>-40.781999999999925</v>
      </c>
      <c r="G18" s="41">
        <f t="shared" si="2"/>
        <v>-41.959000000000017</v>
      </c>
      <c r="H18" s="41">
        <f t="shared" si="2"/>
        <v>-44.954380052422678</v>
      </c>
      <c r="I18" s="41">
        <f t="shared" si="2"/>
        <v>53.126833660979941</v>
      </c>
      <c r="J18" s="41">
        <f t="shared" si="2"/>
        <v>-10.895380041793914</v>
      </c>
      <c r="K18" s="41">
        <f t="shared" si="2"/>
        <v>31.808081843102528</v>
      </c>
      <c r="L18" s="41">
        <f t="shared" si="2"/>
        <v>32.350237498878968</v>
      </c>
      <c r="M18" s="41">
        <f>M16-M17</f>
        <v>114.31435247826131</v>
      </c>
      <c r="N18" s="41">
        <f t="shared" si="2"/>
        <v>238.87400000000008</v>
      </c>
      <c r="O18" s="41">
        <f t="shared" si="2"/>
        <v>333.21199999999953</v>
      </c>
      <c r="P18" s="41">
        <f t="shared" si="2"/>
        <v>428.97999999999973</v>
      </c>
      <c r="Q18" s="41">
        <f t="shared" si="2"/>
        <v>496.653087561029</v>
      </c>
      <c r="R18" s="41">
        <f>R16-R17</f>
        <v>553.08181661176241</v>
      </c>
      <c r="S18" s="41">
        <f>S16-S17</f>
        <v>614.27634443176203</v>
      </c>
      <c r="T18" s="41">
        <f>T16-T17</f>
        <v>684.72859902902542</v>
      </c>
      <c r="U18" s="41">
        <f>U16-U17</f>
        <v>752.86346330198444</v>
      </c>
      <c r="AD18" s="2234"/>
    </row>
    <row r="19" spans="1:32">
      <c r="A19" s="40"/>
      <c r="B19" s="40"/>
      <c r="C19" s="42"/>
      <c r="D19" s="42"/>
      <c r="E19" s="42"/>
      <c r="F19" s="42"/>
      <c r="G19" s="42"/>
      <c r="H19" s="42"/>
      <c r="I19" s="42"/>
      <c r="J19" s="42"/>
      <c r="K19" s="42"/>
      <c r="L19" s="42"/>
      <c r="M19" s="42"/>
      <c r="N19" s="42"/>
      <c r="O19" s="47"/>
      <c r="P19" s="47"/>
      <c r="Q19" s="42"/>
      <c r="R19" s="42"/>
      <c r="S19" s="42"/>
      <c r="T19" s="42"/>
      <c r="U19" s="42"/>
    </row>
    <row r="20" spans="1:32">
      <c r="A20" s="40" t="s">
        <v>193</v>
      </c>
      <c r="B20" s="40"/>
      <c r="C20" s="43">
        <f>'yrP&amp;L'!F41</f>
        <v>42.640999999999998</v>
      </c>
      <c r="D20" s="43">
        <f>'yrP&amp;L'!G41</f>
        <v>66.506049999999988</v>
      </c>
      <c r="E20" s="43">
        <f>'yrP&amp;L'!H41</f>
        <v>46.789000000000001</v>
      </c>
      <c r="F20" s="43">
        <f>'yrP&amp;L'!I41</f>
        <v>-16.389230000000001</v>
      </c>
      <c r="G20" s="43">
        <f>'yrP&amp;L'!J41</f>
        <v>-16.464399999999998</v>
      </c>
      <c r="H20" s="43">
        <f>'yrP&amp;L_new'!B49</f>
        <v>-29.753</v>
      </c>
      <c r="I20" s="43">
        <f>'yrP&amp;L_new'!C49</f>
        <v>22.13</v>
      </c>
      <c r="J20" s="43">
        <f>'yrP&amp;L_new'!D49</f>
        <v>-4.1479999999999997</v>
      </c>
      <c r="K20" s="43">
        <f>'yrP&amp;L_new'!E49</f>
        <v>3.8626241200000031</v>
      </c>
      <c r="L20" s="43">
        <f>'yrP&amp;L_new'!F49</f>
        <v>16.207999999999995</v>
      </c>
      <c r="M20" s="43">
        <f>'yrP&amp;L_new'!G49</f>
        <v>39.081000000000003</v>
      </c>
      <c r="N20" s="43">
        <f>'yrP&amp;L_new'!H49</f>
        <v>88.391999999999996</v>
      </c>
      <c r="O20" s="43">
        <f>'yrP&amp;L_new'!I49</f>
        <v>117.339</v>
      </c>
      <c r="P20" s="43">
        <f>'yrP&amp;L_new'!J49</f>
        <v>137.31555400000002</v>
      </c>
      <c r="Q20" s="43">
        <f>'yrP&amp;L_new'!K49</f>
        <v>116.81044059227676</v>
      </c>
      <c r="R20" s="43">
        <f>'yrP&amp;L_new'!L49</f>
        <v>130.08220889003937</v>
      </c>
      <c r="S20" s="43">
        <f>'yrP&amp;L_new'!M49</f>
        <v>144.47487035841718</v>
      </c>
      <c r="T20" s="43">
        <f>'yrP&amp;L_new'!N49</f>
        <v>161.04490506944541</v>
      </c>
      <c r="U20" s="43">
        <f>'yrP&amp;L_new'!O49</f>
        <v>177.06990061412995</v>
      </c>
    </row>
    <row r="21" spans="1:32" hidden="1" outlineLevel="1">
      <c r="A21" s="40"/>
      <c r="B21" s="40"/>
      <c r="C21" s="42"/>
      <c r="D21" s="42"/>
      <c r="E21" s="42"/>
      <c r="F21" s="42"/>
      <c r="G21" s="42"/>
      <c r="H21" s="42"/>
      <c r="I21" s="42"/>
      <c r="J21" s="42"/>
      <c r="K21" s="42"/>
      <c r="L21" s="42"/>
      <c r="M21" s="42"/>
      <c r="N21" s="42"/>
      <c r="O21" s="42"/>
      <c r="P21" s="42"/>
      <c r="Q21" s="42"/>
      <c r="R21" s="42"/>
      <c r="S21" s="42"/>
      <c r="T21" s="42"/>
      <c r="U21" s="42"/>
    </row>
    <row r="22" spans="1:32" hidden="1" outlineLevel="1">
      <c r="A22" s="40" t="s">
        <v>154</v>
      </c>
      <c r="B22" s="40"/>
      <c r="C22" s="43">
        <v>0</v>
      </c>
      <c r="D22" s="43">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row>
    <row r="23" spans="1:32" collapsed="1">
      <c r="A23" s="40"/>
      <c r="B23" s="40"/>
      <c r="C23" s="42"/>
      <c r="D23" s="42"/>
      <c r="E23" s="42"/>
      <c r="F23" s="42"/>
      <c r="G23" s="42"/>
      <c r="H23" s="42"/>
      <c r="I23" s="42"/>
      <c r="J23" s="42"/>
      <c r="K23" s="42"/>
      <c r="L23" s="42"/>
      <c r="M23" s="42"/>
      <c r="N23" s="42"/>
      <c r="O23" s="42"/>
      <c r="P23" s="42"/>
      <c r="Q23" s="42"/>
      <c r="R23" s="42"/>
      <c r="S23" s="42"/>
      <c r="T23" s="42"/>
      <c r="U23" s="42"/>
      <c r="AD23" s="2234"/>
    </row>
    <row r="24" spans="1:32">
      <c r="A24" s="40" t="s">
        <v>194</v>
      </c>
      <c r="B24" s="40"/>
      <c r="C24" s="45">
        <f t="shared" ref="C24:Q24" si="3">C18-C20-C22</f>
        <v>67.161000000000001</v>
      </c>
      <c r="D24" s="45">
        <f t="shared" si="3"/>
        <v>88.547950000000043</v>
      </c>
      <c r="E24" s="45">
        <f t="shared" si="3"/>
        <v>0.23900000000016064</v>
      </c>
      <c r="F24" s="45">
        <f t="shared" si="3"/>
        <v>-24.392769999999924</v>
      </c>
      <c r="G24" s="45">
        <f t="shared" si="3"/>
        <v>-25.49460000000002</v>
      </c>
      <c r="H24" s="45">
        <f t="shared" si="3"/>
        <v>-15.201380052422678</v>
      </c>
      <c r="I24" s="45">
        <f t="shared" si="3"/>
        <v>30.996833660979942</v>
      </c>
      <c r="J24" s="45">
        <f t="shared" si="3"/>
        <v>-6.7473800417939138</v>
      </c>
      <c r="K24" s="45">
        <f t="shared" si="3"/>
        <v>27.945457723102525</v>
      </c>
      <c r="L24" s="45">
        <f t="shared" si="3"/>
        <v>16.142237498878973</v>
      </c>
      <c r="M24" s="45">
        <f t="shared" si="3"/>
        <v>75.23335247826131</v>
      </c>
      <c r="N24" s="45">
        <f t="shared" si="3"/>
        <v>150.48200000000008</v>
      </c>
      <c r="O24" s="45">
        <f t="shared" si="3"/>
        <v>215.87299999999954</v>
      </c>
      <c r="P24" s="45">
        <f t="shared" si="3"/>
        <v>291.66444599999971</v>
      </c>
      <c r="Q24" s="45">
        <f t="shared" si="3"/>
        <v>379.84264696875221</v>
      </c>
      <c r="R24" s="45">
        <f>R18-R20-R22</f>
        <v>422.99960772172301</v>
      </c>
      <c r="S24" s="45">
        <f>S18-S20-S22</f>
        <v>469.80147407334482</v>
      </c>
      <c r="T24" s="45">
        <f>T18-T20-T22</f>
        <v>523.68369395958007</v>
      </c>
      <c r="U24" s="45">
        <f>U18-U20-U22</f>
        <v>575.79356268785455</v>
      </c>
    </row>
    <row r="25" spans="1:32">
      <c r="A25" s="40"/>
      <c r="B25" s="40"/>
      <c r="C25" s="42"/>
      <c r="D25" s="42"/>
      <c r="E25" s="42"/>
      <c r="F25" s="42"/>
      <c r="G25" s="42"/>
      <c r="H25" s="42"/>
      <c r="I25" s="42"/>
      <c r="J25" s="42"/>
      <c r="K25" s="42"/>
      <c r="L25" s="42"/>
      <c r="M25" s="42"/>
      <c r="N25" s="42"/>
      <c r="O25" s="42"/>
      <c r="P25" s="42"/>
      <c r="Q25" s="42"/>
      <c r="R25" s="42"/>
      <c r="S25" s="42"/>
      <c r="T25" s="42"/>
      <c r="U25" s="42"/>
      <c r="X25" s="24"/>
      <c r="Y25" s="24"/>
      <c r="Z25" s="24"/>
      <c r="AA25" s="24"/>
      <c r="AB25" s="24"/>
    </row>
    <row r="26" spans="1:32" s="24" customFormat="1" hidden="1" outlineLevel="1">
      <c r="A26" s="19" t="s">
        <v>200</v>
      </c>
      <c r="B26" s="19"/>
      <c r="C26" s="21">
        <f>C24/C27</f>
        <v>1.5035501029567244</v>
      </c>
      <c r="D26" s="21" t="str">
        <f t="shared" ref="D26:J26" si="4">IF(ISERROR(D24/D27),"NA",D24/D27)</f>
        <v>NA</v>
      </c>
      <c r="E26" s="21" t="str">
        <f t="shared" si="4"/>
        <v>NA</v>
      </c>
      <c r="F26" s="21" t="str">
        <f t="shared" si="4"/>
        <v>NA</v>
      </c>
      <c r="G26" s="21" t="str">
        <f t="shared" si="4"/>
        <v>NA</v>
      </c>
      <c r="H26" s="21">
        <f t="shared" si="4"/>
        <v>-0.2125828541960525</v>
      </c>
      <c r="I26" s="21">
        <f t="shared" si="4"/>
        <v>0.43347349700932086</v>
      </c>
      <c r="J26" s="21">
        <f t="shared" si="4"/>
        <v>-9.4358361062187271E-2</v>
      </c>
      <c r="K26" s="21">
        <f t="shared" ref="K26:Q26" si="5">+K24/K27</f>
        <v>0.39080169985260427</v>
      </c>
      <c r="L26" s="21">
        <f t="shared" si="5"/>
        <v>0.21737836045583786</v>
      </c>
      <c r="M26" s="21">
        <f>+M24/M27</f>
        <v>0.99167405889753268</v>
      </c>
      <c r="N26" s="21">
        <f t="shared" si="5"/>
        <v>1.9946449637474661</v>
      </c>
      <c r="O26" s="21">
        <f t="shared" si="5"/>
        <v>3.0098994715634126</v>
      </c>
      <c r="P26" s="21">
        <f t="shared" si="5"/>
        <v>4.1495624573184573</v>
      </c>
      <c r="Q26" s="21">
        <f t="shared" si="5"/>
        <v>5.5953840608198018</v>
      </c>
      <c r="R26" s="21">
        <f>+R24/R27</f>
        <v>6.3701384679451518</v>
      </c>
      <c r="S26" s="21">
        <f>+S24/S27</f>
        <v>7.2305018336218465</v>
      </c>
      <c r="T26" s="21">
        <f>+T24/T27</f>
        <v>8.2286363127484012</v>
      </c>
      <c r="U26" s="21">
        <f>+U24/U27</f>
        <v>9.0474381257816088</v>
      </c>
      <c r="X26" s="4"/>
      <c r="Y26" s="4"/>
      <c r="Z26" s="4"/>
      <c r="AA26" s="4"/>
      <c r="AB26" s="4"/>
    </row>
    <row r="27" spans="1:32" hidden="1" outlineLevel="1">
      <c r="A27" s="1554" t="s">
        <v>197</v>
      </c>
      <c r="B27" s="1554"/>
      <c r="C27" s="1555">
        <f>'yrP&amp;L'!F58</f>
        <v>44.668281999999998</v>
      </c>
      <c r="D27" s="1555" t="str">
        <f>'yrP&amp;L'!G58</f>
        <v>NA</v>
      </c>
      <c r="E27" s="1555" t="str">
        <f>'yrP&amp;L'!H58</f>
        <v>NA</v>
      </c>
      <c r="F27" s="1555" t="str">
        <f>'yrP&amp;L'!I58</f>
        <v>NA</v>
      </c>
      <c r="G27" s="1555" t="str">
        <f>'yrP&amp;L'!J58</f>
        <v>NA</v>
      </c>
      <c r="H27" s="1555">
        <f>'yrP&amp;L'!L58</f>
        <v>71.508025000000004</v>
      </c>
      <c r="I27" s="1555">
        <f>'yrP&amp;L_new'!C58</f>
        <v>71.508025000000004</v>
      </c>
      <c r="J27" s="1555">
        <f>'yrP&amp;L_new'!D58</f>
        <v>71.508025000000004</v>
      </c>
      <c r="K27" s="1555">
        <f>'yrP&amp;L_new'!E58</f>
        <v>71.508025000000004</v>
      </c>
      <c r="L27" s="1555">
        <f>'yrP&amp;L_new'!F58</f>
        <v>74.258713999999998</v>
      </c>
      <c r="M27" s="1555">
        <f>'yrP&amp;L_new'!G58</f>
        <v>75.864999999999995</v>
      </c>
      <c r="N27" s="1555">
        <f>'yrP&amp;L_new'!H58</f>
        <v>75.442999999999998</v>
      </c>
      <c r="O27" s="1555">
        <f>'yrP&amp;L_new'!I58</f>
        <v>71.721000000000004</v>
      </c>
      <c r="P27" s="1555">
        <f>'yrP&amp;L_new'!J58</f>
        <v>70.287999999999997</v>
      </c>
      <c r="Q27" s="1555">
        <f>'yrP&amp;L_new'!K58</f>
        <v>67.884999999999991</v>
      </c>
      <c r="R27" s="1555">
        <f>'yrP&amp;L_new'!L58</f>
        <v>66.40351851851851</v>
      </c>
      <c r="S27" s="1555">
        <f>'yrP&amp;L_new'!M58</f>
        <v>64.974947089947079</v>
      </c>
      <c r="T27" s="1555">
        <f>'yrP&amp;L_new'!N58</f>
        <v>63.641613756613744</v>
      </c>
      <c r="U27" s="1555">
        <f>'yrP&amp;L_new'!O58</f>
        <v>63.641613756613744</v>
      </c>
    </row>
    <row r="28" spans="1:32" hidden="1" outlineLevel="1">
      <c r="A28" s="1554"/>
      <c r="B28" s="1554"/>
      <c r="C28" s="1556"/>
      <c r="D28" s="1556"/>
      <c r="E28" s="1556"/>
      <c r="F28" s="1556"/>
      <c r="G28" s="1556"/>
      <c r="H28" s="1556"/>
      <c r="I28" s="1556"/>
      <c r="J28" s="1556"/>
      <c r="K28" s="1556"/>
      <c r="L28" s="1556"/>
      <c r="M28" s="1556"/>
      <c r="N28" s="1556"/>
      <c r="O28" s="1556"/>
      <c r="P28" s="1556"/>
      <c r="Q28" s="1556"/>
      <c r="R28" s="1556"/>
      <c r="S28" s="1556"/>
      <c r="T28" s="1556"/>
      <c r="U28" s="1556"/>
    </row>
    <row r="29" spans="1:32" hidden="1" outlineLevel="1">
      <c r="A29" s="1554" t="str">
        <f>'yrP&amp;L_new'!A60</f>
        <v>Non-GAAP Reconciliation</v>
      </c>
      <c r="B29" s="1554"/>
      <c r="C29" s="1556"/>
      <c r="D29" s="1556"/>
      <c r="E29" s="1556"/>
      <c r="F29" s="1556"/>
      <c r="G29" s="1556"/>
    </row>
    <row r="30" spans="1:32" hidden="1" outlineLevel="1">
      <c r="A30" s="1554" t="str">
        <f>'yrP&amp;L_new'!A61</f>
        <v>Net Income from Operations (GAAP)</v>
      </c>
      <c r="B30" s="1554"/>
      <c r="C30" s="1556"/>
      <c r="D30" s="1556"/>
      <c r="E30" s="1556"/>
      <c r="F30" s="1556"/>
      <c r="G30" s="1556"/>
      <c r="H30" s="1550">
        <f>'yrP&amp;L_new'!B61</f>
        <v>-15.201380052422657</v>
      </c>
      <c r="I30" s="1550">
        <f>'yrP&amp;L_new'!C61</f>
        <v>30.996833660979942</v>
      </c>
      <c r="J30" s="1550">
        <f>'yrP&amp;L_new'!D61</f>
        <v>-6.7473800417939138</v>
      </c>
      <c r="K30" s="1550">
        <f>'yrP&amp;L_new'!E61</f>
        <v>27.945457723102525</v>
      </c>
      <c r="L30" s="1550">
        <f>'yrP&amp;L_new'!F61</f>
        <v>16.142237498878973</v>
      </c>
      <c r="M30" s="1550">
        <f>'yrP&amp;L_new'!G61</f>
        <v>75.23335247826131</v>
      </c>
      <c r="N30" s="1550">
        <f>'yrP&amp;L_new'!H61</f>
        <v>150.48200000000014</v>
      </c>
      <c r="O30" s="1550">
        <f>'yrP&amp;L_new'!I61</f>
        <v>215.87299999999954</v>
      </c>
      <c r="P30" s="1550">
        <f>'yrP&amp;L_new'!J61</f>
        <v>291.66444599999966</v>
      </c>
      <c r="Q30" s="1550">
        <f>'yrP&amp;L_new'!K61</f>
        <v>379.84264696875221</v>
      </c>
      <c r="R30" s="1550">
        <f>'yrP&amp;L_new'!L61</f>
        <v>422.99960772172301</v>
      </c>
      <c r="S30" s="1550">
        <f>'yrP&amp;L_new'!M61</f>
        <v>469.80147407334482</v>
      </c>
      <c r="T30" s="1550">
        <f>'yrP&amp;L_new'!N61</f>
        <v>523.68369395958007</v>
      </c>
      <c r="U30" s="1550">
        <f>'yrP&amp;L_new'!O61</f>
        <v>575.79356268785455</v>
      </c>
    </row>
    <row r="31" spans="1:32" hidden="1" outlineLevel="1">
      <c r="A31" s="1554" t="str">
        <f>'yrP&amp;L_new'!A62</f>
        <v>+ Net Favorable Lease Amortization</v>
      </c>
      <c r="B31" s="1554"/>
      <c r="C31" s="1556"/>
      <c r="D31" s="1556"/>
      <c r="E31" s="1556"/>
      <c r="F31" s="1556"/>
      <c r="G31" s="1556"/>
      <c r="H31" s="1551">
        <f>'yrP&amp;L_new'!B62</f>
        <v>0</v>
      </c>
      <c r="I31" s="1551">
        <f>'yrP&amp;L_new'!C62</f>
        <v>0</v>
      </c>
      <c r="J31" s="1551">
        <f>'yrP&amp;L_new'!D62</f>
        <v>0</v>
      </c>
      <c r="K31" s="1551">
        <f>'yrP&amp;L_new'!E62</f>
        <v>31.292999999999999</v>
      </c>
      <c r="L31" s="1551">
        <f>'yrP&amp;L_new'!F62</f>
        <v>29.326000000000001</v>
      </c>
      <c r="M31" s="1551">
        <f>'yrP&amp;L_new'!G62</f>
        <v>25.96</v>
      </c>
      <c r="N31" s="1551">
        <f>'yrP&amp;L_new'!H62</f>
        <v>24.131</v>
      </c>
      <c r="O31" s="1551">
        <f>'yrP&amp;L_new'!I62</f>
        <v>23.828000000000003</v>
      </c>
      <c r="P31" s="1552">
        <f>'yrP&amp;L_new'!J62</f>
        <v>23.324999999999996</v>
      </c>
      <c r="Q31" s="1552">
        <f>'yrP&amp;L_new'!K62</f>
        <v>20.89</v>
      </c>
      <c r="R31" s="1552">
        <f>'yrP&amp;L_new'!L62</f>
        <v>20.224</v>
      </c>
      <c r="S31" s="1552">
        <f>'yrP&amp;L_new'!M62</f>
        <v>18.917999999999999</v>
      </c>
      <c r="T31" s="1552">
        <f>'yrP&amp;L_new'!N62</f>
        <v>18.419</v>
      </c>
      <c r="U31" s="1552">
        <f>'yrP&amp;L_new'!O62</f>
        <v>17.129670000000001</v>
      </c>
    </row>
    <row r="32" spans="1:32" hidden="1" outlineLevel="1">
      <c r="A32" s="1554" t="str">
        <f>'yrP&amp;L_new'!A63</f>
        <v>+Non GAAP Adjustments</v>
      </c>
      <c r="B32" s="1554"/>
      <c r="C32" s="1556"/>
      <c r="D32" s="1556"/>
      <c r="E32" s="1556"/>
      <c r="F32" s="1556"/>
      <c r="G32" s="1556"/>
      <c r="H32" s="1551">
        <f>'yrP&amp;L_new'!B63</f>
        <v>71.390999999999991</v>
      </c>
      <c r="I32" s="1551">
        <f>'yrP&amp;L_new'!C63</f>
        <v>2.08</v>
      </c>
      <c r="J32" s="1551">
        <f>'yrP&amp;L_new'!D63</f>
        <v>39.499000000000002</v>
      </c>
      <c r="K32" s="1551">
        <f>'yrP&amp;L_new'!E63</f>
        <v>18.745999999999995</v>
      </c>
      <c r="L32" s="1551">
        <f>'yrP&amp;L_new'!F63</f>
        <v>52.716999999999999</v>
      </c>
      <c r="M32" s="1551">
        <f>'yrP&amp;L_new'!G63</f>
        <v>82.279000000000011</v>
      </c>
      <c r="N32" s="1551">
        <f>'yrP&amp;L_new'!H63</f>
        <v>8.3730000000000011</v>
      </c>
      <c r="O32" s="1551">
        <f>'yrP&amp;L_new'!I63</f>
        <v>8.202</v>
      </c>
      <c r="P32" s="1551">
        <f>'yrP&amp;L_new'!J63</f>
        <v>7.411999999999999</v>
      </c>
      <c r="Q32" s="1551">
        <f>'yrP&amp;L_new'!K63</f>
        <v>0</v>
      </c>
      <c r="R32" s="1551">
        <f>'yrP&amp;L_new'!L63</f>
        <v>0</v>
      </c>
      <c r="S32" s="1551">
        <f>'yrP&amp;L_new'!M63</f>
        <v>0</v>
      </c>
      <c r="T32" s="1551">
        <f>'yrP&amp;L_new'!N63</f>
        <v>0</v>
      </c>
      <c r="U32" s="1551">
        <f>'yrP&amp;L_new'!O63</f>
        <v>0</v>
      </c>
    </row>
    <row r="33" spans="1:27" hidden="1" outlineLevel="1">
      <c r="A33" s="1554" t="str">
        <f>'yrP&amp;L_new'!A64</f>
        <v>+Advisory Fees /other</v>
      </c>
      <c r="B33" s="1554"/>
      <c r="C33" s="1556"/>
      <c r="D33" s="1556"/>
      <c r="E33" s="1556"/>
      <c r="F33" s="1556"/>
      <c r="G33" s="1556"/>
      <c r="H33" s="1551">
        <f>'yrP&amp;L_new'!B64</f>
        <v>4.1980000000000004</v>
      </c>
      <c r="I33" s="1551">
        <f>'yrP&amp;L_new'!C64</f>
        <v>4.2889999999999997</v>
      </c>
      <c r="J33" s="1551">
        <f>'yrP&amp;L_new'!D64</f>
        <v>4.2850000000000001</v>
      </c>
      <c r="K33" s="1551">
        <f>'yrP&amp;L_new'!E64</f>
        <v>4.2910000000000004</v>
      </c>
      <c r="L33" s="1551">
        <f>'yrP&amp;L_new'!F64</f>
        <v>2.91</v>
      </c>
      <c r="M33" s="1551">
        <f>'yrP&amp;L_new'!G64</f>
        <v>0.185</v>
      </c>
      <c r="N33" s="1551">
        <f>'yrP&amp;L_new'!H64</f>
        <v>5.7059999999999995</v>
      </c>
      <c r="O33" s="1551">
        <f>'yrP&amp;L_new'!I64</f>
        <v>3.4569999999999999</v>
      </c>
      <c r="P33" s="1551">
        <f>'yrP&amp;L_new'!J64</f>
        <v>0</v>
      </c>
      <c r="Q33" s="1551">
        <f>'yrP&amp;L_new'!K64</f>
        <v>0</v>
      </c>
      <c r="R33" s="1551">
        <f>'yrP&amp;L_new'!L64</f>
        <v>0</v>
      </c>
      <c r="S33" s="1551">
        <f>'yrP&amp;L_new'!M64</f>
        <v>0</v>
      </c>
      <c r="T33" s="1551">
        <f>'yrP&amp;L_new'!N64</f>
        <v>0</v>
      </c>
      <c r="U33" s="1551">
        <f>'yrP&amp;L_new'!O64</f>
        <v>0</v>
      </c>
    </row>
    <row r="34" spans="1:27" hidden="1" outlineLevel="1">
      <c r="A34" s="1554" t="str">
        <f>'yrP&amp;L_new'!A65</f>
        <v>+Tax Adjustment</v>
      </c>
      <c r="B34" s="1554"/>
      <c r="C34" s="1556"/>
      <c r="D34" s="1556"/>
      <c r="E34" s="1556"/>
      <c r="F34" s="1556"/>
      <c r="G34" s="1556"/>
      <c r="H34" s="1551">
        <f>'yrP&amp;L_new'!B65</f>
        <v>-26.456149999999994</v>
      </c>
      <c r="I34" s="1551">
        <f>'yrP&amp;L_new'!C65</f>
        <v>-2.2291499999999997</v>
      </c>
      <c r="J34" s="1551">
        <f>'yrP&amp;L_new'!D65</f>
        <v>-15.324399999999999</v>
      </c>
      <c r="K34" s="1551">
        <f>'yrP&amp;L_new'!E65</f>
        <v>-19.133000000000003</v>
      </c>
      <c r="L34" s="1551">
        <f>'yrP&amp;L_new'!F65</f>
        <v>-30.858999999999998</v>
      </c>
      <c r="M34" s="1551">
        <f>'yrP&amp;L_new'!G65</f>
        <v>-45.081999999999994</v>
      </c>
      <c r="N34" s="1551">
        <f>'yrP&amp;L_new'!H65</f>
        <v>-14.117999999999999</v>
      </c>
      <c r="O34" s="1551">
        <f>'yrP&amp;L_new'!I65</f>
        <v>-19.094000000000001</v>
      </c>
      <c r="P34" s="1551">
        <f>'yrP&amp;L_new'!J65</f>
        <v>-9.9220000000000006</v>
      </c>
      <c r="Q34" s="1551">
        <f>'yrP&amp;L_new'!K65</f>
        <v>-5.0136000000000003</v>
      </c>
      <c r="R34" s="1551">
        <f>'yrP&amp;L_new'!L65</f>
        <v>-4.756588471319863</v>
      </c>
      <c r="S34" s="1551">
        <f>'yrP&amp;L_new'!M65</f>
        <v>-4.4494234919120439</v>
      </c>
      <c r="T34" s="1551">
        <f>'yrP&amp;L_new'!N65</f>
        <v>-4.3320610686926706</v>
      </c>
      <c r="U34" s="1551">
        <f>'yrP&amp;L_new'!O65</f>
        <v>-4.0288167938841832</v>
      </c>
    </row>
    <row r="35" spans="1:27" hidden="1" outlineLevel="1">
      <c r="A35" s="1554" t="str">
        <f>'yrP&amp;L_new'!A66</f>
        <v>Adjusted Net Income from Operations</v>
      </c>
      <c r="B35" s="1554"/>
      <c r="C35" s="1556"/>
      <c r="D35" s="1556"/>
      <c r="E35" s="1556"/>
      <c r="F35" s="1556"/>
      <c r="G35" s="1556"/>
      <c r="H35" s="1551">
        <f>'yrP&amp;L_new'!B66</f>
        <v>33.931469947577341</v>
      </c>
      <c r="I35" s="1551">
        <f>'yrP&amp;L_new'!C66</f>
        <v>35.136683660979948</v>
      </c>
      <c r="J35" s="1551">
        <f>'yrP&amp;L_new'!D66</f>
        <v>21.712219958206092</v>
      </c>
      <c r="K35" s="1551">
        <f>'yrP&amp;L_new'!E66</f>
        <v>63.142457723102517</v>
      </c>
      <c r="L35" s="1551">
        <f>'yrP&amp;L_new'!F66</f>
        <v>70.236237498878978</v>
      </c>
      <c r="M35" s="1551">
        <f>'yrP&amp;L_new'!G66</f>
        <v>138.57535247826132</v>
      </c>
      <c r="N35" s="1551">
        <f>'yrP&amp;L_new'!H66</f>
        <v>174.57400000000013</v>
      </c>
      <c r="O35" s="1551">
        <f>'yrP&amp;L_new'!I66</f>
        <v>232.26599999999954</v>
      </c>
      <c r="P35" s="1551">
        <f>'yrP&amp;L_new'!J66</f>
        <v>312.4794459999996</v>
      </c>
      <c r="Q35" s="1551">
        <f>'yrP&amp;L_new'!K66</f>
        <v>395.7190469687522</v>
      </c>
      <c r="R35" s="1551">
        <f>'yrP&amp;L_new'!L66</f>
        <v>438.46701925040315</v>
      </c>
      <c r="S35" s="1551">
        <f>'yrP&amp;L_new'!M66</f>
        <v>484.27005058143277</v>
      </c>
      <c r="T35" s="1551">
        <f>'yrP&amp;L_new'!N66</f>
        <v>537.77063289088733</v>
      </c>
      <c r="U35" s="1551">
        <f>'yrP&amp;L_new'!O66</f>
        <v>588.8944158939704</v>
      </c>
    </row>
    <row r="36" spans="1:27" hidden="1" outlineLevel="1">
      <c r="A36" s="1554" t="str">
        <f>'yrP&amp;L_new'!A67</f>
        <v>% Net Margin (Adjusted)</v>
      </c>
      <c r="B36" s="1554"/>
      <c r="C36" s="1556"/>
      <c r="D36" s="1556"/>
      <c r="E36" s="1556"/>
      <c r="F36" s="1556"/>
      <c r="G36" s="1556"/>
      <c r="H36" s="1553">
        <f>'yrP&amp;L_new'!B67</f>
        <v>9.6316486714059287E-3</v>
      </c>
      <c r="I36" s="1553">
        <f>'yrP&amp;L_new'!C67</f>
        <v>9.5750666314711914E-3</v>
      </c>
      <c r="J36" s="1553">
        <f>'yrP&amp;L_new'!D67</f>
        <v>5.6334886016433505E-3</v>
      </c>
      <c r="K36" s="1553">
        <f>'yrP&amp;L_new'!E67</f>
        <v>1.5487350626382162E-2</v>
      </c>
      <c r="L36" s="1553">
        <f>'yrP&amp;L_new'!F67</f>
        <v>1.5863622791193813E-2</v>
      </c>
      <c r="M36" s="1553">
        <f>'yrP&amp;L_new'!G67</f>
        <v>2.8782892791918195E-2</v>
      </c>
      <c r="N36" s="1553">
        <f>'yrP&amp;L_new'!H67</f>
        <v>3.4237365785619443E-2</v>
      </c>
      <c r="O36" s="1553">
        <f>'yrP&amp;L_new'!I67</f>
        <v>4.1729143782345636E-2</v>
      </c>
      <c r="P36" s="1553">
        <f>'yrP&amp;L_new'!J67</f>
        <v>5.1354389963393761E-2</v>
      </c>
      <c r="Q36" s="1553">
        <f>'yrP&amp;L_new'!K67</f>
        <v>6.0072276870025164E-2</v>
      </c>
      <c r="R36" s="1553">
        <f>'yrP&amp;L_new'!L67</f>
        <v>6.0293536352959337E-2</v>
      </c>
      <c r="S36" s="1553">
        <f>'yrP&amp;L_new'!M67</f>
        <v>6.0556472135651927E-2</v>
      </c>
      <c r="T36" s="1553">
        <f>'yrP&amp;L_new'!N67</f>
        <v>6.1365100987411707E-2</v>
      </c>
      <c r="U36" s="1553">
        <f>'yrP&amp;L_new'!O67</f>
        <v>6.1513816298417921E-2</v>
      </c>
      <c r="AA36" s="2234">
        <f>132/122.5-1</f>
        <v>7.7551020408163307E-2</v>
      </c>
    </row>
    <row r="37" spans="1:27" collapsed="1">
      <c r="A37" s="1554"/>
      <c r="B37" s="1554"/>
      <c r="C37" s="1556"/>
      <c r="D37" s="1556"/>
      <c r="E37" s="1556"/>
      <c r="F37" s="1556"/>
      <c r="G37" s="1556"/>
      <c r="H37" s="1556"/>
      <c r="I37" s="1556"/>
      <c r="J37" s="1556"/>
      <c r="K37" s="1556"/>
      <c r="L37" s="1556"/>
      <c r="M37" s="1556"/>
      <c r="N37" s="1556"/>
      <c r="O37" s="1556"/>
      <c r="P37" s="1556"/>
      <c r="Q37" s="1981">
        <f>Q38-P38</f>
        <v>1.383554849439677</v>
      </c>
      <c r="R37" s="1981">
        <f>R38-Q38</f>
        <v>0.77381301950929693</v>
      </c>
      <c r="S37" s="1981">
        <f>S38-R38</f>
        <v>0.85011207578906411</v>
      </c>
      <c r="T37" s="1556"/>
      <c r="U37" s="1556"/>
      <c r="X37" s="1588"/>
    </row>
    <row r="38" spans="1:27">
      <c r="A38" s="1569" t="str">
        <f>'yrP&amp;L_new'!A69</f>
        <v>Adjusted EPS</v>
      </c>
      <c r="B38" s="19"/>
      <c r="C38" s="19"/>
      <c r="D38" s="19"/>
      <c r="E38" s="19"/>
      <c r="F38" s="19"/>
      <c r="G38" s="19"/>
      <c r="H38" s="1568" t="str">
        <f>'yrP&amp;L_new'!B69</f>
        <v>N/A</v>
      </c>
      <c r="I38" s="1568" t="str">
        <f>'yrP&amp;L_new'!C69</f>
        <v>N/A</v>
      </c>
      <c r="J38" s="1568" t="str">
        <f>'yrP&amp;L_new'!D69</f>
        <v>N/A</v>
      </c>
      <c r="K38" s="1568">
        <f>'yrP&amp;L_new'!E69</f>
        <v>0.88301218951442884</v>
      </c>
      <c r="L38" s="1568">
        <f>'yrP&amp;L_new'!F69</f>
        <v>0.94583158952737834</v>
      </c>
      <c r="M38" s="1568">
        <f>'yrP&amp;L_new'!G69</f>
        <v>1.8266045274930645</v>
      </c>
      <c r="N38" s="1568">
        <f>'yrP&amp;L_new'!H69</f>
        <v>2.3139853929456695</v>
      </c>
      <c r="O38" s="1568">
        <f>'yrP&amp;L_new'!I69</f>
        <v>3.2384657213368402</v>
      </c>
      <c r="P38" s="1568">
        <f>'yrP&amp;L_new'!J69</f>
        <v>4.4457012007739527</v>
      </c>
      <c r="Q38" s="1568">
        <f>'yrP&amp;L_new'!K69</f>
        <v>5.8292560502136297</v>
      </c>
      <c r="R38" s="1568">
        <f>'yrP&amp;L_new'!L69</f>
        <v>6.6030690697229266</v>
      </c>
      <c r="S38" s="1568">
        <f>'yrP&amp;L_new'!M69</f>
        <v>7.4531811455119907</v>
      </c>
      <c r="T38" s="1568">
        <f>'yrP&amp;L_new'!N69</f>
        <v>8.4499842343328595</v>
      </c>
      <c r="U38" s="1568">
        <f>'yrP&amp;L_new'!O69</f>
        <v>9.2532916928551572</v>
      </c>
      <c r="W38" s="2046"/>
    </row>
    <row r="39" spans="1:27">
      <c r="A39" s="1554"/>
      <c r="B39" s="1554"/>
      <c r="C39" s="1556"/>
      <c r="D39" s="1556"/>
      <c r="E39" s="1556"/>
      <c r="F39" s="1556"/>
      <c r="G39" s="1556"/>
      <c r="H39" s="1558"/>
      <c r="I39" s="1558"/>
      <c r="J39" s="1558"/>
      <c r="K39" s="1558"/>
      <c r="L39" s="1553"/>
      <c r="M39" s="1553"/>
      <c r="N39" s="1553"/>
      <c r="O39" s="1553"/>
      <c r="P39" s="1553"/>
      <c r="Q39" s="1553"/>
      <c r="R39" s="1553"/>
      <c r="S39" s="1553"/>
      <c r="T39" s="1553"/>
      <c r="U39" s="1553"/>
    </row>
    <row r="40" spans="1:27">
      <c r="A40" s="1554" t="str">
        <f>'yrP&amp;L_new'!A71</f>
        <v>Average Diluted Shares</v>
      </c>
      <c r="B40" s="1554"/>
      <c r="C40" s="1556"/>
      <c r="D40" s="1556"/>
      <c r="E40" s="1556"/>
      <c r="F40" s="1556"/>
      <c r="G40" s="1556"/>
      <c r="H40" s="1558" t="str">
        <f>'yrP&amp;L_new'!B71</f>
        <v>N/A</v>
      </c>
      <c r="I40" s="1558" t="str">
        <f>'yrP&amp;L_new'!C71</f>
        <v>N/A</v>
      </c>
      <c r="J40" s="1558" t="str">
        <f>'yrP&amp;L_new'!D71</f>
        <v>N/A</v>
      </c>
      <c r="K40" s="1551">
        <f>'yrP&amp;L_new'!E71</f>
        <v>71.508025000000004</v>
      </c>
      <c r="L40" s="1551">
        <f>'yrP&amp;L_new'!F71</f>
        <v>74.258713999999998</v>
      </c>
      <c r="M40" s="1551">
        <f>'yrP&amp;L_new'!G71</f>
        <v>75.864999999999995</v>
      </c>
      <c r="N40" s="1551">
        <f>'yrP&amp;L_new'!H71</f>
        <v>75.442999999999998</v>
      </c>
      <c r="O40" s="1551">
        <f>'yrP&amp;L_new'!I71</f>
        <v>71.721000000000004</v>
      </c>
      <c r="P40" s="1551">
        <f>'yrP&amp;L_new'!J71</f>
        <v>70.287999999999997</v>
      </c>
      <c r="Q40" s="1551">
        <f>'yrP&amp;L_new'!K71</f>
        <v>67.884999999999991</v>
      </c>
      <c r="R40" s="1551">
        <f>'yrP&amp;L_new'!L71</f>
        <v>66.40351851851851</v>
      </c>
      <c r="S40" s="1551">
        <f>'yrP&amp;L_new'!M71</f>
        <v>64.974947089947079</v>
      </c>
      <c r="T40" s="1551">
        <f>'yrP&amp;L_new'!N71</f>
        <v>63.641613756613744</v>
      </c>
      <c r="U40" s="1551">
        <f>'yrP&amp;L_new'!O71</f>
        <v>63.641613756613744</v>
      </c>
    </row>
    <row r="41" spans="1:27" hidden="1" outlineLevel="1">
      <c r="A41" s="40"/>
      <c r="B41" s="40"/>
      <c r="C41" s="42"/>
      <c r="D41" s="42"/>
      <c r="E41" s="42"/>
      <c r="F41" s="42"/>
      <c r="G41" s="42"/>
      <c r="H41" s="42"/>
      <c r="I41" s="42"/>
      <c r="J41" s="42"/>
      <c r="K41" s="42"/>
      <c r="L41" s="42"/>
      <c r="M41" s="42"/>
      <c r="N41" s="42"/>
      <c r="O41" s="42"/>
      <c r="P41" s="42"/>
      <c r="Q41" s="42"/>
      <c r="R41" s="42"/>
      <c r="S41" s="42"/>
      <c r="T41" s="42"/>
      <c r="U41" s="42"/>
    </row>
    <row r="42" spans="1:27" hidden="1" outlineLevel="1">
      <c r="A42" s="1554" t="str">
        <f>'yrP&amp;L_new'!A73</f>
        <v>Operating Income (GAAP)</v>
      </c>
      <c r="B42" s="1554"/>
      <c r="C42" s="1556"/>
      <c r="D42" s="1556"/>
      <c r="E42" s="1556"/>
      <c r="F42" s="1556"/>
      <c r="G42" s="1556"/>
      <c r="H42" s="1559">
        <f>'yrP&amp;L_new'!B73</f>
        <v>39.468619947577345</v>
      </c>
      <c r="I42" s="1559">
        <f>'yrP&amp;L_new'!C73</f>
        <v>152.43583366097994</v>
      </c>
      <c r="J42" s="1559">
        <f>'yrP&amp;L_new'!D73</f>
        <v>118.2256199582061</v>
      </c>
      <c r="K42" s="1559">
        <f>'yrP&amp;L_new'!E73</f>
        <v>143.57870799710253</v>
      </c>
      <c r="L42" s="1559">
        <f>'yrP&amp;L_new'!F73</f>
        <v>160.08923749887896</v>
      </c>
      <c r="M42" s="1559">
        <f>'yrP&amp;L_new'!G73</f>
        <v>198.0593524782613</v>
      </c>
      <c r="N42" s="1559">
        <f>'yrP&amp;L_new'!H73</f>
        <v>297.87400000000014</v>
      </c>
      <c r="O42" s="1559">
        <f>'yrP&amp;L_new'!I73</f>
        <v>389.37299999999954</v>
      </c>
      <c r="P42" s="1559">
        <f>'yrP&amp;L_new'!J73</f>
        <v>487.75699999999966</v>
      </c>
      <c r="Q42" s="1559">
        <f>'yrP&amp;L_new'!K73</f>
        <v>556.653087561029</v>
      </c>
      <c r="R42" s="1559">
        <f>'yrP&amp;L_new'!L73</f>
        <v>608.08181661176241</v>
      </c>
      <c r="S42" s="1559">
        <f>'yrP&amp;L_new'!M73</f>
        <v>664.27634443176203</v>
      </c>
      <c r="T42" s="1559">
        <f>'yrP&amp;L_new'!N73</f>
        <v>729.72859902902542</v>
      </c>
      <c r="U42" s="1559">
        <f>'yrP&amp;L_new'!O73</f>
        <v>792.86346330198444</v>
      </c>
    </row>
    <row r="43" spans="1:27" hidden="1" outlineLevel="1">
      <c r="A43" s="1554" t="str">
        <f>'yrP&amp;L_new'!A74</f>
        <v xml:space="preserve">+Non GAAP Adjustments </v>
      </c>
      <c r="B43" s="1554"/>
      <c r="C43" s="1556"/>
      <c r="D43" s="1556"/>
      <c r="E43" s="1556"/>
      <c r="F43" s="1556"/>
      <c r="G43" s="1556"/>
      <c r="H43" s="1551">
        <f>'yrP&amp;L_new'!B74</f>
        <v>75.286000000000001</v>
      </c>
      <c r="I43" s="1551">
        <f>'yrP&amp;L_new'!C74</f>
        <v>5.9849999999999994</v>
      </c>
      <c r="J43" s="1551">
        <f>'yrP&amp;L_new'!D74</f>
        <v>43.702000000000005</v>
      </c>
      <c r="K43" s="1551">
        <f>'yrP&amp;L_new'!E74</f>
        <v>22.894999999999996</v>
      </c>
      <c r="L43" s="1551">
        <f>'yrP&amp;L_new'!F74</f>
        <v>55.404999999999994</v>
      </c>
      <c r="M43" s="1551">
        <f>'yrP&amp;L_new'!G74</f>
        <v>82.425000000000011</v>
      </c>
      <c r="N43" s="1551">
        <f>'yrP&amp;L_new'!H74</f>
        <v>13.985000000000001</v>
      </c>
      <c r="O43" s="1551">
        <f>'yrP&amp;L_new'!I74</f>
        <v>11.645</v>
      </c>
      <c r="P43" s="1551">
        <f>'yrP&amp;L_new'!J74</f>
        <v>7.3629999999999987</v>
      </c>
      <c r="Q43" s="1551">
        <f>'yrP&amp;L_new'!K74</f>
        <v>-4.9000000000000002E-2</v>
      </c>
      <c r="R43" s="1551">
        <f>'yrP&amp;L_new'!L74</f>
        <v>-4.9000000000000002E-2</v>
      </c>
      <c r="S43" s="1551">
        <f>'yrP&amp;L_new'!M74</f>
        <v>-4.9000000000000002E-2</v>
      </c>
      <c r="T43" s="1551">
        <f>'yrP&amp;L_new'!N74</f>
        <v>-4.9000000000000002E-2</v>
      </c>
      <c r="U43" s="1551">
        <f>'yrP&amp;L_new'!O74</f>
        <v>-4.9000000000000002E-2</v>
      </c>
    </row>
    <row r="44" spans="1:27" hidden="1" outlineLevel="1" collapsed="1">
      <c r="A44" s="1554" t="str">
        <f>'yrP&amp;L_new'!A75</f>
        <v>Adjusted Operating Income</v>
      </c>
      <c r="B44" s="1554"/>
      <c r="C44" s="1556"/>
      <c r="D44" s="1556"/>
      <c r="E44" s="1556"/>
      <c r="F44" s="1556"/>
      <c r="G44" s="1556"/>
      <c r="H44" s="1560">
        <f>'yrP&amp;L_new'!B75</f>
        <v>114.75461994757734</v>
      </c>
      <c r="I44" s="1560">
        <f>'yrP&amp;L_new'!C75</f>
        <v>158.42083366097995</v>
      </c>
      <c r="J44" s="1560">
        <f>'yrP&amp;L_new'!D75</f>
        <v>161.92761995820609</v>
      </c>
      <c r="K44" s="1560">
        <f>'yrP&amp;L_new'!E75</f>
        <v>166.47370799710251</v>
      </c>
      <c r="L44" s="1560">
        <f>'yrP&amp;L_new'!F75</f>
        <v>215.49423749887896</v>
      </c>
      <c r="M44" s="1560">
        <f>'yrP&amp;L_new'!G75</f>
        <v>280.48435247826131</v>
      </c>
      <c r="N44" s="1560">
        <f>'yrP&amp;L_new'!H75</f>
        <v>311.85900000000015</v>
      </c>
      <c r="O44" s="1560">
        <f>'yrP&amp;L_new'!I75</f>
        <v>401.01799999999952</v>
      </c>
      <c r="P44" s="1560">
        <f>'yrP&amp;L_new'!J75</f>
        <v>495.11999999999966</v>
      </c>
      <c r="Q44" s="1560">
        <f>'yrP&amp;L_new'!K75</f>
        <v>556.60408756102902</v>
      </c>
      <c r="R44" s="1560">
        <f>'yrP&amp;L_new'!L75</f>
        <v>608.03281661176243</v>
      </c>
      <c r="S44" s="1560">
        <f>'yrP&amp;L_new'!M75</f>
        <v>664.22734443176205</v>
      </c>
      <c r="T44" s="1560">
        <f>'yrP&amp;L_new'!N75</f>
        <v>729.67959902902544</v>
      </c>
      <c r="U44" s="1560">
        <f>'yrP&amp;L_new'!O75</f>
        <v>792.81446330198446</v>
      </c>
    </row>
    <row r="45" spans="1:27" hidden="1" outlineLevel="1">
      <c r="A45" s="1554"/>
      <c r="B45" s="1554"/>
      <c r="C45" s="1556"/>
      <c r="D45" s="1556"/>
      <c r="E45" s="1556"/>
      <c r="F45" s="1556"/>
      <c r="G45" s="1556"/>
      <c r="H45" s="1553"/>
      <c r="I45" s="1553"/>
      <c r="J45" s="1553"/>
      <c r="K45" s="1553"/>
      <c r="L45" s="1553"/>
      <c r="M45" s="1553"/>
      <c r="N45" s="1553"/>
      <c r="O45" s="1553"/>
      <c r="P45" s="1553"/>
      <c r="Q45" s="1553"/>
      <c r="R45" s="1553"/>
      <c r="S45" s="1553"/>
      <c r="T45" s="1553"/>
      <c r="U45" s="1553"/>
    </row>
    <row r="46" spans="1:27" hidden="1" outlineLevel="1" collapsed="1">
      <c r="A46" s="1554" t="str">
        <f>'yrP&amp;L_new'!A77</f>
        <v>+Depreciation &amp; Amortization</v>
      </c>
      <c r="B46" s="1554"/>
      <c r="C46" s="1556"/>
      <c r="D46" s="1556"/>
      <c r="E46" s="1556"/>
      <c r="F46" s="1556"/>
      <c r="G46" s="1556"/>
      <c r="H46" s="1559">
        <f>'yrP&amp;L_new'!B77</f>
        <v>156.38800000000001</v>
      </c>
      <c r="I46" s="1559">
        <f>'yrP&amp;L_new'!C77</f>
        <v>146.75899999999999</v>
      </c>
      <c r="J46" s="1559">
        <f>'yrP&amp;L_new'!D77</f>
        <v>153.07</v>
      </c>
      <c r="K46" s="1559">
        <f>'yrP&amp;L_new'!E77</f>
        <v>166.79874882999997</v>
      </c>
      <c r="L46" s="1559">
        <f>'yrP&amp;L_new'!F77</f>
        <v>168.19400000000002</v>
      </c>
      <c r="M46" s="1559">
        <f>'yrP&amp;L_new'!G77</f>
        <v>167.58</v>
      </c>
      <c r="N46" s="1559">
        <f>'yrP&amp;L_new'!H77</f>
        <v>172.09900000000002</v>
      </c>
      <c r="O46" s="1559">
        <f>'yrP&amp;L_new'!I77</f>
        <v>183.58600000000001</v>
      </c>
      <c r="P46" s="1559">
        <f>'yrP&amp;L_new'!J77</f>
        <v>201.10300000000001</v>
      </c>
      <c r="Q46" s="1559">
        <f>'yrP&amp;L_new'!K77</f>
        <v>225.71548000000001</v>
      </c>
      <c r="R46" s="1559">
        <f>'yrP&amp;L_new'!L77</f>
        <v>249.18084738921414</v>
      </c>
      <c r="S46" s="1559">
        <f>'yrP&amp;L_new'!M77</f>
        <v>274.01575129373856</v>
      </c>
      <c r="T46" s="1559">
        <f>'yrP&amp;L_new'!N77</f>
        <v>300.27841321814662</v>
      </c>
      <c r="U46" s="1559">
        <f>'yrP&amp;L_new'!O77</f>
        <v>328.0297614982685</v>
      </c>
    </row>
    <row r="47" spans="1:27" hidden="1" outlineLevel="1">
      <c r="A47" s="1557" t="str">
        <f>'yrP&amp;L_new'!A78</f>
        <v>Adjusted EBITDA</v>
      </c>
      <c r="B47" s="1557"/>
      <c r="C47" s="1557"/>
      <c r="D47" s="1557"/>
      <c r="E47" s="1557"/>
      <c r="F47" s="1557"/>
      <c r="G47" s="1557"/>
      <c r="H47" s="1561">
        <f>'yrP&amp;L_new'!B78</f>
        <v>271.14261994757737</v>
      </c>
      <c r="I47" s="1561">
        <f>'yrP&amp;L_new'!C78</f>
        <v>305.17983366097997</v>
      </c>
      <c r="J47" s="1561">
        <f>'yrP&amp;L_new'!D78</f>
        <v>314.99761995820609</v>
      </c>
      <c r="K47" s="1561">
        <f>'yrP&amp;L_new'!E78</f>
        <v>333.27245682710247</v>
      </c>
      <c r="L47" s="1561">
        <f>'yrP&amp;L_new'!F78</f>
        <v>383.68823749887895</v>
      </c>
      <c r="M47" s="1561">
        <f>'yrP&amp;L_new'!G78</f>
        <v>448.0643524782613</v>
      </c>
      <c r="N47" s="1561">
        <f>'yrP&amp;L_new'!H78</f>
        <v>483.9580000000002</v>
      </c>
      <c r="O47" s="1561">
        <f>'yrP&amp;L_new'!I78</f>
        <v>584.60399999999959</v>
      </c>
      <c r="P47" s="1561">
        <f>'yrP&amp;L_new'!J78</f>
        <v>696.22299999999973</v>
      </c>
      <c r="Q47" s="1562">
        <f>'yrP&amp;L_new'!K78</f>
        <v>782.31956756102909</v>
      </c>
      <c r="R47" s="1562">
        <f>'yrP&amp;L_new'!L78</f>
        <v>857.21366400097656</v>
      </c>
      <c r="S47" s="1562">
        <f>'yrP&amp;L_new'!M78</f>
        <v>938.24309572550055</v>
      </c>
      <c r="T47" s="1562">
        <f>'yrP&amp;L_new'!N78</f>
        <v>1029.9580122471721</v>
      </c>
      <c r="U47" s="1562">
        <f>'yrP&amp;L_new'!O78</f>
        <v>1120.844224800253</v>
      </c>
    </row>
    <row r="48" spans="1:27" collapsed="1">
      <c r="A48" s="40"/>
      <c r="B48" s="40"/>
      <c r="C48" s="42"/>
      <c r="D48" s="42"/>
      <c r="E48" s="42"/>
      <c r="F48" s="42"/>
      <c r="G48" s="42"/>
      <c r="H48" s="42"/>
      <c r="I48" s="42"/>
      <c r="J48" s="42"/>
      <c r="K48" s="42"/>
      <c r="L48" s="42"/>
      <c r="M48" s="42"/>
      <c r="N48" s="42"/>
      <c r="O48" s="42"/>
      <c r="P48" s="42"/>
      <c r="Q48" s="42"/>
      <c r="R48" s="42"/>
      <c r="S48" s="42"/>
      <c r="T48" s="42"/>
      <c r="U48" s="42"/>
    </row>
    <row r="49" spans="1:32">
      <c r="A49" s="40"/>
      <c r="B49" s="40"/>
      <c r="C49" s="42"/>
      <c r="D49" s="42"/>
      <c r="E49" s="42"/>
      <c r="F49" s="42"/>
      <c r="G49" s="42"/>
      <c r="H49" s="42"/>
      <c r="I49" s="42"/>
      <c r="J49" s="42"/>
      <c r="K49" s="42"/>
      <c r="L49" s="42"/>
      <c r="M49" s="42"/>
      <c r="N49" s="47"/>
      <c r="O49" s="42"/>
      <c r="P49" s="42"/>
      <c r="Q49" s="42"/>
      <c r="R49" s="42"/>
      <c r="S49" s="42"/>
      <c r="T49" s="42"/>
      <c r="U49" s="42"/>
    </row>
    <row r="50" spans="1:32">
      <c r="A50" s="46" t="s">
        <v>203</v>
      </c>
      <c r="B50" s="40"/>
      <c r="C50" s="42"/>
      <c r="D50" s="42"/>
      <c r="E50" s="42"/>
      <c r="F50" s="42"/>
      <c r="G50" s="42"/>
      <c r="H50" s="42"/>
      <c r="I50" s="42"/>
      <c r="J50" s="42"/>
      <c r="K50" s="42"/>
      <c r="L50" s="42"/>
      <c r="M50" s="42"/>
      <c r="N50" s="42"/>
      <c r="O50" s="42"/>
      <c r="P50" s="42"/>
      <c r="Q50" s="42"/>
      <c r="R50" s="42"/>
      <c r="S50" s="42"/>
      <c r="T50" s="42"/>
      <c r="U50" s="42"/>
    </row>
    <row r="51" spans="1:32">
      <c r="A51" s="40" t="s">
        <v>204</v>
      </c>
      <c r="B51" s="40"/>
      <c r="C51" s="47">
        <f t="shared" ref="C51:Q51" si="6">C10/C6</f>
        <v>0.38269136631281553</v>
      </c>
      <c r="D51" s="47">
        <f t="shared" si="6"/>
        <v>0.37898176158807939</v>
      </c>
      <c r="E51" s="47">
        <f t="shared" si="6"/>
        <v>0.37091801481838349</v>
      </c>
      <c r="F51" s="47">
        <f t="shared" si="6"/>
        <v>0.38251620954514487</v>
      </c>
      <c r="G51" s="47">
        <f t="shared" si="6"/>
        <v>0.38803138926621206</v>
      </c>
      <c r="H51" s="47">
        <f t="shared" si="6"/>
        <v>0.380709548969972</v>
      </c>
      <c r="I51" s="47">
        <f t="shared" si="6"/>
        <v>0.38621518082887463</v>
      </c>
      <c r="J51" s="47">
        <f t="shared" si="6"/>
        <v>0.38677171058401189</v>
      </c>
      <c r="K51" s="47">
        <f t="shared" si="6"/>
        <v>0.38730639699926162</v>
      </c>
      <c r="L51" s="47">
        <f t="shared" si="6"/>
        <v>0.39108861134594375</v>
      </c>
      <c r="M51" s="47">
        <f t="shared" si="6"/>
        <v>0.39748331292278499</v>
      </c>
      <c r="N51" s="47">
        <f t="shared" si="6"/>
        <v>0.39994473352458915</v>
      </c>
      <c r="O51" s="47">
        <f t="shared" si="6"/>
        <v>0.40759064167366443</v>
      </c>
      <c r="P51" s="47">
        <f t="shared" si="6"/>
        <v>0.41507068636657513</v>
      </c>
      <c r="Q51" s="47">
        <f t="shared" si="6"/>
        <v>0.41937323737577387</v>
      </c>
      <c r="R51" s="47">
        <f>R10/R6</f>
        <v>0.41900000000000004</v>
      </c>
      <c r="S51" s="47">
        <f>S10/S6</f>
        <v>0.41979999999999995</v>
      </c>
      <c r="T51" s="47">
        <f>T10/T6</f>
        <v>0.42049999999999993</v>
      </c>
      <c r="U51" s="47">
        <f>U10/U6</f>
        <v>0.42100000000000004</v>
      </c>
      <c r="AD51" s="2258"/>
    </row>
    <row r="52" spans="1:32">
      <c r="A52" s="40" t="s">
        <v>205</v>
      </c>
      <c r="B52" s="40"/>
      <c r="C52" s="47">
        <f t="shared" ref="C52:Q52" si="7">C11/C6</f>
        <v>0.31471034559923916</v>
      </c>
      <c r="D52" s="47">
        <f t="shared" si="7"/>
        <v>0.2993146532326616</v>
      </c>
      <c r="E52" s="47">
        <f t="shared" si="7"/>
        <v>0.30309915938492815</v>
      </c>
      <c r="F52" s="47">
        <f t="shared" si="7"/>
        <v>0.30870935264967775</v>
      </c>
      <c r="G52" s="47">
        <f t="shared" si="7"/>
        <v>0.31858574819369195</v>
      </c>
      <c r="H52" s="47">
        <f t="shared" si="7"/>
        <v>0.31620414236623434</v>
      </c>
      <c r="I52" s="47">
        <f t="shared" si="7"/>
        <v>0.31518758710072647</v>
      </c>
      <c r="J52" s="47">
        <f t="shared" si="7"/>
        <v>0.3154467384891132</v>
      </c>
      <c r="K52" s="47">
        <f t="shared" si="7"/>
        <v>0.31620391583440183</v>
      </c>
      <c r="L52" s="47">
        <f t="shared" si="7"/>
        <v>0.31435054928251888</v>
      </c>
      <c r="M52" s="47">
        <f t="shared" si="7"/>
        <v>0.31397793002145186</v>
      </c>
      <c r="N52" s="47">
        <f t="shared" si="7"/>
        <v>0.31334365706387146</v>
      </c>
      <c r="O52" s="47">
        <f t="shared" si="7"/>
        <v>0.30960101242571469</v>
      </c>
      <c r="P52" s="47">
        <f t="shared" si="7"/>
        <v>0.30625664158654581</v>
      </c>
      <c r="Q52" s="47">
        <f t="shared" si="7"/>
        <v>0.30610548645515073</v>
      </c>
      <c r="R52" s="47">
        <f>R11/R6</f>
        <v>0.30609999999999998</v>
      </c>
      <c r="S52" s="47">
        <f>S11/S6</f>
        <v>0.307</v>
      </c>
      <c r="T52" s="47">
        <f>T11/T6</f>
        <v>0.30709999999999998</v>
      </c>
      <c r="U52" s="47">
        <f>U11/U6</f>
        <v>0.30769999999999997</v>
      </c>
    </row>
    <row r="53" spans="1:32">
      <c r="A53" s="40" t="s">
        <v>190</v>
      </c>
      <c r="B53" s="40"/>
      <c r="C53" s="47">
        <f t="shared" ref="C53:Q53" si="8">C13/C6</f>
        <v>3.1151834291388691E-2</v>
      </c>
      <c r="D53" s="47">
        <f t="shared" si="8"/>
        <v>3.3486986849342461E-2</v>
      </c>
      <c r="E53" s="47">
        <f t="shared" si="8"/>
        <v>5.0161155826994763E-2</v>
      </c>
      <c r="F53" s="47">
        <f t="shared" si="8"/>
        <v>4.8426261279126699E-2</v>
      </c>
      <c r="G53" s="47">
        <f t="shared" si="8"/>
        <v>4.6614561505011871E-2</v>
      </c>
      <c r="H53" s="47">
        <f t="shared" si="8"/>
        <v>4.4391659858855487E-2</v>
      </c>
      <c r="I53" s="47">
        <f t="shared" si="8"/>
        <v>3.9993165471350844E-2</v>
      </c>
      <c r="J53" s="47">
        <f t="shared" si="8"/>
        <v>3.9715796077666211E-2</v>
      </c>
      <c r="K53" s="47">
        <f t="shared" si="8"/>
        <v>4.0911785830390561E-2</v>
      </c>
      <c r="L53" s="47">
        <f t="shared" si="8"/>
        <v>3.7988455343790854E-2</v>
      </c>
      <c r="M53" s="47">
        <f t="shared" si="8"/>
        <v>3.4807323869707037E-2</v>
      </c>
      <c r="N53" s="47">
        <f t="shared" si="8"/>
        <v>3.3751970020388586E-2</v>
      </c>
      <c r="O53" s="47">
        <f t="shared" si="8"/>
        <v>3.2983245892320538E-2</v>
      </c>
      <c r="P53" s="47">
        <f t="shared" si="8"/>
        <v>3.3050243838464784E-2</v>
      </c>
      <c r="Q53" s="47">
        <f t="shared" si="8"/>
        <v>3.4264822257800823E-2</v>
      </c>
      <c r="R53" s="47">
        <f>R13/R6</f>
        <v>3.4264822257800823E-2</v>
      </c>
      <c r="S53" s="47">
        <f>S13/S6</f>
        <v>3.4264822257800823E-2</v>
      </c>
      <c r="T53" s="47">
        <f>T13/T6</f>
        <v>3.4264822257800823E-2</v>
      </c>
      <c r="U53" s="47">
        <f>U13/U6</f>
        <v>3.4264822257800823E-2</v>
      </c>
    </row>
    <row r="54" spans="1:32" outlineLevel="1">
      <c r="A54" s="40" t="s">
        <v>206</v>
      </c>
      <c r="B54" s="40"/>
      <c r="C54" s="47">
        <f t="shared" ref="C54:Q54" si="9">C16/C6</f>
        <v>4.0442873326899671E-2</v>
      </c>
      <c r="D54" s="47">
        <f t="shared" si="9"/>
        <v>5.074878743937198E-2</v>
      </c>
      <c r="E54" s="47">
        <f t="shared" si="9"/>
        <v>2.0091893109860891E-2</v>
      </c>
      <c r="F54" s="47">
        <f t="shared" si="9"/>
        <v>2.717624856718228E-2</v>
      </c>
      <c r="G54" s="47">
        <f t="shared" si="9"/>
        <v>2.658724236435275E-2</v>
      </c>
      <c r="H54" s="47">
        <f t="shared" si="9"/>
        <v>1.1203401487398594E-2</v>
      </c>
      <c r="I54" s="47">
        <f t="shared" si="9"/>
        <v>4.1540154398482437E-2</v>
      </c>
      <c r="J54" s="47">
        <f t="shared" si="9"/>
        <v>3.067501544009785E-2</v>
      </c>
      <c r="K54" s="47">
        <f t="shared" si="9"/>
        <v>3.5216459311505043E-2</v>
      </c>
      <c r="L54" s="47">
        <f t="shared" si="9"/>
        <v>3.6157906047467152E-2</v>
      </c>
      <c r="M54" s="47">
        <f t="shared" si="9"/>
        <v>4.1138059596224512E-2</v>
      </c>
      <c r="N54" s="47">
        <f t="shared" si="9"/>
        <v>5.8418900271664749E-2</v>
      </c>
      <c r="O54" s="47">
        <f t="shared" si="9"/>
        <v>6.9955145832637067E-2</v>
      </c>
      <c r="P54" s="47">
        <f t="shared" si="9"/>
        <v>8.0160354564168895E-2</v>
      </c>
      <c r="Q54" s="47">
        <f t="shared" si="9"/>
        <v>8.4502928662822302E-2</v>
      </c>
      <c r="R54" s="47">
        <f>R16/R6</f>
        <v>8.3617242587901069E-2</v>
      </c>
      <c r="S54" s="47">
        <f>S16/S6</f>
        <v>8.3065702480790621E-2</v>
      </c>
      <c r="T54" s="47">
        <f>T16/T6</f>
        <v>8.326945808121948E-2</v>
      </c>
      <c r="U54" s="47">
        <f>U16/U6</f>
        <v>8.281969758067298E-2</v>
      </c>
    </row>
    <row r="55" spans="1:32">
      <c r="A55" s="40" t="s">
        <v>865</v>
      </c>
      <c r="B55" s="40"/>
      <c r="C55" s="47"/>
      <c r="D55" s="47"/>
      <c r="E55" s="47"/>
      <c r="F55" s="47"/>
      <c r="G55" s="47"/>
      <c r="H55" s="47"/>
      <c r="I55" s="47">
        <f t="shared" ref="I55:P55" si="10">(I16+I15)/I6</f>
        <v>4.3171121462485564E-2</v>
      </c>
      <c r="J55" s="47">
        <f t="shared" si="10"/>
        <v>4.2014008843025724E-2</v>
      </c>
      <c r="K55" s="47">
        <f t="shared" si="10"/>
        <v>4.0832061006104349E-2</v>
      </c>
      <c r="L55" s="47">
        <f t="shared" si="10"/>
        <v>4.8671731560403005E-2</v>
      </c>
      <c r="M55" s="47">
        <f t="shared" si="10"/>
        <v>5.8258203228881172E-2</v>
      </c>
      <c r="N55" s="47">
        <f t="shared" si="10"/>
        <v>6.1161631494595359E-2</v>
      </c>
      <c r="O55" s="47">
        <f t="shared" si="10"/>
        <v>7.2047298275721358E-2</v>
      </c>
      <c r="P55" s="47">
        <f t="shared" si="10"/>
        <v>8.1370425748500397E-2</v>
      </c>
      <c r="Q55" s="47">
        <f>(Q16+Q15)/Q6</f>
        <v>8.4495490199626822E-2</v>
      </c>
      <c r="R55" s="47">
        <f t="shared" ref="R55:U55" si="11">(R16+R15)/R6</f>
        <v>8.3610504604993391E-2</v>
      </c>
      <c r="S55" s="47">
        <f t="shared" si="11"/>
        <v>8.3059575182331674E-2</v>
      </c>
      <c r="T55" s="47">
        <f t="shared" si="11"/>
        <v>8.3263866682648263E-2</v>
      </c>
      <c r="U55" s="47">
        <f t="shared" si="11"/>
        <v>8.2814579214940051E-2</v>
      </c>
    </row>
    <row r="56" spans="1:32">
      <c r="A56" s="40" t="s">
        <v>208</v>
      </c>
      <c r="B56" s="40"/>
      <c r="C56" s="47">
        <f t="shared" ref="C56:Q56" si="12">C20/C18</f>
        <v>0.38834447459973409</v>
      </c>
      <c r="D56" s="47">
        <f t="shared" si="12"/>
        <v>0.42892185948121281</v>
      </c>
      <c r="E56" s="47">
        <f t="shared" si="12"/>
        <v>0.99491792123840772</v>
      </c>
      <c r="F56" s="47">
        <f t="shared" si="12"/>
        <v>0.40187411112745897</v>
      </c>
      <c r="G56" s="47">
        <f t="shared" si="12"/>
        <v>0.39239257370290026</v>
      </c>
      <c r="H56" s="47">
        <f t="shared" si="12"/>
        <v>0.66184874455623943</v>
      </c>
      <c r="I56" s="47">
        <f t="shared" si="12"/>
        <v>0.41655032824314198</v>
      </c>
      <c r="J56" s="47">
        <f t="shared" si="12"/>
        <v>0.38071182318455737</v>
      </c>
      <c r="K56" s="47">
        <f t="shared" si="12"/>
        <v>0.12143530499741843</v>
      </c>
      <c r="L56" s="47">
        <f t="shared" si="12"/>
        <v>0.5010164145027266</v>
      </c>
      <c r="M56" s="47">
        <f t="shared" si="12"/>
        <v>0.34187308201244349</v>
      </c>
      <c r="N56" s="47">
        <f t="shared" si="12"/>
        <v>0.37003608597000914</v>
      </c>
      <c r="O56" s="47">
        <f t="shared" si="12"/>
        <v>0.35214518084582835</v>
      </c>
      <c r="P56" s="47">
        <f t="shared" si="12"/>
        <v>0.32009779943120914</v>
      </c>
      <c r="Q56" s="47">
        <f t="shared" si="12"/>
        <v>0.23519523691257235</v>
      </c>
      <c r="R56" s="47">
        <f>R20/R18</f>
        <v>0.23519523691257238</v>
      </c>
      <c r="S56" s="47">
        <f>S20/S18</f>
        <v>0.23519523691257238</v>
      </c>
      <c r="T56" s="47">
        <f>T20/T18</f>
        <v>0.23519523691257238</v>
      </c>
      <c r="U56" s="47">
        <f>U20/U18</f>
        <v>0.23519523691257235</v>
      </c>
      <c r="AD56" s="2258"/>
    </row>
    <row r="57" spans="1:32">
      <c r="A57" s="40"/>
      <c r="B57" s="40"/>
      <c r="C57" s="42"/>
      <c r="D57" s="42"/>
      <c r="E57" s="42"/>
      <c r="F57" s="42"/>
      <c r="G57" s="42"/>
      <c r="H57" s="42"/>
      <c r="I57" s="42"/>
      <c r="J57" s="42"/>
      <c r="K57" s="42"/>
      <c r="L57" s="42"/>
      <c r="M57" s="42"/>
      <c r="N57" s="42"/>
      <c r="O57" s="42"/>
      <c r="P57" s="42"/>
      <c r="Q57" s="42"/>
      <c r="R57" s="42"/>
      <c r="S57" s="42"/>
      <c r="T57" s="42"/>
      <c r="U57" s="42"/>
    </row>
    <row r="58" spans="1:32">
      <c r="A58" s="46" t="s">
        <v>210</v>
      </c>
      <c r="B58" s="40"/>
      <c r="C58" s="42"/>
      <c r="D58" s="42"/>
      <c r="E58" s="42"/>
      <c r="F58" s="42"/>
      <c r="G58" s="42"/>
      <c r="H58" s="42"/>
      <c r="I58" s="42"/>
      <c r="J58" s="42"/>
      <c r="K58" s="42"/>
      <c r="L58" s="42"/>
      <c r="M58" s="42"/>
      <c r="N58" s="42"/>
      <c r="O58" s="47">
        <f t="shared" ref="O58:T58" si="13">O59-O60</f>
        <v>4.6666976167754982E-2</v>
      </c>
      <c r="P58" s="47">
        <f t="shared" si="13"/>
        <v>5.9195195577177256E-2</v>
      </c>
      <c r="Q58" s="47">
        <f t="shared" si="13"/>
        <v>5.2602386578097821E-2</v>
      </c>
      <c r="R58" s="47">
        <f t="shared" si="13"/>
        <v>7.3959938366717798E-2</v>
      </c>
      <c r="S58" s="47">
        <f t="shared" si="13"/>
        <v>6.966618287372997E-2</v>
      </c>
      <c r="T58" s="47">
        <f t="shared" si="13"/>
        <v>6.5843621399176905E-2</v>
      </c>
      <c r="U58" s="47">
        <f t="shared" ref="U58" si="14">U59-U60</f>
        <v>6.2418725617685383E-2</v>
      </c>
      <c r="AD58" s="2258"/>
    </row>
    <row r="59" spans="1:32">
      <c r="A59" s="40" t="str">
        <f>sumry_new!A69</f>
        <v>Sales</v>
      </c>
      <c r="B59" s="40"/>
      <c r="C59" s="48" t="s">
        <v>90</v>
      </c>
      <c r="D59" s="47">
        <f t="shared" ref="D59:U59" si="15">((D6/C6)-1)</f>
        <v>0.11884082294857268</v>
      </c>
      <c r="E59" s="47">
        <f t="shared" si="15"/>
        <v>8.4602355117755934E-2</v>
      </c>
      <c r="F59" s="47">
        <f t="shared" si="15"/>
        <v>-8.3297940328835862E-3</v>
      </c>
      <c r="G59" s="47">
        <f t="shared" si="15"/>
        <v>-5.134753874963871E-3</v>
      </c>
      <c r="H59" s="47">
        <f t="shared" si="15"/>
        <v>2.8896547957592E-2</v>
      </c>
      <c r="I59" s="47">
        <f t="shared" si="15"/>
        <v>4.1638257419851943E-2</v>
      </c>
      <c r="J59" s="47">
        <f t="shared" si="15"/>
        <v>5.0286652339954108E-2</v>
      </c>
      <c r="K59" s="47">
        <f t="shared" si="15"/>
        <v>5.7834048081879086E-2</v>
      </c>
      <c r="L59" s="47">
        <f t="shared" si="15"/>
        <v>8.596170996477448E-2</v>
      </c>
      <c r="M59" s="47">
        <f t="shared" si="15"/>
        <v>8.7408410564600469E-2</v>
      </c>
      <c r="N59" s="47">
        <f t="shared" si="15"/>
        <v>5.9077321360621937E-2</v>
      </c>
      <c r="O59" s="47">
        <f t="shared" si="15"/>
        <v>9.1608595682389993E-2</v>
      </c>
      <c r="P59" s="47">
        <f t="shared" si="15"/>
        <v>9.3195195577177259E-2</v>
      </c>
      <c r="Q59" s="47">
        <f t="shared" si="15"/>
        <v>8.2602386578097819E-2</v>
      </c>
      <c r="R59" s="47">
        <f t="shared" si="15"/>
        <v>0.1039599383667178</v>
      </c>
      <c r="S59" s="47">
        <f t="shared" si="15"/>
        <v>9.9666182873729969E-2</v>
      </c>
      <c r="T59" s="47">
        <f t="shared" si="15"/>
        <v>9.5843621399176904E-2</v>
      </c>
      <c r="U59" s="47">
        <f t="shared" si="15"/>
        <v>9.2418725617685382E-2</v>
      </c>
    </row>
    <row r="60" spans="1:32">
      <c r="A60" s="40" t="str">
        <f>sumry_new!A70</f>
        <v>Comparable Store Sales</v>
      </c>
      <c r="B60" s="40"/>
      <c r="C60" s="48" t="s">
        <v>90</v>
      </c>
      <c r="D60" s="48" t="s">
        <v>90</v>
      </c>
      <c r="E60" s="47">
        <f>yrSales!H40</f>
        <v>4.2999999999999997E-2</v>
      </c>
      <c r="F60" s="47">
        <f>yrSales!I40</f>
        <v>-2.1999999999999999E-2</v>
      </c>
      <c r="G60" s="47">
        <f>yrSales!J40</f>
        <v>-5.1999999999999998E-2</v>
      </c>
      <c r="H60" s="47">
        <f>yrSales!L40</f>
        <v>-0.04</v>
      </c>
      <c r="I60" s="47">
        <f>yrSales!M40</f>
        <v>-2E-3</v>
      </c>
      <c r="J60" s="47">
        <f>yrSales!N40</f>
        <v>6.9999999999999993E-3</v>
      </c>
      <c r="K60" s="47">
        <f>yrSales!P40</f>
        <v>1.2E-2</v>
      </c>
      <c r="L60" s="47">
        <f>yrSales!Q40</f>
        <v>4.7E-2</v>
      </c>
      <c r="M60" s="47">
        <f>yrSales!R40</f>
        <v>4.9000000000000002E-2</v>
      </c>
      <c r="N60" s="47">
        <f>yrSales!S40</f>
        <v>2.1484157270581374E-2</v>
      </c>
      <c r="O60" s="47">
        <f>yrSales!T40</f>
        <v>4.494161951463501E-2</v>
      </c>
      <c r="P60" s="47">
        <f>yrSales!U40</f>
        <v>3.4000000000000002E-2</v>
      </c>
      <c r="Q60" s="47">
        <f>yrSales!V40</f>
        <v>2.9999999999999995E-2</v>
      </c>
      <c r="R60" s="47">
        <f>yrSales!W40</f>
        <v>0.03</v>
      </c>
      <c r="S60" s="47">
        <f>yrSales!X40</f>
        <v>0.03</v>
      </c>
      <c r="T60" s="47">
        <f>yrSales!Y40</f>
        <v>0.03</v>
      </c>
      <c r="U60" s="47">
        <f>yrSales!Z40</f>
        <v>0.03</v>
      </c>
    </row>
    <row r="61" spans="1:32">
      <c r="A61" s="40" t="str">
        <f>sumry_new!A71</f>
        <v>SG&amp;A Expense</v>
      </c>
      <c r="B61" s="40"/>
      <c r="C61" s="48" t="s">
        <v>90</v>
      </c>
      <c r="D61" s="47">
        <f t="shared" ref="D61:U61" si="16">((D11/C11)-1)</f>
        <v>6.4106908547106434E-2</v>
      </c>
      <c r="E61" s="47">
        <f t="shared" si="16"/>
        <v>9.8315964663344246E-2</v>
      </c>
      <c r="F61" s="47">
        <f t="shared" si="16"/>
        <v>1.002545816134659E-2</v>
      </c>
      <c r="G61" s="47">
        <f t="shared" si="16"/>
        <v>2.6693509828060513E-2</v>
      </c>
      <c r="H61" s="47">
        <f t="shared" si="16"/>
        <v>2.120497346513539E-2</v>
      </c>
      <c r="I61" s="47">
        <f t="shared" si="16"/>
        <v>3.828952565621746E-2</v>
      </c>
      <c r="J61" s="47">
        <f t="shared" si="16"/>
        <v>5.1150211868619788E-2</v>
      </c>
      <c r="K61" s="47">
        <f t="shared" si="16"/>
        <v>6.0373202489114153E-2</v>
      </c>
      <c r="L61" s="47">
        <f t="shared" si="16"/>
        <v>7.9596560739587874E-2</v>
      </c>
      <c r="M61" s="47">
        <f t="shared" si="16"/>
        <v>8.6119437730459047E-2</v>
      </c>
      <c r="N61" s="47">
        <f t="shared" si="16"/>
        <v>5.6937858549080067E-2</v>
      </c>
      <c r="O61" s="47">
        <f t="shared" si="16"/>
        <v>7.8570185727393715E-2</v>
      </c>
      <c r="P61" s="47">
        <f t="shared" si="16"/>
        <v>8.1386286733621471E-2</v>
      </c>
      <c r="Q61" s="47">
        <f t="shared" si="16"/>
        <v>8.2068060513709185E-2</v>
      </c>
      <c r="R61" s="47">
        <f t="shared" si="16"/>
        <v>0.10394015163646286</v>
      </c>
      <c r="S61" s="47">
        <f t="shared" si="16"/>
        <v>0.1028994385567954</v>
      </c>
      <c r="T61" s="47">
        <f t="shared" si="16"/>
        <v>9.6200573718850935E-2</v>
      </c>
      <c r="U61" s="47">
        <f t="shared" si="16"/>
        <v>9.4553050708439557E-2</v>
      </c>
      <c r="AD61" s="2258"/>
    </row>
    <row r="62" spans="1:32">
      <c r="A62" s="40" t="str">
        <f>sumry_new!A72</f>
        <v>Operating Income</v>
      </c>
      <c r="B62" s="40"/>
      <c r="C62" s="48" t="s">
        <v>90</v>
      </c>
      <c r="D62" s="47">
        <f>((D13/C13)-1)</f>
        <v>0.2027095282457656</v>
      </c>
      <c r="E62" s="47">
        <f>((E13/D13)-1)</f>
        <v>0.6246581990238258</v>
      </c>
      <c r="F62" s="47">
        <f>((F13/E13)-1)</f>
        <v>-4.2628111231740373E-2</v>
      </c>
      <c r="G62" s="47">
        <f>((G13/F13)-1)</f>
        <v>-4.2354169416677689E-2</v>
      </c>
      <c r="H62" s="47">
        <f t="shared" ref="H62:U62" si="17">((H16/G16)-1)</f>
        <v>-0.5664408907927001</v>
      </c>
      <c r="I62" s="47">
        <f t="shared" si="17"/>
        <v>2.8622032861409132</v>
      </c>
      <c r="J62" s="47">
        <f t="shared" si="17"/>
        <v>-0.22442369934393491</v>
      </c>
      <c r="K62" s="47">
        <f t="shared" si="17"/>
        <v>0.21444664910921163</v>
      </c>
      <c r="L62" s="47">
        <f t="shared" si="17"/>
        <v>0.1149928825248212</v>
      </c>
      <c r="M62" s="47">
        <f t="shared" si="17"/>
        <v>0.23718093466244561</v>
      </c>
      <c r="N62" s="47">
        <f t="shared" si="17"/>
        <v>0.50396331338452849</v>
      </c>
      <c r="O62" s="47">
        <f t="shared" si="17"/>
        <v>0.30717350289048206</v>
      </c>
      <c r="P62" s="47">
        <f t="shared" si="17"/>
        <v>0.25267288692333656</v>
      </c>
      <c r="Q62" s="47">
        <f t="shared" si="17"/>
        <v>0.14125084327037718</v>
      </c>
      <c r="R62" s="47">
        <f t="shared" si="17"/>
        <v>9.2389192119759933E-2</v>
      </c>
      <c r="S62" s="47">
        <f t="shared" si="17"/>
        <v>9.2412774539314624E-2</v>
      </c>
      <c r="T62" s="47">
        <f t="shared" si="17"/>
        <v>9.8531665542377356E-2</v>
      </c>
      <c r="U62" s="47">
        <f t="shared" si="17"/>
        <v>8.6518281395255858E-2</v>
      </c>
      <c r="AF62" s="2234"/>
    </row>
    <row r="63" spans="1:32">
      <c r="A63" s="40" t="str">
        <f>sumry_new!A73</f>
        <v>Interest Expense (Income)</v>
      </c>
      <c r="B63" s="40"/>
      <c r="C63" s="48" t="s">
        <v>90</v>
      </c>
      <c r="D63" s="47">
        <f>((D16/C16)-1)</f>
        <v>0.40395106557731419</v>
      </c>
      <c r="E63" s="47">
        <f>((E16/D16)-1)</f>
        <v>-0.5705963494839511</v>
      </c>
      <c r="F63" s="47">
        <f>((F16/E16)-1)</f>
        <v>0.34133084755485221</v>
      </c>
      <c r="G63" s="47">
        <f>((G16/F16)-1)</f>
        <v>-2.6697030930922239E-2</v>
      </c>
      <c r="H63" s="47">
        <f t="shared" ref="H63:U63" si="18">((H17/G17)-1)</f>
        <v>-0.36520719135593593</v>
      </c>
      <c r="I63" s="47">
        <f t="shared" si="18"/>
        <v>0.17632635656160045</v>
      </c>
      <c r="J63" s="47">
        <f t="shared" si="18"/>
        <v>0.30019434290950486</v>
      </c>
      <c r="K63" s="47">
        <f t="shared" si="18"/>
        <v>-0.1343729822879316</v>
      </c>
      <c r="L63" s="47">
        <f t="shared" si="18"/>
        <v>0.14286735607974865</v>
      </c>
      <c r="M63" s="47">
        <f t="shared" si="18"/>
        <v>-0.34440538911373975</v>
      </c>
      <c r="N63" s="47">
        <f t="shared" si="18"/>
        <v>-0.29548032718371231</v>
      </c>
      <c r="O63" s="47">
        <f t="shared" si="18"/>
        <v>-4.8118644067796756E-2</v>
      </c>
      <c r="P63" s="47">
        <f t="shared" si="18"/>
        <v>4.6580367158704394E-2</v>
      </c>
      <c r="Q63" s="47">
        <f t="shared" si="18"/>
        <v>2.0807458699831471E-2</v>
      </c>
      <c r="R63" s="47">
        <f t="shared" si="18"/>
        <v>-8.333333333333337E-2</v>
      </c>
      <c r="S63" s="47">
        <f t="shared" si="18"/>
        <v>-9.0909090909090939E-2</v>
      </c>
      <c r="T63" s="47">
        <f t="shared" si="18"/>
        <v>-9.9999999999999978E-2</v>
      </c>
      <c r="U63" s="47">
        <f t="shared" si="18"/>
        <v>-0.11111111111111116</v>
      </c>
      <c r="AD63" s="2258"/>
      <c r="AF63" s="2234"/>
    </row>
    <row r="64" spans="1:32">
      <c r="A64" s="40" t="str">
        <f>sumry_new!A76</f>
        <v>Adjusted EPS</v>
      </c>
      <c r="B64" s="40"/>
      <c r="C64" s="48"/>
      <c r="D64" s="47"/>
      <c r="E64" s="47"/>
      <c r="F64" s="47"/>
      <c r="G64" s="47"/>
      <c r="H64" s="47"/>
      <c r="I64" s="47"/>
      <c r="J64" s="47"/>
      <c r="K64" s="47"/>
      <c r="L64" s="47">
        <f t="shared" ref="L64:U64" si="19">((L38/K38)-1)</f>
        <v>7.1142166279147379E-2</v>
      </c>
      <c r="M64" s="47">
        <f t="shared" si="19"/>
        <v>0.9312153957617324</v>
      </c>
      <c r="N64" s="47">
        <f t="shared" si="19"/>
        <v>0.26682341914563978</v>
      </c>
      <c r="O64" s="47">
        <f t="shared" si="19"/>
        <v>0.39951865349258786</v>
      </c>
      <c r="P64" s="47">
        <f t="shared" si="19"/>
        <v>0.37278007035342808</v>
      </c>
      <c r="Q64" s="47">
        <f t="shared" si="19"/>
        <v>0.31121183969782185</v>
      </c>
      <c r="R64" s="47">
        <f t="shared" si="19"/>
        <v>0.13274644531714097</v>
      </c>
      <c r="S64" s="47">
        <f t="shared" si="19"/>
        <v>0.12874499218660085</v>
      </c>
      <c r="T64" s="47">
        <f t="shared" si="19"/>
        <v>0.1337419645866389</v>
      </c>
      <c r="U64" s="47">
        <f t="shared" si="19"/>
        <v>9.5066148793320204E-2</v>
      </c>
    </row>
    <row r="65" spans="1:22">
      <c r="A65" s="40" t="s">
        <v>340</v>
      </c>
      <c r="B65" s="40"/>
      <c r="C65" s="48"/>
      <c r="D65" s="47"/>
      <c r="E65" s="47"/>
      <c r="F65" s="47"/>
      <c r="G65" s="47"/>
      <c r="H65" s="47"/>
      <c r="I65" s="47"/>
      <c r="J65" s="47"/>
      <c r="K65" s="47"/>
      <c r="L65" s="47">
        <f t="shared" ref="L65:U65" si="20">((L47/K47)-1)</f>
        <v>0.15127496929016115</v>
      </c>
      <c r="M65" s="47">
        <f t="shared" si="20"/>
        <v>0.16778235214878179</v>
      </c>
      <c r="N65" s="47">
        <f t="shared" si="20"/>
        <v>8.0108241870190611E-2</v>
      </c>
      <c r="O65" s="47">
        <f t="shared" si="20"/>
        <v>0.20796432748296212</v>
      </c>
      <c r="P65" s="47">
        <f t="shared" si="20"/>
        <v>0.19093095497122881</v>
      </c>
      <c r="Q65" s="47">
        <f t="shared" si="20"/>
        <v>0.12366234318749791</v>
      </c>
      <c r="R65" s="47">
        <f t="shared" si="20"/>
        <v>9.5733379996410406E-2</v>
      </c>
      <c r="S65" s="47">
        <f t="shared" si="20"/>
        <v>9.4526528364381912E-2</v>
      </c>
      <c r="T65" s="47">
        <f t="shared" si="20"/>
        <v>9.7751762778230278E-2</v>
      </c>
      <c r="U65" s="47">
        <f t="shared" si="20"/>
        <v>8.8242638507937343E-2</v>
      </c>
    </row>
    <row r="66" spans="1:22">
      <c r="A66" s="40"/>
      <c r="B66" s="40"/>
      <c r="C66" s="48"/>
      <c r="D66" s="47"/>
      <c r="E66" s="47"/>
      <c r="F66" s="47"/>
      <c r="G66" s="47"/>
      <c r="H66" s="47"/>
      <c r="I66" s="47"/>
      <c r="J66" s="47"/>
      <c r="K66" s="47"/>
      <c r="L66" s="47"/>
      <c r="M66" s="47"/>
      <c r="N66" s="47"/>
      <c r="O66" s="47">
        <f>O59-O60</f>
        <v>4.6666976167754982E-2</v>
      </c>
      <c r="P66" s="47">
        <f>P59-P60</f>
        <v>5.9195195577177256E-2</v>
      </c>
      <c r="Q66" s="47"/>
      <c r="R66" s="47"/>
      <c r="S66" s="47"/>
      <c r="T66" s="47"/>
      <c r="U66" s="47"/>
    </row>
    <row r="67" spans="1:22">
      <c r="A67" s="40"/>
      <c r="B67" s="40"/>
      <c r="C67" s="48"/>
      <c r="D67" s="47"/>
      <c r="E67" s="47"/>
      <c r="F67" s="47"/>
      <c r="G67" s="47"/>
      <c r="H67" s="47"/>
      <c r="I67" s="47"/>
      <c r="J67" s="47"/>
      <c r="K67" s="47"/>
      <c r="L67" s="47"/>
      <c r="M67" s="47"/>
      <c r="N67" s="47"/>
      <c r="O67" s="47"/>
      <c r="P67" s="47"/>
      <c r="Q67" s="47"/>
      <c r="R67" s="47"/>
      <c r="S67" s="47"/>
      <c r="T67" s="47"/>
      <c r="U67" s="47"/>
    </row>
    <row r="68" spans="1:22">
      <c r="A68" s="38"/>
      <c r="B68" s="38"/>
      <c r="C68" s="38"/>
      <c r="D68" s="38"/>
      <c r="E68" s="38"/>
      <c r="F68" s="38"/>
      <c r="G68" s="38"/>
      <c r="H68" s="38"/>
      <c r="I68" s="38"/>
      <c r="J68" s="38"/>
      <c r="K68" s="38"/>
      <c r="L68" s="38"/>
      <c r="M68" s="38"/>
      <c r="N68" s="38"/>
      <c r="O68" s="38"/>
      <c r="P68" s="38"/>
      <c r="Q68" s="38"/>
      <c r="R68" s="38"/>
      <c r="S68" s="38"/>
      <c r="T68" s="38"/>
      <c r="U68" s="38"/>
    </row>
    <row r="69" spans="1:22">
      <c r="A69" s="36" t="s">
        <v>238</v>
      </c>
      <c r="C69" s="39" t="s">
        <v>166</v>
      </c>
      <c r="D69" s="39" t="s">
        <v>96</v>
      </c>
      <c r="E69" s="39" t="s">
        <v>95</v>
      </c>
      <c r="F69" s="39" t="s">
        <v>94</v>
      </c>
      <c r="G69" s="39" t="s">
        <v>93</v>
      </c>
      <c r="H69" s="39" t="s">
        <v>83</v>
      </c>
      <c r="I69" s="39" t="s">
        <v>84</v>
      </c>
      <c r="J69" s="39" t="s">
        <v>242</v>
      </c>
      <c r="K69" s="39" t="s">
        <v>393</v>
      </c>
      <c r="L69" s="39" t="s">
        <v>611</v>
      </c>
      <c r="M69" s="39" t="s">
        <v>626</v>
      </c>
      <c r="N69" s="39" t="s">
        <v>38</v>
      </c>
      <c r="O69" s="39" t="s">
        <v>244</v>
      </c>
      <c r="P69" s="39" t="str">
        <f>P3</f>
        <v>2017A</v>
      </c>
      <c r="Q69" s="39" t="s">
        <v>341</v>
      </c>
      <c r="R69" s="39" t="s">
        <v>420</v>
      </c>
      <c r="S69" s="39" t="s">
        <v>421</v>
      </c>
      <c r="T69" s="39" t="s">
        <v>422</v>
      </c>
      <c r="U69" s="39" t="str">
        <f>U3</f>
        <v>2022E</v>
      </c>
    </row>
    <row r="70" spans="1:22">
      <c r="A70" s="15" t="s">
        <v>185</v>
      </c>
      <c r="C70" s="23" t="s">
        <v>82</v>
      </c>
      <c r="D70" s="23" t="s">
        <v>82</v>
      </c>
      <c r="E70" s="23" t="s">
        <v>82</v>
      </c>
      <c r="F70" s="23" t="s">
        <v>82</v>
      </c>
      <c r="G70" s="23" t="s">
        <v>82</v>
      </c>
      <c r="H70" s="23" t="s">
        <v>82</v>
      </c>
      <c r="I70" s="23" t="s">
        <v>82</v>
      </c>
      <c r="J70" s="23" t="s">
        <v>82</v>
      </c>
      <c r="K70" s="23" t="s">
        <v>82</v>
      </c>
      <c r="L70" s="23" t="s">
        <v>82</v>
      </c>
      <c r="M70" s="23" t="s">
        <v>82</v>
      </c>
      <c r="N70" s="23" t="s">
        <v>82</v>
      </c>
      <c r="O70" s="23" t="s">
        <v>82</v>
      </c>
      <c r="P70" s="23" t="s">
        <v>82</v>
      </c>
      <c r="Q70" s="23" t="s">
        <v>82</v>
      </c>
      <c r="R70" s="23" t="s">
        <v>82</v>
      </c>
      <c r="S70" s="23" t="s">
        <v>82</v>
      </c>
      <c r="T70" s="23" t="s">
        <v>82</v>
      </c>
      <c r="U70" s="23" t="s">
        <v>82</v>
      </c>
    </row>
    <row r="71" spans="1:22">
      <c r="C71" s="24"/>
      <c r="D71" s="24"/>
      <c r="E71" s="24"/>
      <c r="F71" s="24"/>
      <c r="G71" s="24"/>
      <c r="H71" s="24"/>
      <c r="I71" s="24"/>
      <c r="J71" s="24"/>
      <c r="K71" s="24"/>
      <c r="L71" s="24"/>
      <c r="M71" s="24"/>
      <c r="N71" s="24"/>
      <c r="O71" s="24"/>
      <c r="P71" s="24"/>
      <c r="Q71" s="24"/>
      <c r="R71" s="24"/>
      <c r="S71" s="24"/>
      <c r="T71" s="24"/>
      <c r="U71" s="24"/>
    </row>
    <row r="72" spans="1:22" ht="11.25" customHeight="1">
      <c r="A72" s="4" t="s">
        <v>186</v>
      </c>
      <c r="C72" s="25">
        <f t="shared" ref="C72:M72" si="21">C6</f>
        <v>2859.96</v>
      </c>
      <c r="D72" s="25">
        <f t="shared" si="21"/>
        <v>3199.84</v>
      </c>
      <c r="E72" s="25">
        <f t="shared" si="21"/>
        <v>3470.5540000000001</v>
      </c>
      <c r="F72" s="25">
        <f t="shared" si="21"/>
        <v>3441.645</v>
      </c>
      <c r="G72" s="25">
        <f t="shared" si="21"/>
        <v>3423.973</v>
      </c>
      <c r="H72" s="25">
        <f t="shared" si="21"/>
        <v>3522.9139999999998</v>
      </c>
      <c r="I72" s="25">
        <f t="shared" si="21"/>
        <v>3669.6019999999999</v>
      </c>
      <c r="J72" s="25">
        <f t="shared" si="21"/>
        <v>3854.134</v>
      </c>
      <c r="K72" s="25">
        <f t="shared" si="21"/>
        <v>4077.034171070005</v>
      </c>
      <c r="L72" s="25">
        <f t="shared" si="21"/>
        <v>4427.5029999999997</v>
      </c>
      <c r="M72" s="25">
        <f t="shared" si="21"/>
        <v>4814.5039999999999</v>
      </c>
      <c r="N72" s="25">
        <f>N6</f>
        <v>5098.9319999999998</v>
      </c>
      <c r="O72" s="25">
        <f>O6</f>
        <v>5566.0379999999996</v>
      </c>
      <c r="P72" s="25">
        <f>P6</f>
        <v>6084.7659999999996</v>
      </c>
      <c r="Q72" s="25">
        <f t="shared" ref="Q72:U72" si="22">(P72*(1+Q126))</f>
        <v>6605.6364913692651</v>
      </c>
      <c r="R72" s="25">
        <f t="shared" si="22"/>
        <v>7312.1749633590643</v>
      </c>
      <c r="S72" s="25">
        <f t="shared" si="22"/>
        <v>8062.8880553519966</v>
      </c>
      <c r="T72" s="25">
        <f t="shared" si="22"/>
        <v>8859.8531096791558</v>
      </c>
      <c r="U72" s="25">
        <f t="shared" si="22"/>
        <v>9705.2490025646293</v>
      </c>
      <c r="V72" s="1540">
        <f>((T72/P72)^(1/4)-1)*100</f>
        <v>9.8488867743201869</v>
      </c>
    </row>
    <row r="73" spans="1:22" hidden="1" outlineLevel="1">
      <c r="C73" s="24"/>
      <c r="D73" s="24"/>
      <c r="E73" s="24"/>
      <c r="F73" s="24"/>
      <c r="G73" s="24"/>
      <c r="H73" s="24"/>
      <c r="I73" s="24"/>
      <c r="J73" s="24"/>
      <c r="K73" s="24"/>
      <c r="L73" s="24"/>
      <c r="M73" s="24"/>
      <c r="N73" s="24"/>
      <c r="O73" s="24"/>
      <c r="P73" s="24"/>
      <c r="Q73" s="24"/>
      <c r="R73" s="24"/>
      <c r="S73" s="24"/>
      <c r="T73" s="24"/>
      <c r="U73" s="24"/>
    </row>
    <row r="74" spans="1:22" hidden="1" outlineLevel="1">
      <c r="A74" s="4" t="s">
        <v>187</v>
      </c>
      <c r="C74" s="25">
        <f t="shared" ref="C74:M74" si="23">C8</f>
        <v>1765.4780000000001</v>
      </c>
      <c r="D74" s="25">
        <f t="shared" si="23"/>
        <v>1987.1590000000001</v>
      </c>
      <c r="E74" s="25">
        <f t="shared" si="23"/>
        <v>2183.2629999999999</v>
      </c>
      <c r="F74" s="25">
        <f t="shared" si="23"/>
        <v>2125.16</v>
      </c>
      <c r="G74" s="25">
        <f t="shared" si="23"/>
        <v>2095.364</v>
      </c>
      <c r="H74" s="25">
        <f t="shared" si="23"/>
        <v>2181.7069999999999</v>
      </c>
      <c r="I74" s="25">
        <f t="shared" si="23"/>
        <v>2252.346</v>
      </c>
      <c r="J74" s="25">
        <f t="shared" si="23"/>
        <v>2363.4639999999999</v>
      </c>
      <c r="K74" s="25">
        <f t="shared" si="23"/>
        <v>2497.9727558300101</v>
      </c>
      <c r="L74" s="25">
        <f t="shared" si="23"/>
        <v>2695.9569999999999</v>
      </c>
      <c r="M74" s="25">
        <f t="shared" si="23"/>
        <v>2900.819</v>
      </c>
      <c r="N74" s="25">
        <f>N8</f>
        <v>3059.6409999999996</v>
      </c>
      <c r="O74" s="25">
        <f>O8</f>
        <v>3297.373</v>
      </c>
      <c r="P74" s="25">
        <f>P8</f>
        <v>3559.1579999999999</v>
      </c>
      <c r="Q74" s="25">
        <f t="shared" ref="Q74:U74" si="24">Q72-Q76</f>
        <v>3817.3973283622986</v>
      </c>
      <c r="R74" s="25">
        <f t="shared" si="24"/>
        <v>4175.2519040780262</v>
      </c>
      <c r="S74" s="25">
        <f t="shared" si="24"/>
        <v>4547.4688632185262</v>
      </c>
      <c r="T74" s="25">
        <f t="shared" si="24"/>
        <v>4939.3681086461293</v>
      </c>
      <c r="U74" s="25">
        <f t="shared" si="24"/>
        <v>5328.181702407981</v>
      </c>
    </row>
    <row r="75" spans="1:22" hidden="1" outlineLevel="1">
      <c r="C75" s="24"/>
      <c r="D75" s="24"/>
      <c r="E75" s="24"/>
      <c r="F75" s="24"/>
      <c r="G75" s="24"/>
      <c r="H75" s="24"/>
      <c r="I75" s="24"/>
      <c r="J75" s="24"/>
      <c r="K75" s="24"/>
      <c r="L75" s="24"/>
      <c r="M75" s="24"/>
      <c r="N75" s="24"/>
      <c r="O75" s="24"/>
      <c r="P75" s="24"/>
      <c r="Q75" s="24"/>
      <c r="R75" s="24"/>
      <c r="S75" s="24"/>
      <c r="T75" s="24"/>
      <c r="U75" s="24"/>
    </row>
    <row r="76" spans="1:22" collapsed="1">
      <c r="A76" s="4" t="s">
        <v>188</v>
      </c>
      <c r="C76" s="25">
        <f t="shared" ref="C76:J76" si="25">C72-C74</f>
        <v>1094.482</v>
      </c>
      <c r="D76" s="25">
        <f t="shared" si="25"/>
        <v>1212.681</v>
      </c>
      <c r="E76" s="25">
        <f t="shared" si="25"/>
        <v>1287.2910000000002</v>
      </c>
      <c r="F76" s="25">
        <f t="shared" si="25"/>
        <v>1316.4850000000001</v>
      </c>
      <c r="G76" s="25">
        <f t="shared" si="25"/>
        <v>1328.6089999999999</v>
      </c>
      <c r="H76" s="25">
        <f t="shared" si="25"/>
        <v>1341.2069999999999</v>
      </c>
      <c r="I76" s="25">
        <f t="shared" si="25"/>
        <v>1417.2559999999999</v>
      </c>
      <c r="J76" s="25">
        <f t="shared" si="25"/>
        <v>1490.67</v>
      </c>
      <c r="K76" s="25">
        <f t="shared" ref="K76:P76" si="26">K72-K74</f>
        <v>1579.0614152399949</v>
      </c>
      <c r="L76" s="25">
        <f t="shared" si="26"/>
        <v>1731.5459999999998</v>
      </c>
      <c r="M76" s="25">
        <f t="shared" si="26"/>
        <v>1913.6849999999999</v>
      </c>
      <c r="N76" s="25">
        <f t="shared" si="26"/>
        <v>2039.2910000000002</v>
      </c>
      <c r="O76" s="25">
        <f t="shared" si="26"/>
        <v>2268.6649999999995</v>
      </c>
      <c r="P76" s="25">
        <f t="shared" si="26"/>
        <v>2525.6079999999997</v>
      </c>
      <c r="Q76" s="25">
        <f t="shared" ref="Q76:U76" si="27">Q72*Q118</f>
        <v>2788.2391630069665</v>
      </c>
      <c r="R76" s="25">
        <f t="shared" si="27"/>
        <v>3136.9230592810386</v>
      </c>
      <c r="S76" s="25">
        <f t="shared" si="27"/>
        <v>3515.4191921334705</v>
      </c>
      <c r="T76" s="25">
        <f t="shared" si="27"/>
        <v>3920.4850010330265</v>
      </c>
      <c r="U76" s="25">
        <f t="shared" si="27"/>
        <v>4377.0673001566483</v>
      </c>
    </row>
    <row r="77" spans="1:22">
      <c r="A77" s="4" t="s">
        <v>189</v>
      </c>
      <c r="C77" s="26">
        <f t="shared" ref="C77:M77" si="28">C11</f>
        <v>900.05899999999997</v>
      </c>
      <c r="D77" s="26">
        <f t="shared" si="28"/>
        <v>957.75900000000001</v>
      </c>
      <c r="E77" s="26">
        <f t="shared" si="28"/>
        <v>1051.922</v>
      </c>
      <c r="F77" s="26">
        <f t="shared" si="28"/>
        <v>1062.4680000000001</v>
      </c>
      <c r="G77" s="26">
        <f t="shared" si="28"/>
        <v>1090.829</v>
      </c>
      <c r="H77" s="26">
        <f t="shared" si="28"/>
        <v>1113.96</v>
      </c>
      <c r="I77" s="26">
        <f t="shared" si="28"/>
        <v>1156.6130000000001</v>
      </c>
      <c r="J77" s="26">
        <f t="shared" si="28"/>
        <v>1215.7739999999999</v>
      </c>
      <c r="K77" s="26">
        <f t="shared" si="28"/>
        <v>1289.1741698830001</v>
      </c>
      <c r="L77" s="26">
        <f t="shared" si="28"/>
        <v>1391.788</v>
      </c>
      <c r="M77" s="26">
        <f t="shared" si="28"/>
        <v>1511.6480000000001</v>
      </c>
      <c r="N77" s="26">
        <f t="shared" ref="N77:P84" si="29">N11</f>
        <v>1597.7180000000001</v>
      </c>
      <c r="O77" s="26">
        <f t="shared" si="29"/>
        <v>1723.251</v>
      </c>
      <c r="P77" s="26">
        <f t="shared" si="29"/>
        <v>1863.5</v>
      </c>
      <c r="Q77" s="26">
        <f t="shared" ref="Q77:U77" si="30">Q72*Q119</f>
        <v>2008.1134933762564</v>
      </c>
      <c r="R77" s="26">
        <f t="shared" si="30"/>
        <v>2207.5456214381015</v>
      </c>
      <c r="S77" s="26">
        <f t="shared" si="30"/>
        <v>2427.7355934664861</v>
      </c>
      <c r="T77" s="26">
        <f t="shared" si="30"/>
        <v>2657.9559329037465</v>
      </c>
      <c r="U77" s="26">
        <f t="shared" si="30"/>
        <v>2908.6631260686195</v>
      </c>
    </row>
    <row r="78" spans="1:22">
      <c r="A78" s="4" t="s">
        <v>399</v>
      </c>
      <c r="C78" s="26">
        <f>'yrP&amp;L'!F$20</f>
        <v>-10.335000000000001</v>
      </c>
      <c r="D78" s="26">
        <f>'yrP&amp;L'!G$20</f>
        <v>-14.619</v>
      </c>
      <c r="E78" s="26">
        <f>'yrP&amp;L'!H$20</f>
        <v>-8.4480000000000004</v>
      </c>
      <c r="F78" s="26">
        <f>'yrP&amp;L'!I$20</f>
        <v>-6.18</v>
      </c>
      <c r="G78" s="26">
        <f>'yrP&amp;L'!J$20</f>
        <v>-12.861000000000001</v>
      </c>
      <c r="H78" s="1563">
        <f>H12</f>
        <v>-47.475000000000001</v>
      </c>
      <c r="I78" s="1563">
        <f t="shared" ref="I78:Q78" si="31">I12</f>
        <v>-42.832999999999998</v>
      </c>
      <c r="J78" s="1563">
        <f t="shared" si="31"/>
        <v>-43.338999999999999</v>
      </c>
      <c r="K78" s="1563">
        <f t="shared" si="31"/>
        <v>-42.24</v>
      </c>
      <c r="L78" s="1563">
        <f t="shared" si="31"/>
        <v>-43.423000000000002</v>
      </c>
      <c r="M78" s="1563">
        <f t="shared" si="31"/>
        <v>-45.882999999999996</v>
      </c>
      <c r="N78" s="1563">
        <f t="shared" si="29"/>
        <v>-36.773000000000003</v>
      </c>
      <c r="O78" s="1563">
        <f t="shared" si="29"/>
        <v>-35.747</v>
      </c>
      <c r="P78" s="1563">
        <f t="shared" si="29"/>
        <v>-34.164000000000001</v>
      </c>
      <c r="Q78" s="1563">
        <f t="shared" si="31"/>
        <v>-36.230602063530966</v>
      </c>
      <c r="R78" s="1563">
        <f t="shared" ref="R78:T81" si="32">R12</f>
        <v>-36.230602063530966</v>
      </c>
      <c r="S78" s="1563">
        <f t="shared" si="32"/>
        <v>-36.230602063530966</v>
      </c>
      <c r="T78" s="1563">
        <f t="shared" si="32"/>
        <v>-36.230602063530966</v>
      </c>
      <c r="U78" s="1563">
        <f t="shared" ref="U78" si="33">U12</f>
        <v>-36.230602063530966</v>
      </c>
    </row>
    <row r="79" spans="1:22">
      <c r="A79" s="4" t="str">
        <f t="shared" ref="A79:M79" si="34">A13</f>
        <v>Depreciation &amp; Amortization</v>
      </c>
      <c r="B79" s="4">
        <f t="shared" si="34"/>
        <v>0</v>
      </c>
      <c r="C79" s="26">
        <f t="shared" si="34"/>
        <v>89.093000000000004</v>
      </c>
      <c r="D79" s="26">
        <f t="shared" si="34"/>
        <v>107.15299999999999</v>
      </c>
      <c r="E79" s="26">
        <f t="shared" si="34"/>
        <v>174.08699999999999</v>
      </c>
      <c r="F79" s="26">
        <f t="shared" si="34"/>
        <v>166.666</v>
      </c>
      <c r="G79" s="26">
        <f t="shared" si="34"/>
        <v>159.607</v>
      </c>
      <c r="H79" s="26">
        <f t="shared" si="34"/>
        <v>156.38800000000001</v>
      </c>
      <c r="I79" s="26">
        <f t="shared" si="34"/>
        <v>146.75899999999999</v>
      </c>
      <c r="J79" s="26">
        <f t="shared" si="34"/>
        <v>153.07</v>
      </c>
      <c r="K79" s="26">
        <f t="shared" si="34"/>
        <v>166.79874882999997</v>
      </c>
      <c r="L79" s="26">
        <f t="shared" si="34"/>
        <v>168.19400000000002</v>
      </c>
      <c r="M79" s="26">
        <f t="shared" si="34"/>
        <v>167.58</v>
      </c>
      <c r="N79" s="26">
        <f t="shared" si="29"/>
        <v>172.09900000000002</v>
      </c>
      <c r="O79" s="26">
        <f t="shared" si="29"/>
        <v>183.58600000000001</v>
      </c>
      <c r="P79" s="26">
        <f t="shared" si="29"/>
        <v>201.10300000000001</v>
      </c>
      <c r="Q79" s="26">
        <f>Q13</f>
        <v>225.71548000000001</v>
      </c>
      <c r="R79" s="26">
        <f t="shared" si="32"/>
        <v>249.18084738921414</v>
      </c>
      <c r="S79" s="26">
        <f t="shared" si="32"/>
        <v>274.01575129373856</v>
      </c>
      <c r="T79" s="26">
        <f t="shared" si="32"/>
        <v>300.27841321814662</v>
      </c>
      <c r="U79" s="26">
        <f t="shared" ref="U79" si="35">U13</f>
        <v>328.0297614982685</v>
      </c>
    </row>
    <row r="80" spans="1:22" outlineLevel="1">
      <c r="A80" s="4" t="str">
        <f t="shared" ref="A80:Q81" si="36">A14</f>
        <v>Miscellaneous Costs</v>
      </c>
      <c r="B80" s="4">
        <f t="shared" si="36"/>
        <v>0</v>
      </c>
      <c r="C80" s="26">
        <f t="shared" si="36"/>
        <v>0</v>
      </c>
      <c r="D80" s="26">
        <f t="shared" si="36"/>
        <v>0</v>
      </c>
      <c r="E80" s="26">
        <f t="shared" si="36"/>
        <v>0</v>
      </c>
      <c r="F80" s="26">
        <f t="shared" si="36"/>
        <v>0</v>
      </c>
      <c r="G80" s="26">
        <f t="shared" si="36"/>
        <v>0</v>
      </c>
      <c r="H80" s="26">
        <f t="shared" si="36"/>
        <v>78.865380052422509</v>
      </c>
      <c r="I80" s="26">
        <f t="shared" si="36"/>
        <v>4.2811663390198724</v>
      </c>
      <c r="J80" s="26">
        <f t="shared" si="36"/>
        <v>46.939380041794088</v>
      </c>
      <c r="K80" s="26">
        <f t="shared" si="36"/>
        <v>21.749788529892278</v>
      </c>
      <c r="L80" s="26">
        <f t="shared" si="36"/>
        <v>54.897762501120823</v>
      </c>
      <c r="M80" s="26">
        <f t="shared" si="36"/>
        <v>82.280647521738487</v>
      </c>
      <c r="N80" s="26">
        <f t="shared" si="29"/>
        <v>8.3729999999999993</v>
      </c>
      <c r="O80" s="26">
        <f t="shared" si="29"/>
        <v>8.202</v>
      </c>
      <c r="P80" s="26">
        <f t="shared" si="29"/>
        <v>7.4120000000000008</v>
      </c>
      <c r="Q80" s="26">
        <f t="shared" si="36"/>
        <v>0</v>
      </c>
      <c r="R80" s="26">
        <f t="shared" si="32"/>
        <v>0</v>
      </c>
      <c r="S80" s="26">
        <f t="shared" si="32"/>
        <v>0</v>
      </c>
      <c r="T80" s="26">
        <f t="shared" si="32"/>
        <v>0</v>
      </c>
      <c r="U80" s="26">
        <f t="shared" ref="U80:U81" si="37">U14</f>
        <v>0</v>
      </c>
    </row>
    <row r="81" spans="1:23" outlineLevel="1">
      <c r="A81" s="4" t="s">
        <v>1099</v>
      </c>
      <c r="C81" s="26"/>
      <c r="D81" s="26"/>
      <c r="E81" s="26"/>
      <c r="F81" s="26"/>
      <c r="G81" s="26"/>
      <c r="H81" s="26"/>
      <c r="I81" s="26">
        <f t="shared" ref="I81:M81" si="38">I15</f>
        <v>5.9849999999999994</v>
      </c>
      <c r="J81" s="26">
        <f t="shared" si="38"/>
        <v>43.702000000000005</v>
      </c>
      <c r="K81" s="26">
        <f t="shared" si="38"/>
        <v>22.894999999999996</v>
      </c>
      <c r="L81" s="26">
        <f t="shared" si="38"/>
        <v>55.404999999999994</v>
      </c>
      <c r="M81" s="26">
        <f t="shared" si="38"/>
        <v>82.425000000000011</v>
      </c>
      <c r="N81" s="26">
        <f t="shared" si="29"/>
        <v>13.985000000000001</v>
      </c>
      <c r="O81" s="26">
        <f t="shared" si="29"/>
        <v>11.645</v>
      </c>
      <c r="P81" s="26">
        <f t="shared" si="29"/>
        <v>7.3629999999999987</v>
      </c>
      <c r="Q81" s="26">
        <f t="shared" si="36"/>
        <v>-4.9000000000000002E-2</v>
      </c>
      <c r="R81" s="26">
        <f t="shared" si="32"/>
        <v>-4.9000000000000002E-2</v>
      </c>
      <c r="S81" s="26">
        <f t="shared" si="32"/>
        <v>-4.9000000000000002E-2</v>
      </c>
      <c r="T81" s="26">
        <f t="shared" si="32"/>
        <v>-4.9000000000000002E-2</v>
      </c>
      <c r="U81" s="26">
        <f t="shared" si="37"/>
        <v>-4.9000000000000002E-2</v>
      </c>
    </row>
    <row r="82" spans="1:23">
      <c r="A82" s="20" t="str">
        <f t="shared" ref="A82:M82" si="39">A16</f>
        <v>Operating Income</v>
      </c>
      <c r="B82" s="4">
        <f t="shared" si="39"/>
        <v>0</v>
      </c>
      <c r="C82" s="25">
        <f t="shared" si="39"/>
        <v>115.66499999999999</v>
      </c>
      <c r="D82" s="25">
        <f t="shared" si="39"/>
        <v>162.38800000000003</v>
      </c>
      <c r="E82" s="25">
        <f t="shared" si="39"/>
        <v>69.73000000000016</v>
      </c>
      <c r="F82" s="25">
        <f t="shared" si="39"/>
        <v>93.531000000000063</v>
      </c>
      <c r="G82" s="25">
        <f t="shared" si="39"/>
        <v>91.033999999999978</v>
      </c>
      <c r="H82" s="25">
        <f t="shared" si="39"/>
        <v>39.468619947577324</v>
      </c>
      <c r="I82" s="25">
        <f t="shared" si="39"/>
        <v>152.43583366097994</v>
      </c>
      <c r="J82" s="25">
        <f t="shared" si="39"/>
        <v>118.2256199582061</v>
      </c>
      <c r="K82" s="25">
        <f t="shared" si="39"/>
        <v>143.57870799710253</v>
      </c>
      <c r="L82" s="25">
        <f t="shared" si="39"/>
        <v>160.08923749887896</v>
      </c>
      <c r="M82" s="25">
        <f t="shared" si="39"/>
        <v>198.0593524782613</v>
      </c>
      <c r="N82" s="25">
        <f t="shared" si="29"/>
        <v>297.87400000000008</v>
      </c>
      <c r="O82" s="25">
        <f t="shared" si="29"/>
        <v>389.37299999999954</v>
      </c>
      <c r="P82" s="25">
        <f t="shared" si="29"/>
        <v>487.75699999999972</v>
      </c>
      <c r="Q82" s="25">
        <f t="shared" ref="Q82:U82" si="40">Q76-Q77-Q78-Q79-Q80</f>
        <v>590.64079169424099</v>
      </c>
      <c r="R82" s="25">
        <f t="shared" si="40"/>
        <v>716.42719251725396</v>
      </c>
      <c r="S82" s="25">
        <f t="shared" si="40"/>
        <v>849.8984494367769</v>
      </c>
      <c r="T82" s="25">
        <f t="shared" si="40"/>
        <v>998.48125697466435</v>
      </c>
      <c r="U82" s="25">
        <f t="shared" si="40"/>
        <v>1176.6050146532914</v>
      </c>
    </row>
    <row r="83" spans="1:23">
      <c r="A83" s="4" t="str">
        <f t="shared" ref="A83:Q83" si="41">A17</f>
        <v>Interest and Other Exp/(Inc)</v>
      </c>
      <c r="B83" s="4">
        <f t="shared" si="41"/>
        <v>0</v>
      </c>
      <c r="C83" s="26">
        <f t="shared" si="41"/>
        <v>5.8630000000000004</v>
      </c>
      <c r="D83" s="26">
        <f t="shared" si="41"/>
        <v>7.3339999999999996</v>
      </c>
      <c r="E83" s="26">
        <f t="shared" si="41"/>
        <v>22.702000000000002</v>
      </c>
      <c r="F83" s="26">
        <f t="shared" si="41"/>
        <v>134.31299999999999</v>
      </c>
      <c r="G83" s="26">
        <f t="shared" si="41"/>
        <v>132.99299999999999</v>
      </c>
      <c r="H83" s="26">
        <f t="shared" si="41"/>
        <v>84.423000000000002</v>
      </c>
      <c r="I83" s="26">
        <f t="shared" si="41"/>
        <v>99.308999999999997</v>
      </c>
      <c r="J83" s="26">
        <f t="shared" si="41"/>
        <v>129.12100000000001</v>
      </c>
      <c r="K83" s="26">
        <f t="shared" si="41"/>
        <v>111.770626154</v>
      </c>
      <c r="L83" s="26">
        <f t="shared" si="41"/>
        <v>127.73899999999999</v>
      </c>
      <c r="M83" s="26">
        <f t="shared" si="41"/>
        <v>83.74499999999999</v>
      </c>
      <c r="N83" s="26">
        <f t="shared" si="29"/>
        <v>59.000000000000007</v>
      </c>
      <c r="O83" s="26">
        <f t="shared" si="29"/>
        <v>56.161000000000001</v>
      </c>
      <c r="P83" s="26">
        <f t="shared" si="29"/>
        <v>58.777000000000001</v>
      </c>
      <c r="Q83" s="26">
        <f t="shared" si="41"/>
        <v>60</v>
      </c>
      <c r="R83" s="26">
        <f>R17</f>
        <v>55</v>
      </c>
      <c r="S83" s="26">
        <f>S17</f>
        <v>50</v>
      </c>
      <c r="T83" s="26">
        <f>T17</f>
        <v>45</v>
      </c>
      <c r="U83" s="26">
        <f>U17</f>
        <v>40</v>
      </c>
    </row>
    <row r="84" spans="1:23">
      <c r="A84" s="20" t="str">
        <f t="shared" ref="A84:G84" si="42">A18</f>
        <v>Pretax Income</v>
      </c>
      <c r="B84" s="4">
        <f t="shared" si="42"/>
        <v>0</v>
      </c>
      <c r="C84" s="25">
        <f t="shared" si="42"/>
        <v>109.80199999999999</v>
      </c>
      <c r="D84" s="25">
        <f t="shared" si="42"/>
        <v>155.05400000000003</v>
      </c>
      <c r="E84" s="25">
        <f t="shared" si="42"/>
        <v>47.028000000000162</v>
      </c>
      <c r="F84" s="25">
        <f t="shared" si="42"/>
        <v>-40.781999999999925</v>
      </c>
      <c r="G84" s="25">
        <f t="shared" si="42"/>
        <v>-41.959000000000017</v>
      </c>
      <c r="H84" s="25">
        <f t="shared" ref="H84:M84" si="43">H18</f>
        <v>-44.954380052422678</v>
      </c>
      <c r="I84" s="25">
        <f t="shared" si="43"/>
        <v>53.126833660979941</v>
      </c>
      <c r="J84" s="25">
        <f t="shared" si="43"/>
        <v>-10.895380041793914</v>
      </c>
      <c r="K84" s="25">
        <f t="shared" si="43"/>
        <v>31.808081843102528</v>
      </c>
      <c r="L84" s="25">
        <f t="shared" si="43"/>
        <v>32.350237498878968</v>
      </c>
      <c r="M84" s="25">
        <f t="shared" si="43"/>
        <v>114.31435247826131</v>
      </c>
      <c r="N84" s="25">
        <f t="shared" si="29"/>
        <v>238.87400000000008</v>
      </c>
      <c r="O84" s="25">
        <f t="shared" si="29"/>
        <v>333.21199999999953</v>
      </c>
      <c r="P84" s="25">
        <f t="shared" si="29"/>
        <v>428.97999999999973</v>
      </c>
      <c r="Q84" s="25">
        <f t="shared" ref="Q84:U84" si="44">Q82-Q83</f>
        <v>530.64079169424099</v>
      </c>
      <c r="R84" s="25">
        <f t="shared" si="44"/>
        <v>661.42719251725396</v>
      </c>
      <c r="S84" s="25">
        <f t="shared" si="44"/>
        <v>799.8984494367769</v>
      </c>
      <c r="T84" s="25">
        <f t="shared" si="44"/>
        <v>953.48125697466435</v>
      </c>
      <c r="U84" s="25">
        <f t="shared" si="44"/>
        <v>1136.6050146532914</v>
      </c>
      <c r="W84" s="2050"/>
    </row>
    <row r="85" spans="1:23">
      <c r="C85" s="24"/>
      <c r="D85" s="24"/>
      <c r="E85" s="24"/>
      <c r="F85" s="24"/>
      <c r="G85" s="24"/>
      <c r="H85" s="24"/>
      <c r="I85" s="24"/>
      <c r="J85" s="24"/>
      <c r="K85" s="24"/>
      <c r="L85" s="24"/>
      <c r="M85" s="24"/>
      <c r="N85" s="24"/>
      <c r="O85" s="24"/>
      <c r="P85" s="24"/>
      <c r="Q85" s="24"/>
      <c r="R85" s="24"/>
      <c r="S85" s="24"/>
      <c r="T85" s="24"/>
      <c r="U85" s="24"/>
      <c r="W85" s="2050"/>
    </row>
    <row r="86" spans="1:23">
      <c r="A86" s="4" t="str">
        <f t="shared" ref="A86:M86" si="45">A20</f>
        <v>Taxes</v>
      </c>
      <c r="B86" s="4">
        <f t="shared" si="45"/>
        <v>0</v>
      </c>
      <c r="C86" s="26">
        <f t="shared" si="45"/>
        <v>42.640999999999998</v>
      </c>
      <c r="D86" s="26">
        <f t="shared" si="45"/>
        <v>66.506049999999988</v>
      </c>
      <c r="E86" s="26">
        <f t="shared" si="45"/>
        <v>46.789000000000001</v>
      </c>
      <c r="F86" s="26">
        <f t="shared" si="45"/>
        <v>-16.389230000000001</v>
      </c>
      <c r="G86" s="26">
        <f t="shared" si="45"/>
        <v>-16.464399999999998</v>
      </c>
      <c r="H86" s="26">
        <f t="shared" si="45"/>
        <v>-29.753</v>
      </c>
      <c r="I86" s="26">
        <f t="shared" si="45"/>
        <v>22.13</v>
      </c>
      <c r="J86" s="26">
        <f t="shared" si="45"/>
        <v>-4.1479999999999997</v>
      </c>
      <c r="K86" s="26">
        <f t="shared" si="45"/>
        <v>3.8626241200000031</v>
      </c>
      <c r="L86" s="26">
        <f t="shared" si="45"/>
        <v>16.207999999999995</v>
      </c>
      <c r="M86" s="26">
        <f t="shared" si="45"/>
        <v>39.081000000000003</v>
      </c>
      <c r="N86" s="26">
        <f>N20</f>
        <v>88.391999999999996</v>
      </c>
      <c r="O86" s="26">
        <f>O20</f>
        <v>117.339</v>
      </c>
      <c r="P86" s="26">
        <f>P20</f>
        <v>137.31555400000002</v>
      </c>
      <c r="Q86" s="26">
        <f t="shared" ref="Q86:U86" si="46">Q123*Q84</f>
        <v>122.15098275953076</v>
      </c>
      <c r="R86" s="26">
        <f t="shared" si="46"/>
        <v>152.25738928192689</v>
      </c>
      <c r="S86" s="26">
        <f t="shared" si="46"/>
        <v>184.13281307409815</v>
      </c>
      <c r="T86" s="26">
        <f t="shared" si="46"/>
        <v>219.48684384098016</v>
      </c>
      <c r="U86" s="26">
        <f t="shared" si="46"/>
        <v>261.64106062413219</v>
      </c>
      <c r="W86" s="2050"/>
    </row>
    <row r="87" spans="1:23" hidden="1" outlineLevel="1">
      <c r="C87" s="24"/>
      <c r="D87" s="24"/>
      <c r="E87" s="24"/>
      <c r="F87" s="24"/>
      <c r="G87" s="24"/>
      <c r="H87" s="24"/>
      <c r="I87" s="24"/>
      <c r="J87" s="24"/>
      <c r="K87" s="24"/>
      <c r="L87" s="24"/>
      <c r="M87" s="24"/>
      <c r="N87" s="24"/>
      <c r="O87" s="24"/>
      <c r="P87" s="24"/>
      <c r="Q87" s="24"/>
      <c r="R87" s="24"/>
      <c r="S87" s="24"/>
      <c r="T87" s="24"/>
      <c r="U87" s="24"/>
    </row>
    <row r="88" spans="1:23" hidden="1" outlineLevel="1">
      <c r="A88" s="4" t="str">
        <f t="shared" ref="A88:Q88" si="47">A22</f>
        <v>Minority Interest</v>
      </c>
      <c r="B88" s="4">
        <f t="shared" si="47"/>
        <v>0</v>
      </c>
      <c r="C88" s="26">
        <f t="shared" si="47"/>
        <v>0</v>
      </c>
      <c r="D88" s="26">
        <f t="shared" si="47"/>
        <v>0</v>
      </c>
      <c r="E88" s="26">
        <f t="shared" si="47"/>
        <v>0</v>
      </c>
      <c r="F88" s="26">
        <f t="shared" si="47"/>
        <v>0</v>
      </c>
      <c r="G88" s="26">
        <f t="shared" si="47"/>
        <v>0</v>
      </c>
      <c r="H88" s="26">
        <f t="shared" si="47"/>
        <v>0</v>
      </c>
      <c r="I88" s="26">
        <f t="shared" si="47"/>
        <v>0</v>
      </c>
      <c r="J88" s="26">
        <f t="shared" si="47"/>
        <v>0</v>
      </c>
      <c r="K88" s="26">
        <f t="shared" si="47"/>
        <v>0</v>
      </c>
      <c r="L88" s="26">
        <f t="shared" si="47"/>
        <v>0</v>
      </c>
      <c r="M88" s="26">
        <f t="shared" si="47"/>
        <v>0</v>
      </c>
      <c r="N88" s="26">
        <f>N22</f>
        <v>0</v>
      </c>
      <c r="O88" s="26">
        <f>O22</f>
        <v>0</v>
      </c>
      <c r="P88" s="26">
        <f>P22</f>
        <v>0</v>
      </c>
      <c r="Q88" s="26">
        <f t="shared" si="47"/>
        <v>0</v>
      </c>
      <c r="R88" s="26">
        <f>R22</f>
        <v>0</v>
      </c>
      <c r="S88" s="26">
        <f>S22</f>
        <v>0</v>
      </c>
      <c r="T88" s="26">
        <f>T22</f>
        <v>0</v>
      </c>
      <c r="U88" s="26">
        <f>U22</f>
        <v>0</v>
      </c>
    </row>
    <row r="89" spans="1:23" collapsed="1">
      <c r="C89" s="24"/>
      <c r="D89" s="24"/>
      <c r="E89" s="24"/>
      <c r="F89" s="24"/>
      <c r="G89" s="24"/>
      <c r="H89" s="24"/>
      <c r="I89" s="24"/>
      <c r="J89" s="24"/>
      <c r="K89" s="24"/>
      <c r="L89" s="24"/>
      <c r="M89" s="24"/>
      <c r="N89" s="24"/>
      <c r="O89" s="24"/>
      <c r="P89" s="24"/>
      <c r="Q89" s="24"/>
      <c r="R89" s="24"/>
      <c r="S89" s="24"/>
      <c r="T89" s="24"/>
      <c r="U89" s="24"/>
    </row>
    <row r="90" spans="1:23">
      <c r="A90" s="4" t="str">
        <f t="shared" ref="A90:L90" si="48">A24</f>
        <v>Net Income from Operations</v>
      </c>
      <c r="B90" s="4">
        <f t="shared" si="48"/>
        <v>0</v>
      </c>
      <c r="C90" s="27">
        <f t="shared" si="48"/>
        <v>67.161000000000001</v>
      </c>
      <c r="D90" s="27">
        <f t="shared" si="48"/>
        <v>88.547950000000043</v>
      </c>
      <c r="E90" s="27">
        <f t="shared" si="48"/>
        <v>0.23900000000016064</v>
      </c>
      <c r="F90" s="27">
        <f t="shared" si="48"/>
        <v>-24.392769999999924</v>
      </c>
      <c r="G90" s="27">
        <f t="shared" si="48"/>
        <v>-25.49460000000002</v>
      </c>
      <c r="H90" s="27">
        <f t="shared" si="48"/>
        <v>-15.201380052422678</v>
      </c>
      <c r="I90" s="27">
        <f t="shared" si="48"/>
        <v>30.996833660979942</v>
      </c>
      <c r="J90" s="27">
        <f t="shared" si="48"/>
        <v>-6.7473800417939138</v>
      </c>
      <c r="K90" s="27">
        <f t="shared" si="48"/>
        <v>27.945457723102525</v>
      </c>
      <c r="L90" s="27">
        <f t="shared" si="48"/>
        <v>16.142237498878973</v>
      </c>
      <c r="M90" s="27">
        <f>M24</f>
        <v>75.23335247826131</v>
      </c>
      <c r="N90" s="27">
        <f>N24</f>
        <v>150.48200000000008</v>
      </c>
      <c r="O90" s="27">
        <f>O24</f>
        <v>215.87299999999954</v>
      </c>
      <c r="P90" s="27">
        <f>P24</f>
        <v>291.66444599999971</v>
      </c>
      <c r="Q90" s="27">
        <f t="shared" ref="Q90:U90" si="49">Q84-Q86</f>
        <v>408.48980893471025</v>
      </c>
      <c r="R90" s="27">
        <f t="shared" si="49"/>
        <v>509.16980323532709</v>
      </c>
      <c r="S90" s="27">
        <f t="shared" si="49"/>
        <v>615.76563636267872</v>
      </c>
      <c r="T90" s="27">
        <f t="shared" si="49"/>
        <v>733.99441313368425</v>
      </c>
      <c r="U90" s="27">
        <f t="shared" si="49"/>
        <v>874.96395402915914</v>
      </c>
    </row>
    <row r="91" spans="1:23">
      <c r="C91" s="24"/>
      <c r="D91" s="24"/>
      <c r="E91" s="24"/>
      <c r="F91" s="24"/>
      <c r="G91" s="24"/>
      <c r="H91" s="24"/>
      <c r="I91" s="24"/>
      <c r="J91" s="24"/>
      <c r="K91" s="24"/>
      <c r="L91" s="24"/>
      <c r="M91" s="24"/>
      <c r="N91" s="24"/>
      <c r="O91" s="24"/>
      <c r="P91" s="24"/>
      <c r="Q91" s="24"/>
      <c r="R91" s="24"/>
      <c r="S91" s="24"/>
      <c r="T91" s="24"/>
      <c r="U91" s="24"/>
    </row>
    <row r="92" spans="1:23">
      <c r="A92" s="19" t="str">
        <f t="shared" ref="A92:M92" si="50">A26</f>
        <v>Operating EPS</v>
      </c>
      <c r="B92" s="19">
        <f t="shared" si="50"/>
        <v>0</v>
      </c>
      <c r="C92" s="21">
        <f t="shared" si="50"/>
        <v>1.5035501029567244</v>
      </c>
      <c r="D92" s="21" t="str">
        <f t="shared" si="50"/>
        <v>NA</v>
      </c>
      <c r="E92" s="21" t="str">
        <f t="shared" si="50"/>
        <v>NA</v>
      </c>
      <c r="F92" s="21" t="str">
        <f t="shared" si="50"/>
        <v>NA</v>
      </c>
      <c r="G92" s="21" t="str">
        <f t="shared" si="50"/>
        <v>NA</v>
      </c>
      <c r="H92" s="21" t="s">
        <v>585</v>
      </c>
      <c r="I92" s="21" t="s">
        <v>585</v>
      </c>
      <c r="J92" s="21" t="s">
        <v>585</v>
      </c>
      <c r="K92" s="21">
        <f t="shared" si="50"/>
        <v>0.39080169985260427</v>
      </c>
      <c r="L92" s="21">
        <f t="shared" si="50"/>
        <v>0.21737836045583786</v>
      </c>
      <c r="M92" s="21">
        <f t="shared" si="50"/>
        <v>0.99167405889753268</v>
      </c>
      <c r="N92" s="21">
        <f t="shared" ref="N92:P93" si="51">N26</f>
        <v>1.9946449637474661</v>
      </c>
      <c r="O92" s="21">
        <f t="shared" si="51"/>
        <v>3.0098994715634126</v>
      </c>
      <c r="P92" s="21">
        <f t="shared" si="51"/>
        <v>4.1495624573184573</v>
      </c>
      <c r="Q92" s="21">
        <f t="shared" ref="Q92:U92" si="52">Q90/Q93</f>
        <v>6.0173795232335614</v>
      </c>
      <c r="R92" s="21">
        <f t="shared" si="52"/>
        <v>7.6678136128182821</v>
      </c>
      <c r="S92" s="21">
        <f t="shared" si="52"/>
        <v>9.4769701852970023</v>
      </c>
      <c r="T92" s="21">
        <f t="shared" si="52"/>
        <v>11.533246406049946</v>
      </c>
      <c r="U92" s="21">
        <f t="shared" si="52"/>
        <v>13.748299302643492</v>
      </c>
    </row>
    <row r="93" spans="1:23">
      <c r="A93" s="1554" t="str">
        <f t="shared" ref="A93:Q93" si="53">A27</f>
        <v>Average Diluted Shares</v>
      </c>
      <c r="B93" s="1554">
        <f t="shared" si="53"/>
        <v>0</v>
      </c>
      <c r="C93" s="1555">
        <f t="shared" si="53"/>
        <v>44.668281999999998</v>
      </c>
      <c r="D93" s="1555" t="str">
        <f t="shared" si="53"/>
        <v>NA</v>
      </c>
      <c r="E93" s="1555" t="str">
        <f t="shared" si="53"/>
        <v>NA</v>
      </c>
      <c r="F93" s="1555" t="str">
        <f t="shared" si="53"/>
        <v>NA</v>
      </c>
      <c r="G93" s="1555" t="str">
        <f t="shared" si="53"/>
        <v>NA</v>
      </c>
      <c r="H93" s="1555">
        <f t="shared" si="53"/>
        <v>71.508025000000004</v>
      </c>
      <c r="I93" s="1555">
        <f t="shared" si="53"/>
        <v>71.508025000000004</v>
      </c>
      <c r="J93" s="1555">
        <f t="shared" si="53"/>
        <v>71.508025000000004</v>
      </c>
      <c r="K93" s="1555">
        <f t="shared" si="53"/>
        <v>71.508025000000004</v>
      </c>
      <c r="L93" s="1555">
        <f t="shared" si="53"/>
        <v>74.258713999999998</v>
      </c>
      <c r="M93" s="1555">
        <f t="shared" si="53"/>
        <v>75.864999999999995</v>
      </c>
      <c r="N93" s="1555">
        <f t="shared" si="51"/>
        <v>75.442999999999998</v>
      </c>
      <c r="O93" s="1555">
        <f t="shared" si="51"/>
        <v>71.721000000000004</v>
      </c>
      <c r="P93" s="1555">
        <f t="shared" si="51"/>
        <v>70.287999999999997</v>
      </c>
      <c r="Q93" s="1555">
        <f t="shared" si="53"/>
        <v>67.884999999999991</v>
      </c>
      <c r="R93" s="1555">
        <f>R27</f>
        <v>66.40351851851851</v>
      </c>
      <c r="S93" s="1555">
        <f>S27</f>
        <v>64.974947089947079</v>
      </c>
      <c r="T93" s="1555">
        <f>T27</f>
        <v>63.641613756613744</v>
      </c>
      <c r="U93" s="1555">
        <f>U27</f>
        <v>63.641613756613744</v>
      </c>
    </row>
    <row r="94" spans="1:23">
      <c r="A94" s="1554"/>
      <c r="B94" s="1554"/>
      <c r="C94" s="1556"/>
      <c r="D94" s="1556"/>
      <c r="E94" s="1556"/>
      <c r="F94" s="1556"/>
      <c r="G94" s="1556"/>
      <c r="H94" s="1556"/>
      <c r="I94" s="1556"/>
      <c r="J94" s="1556"/>
      <c r="K94" s="1556"/>
      <c r="L94" s="1556"/>
      <c r="M94" s="1556"/>
      <c r="N94" s="1556"/>
      <c r="O94" s="1556"/>
      <c r="P94" s="1556"/>
      <c r="Q94" s="1556"/>
      <c r="R94" s="1556"/>
      <c r="S94" s="1556"/>
      <c r="T94" s="1556"/>
      <c r="U94" s="1556"/>
      <c r="W94" s="2050"/>
    </row>
    <row r="95" spans="1:23" hidden="1" outlineLevel="2">
      <c r="A95" s="1554" t="str">
        <f t="shared" ref="A95:G95" si="54">A29</f>
        <v>Non-GAAP Reconciliation</v>
      </c>
      <c r="B95" s="1554">
        <f t="shared" si="54"/>
        <v>0</v>
      </c>
      <c r="C95" s="1556">
        <f t="shared" si="54"/>
        <v>0</v>
      </c>
      <c r="D95" s="1556">
        <f t="shared" si="54"/>
        <v>0</v>
      </c>
      <c r="E95" s="1556">
        <f t="shared" si="54"/>
        <v>0</v>
      </c>
      <c r="F95" s="1556">
        <f t="shared" si="54"/>
        <v>0</v>
      </c>
      <c r="G95" s="1556">
        <f t="shared" si="54"/>
        <v>0</v>
      </c>
      <c r="W95" s="2050"/>
    </row>
    <row r="96" spans="1:23" hidden="1" outlineLevel="2">
      <c r="A96" s="1554" t="str">
        <f t="shared" ref="A96:G96" si="55">A30</f>
        <v>Net Income from Operations (GAAP)</v>
      </c>
      <c r="B96" s="1554">
        <f t="shared" si="55"/>
        <v>0</v>
      </c>
      <c r="C96" s="1556">
        <f t="shared" si="55"/>
        <v>0</v>
      </c>
      <c r="D96" s="1556">
        <f t="shared" si="55"/>
        <v>0</v>
      </c>
      <c r="E96" s="1556">
        <f t="shared" si="55"/>
        <v>0</v>
      </c>
      <c r="F96" s="1556">
        <f t="shared" si="55"/>
        <v>0</v>
      </c>
      <c r="G96" s="1556">
        <f t="shared" si="55"/>
        <v>0</v>
      </c>
      <c r="H96" s="1550">
        <f t="shared" ref="H96:P96" si="56">H30</f>
        <v>-15.201380052422657</v>
      </c>
      <c r="I96" s="1550">
        <f t="shared" si="56"/>
        <v>30.996833660979942</v>
      </c>
      <c r="J96" s="1550">
        <f t="shared" si="56"/>
        <v>-6.7473800417939138</v>
      </c>
      <c r="K96" s="1550">
        <f t="shared" si="56"/>
        <v>27.945457723102525</v>
      </c>
      <c r="L96" s="1550">
        <f t="shared" si="56"/>
        <v>16.142237498878973</v>
      </c>
      <c r="M96" s="1550">
        <f t="shared" si="56"/>
        <v>75.23335247826131</v>
      </c>
      <c r="N96" s="1550">
        <f t="shared" si="56"/>
        <v>150.48200000000014</v>
      </c>
      <c r="O96" s="1550">
        <f t="shared" si="56"/>
        <v>215.87299999999954</v>
      </c>
      <c r="P96" s="1550">
        <f t="shared" si="56"/>
        <v>291.66444599999966</v>
      </c>
      <c r="Q96" s="1550">
        <f t="shared" ref="Q96:U96" si="57">Q90</f>
        <v>408.48980893471025</v>
      </c>
      <c r="R96" s="1550">
        <f t="shared" si="57"/>
        <v>509.16980323532709</v>
      </c>
      <c r="S96" s="1550">
        <f t="shared" si="57"/>
        <v>615.76563636267872</v>
      </c>
      <c r="T96" s="1550">
        <f t="shared" si="57"/>
        <v>733.99441313368425</v>
      </c>
      <c r="U96" s="1550">
        <f t="shared" si="57"/>
        <v>874.96395402915914</v>
      </c>
      <c r="W96" s="2050"/>
    </row>
    <row r="97" spans="1:25" hidden="1" outlineLevel="2">
      <c r="A97" s="1554" t="str">
        <f t="shared" ref="A97:G97" si="58">A31</f>
        <v>+ Net Favorable Lease Amortization</v>
      </c>
      <c r="B97" s="1554">
        <f t="shared" si="58"/>
        <v>0</v>
      </c>
      <c r="C97" s="1556">
        <f t="shared" si="58"/>
        <v>0</v>
      </c>
      <c r="D97" s="1556">
        <f t="shared" si="58"/>
        <v>0</v>
      </c>
      <c r="E97" s="1556">
        <f t="shared" si="58"/>
        <v>0</v>
      </c>
      <c r="F97" s="1556">
        <f t="shared" si="58"/>
        <v>0</v>
      </c>
      <c r="G97" s="1556">
        <f t="shared" si="58"/>
        <v>0</v>
      </c>
      <c r="H97" s="1551">
        <f t="shared" ref="H97:P97" si="59">H31</f>
        <v>0</v>
      </c>
      <c r="I97" s="1551">
        <f t="shared" si="59"/>
        <v>0</v>
      </c>
      <c r="J97" s="1551">
        <f t="shared" si="59"/>
        <v>0</v>
      </c>
      <c r="K97" s="1551">
        <f t="shared" si="59"/>
        <v>31.292999999999999</v>
      </c>
      <c r="L97" s="1551">
        <f t="shared" si="59"/>
        <v>29.326000000000001</v>
      </c>
      <c r="M97" s="1551">
        <f t="shared" si="59"/>
        <v>25.96</v>
      </c>
      <c r="N97" s="1551">
        <f t="shared" si="59"/>
        <v>24.131</v>
      </c>
      <c r="O97" s="1551">
        <f t="shared" si="59"/>
        <v>23.828000000000003</v>
      </c>
      <c r="P97" s="1551">
        <f t="shared" si="59"/>
        <v>23.324999999999996</v>
      </c>
      <c r="Q97" s="1552">
        <f t="shared" ref="Q97:T100" si="60">Q31</f>
        <v>20.89</v>
      </c>
      <c r="R97" s="1552">
        <f t="shared" si="60"/>
        <v>20.224</v>
      </c>
      <c r="S97" s="1552">
        <f t="shared" si="60"/>
        <v>18.917999999999999</v>
      </c>
      <c r="T97" s="1552">
        <f t="shared" si="60"/>
        <v>18.419</v>
      </c>
      <c r="U97" s="1552">
        <f t="shared" ref="U97" si="61">U31</f>
        <v>17.129670000000001</v>
      </c>
      <c r="W97" s="2050"/>
    </row>
    <row r="98" spans="1:25" hidden="1" outlineLevel="2">
      <c r="A98" s="1554" t="str">
        <f t="shared" ref="A98:G98" si="62">A32</f>
        <v>+Non GAAP Adjustments</v>
      </c>
      <c r="B98" s="1554">
        <f t="shared" si="62"/>
        <v>0</v>
      </c>
      <c r="C98" s="1556">
        <f t="shared" si="62"/>
        <v>0</v>
      </c>
      <c r="D98" s="1556">
        <f t="shared" si="62"/>
        <v>0</v>
      </c>
      <c r="E98" s="1556">
        <f t="shared" si="62"/>
        <v>0</v>
      </c>
      <c r="F98" s="1556">
        <f t="shared" si="62"/>
        <v>0</v>
      </c>
      <c r="G98" s="1556">
        <f t="shared" si="62"/>
        <v>0</v>
      </c>
      <c r="H98" s="1551">
        <f t="shared" ref="H98:P98" si="63">H32</f>
        <v>71.390999999999991</v>
      </c>
      <c r="I98" s="1551">
        <f t="shared" si="63"/>
        <v>2.08</v>
      </c>
      <c r="J98" s="1551">
        <f t="shared" si="63"/>
        <v>39.499000000000002</v>
      </c>
      <c r="K98" s="1551">
        <f t="shared" si="63"/>
        <v>18.745999999999995</v>
      </c>
      <c r="L98" s="1551">
        <f t="shared" si="63"/>
        <v>52.716999999999999</v>
      </c>
      <c r="M98" s="1551">
        <f t="shared" si="63"/>
        <v>82.279000000000011</v>
      </c>
      <c r="N98" s="1551">
        <f t="shared" si="63"/>
        <v>8.3730000000000011</v>
      </c>
      <c r="O98" s="1551">
        <f t="shared" si="63"/>
        <v>8.202</v>
      </c>
      <c r="P98" s="1551">
        <f t="shared" si="63"/>
        <v>7.411999999999999</v>
      </c>
      <c r="Q98" s="1551">
        <f t="shared" si="60"/>
        <v>0</v>
      </c>
      <c r="R98" s="1551">
        <f t="shared" si="60"/>
        <v>0</v>
      </c>
      <c r="S98" s="1551">
        <f t="shared" si="60"/>
        <v>0</v>
      </c>
      <c r="T98" s="1551">
        <f t="shared" si="60"/>
        <v>0</v>
      </c>
      <c r="U98" s="1551">
        <f t="shared" ref="U98" si="64">U32</f>
        <v>0</v>
      </c>
      <c r="W98" s="2050"/>
    </row>
    <row r="99" spans="1:25" hidden="1" outlineLevel="2">
      <c r="A99" s="1554" t="str">
        <f t="shared" ref="A99:G99" si="65">A33</f>
        <v>+Advisory Fees /other</v>
      </c>
      <c r="B99" s="1554">
        <f t="shared" si="65"/>
        <v>0</v>
      </c>
      <c r="C99" s="1556">
        <f t="shared" si="65"/>
        <v>0</v>
      </c>
      <c r="D99" s="1556">
        <f t="shared" si="65"/>
        <v>0</v>
      </c>
      <c r="E99" s="1556">
        <f t="shared" si="65"/>
        <v>0</v>
      </c>
      <c r="F99" s="1556">
        <f t="shared" si="65"/>
        <v>0</v>
      </c>
      <c r="G99" s="1556">
        <f t="shared" si="65"/>
        <v>0</v>
      </c>
      <c r="H99" s="1551">
        <f t="shared" ref="H99:P99" si="66">H33</f>
        <v>4.1980000000000004</v>
      </c>
      <c r="I99" s="1551">
        <f t="shared" si="66"/>
        <v>4.2889999999999997</v>
      </c>
      <c r="J99" s="1551">
        <f t="shared" si="66"/>
        <v>4.2850000000000001</v>
      </c>
      <c r="K99" s="1551">
        <f t="shared" si="66"/>
        <v>4.2910000000000004</v>
      </c>
      <c r="L99" s="1551">
        <f t="shared" si="66"/>
        <v>2.91</v>
      </c>
      <c r="M99" s="1551">
        <f t="shared" si="66"/>
        <v>0.185</v>
      </c>
      <c r="N99" s="1551">
        <f t="shared" si="66"/>
        <v>5.7059999999999995</v>
      </c>
      <c r="O99" s="1551">
        <f t="shared" si="66"/>
        <v>3.4569999999999999</v>
      </c>
      <c r="P99" s="1551">
        <f t="shared" si="66"/>
        <v>0</v>
      </c>
      <c r="Q99" s="1551">
        <f t="shared" si="60"/>
        <v>0</v>
      </c>
      <c r="R99" s="1551">
        <f t="shared" si="60"/>
        <v>0</v>
      </c>
      <c r="S99" s="1551">
        <f t="shared" si="60"/>
        <v>0</v>
      </c>
      <c r="T99" s="1551">
        <f t="shared" si="60"/>
        <v>0</v>
      </c>
      <c r="U99" s="1551">
        <f t="shared" ref="U99" si="67">U33</f>
        <v>0</v>
      </c>
      <c r="W99" s="2050"/>
    </row>
    <row r="100" spans="1:25" hidden="1" outlineLevel="2">
      <c r="A100" s="1554" t="str">
        <f t="shared" ref="A100:G100" si="68">A34</f>
        <v>+Tax Adjustment</v>
      </c>
      <c r="B100" s="1554">
        <f t="shared" si="68"/>
        <v>0</v>
      </c>
      <c r="C100" s="1556">
        <f t="shared" si="68"/>
        <v>0</v>
      </c>
      <c r="D100" s="1556">
        <f t="shared" si="68"/>
        <v>0</v>
      </c>
      <c r="E100" s="1556">
        <f t="shared" si="68"/>
        <v>0</v>
      </c>
      <c r="F100" s="1556">
        <f t="shared" si="68"/>
        <v>0</v>
      </c>
      <c r="G100" s="1556">
        <f t="shared" si="68"/>
        <v>0</v>
      </c>
      <c r="H100" s="1551">
        <f t="shared" ref="H100:P100" si="69">H34</f>
        <v>-26.456149999999994</v>
      </c>
      <c r="I100" s="1551">
        <f t="shared" si="69"/>
        <v>-2.2291499999999997</v>
      </c>
      <c r="J100" s="1551">
        <f t="shared" si="69"/>
        <v>-15.324399999999999</v>
      </c>
      <c r="K100" s="1551">
        <f t="shared" si="69"/>
        <v>-19.133000000000003</v>
      </c>
      <c r="L100" s="1551">
        <f t="shared" si="69"/>
        <v>-30.858999999999998</v>
      </c>
      <c r="M100" s="1551">
        <f t="shared" si="69"/>
        <v>-45.081999999999994</v>
      </c>
      <c r="N100" s="1551">
        <f t="shared" si="69"/>
        <v>-14.117999999999999</v>
      </c>
      <c r="O100" s="1551">
        <f t="shared" si="69"/>
        <v>-19.094000000000001</v>
      </c>
      <c r="P100" s="1551">
        <f t="shared" si="69"/>
        <v>-9.9220000000000006</v>
      </c>
      <c r="Q100" s="1551">
        <f t="shared" si="60"/>
        <v>-5.0136000000000003</v>
      </c>
      <c r="R100" s="1551">
        <f t="shared" si="60"/>
        <v>-4.756588471319863</v>
      </c>
      <c r="S100" s="1551">
        <f t="shared" si="60"/>
        <v>-4.4494234919120439</v>
      </c>
      <c r="T100" s="1551">
        <f t="shared" si="60"/>
        <v>-4.3320610686926706</v>
      </c>
      <c r="U100" s="1551">
        <f t="shared" ref="U100" si="70">U34</f>
        <v>-4.0288167938841832</v>
      </c>
      <c r="W100" s="2050"/>
    </row>
    <row r="101" spans="1:25" hidden="1" outlineLevel="2">
      <c r="A101" s="1554" t="str">
        <f t="shared" ref="A101:G101" si="71">A35</f>
        <v>Adjusted Net Income from Operations</v>
      </c>
      <c r="B101" s="1554">
        <f t="shared" si="71"/>
        <v>0</v>
      </c>
      <c r="C101" s="1556">
        <f t="shared" si="71"/>
        <v>0</v>
      </c>
      <c r="D101" s="1556">
        <f t="shared" si="71"/>
        <v>0</v>
      </c>
      <c r="E101" s="1556">
        <f t="shared" si="71"/>
        <v>0</v>
      </c>
      <c r="F101" s="1556">
        <f t="shared" si="71"/>
        <v>0</v>
      </c>
      <c r="G101" s="1556">
        <f t="shared" si="71"/>
        <v>0</v>
      </c>
      <c r="H101" s="1551">
        <f t="shared" ref="H101:P101" si="72">H35</f>
        <v>33.931469947577341</v>
      </c>
      <c r="I101" s="1551">
        <f t="shared" si="72"/>
        <v>35.136683660979948</v>
      </c>
      <c r="J101" s="1551">
        <f t="shared" si="72"/>
        <v>21.712219958206092</v>
      </c>
      <c r="K101" s="1551">
        <f t="shared" si="72"/>
        <v>63.142457723102517</v>
      </c>
      <c r="L101" s="1551">
        <f t="shared" si="72"/>
        <v>70.236237498878978</v>
      </c>
      <c r="M101" s="1551">
        <f t="shared" si="72"/>
        <v>138.57535247826132</v>
      </c>
      <c r="N101" s="1551">
        <f t="shared" si="72"/>
        <v>174.57400000000013</v>
      </c>
      <c r="O101" s="1551">
        <f t="shared" si="72"/>
        <v>232.26599999999954</v>
      </c>
      <c r="P101" s="1551">
        <f t="shared" si="72"/>
        <v>312.4794459999996</v>
      </c>
      <c r="Q101" s="1551">
        <f t="shared" ref="Q101:U101" si="73">Q96+Q97+Q98+Q99+Q100</f>
        <v>424.36620893471024</v>
      </c>
      <c r="R101" s="1551">
        <f t="shared" si="73"/>
        <v>524.63721476400724</v>
      </c>
      <c r="S101" s="1551">
        <f t="shared" si="73"/>
        <v>630.23421287076667</v>
      </c>
      <c r="T101" s="1551">
        <f t="shared" si="73"/>
        <v>748.08135206499151</v>
      </c>
      <c r="U101" s="1551">
        <f t="shared" si="73"/>
        <v>888.064807235275</v>
      </c>
      <c r="W101" s="2050"/>
    </row>
    <row r="102" spans="1:25" hidden="1" outlineLevel="1" collapsed="1">
      <c r="A102" s="1554"/>
      <c r="B102" s="1554"/>
      <c r="C102" s="1556"/>
      <c r="D102" s="1556"/>
      <c r="E102" s="1556"/>
      <c r="F102" s="1556"/>
      <c r="G102" s="1556"/>
      <c r="H102" s="1553"/>
      <c r="I102" s="1553"/>
      <c r="J102" s="1553"/>
      <c r="K102" s="1553"/>
      <c r="L102" s="1553"/>
      <c r="M102" s="1553"/>
      <c r="N102" s="1553"/>
      <c r="O102" s="1553"/>
      <c r="P102" s="1553"/>
      <c r="Q102" s="1553"/>
      <c r="R102" s="1553"/>
      <c r="S102" s="1553"/>
      <c r="T102" s="1553"/>
      <c r="U102" s="1553"/>
      <c r="W102" s="2050"/>
    </row>
    <row r="103" spans="1:25" collapsed="1">
      <c r="A103" s="1554"/>
      <c r="B103" s="1554"/>
      <c r="C103" s="1556"/>
      <c r="D103" s="1556"/>
      <c r="E103" s="1556"/>
      <c r="F103" s="1556"/>
      <c r="G103" s="1556"/>
      <c r="H103" s="1556"/>
      <c r="I103" s="1556"/>
      <c r="J103" s="1556"/>
      <c r="K103" s="1556"/>
      <c r="L103" s="1556"/>
      <c r="M103" s="1556"/>
      <c r="N103" s="1556"/>
      <c r="O103" s="1556"/>
      <c r="P103" s="1556"/>
      <c r="Q103" s="2045">
        <f>Q104/P104-1</f>
        <v>0.40613397759145586</v>
      </c>
      <c r="R103" s="2045">
        <f>R104/Q104-1</f>
        <v>0.26386599525498666</v>
      </c>
      <c r="S103" s="2045">
        <f>S104/R104-1</f>
        <v>0.22768808022765019</v>
      </c>
      <c r="T103" s="2045">
        <f>T104/S104-1</f>
        <v>0.21185763785002543</v>
      </c>
      <c r="U103" s="2045">
        <f>U104/T104-1</f>
        <v>0.1871233052179091</v>
      </c>
      <c r="W103" s="2050"/>
      <c r="Y103" s="1588"/>
    </row>
    <row r="104" spans="1:25">
      <c r="A104" s="1567" t="str">
        <f t="shared" ref="A104:M104" si="74">A38</f>
        <v>Adjusted EPS</v>
      </c>
      <c r="B104" s="1567">
        <f t="shared" si="74"/>
        <v>0</v>
      </c>
      <c r="C104" s="1567">
        <f t="shared" si="74"/>
        <v>0</v>
      </c>
      <c r="D104" s="1567">
        <f t="shared" si="74"/>
        <v>0</v>
      </c>
      <c r="E104" s="1567">
        <f t="shared" si="74"/>
        <v>0</v>
      </c>
      <c r="F104" s="1567">
        <f t="shared" si="74"/>
        <v>0</v>
      </c>
      <c r="G104" s="1567">
        <f t="shared" si="74"/>
        <v>0</v>
      </c>
      <c r="H104" s="1568" t="str">
        <f t="shared" si="74"/>
        <v>N/A</v>
      </c>
      <c r="I104" s="1568" t="str">
        <f t="shared" si="74"/>
        <v>N/A</v>
      </c>
      <c r="J104" s="1568" t="str">
        <f t="shared" si="74"/>
        <v>N/A</v>
      </c>
      <c r="K104" s="1568">
        <f t="shared" si="74"/>
        <v>0.88301218951442884</v>
      </c>
      <c r="L104" s="1568">
        <f t="shared" si="74"/>
        <v>0.94583158952737834</v>
      </c>
      <c r="M104" s="1568">
        <f t="shared" si="74"/>
        <v>1.8266045274930645</v>
      </c>
      <c r="N104" s="1568">
        <f>N38</f>
        <v>2.3139853929456695</v>
      </c>
      <c r="O104" s="1568">
        <f>O38</f>
        <v>3.2384657213368402</v>
      </c>
      <c r="P104" s="1568">
        <f>P38</f>
        <v>4.4457012007739527</v>
      </c>
      <c r="Q104" s="1568">
        <f t="shared" ref="Q104:U104" si="75">Q101/Q106</f>
        <v>6.2512515126273893</v>
      </c>
      <c r="R104" s="1568">
        <f t="shared" si="75"/>
        <v>7.9007442145960569</v>
      </c>
      <c r="S104" s="1568">
        <f t="shared" si="75"/>
        <v>9.6996494971871474</v>
      </c>
      <c r="T104" s="1568">
        <f t="shared" si="75"/>
        <v>11.754594327634402</v>
      </c>
      <c r="U104" s="1568">
        <f t="shared" si="75"/>
        <v>13.954152869717038</v>
      </c>
      <c r="W104" s="2046"/>
    </row>
    <row r="105" spans="1:25">
      <c r="A105" s="1554"/>
      <c r="B105" s="1554"/>
      <c r="C105" s="1556"/>
      <c r="D105" s="1556"/>
      <c r="E105" s="1556"/>
      <c r="F105" s="1556"/>
      <c r="G105" s="1556"/>
      <c r="H105" s="1558"/>
      <c r="I105" s="1558"/>
      <c r="J105" s="1558"/>
      <c r="K105" s="1558"/>
      <c r="L105" s="1553"/>
      <c r="M105" s="1553"/>
      <c r="N105" s="1553"/>
      <c r="O105" s="1553"/>
      <c r="P105" s="1553"/>
      <c r="Q105" s="1553">
        <f t="shared" ref="Q105:U105" si="76">Q77/P77-1</f>
        <v>7.7603162530859304E-2</v>
      </c>
      <c r="R105" s="1553">
        <f t="shared" si="76"/>
        <v>9.9313175634579531E-2</v>
      </c>
      <c r="S105" s="1553">
        <f t="shared" si="76"/>
        <v>9.9744245323882375E-2</v>
      </c>
      <c r="T105" s="1553">
        <f t="shared" si="76"/>
        <v>9.4829247491707402E-2</v>
      </c>
      <c r="U105" s="1553">
        <f t="shared" si="76"/>
        <v>9.4323306892067915E-2</v>
      </c>
      <c r="W105" s="2050"/>
    </row>
    <row r="106" spans="1:25" hidden="1" outlineLevel="1">
      <c r="A106" s="1554" t="str">
        <f t="shared" ref="A106:Q106" si="77">A40</f>
        <v>Average Diluted Shares</v>
      </c>
      <c r="B106" s="1554">
        <f t="shared" si="77"/>
        <v>0</v>
      </c>
      <c r="C106" s="1556">
        <f t="shared" si="77"/>
        <v>0</v>
      </c>
      <c r="D106" s="1556">
        <f t="shared" si="77"/>
        <v>0</v>
      </c>
      <c r="E106" s="1556">
        <f t="shared" si="77"/>
        <v>0</v>
      </c>
      <c r="F106" s="1556">
        <f t="shared" si="77"/>
        <v>0</v>
      </c>
      <c r="G106" s="1556">
        <f t="shared" si="77"/>
        <v>0</v>
      </c>
      <c r="H106" s="1558" t="str">
        <f t="shared" si="77"/>
        <v>N/A</v>
      </c>
      <c r="I106" s="1558" t="str">
        <f t="shared" si="77"/>
        <v>N/A</v>
      </c>
      <c r="J106" s="1558" t="str">
        <f t="shared" si="77"/>
        <v>N/A</v>
      </c>
      <c r="K106" s="1551">
        <f t="shared" si="77"/>
        <v>71.508025000000004</v>
      </c>
      <c r="L106" s="1551">
        <f t="shared" si="77"/>
        <v>74.258713999999998</v>
      </c>
      <c r="M106" s="1551">
        <f t="shared" si="77"/>
        <v>75.864999999999995</v>
      </c>
      <c r="N106" s="1551">
        <f t="shared" si="77"/>
        <v>75.442999999999998</v>
      </c>
      <c r="O106" s="1551">
        <f>O40</f>
        <v>71.721000000000004</v>
      </c>
      <c r="P106" s="1551">
        <f>P40</f>
        <v>70.287999999999997</v>
      </c>
      <c r="Q106" s="1551">
        <f t="shared" si="77"/>
        <v>67.884999999999991</v>
      </c>
      <c r="R106" s="1551">
        <f>R40</f>
        <v>66.40351851851851</v>
      </c>
      <c r="S106" s="1551">
        <f>S40</f>
        <v>64.974947089947079</v>
      </c>
      <c r="T106" s="1551">
        <f>T40</f>
        <v>63.641613756613744</v>
      </c>
      <c r="U106" s="1551">
        <f>U40</f>
        <v>63.641613756613744</v>
      </c>
      <c r="W106" s="2050"/>
    </row>
    <row r="107" spans="1:25" hidden="1" outlineLevel="1">
      <c r="A107" s="40"/>
      <c r="B107" s="40"/>
      <c r="C107" s="42"/>
      <c r="D107" s="42"/>
      <c r="E107" s="42"/>
      <c r="F107" s="42"/>
      <c r="G107" s="42"/>
      <c r="H107" s="42"/>
      <c r="I107" s="42"/>
      <c r="J107" s="42"/>
      <c r="K107" s="42"/>
      <c r="L107" s="42"/>
      <c r="M107" s="42"/>
      <c r="N107" s="42"/>
      <c r="O107" s="42"/>
      <c r="P107" s="42"/>
      <c r="Q107" s="42"/>
      <c r="R107" s="42"/>
      <c r="S107" s="42"/>
      <c r="T107" s="42"/>
      <c r="U107" s="42"/>
      <c r="W107" s="2050"/>
    </row>
    <row r="108" spans="1:25" hidden="1" outlineLevel="1">
      <c r="A108" s="1554" t="str">
        <f t="shared" ref="A108:M108" si="78">A42</f>
        <v>Operating Income (GAAP)</v>
      </c>
      <c r="B108" s="1554">
        <f t="shared" si="78"/>
        <v>0</v>
      </c>
      <c r="C108" s="1556">
        <f t="shared" si="78"/>
        <v>0</v>
      </c>
      <c r="D108" s="1556">
        <f t="shared" si="78"/>
        <v>0</v>
      </c>
      <c r="E108" s="1556">
        <f t="shared" si="78"/>
        <v>0</v>
      </c>
      <c r="F108" s="1556">
        <f t="shared" si="78"/>
        <v>0</v>
      </c>
      <c r="G108" s="1556">
        <f t="shared" si="78"/>
        <v>0</v>
      </c>
      <c r="H108" s="1559">
        <f t="shared" si="78"/>
        <v>39.468619947577345</v>
      </c>
      <c r="I108" s="1559">
        <f t="shared" si="78"/>
        <v>152.43583366097994</v>
      </c>
      <c r="J108" s="1559">
        <f t="shared" si="78"/>
        <v>118.2256199582061</v>
      </c>
      <c r="K108" s="1559">
        <f t="shared" si="78"/>
        <v>143.57870799710253</v>
      </c>
      <c r="L108" s="1559">
        <f t="shared" si="78"/>
        <v>160.08923749887896</v>
      </c>
      <c r="M108" s="1559">
        <f t="shared" si="78"/>
        <v>198.0593524782613</v>
      </c>
      <c r="N108" s="1559">
        <f t="shared" ref="N108:T108" si="79">N82</f>
        <v>297.87400000000008</v>
      </c>
      <c r="O108" s="1559">
        <f>O82</f>
        <v>389.37299999999954</v>
      </c>
      <c r="P108" s="1559">
        <f>P82</f>
        <v>487.75699999999972</v>
      </c>
      <c r="Q108" s="1559">
        <f t="shared" si="79"/>
        <v>590.64079169424099</v>
      </c>
      <c r="R108" s="1559">
        <f t="shared" si="79"/>
        <v>716.42719251725396</v>
      </c>
      <c r="S108" s="1559">
        <f t="shared" si="79"/>
        <v>849.8984494367769</v>
      </c>
      <c r="T108" s="1559">
        <f t="shared" si="79"/>
        <v>998.48125697466435</v>
      </c>
      <c r="U108" s="1559">
        <f t="shared" ref="U108" si="80">U82</f>
        <v>1176.6050146532914</v>
      </c>
      <c r="W108" s="2050"/>
    </row>
    <row r="109" spans="1:25" hidden="1" outlineLevel="1">
      <c r="A109" s="1554" t="str">
        <f t="shared" ref="A109:Q109" si="81">A43</f>
        <v xml:space="preserve">+Non GAAP Adjustments </v>
      </c>
      <c r="B109" s="1554">
        <f t="shared" si="81"/>
        <v>0</v>
      </c>
      <c r="C109" s="1556">
        <f t="shared" si="81"/>
        <v>0</v>
      </c>
      <c r="D109" s="1556">
        <f t="shared" si="81"/>
        <v>0</v>
      </c>
      <c r="E109" s="1556">
        <f t="shared" si="81"/>
        <v>0</v>
      </c>
      <c r="F109" s="1556">
        <f t="shared" si="81"/>
        <v>0</v>
      </c>
      <c r="G109" s="1556">
        <f t="shared" si="81"/>
        <v>0</v>
      </c>
      <c r="H109" s="1551">
        <f t="shared" si="81"/>
        <v>75.286000000000001</v>
      </c>
      <c r="I109" s="1551">
        <f t="shared" si="81"/>
        <v>5.9849999999999994</v>
      </c>
      <c r="J109" s="1551">
        <f t="shared" si="81"/>
        <v>43.702000000000005</v>
      </c>
      <c r="K109" s="1551">
        <f t="shared" si="81"/>
        <v>22.894999999999996</v>
      </c>
      <c r="L109" s="1551">
        <f t="shared" si="81"/>
        <v>55.404999999999994</v>
      </c>
      <c r="M109" s="1551">
        <f t="shared" si="81"/>
        <v>82.425000000000011</v>
      </c>
      <c r="N109" s="1551">
        <f t="shared" si="81"/>
        <v>13.985000000000001</v>
      </c>
      <c r="O109" s="1551">
        <f>O43</f>
        <v>11.645</v>
      </c>
      <c r="P109" s="1551">
        <f>P43</f>
        <v>7.3629999999999987</v>
      </c>
      <c r="Q109" s="1551">
        <f t="shared" si="81"/>
        <v>-4.9000000000000002E-2</v>
      </c>
      <c r="R109" s="1551">
        <f>R43</f>
        <v>-4.9000000000000002E-2</v>
      </c>
      <c r="S109" s="1551">
        <f>S43</f>
        <v>-4.9000000000000002E-2</v>
      </c>
      <c r="T109" s="1551">
        <f>T43</f>
        <v>-4.9000000000000002E-2</v>
      </c>
      <c r="U109" s="1551">
        <f>U43</f>
        <v>-4.9000000000000002E-2</v>
      </c>
      <c r="W109" s="2050"/>
    </row>
    <row r="110" spans="1:25" hidden="1" outlineLevel="1">
      <c r="A110" s="1554" t="str">
        <f t="shared" ref="A110:M110" si="82">A44</f>
        <v>Adjusted Operating Income</v>
      </c>
      <c r="B110" s="1554">
        <f t="shared" si="82"/>
        <v>0</v>
      </c>
      <c r="C110" s="1556">
        <f t="shared" si="82"/>
        <v>0</v>
      </c>
      <c r="D110" s="1556">
        <f t="shared" si="82"/>
        <v>0</v>
      </c>
      <c r="E110" s="1556">
        <f t="shared" si="82"/>
        <v>0</v>
      </c>
      <c r="F110" s="1556">
        <f t="shared" si="82"/>
        <v>0</v>
      </c>
      <c r="G110" s="1556">
        <f t="shared" si="82"/>
        <v>0</v>
      </c>
      <c r="H110" s="1560">
        <f t="shared" si="82"/>
        <v>114.75461994757734</v>
      </c>
      <c r="I110" s="1560">
        <f t="shared" si="82"/>
        <v>158.42083366097995</v>
      </c>
      <c r="J110" s="1560">
        <f t="shared" si="82"/>
        <v>161.92761995820609</v>
      </c>
      <c r="K110" s="1560">
        <f t="shared" si="82"/>
        <v>166.47370799710251</v>
      </c>
      <c r="L110" s="1560">
        <f t="shared" si="82"/>
        <v>215.49423749887896</v>
      </c>
      <c r="M110" s="1560">
        <f t="shared" si="82"/>
        <v>280.48435247826131</v>
      </c>
      <c r="N110" s="1560">
        <f t="shared" ref="N110:T110" si="83">N108+N109</f>
        <v>311.85900000000009</v>
      </c>
      <c r="O110" s="1560">
        <f>O108+O109</f>
        <v>401.01799999999952</v>
      </c>
      <c r="P110" s="1560">
        <f>P108+P109</f>
        <v>495.11999999999972</v>
      </c>
      <c r="Q110" s="1560">
        <f t="shared" si="83"/>
        <v>590.59179169424101</v>
      </c>
      <c r="R110" s="1560">
        <f t="shared" si="83"/>
        <v>716.37819251725398</v>
      </c>
      <c r="S110" s="1560">
        <f t="shared" si="83"/>
        <v>849.84944943677692</v>
      </c>
      <c r="T110" s="1560">
        <f t="shared" si="83"/>
        <v>998.43225697466437</v>
      </c>
      <c r="U110" s="1560">
        <f t="shared" ref="U110" si="84">U108+U109</f>
        <v>1176.5560146532914</v>
      </c>
      <c r="W110" s="2050"/>
    </row>
    <row r="111" spans="1:25" hidden="1" outlineLevel="1">
      <c r="A111" s="1554"/>
      <c r="B111" s="1554"/>
      <c r="C111" s="1556"/>
      <c r="D111" s="1556"/>
      <c r="E111" s="1556"/>
      <c r="F111" s="1556"/>
      <c r="G111" s="1556"/>
      <c r="H111" s="1553"/>
      <c r="I111" s="1553"/>
      <c r="J111" s="1553"/>
      <c r="K111" s="1553"/>
      <c r="L111" s="1553"/>
      <c r="M111" s="1553"/>
      <c r="N111" s="1553"/>
      <c r="O111" s="1553"/>
      <c r="P111" s="1553"/>
      <c r="Q111" s="1553"/>
      <c r="R111" s="1553"/>
      <c r="S111" s="1553"/>
      <c r="T111" s="1553"/>
      <c r="U111" s="1553"/>
      <c r="W111" s="2050"/>
    </row>
    <row r="112" spans="1:25" hidden="1" outlineLevel="1">
      <c r="A112" s="1554" t="str">
        <f t="shared" ref="A112:M112" si="85">A46</f>
        <v>+Depreciation &amp; Amortization</v>
      </c>
      <c r="B112" s="1554">
        <f t="shared" si="85"/>
        <v>0</v>
      </c>
      <c r="C112" s="1556">
        <f t="shared" si="85"/>
        <v>0</v>
      </c>
      <c r="D112" s="1556">
        <f t="shared" si="85"/>
        <v>0</v>
      </c>
      <c r="E112" s="1556">
        <f t="shared" si="85"/>
        <v>0</v>
      </c>
      <c r="F112" s="1556">
        <f t="shared" si="85"/>
        <v>0</v>
      </c>
      <c r="G112" s="1556">
        <f t="shared" si="85"/>
        <v>0</v>
      </c>
      <c r="H112" s="1559">
        <f t="shared" si="85"/>
        <v>156.38800000000001</v>
      </c>
      <c r="I112" s="1559">
        <f t="shared" si="85"/>
        <v>146.75899999999999</v>
      </c>
      <c r="J112" s="1559">
        <f t="shared" si="85"/>
        <v>153.07</v>
      </c>
      <c r="K112" s="1559">
        <f t="shared" si="85"/>
        <v>166.79874882999997</v>
      </c>
      <c r="L112" s="1559">
        <f t="shared" si="85"/>
        <v>168.19400000000002</v>
      </c>
      <c r="M112" s="1559">
        <f t="shared" si="85"/>
        <v>167.58</v>
      </c>
      <c r="N112" s="1559">
        <f t="shared" ref="N112:T112" si="86">N79</f>
        <v>172.09900000000002</v>
      </c>
      <c r="O112" s="1559">
        <f>O79</f>
        <v>183.58600000000001</v>
      </c>
      <c r="P112" s="1559">
        <f>P79</f>
        <v>201.10300000000001</v>
      </c>
      <c r="Q112" s="1559">
        <f t="shared" si="86"/>
        <v>225.71548000000001</v>
      </c>
      <c r="R112" s="1559">
        <f t="shared" si="86"/>
        <v>249.18084738921414</v>
      </c>
      <c r="S112" s="1559">
        <f t="shared" si="86"/>
        <v>274.01575129373856</v>
      </c>
      <c r="T112" s="1559">
        <f t="shared" si="86"/>
        <v>300.27841321814662</v>
      </c>
      <c r="U112" s="1559">
        <f t="shared" ref="U112" si="87">U79</f>
        <v>328.0297614982685</v>
      </c>
      <c r="W112" s="2050"/>
    </row>
    <row r="113" spans="1:23" hidden="1" outlineLevel="1">
      <c r="A113" s="1557" t="str">
        <f t="shared" ref="A113:M113" si="88">A47</f>
        <v>Adjusted EBITDA</v>
      </c>
      <c r="B113" s="1557">
        <f t="shared" si="88"/>
        <v>0</v>
      </c>
      <c r="C113" s="1557">
        <f t="shared" si="88"/>
        <v>0</v>
      </c>
      <c r="D113" s="1557">
        <f t="shared" si="88"/>
        <v>0</v>
      </c>
      <c r="E113" s="1557">
        <f t="shared" si="88"/>
        <v>0</v>
      </c>
      <c r="F113" s="1557">
        <f t="shared" si="88"/>
        <v>0</v>
      </c>
      <c r="G113" s="1557">
        <f t="shared" si="88"/>
        <v>0</v>
      </c>
      <c r="H113" s="1561">
        <f t="shared" si="88"/>
        <v>271.14261994757737</v>
      </c>
      <c r="I113" s="1561">
        <f t="shared" si="88"/>
        <v>305.17983366097997</v>
      </c>
      <c r="J113" s="1561">
        <f t="shared" si="88"/>
        <v>314.99761995820609</v>
      </c>
      <c r="K113" s="1561">
        <f t="shared" si="88"/>
        <v>333.27245682710247</v>
      </c>
      <c r="L113" s="1561">
        <f t="shared" si="88"/>
        <v>383.68823749887895</v>
      </c>
      <c r="M113" s="1561">
        <f t="shared" si="88"/>
        <v>448.0643524782613</v>
      </c>
      <c r="N113" s="1561">
        <f t="shared" ref="N113:T113" si="89">N110+N112</f>
        <v>483.95800000000008</v>
      </c>
      <c r="O113" s="1561">
        <f>O110+O112</f>
        <v>584.60399999999959</v>
      </c>
      <c r="P113" s="1561">
        <f>P110+P112</f>
        <v>696.22299999999973</v>
      </c>
      <c r="Q113" s="1562">
        <f t="shared" si="89"/>
        <v>816.30727169424108</v>
      </c>
      <c r="R113" s="1562">
        <f t="shared" si="89"/>
        <v>965.55903990646812</v>
      </c>
      <c r="S113" s="1562">
        <f t="shared" si="89"/>
        <v>1123.8652007305154</v>
      </c>
      <c r="T113" s="1562">
        <f t="shared" si="89"/>
        <v>1298.710670192811</v>
      </c>
      <c r="U113" s="1562">
        <f t="shared" ref="U113" si="90">U110+U112</f>
        <v>1504.5857761515599</v>
      </c>
      <c r="W113" s="2050"/>
    </row>
    <row r="114" spans="1:23" hidden="1" outlineLevel="1">
      <c r="C114" s="26"/>
      <c r="D114" s="26"/>
      <c r="E114" s="26"/>
      <c r="F114" s="26"/>
      <c r="G114" s="26"/>
      <c r="H114" s="26"/>
      <c r="I114" s="26"/>
      <c r="J114" s="26"/>
      <c r="K114" s="26"/>
      <c r="L114" s="26"/>
      <c r="M114" s="26"/>
      <c r="N114" s="26"/>
      <c r="O114" s="26"/>
      <c r="P114" s="26"/>
      <c r="Q114" s="26"/>
      <c r="R114" s="26"/>
      <c r="S114" s="26"/>
      <c r="T114" s="26"/>
      <c r="U114" s="26"/>
      <c r="W114" s="2050"/>
    </row>
    <row r="115" spans="1:23" collapsed="1">
      <c r="C115" s="24"/>
      <c r="D115" s="24"/>
      <c r="E115" s="24"/>
      <c r="F115" s="24"/>
      <c r="G115" s="24"/>
      <c r="H115" s="24"/>
      <c r="I115" s="24"/>
      <c r="J115" s="24"/>
      <c r="K115" s="24"/>
      <c r="L115" s="24"/>
      <c r="M115" s="24"/>
      <c r="N115" s="24"/>
      <c r="O115" s="24"/>
      <c r="P115" s="24"/>
      <c r="Q115" s="28">
        <f>AVERAGE(P105:Q105)</f>
        <v>7.7603162530859304E-2</v>
      </c>
      <c r="R115" s="28">
        <f>AVERAGE(Q105:R105)</f>
        <v>8.8458169082719418E-2</v>
      </c>
      <c r="S115" s="28">
        <f>AVERAGE(R105:S105)</f>
        <v>9.9528710479230953E-2</v>
      </c>
      <c r="T115" s="28">
        <f>AVERAGE(S105:T105)</f>
        <v>9.7286746407794888E-2</v>
      </c>
      <c r="U115" s="28">
        <f>AVERAGE(T105:U105)</f>
        <v>9.4576277191887659E-2</v>
      </c>
      <c r="W115" s="2050"/>
    </row>
    <row r="116" spans="1:23">
      <c r="A116" s="15" t="s">
        <v>203</v>
      </c>
      <c r="C116" s="24"/>
      <c r="D116" s="24"/>
      <c r="E116" s="24"/>
      <c r="F116" s="24"/>
      <c r="G116" s="24"/>
      <c r="H116" s="24"/>
      <c r="I116" s="24"/>
      <c r="J116" s="24"/>
      <c r="K116" s="24"/>
      <c r="L116" s="24"/>
      <c r="M116" s="24"/>
      <c r="N116" s="1624"/>
      <c r="O116" s="1624"/>
      <c r="P116" s="1624"/>
      <c r="Q116" s="24"/>
      <c r="R116" s="24"/>
      <c r="S116" s="24"/>
      <c r="T116" s="24"/>
      <c r="U116" s="24"/>
      <c r="W116" s="2050"/>
    </row>
    <row r="117" spans="1:23">
      <c r="A117" s="15"/>
      <c r="C117" s="24"/>
      <c r="D117" s="24"/>
      <c r="E117" s="24"/>
      <c r="F117" s="24"/>
      <c r="G117" s="24"/>
      <c r="H117" s="24"/>
      <c r="I117" s="24"/>
      <c r="J117" s="24"/>
      <c r="K117" s="24"/>
      <c r="L117" s="24"/>
      <c r="M117" s="24"/>
      <c r="N117" s="28"/>
      <c r="O117" s="28"/>
      <c r="P117" s="28"/>
      <c r="Q117" s="24"/>
      <c r="R117" s="24"/>
      <c r="S117" s="24"/>
      <c r="T117" s="24"/>
      <c r="U117" s="24"/>
      <c r="W117" s="2050"/>
    </row>
    <row r="118" spans="1:23">
      <c r="A118" s="4" t="s">
        <v>204</v>
      </c>
      <c r="C118" s="28">
        <f t="shared" ref="C118:M118" si="91">C76/C72</f>
        <v>0.38269136631281553</v>
      </c>
      <c r="D118" s="28">
        <f t="shared" si="91"/>
        <v>0.37898176158807939</v>
      </c>
      <c r="E118" s="28">
        <f t="shared" si="91"/>
        <v>0.37091801481838349</v>
      </c>
      <c r="F118" s="28">
        <f t="shared" si="91"/>
        <v>0.38251620954514487</v>
      </c>
      <c r="G118" s="28">
        <f t="shared" si="91"/>
        <v>0.38803138926621206</v>
      </c>
      <c r="H118" s="28">
        <f t="shared" si="91"/>
        <v>0.380709548969972</v>
      </c>
      <c r="I118" s="28">
        <f t="shared" si="91"/>
        <v>0.38621518082887463</v>
      </c>
      <c r="J118" s="28">
        <f t="shared" si="91"/>
        <v>0.38677171058401189</v>
      </c>
      <c r="K118" s="28">
        <f t="shared" si="91"/>
        <v>0.38730639699926162</v>
      </c>
      <c r="L118" s="28">
        <f t="shared" si="91"/>
        <v>0.39108861134594375</v>
      </c>
      <c r="M118" s="28">
        <f t="shared" si="91"/>
        <v>0.39748331292278499</v>
      </c>
      <c r="N118" s="28">
        <f>N76/N72</f>
        <v>0.39994473352458915</v>
      </c>
      <c r="O118" s="28">
        <f>O76/O72</f>
        <v>0.40759064167366443</v>
      </c>
      <c r="P118" s="28">
        <f>P76/P72</f>
        <v>0.41507068636657513</v>
      </c>
      <c r="Q118" s="37">
        <v>0.42209999999999998</v>
      </c>
      <c r="R118" s="37">
        <v>0.42899999999999999</v>
      </c>
      <c r="S118" s="37">
        <v>0.436</v>
      </c>
      <c r="T118" s="37">
        <v>0.4425</v>
      </c>
      <c r="U118" s="37">
        <v>0.45100000000000001</v>
      </c>
    </row>
    <row r="119" spans="1:23">
      <c r="A119" s="4" t="s">
        <v>205</v>
      </c>
      <c r="C119" s="28">
        <f t="shared" ref="C119:M119" si="92">C77/C72</f>
        <v>0.31471034559923916</v>
      </c>
      <c r="D119" s="28">
        <f t="shared" si="92"/>
        <v>0.2993146532326616</v>
      </c>
      <c r="E119" s="28">
        <f t="shared" si="92"/>
        <v>0.30309915938492815</v>
      </c>
      <c r="F119" s="28">
        <f t="shared" si="92"/>
        <v>0.30870935264967775</v>
      </c>
      <c r="G119" s="28">
        <f t="shared" si="92"/>
        <v>0.31858574819369195</v>
      </c>
      <c r="H119" s="28">
        <f t="shared" si="92"/>
        <v>0.31620414236623434</v>
      </c>
      <c r="I119" s="28">
        <f t="shared" si="92"/>
        <v>0.31518758710072647</v>
      </c>
      <c r="J119" s="28">
        <f t="shared" si="92"/>
        <v>0.3154467384891132</v>
      </c>
      <c r="K119" s="28">
        <f t="shared" si="92"/>
        <v>0.31620391583440183</v>
      </c>
      <c r="L119" s="28">
        <f t="shared" si="92"/>
        <v>0.31435054928251888</v>
      </c>
      <c r="M119" s="28">
        <f t="shared" si="92"/>
        <v>0.31397793002145186</v>
      </c>
      <c r="N119" s="28">
        <f>N77/N72</f>
        <v>0.31334365706387146</v>
      </c>
      <c r="O119" s="28">
        <f>O77/O72</f>
        <v>0.30960101242571469</v>
      </c>
      <c r="P119" s="28">
        <f>P77/P72</f>
        <v>0.30625664158654581</v>
      </c>
      <c r="Q119" s="37">
        <v>0.30399999999999999</v>
      </c>
      <c r="R119" s="37">
        <v>0.3019</v>
      </c>
      <c r="S119" s="37">
        <v>0.30109999999999998</v>
      </c>
      <c r="T119" s="37">
        <v>0.3</v>
      </c>
      <c r="U119" s="37">
        <v>0.29970000000000002</v>
      </c>
    </row>
    <row r="120" spans="1:23">
      <c r="A120" s="4" t="s">
        <v>190</v>
      </c>
      <c r="C120" s="28" t="e">
        <f>#REF!/C72</f>
        <v>#REF!</v>
      </c>
      <c r="D120" s="28" t="e">
        <f>#REF!/D72</f>
        <v>#REF!</v>
      </c>
      <c r="E120" s="28" t="e">
        <f>#REF!/E72</f>
        <v>#REF!</v>
      </c>
      <c r="F120" s="28" t="e">
        <f>#REF!/F72</f>
        <v>#REF!</v>
      </c>
      <c r="G120" s="28" t="e">
        <f>#REF!/G72</f>
        <v>#REF!</v>
      </c>
      <c r="H120" s="28">
        <f t="shared" ref="H120:M120" si="93">H79/H72</f>
        <v>4.4391659858855487E-2</v>
      </c>
      <c r="I120" s="28">
        <f t="shared" si="93"/>
        <v>3.9993165471350844E-2</v>
      </c>
      <c r="J120" s="28">
        <f t="shared" si="93"/>
        <v>3.9715796077666211E-2</v>
      </c>
      <c r="K120" s="28">
        <f t="shared" si="93"/>
        <v>4.0911785830390561E-2</v>
      </c>
      <c r="L120" s="28">
        <f t="shared" si="93"/>
        <v>3.7988455343790854E-2</v>
      </c>
      <c r="M120" s="28">
        <f t="shared" si="93"/>
        <v>3.4807323869707037E-2</v>
      </c>
      <c r="N120" s="28">
        <f t="shared" ref="N120:T120" si="94">N79/N72</f>
        <v>3.3751970020388586E-2</v>
      </c>
      <c r="O120" s="28">
        <f>O79/O72</f>
        <v>3.2983245892320538E-2</v>
      </c>
      <c r="P120" s="28">
        <f>P79/P72</f>
        <v>3.3050243838464784E-2</v>
      </c>
      <c r="Q120" s="28">
        <f t="shared" si="94"/>
        <v>3.4170133384559292E-2</v>
      </c>
      <c r="R120" s="28">
        <f t="shared" si="94"/>
        <v>3.4077528045738326E-2</v>
      </c>
      <c r="S120" s="28">
        <f t="shared" si="94"/>
        <v>3.3984814053303385E-2</v>
      </c>
      <c r="T120" s="28">
        <f t="shared" si="94"/>
        <v>3.3892030657946277E-2</v>
      </c>
      <c r="U120" s="28">
        <f t="shared" ref="U120" si="95">U79/U72</f>
        <v>3.3799211273362079E-2</v>
      </c>
    </row>
    <row r="121" spans="1:23" hidden="1" outlineLevel="1">
      <c r="A121" s="4" t="s">
        <v>206</v>
      </c>
      <c r="C121" s="28" t="e">
        <f>#REF!/C72</f>
        <v>#REF!</v>
      </c>
      <c r="D121" s="28" t="e">
        <f>#REF!/D72</f>
        <v>#REF!</v>
      </c>
      <c r="E121" s="28" t="e">
        <f>#REF!/E72</f>
        <v>#REF!</v>
      </c>
      <c r="F121" s="28" t="e">
        <f>#REF!/F72</f>
        <v>#REF!</v>
      </c>
      <c r="G121" s="28" t="e">
        <f>#REF!/G72</f>
        <v>#REF!</v>
      </c>
      <c r="H121" s="28">
        <f t="shared" ref="H121:M121" si="96">H82/H72</f>
        <v>1.1203401487398594E-2</v>
      </c>
      <c r="I121" s="28">
        <f t="shared" si="96"/>
        <v>4.1540154398482437E-2</v>
      </c>
      <c r="J121" s="28">
        <f t="shared" si="96"/>
        <v>3.067501544009785E-2</v>
      </c>
      <c r="K121" s="28">
        <f t="shared" si="96"/>
        <v>3.5216459311505043E-2</v>
      </c>
      <c r="L121" s="28">
        <f t="shared" si="96"/>
        <v>3.6157906047467152E-2</v>
      </c>
      <c r="M121" s="28">
        <f t="shared" si="96"/>
        <v>4.1138059596224512E-2</v>
      </c>
      <c r="N121" s="28">
        <f t="shared" ref="N121:T121" si="97">N82/N72</f>
        <v>5.8418900271664749E-2</v>
      </c>
      <c r="O121" s="28">
        <f>O82/O72</f>
        <v>6.9955145832637067E-2</v>
      </c>
      <c r="P121" s="28">
        <f>P82/P72</f>
        <v>8.0160354564168895E-2</v>
      </c>
      <c r="Q121" s="28">
        <f>Q82/Q72</f>
        <v>8.9414667680541501E-2</v>
      </c>
      <c r="R121" s="28">
        <f t="shared" si="97"/>
        <v>9.7977304441870444E-2</v>
      </c>
      <c r="S121" s="28">
        <f t="shared" si="97"/>
        <v>0.1054086877558259</v>
      </c>
      <c r="T121" s="28">
        <f t="shared" si="97"/>
        <v>0.11269726987729062</v>
      </c>
      <c r="U121" s="28">
        <f t="shared" ref="U121" si="98">U82/U72</f>
        <v>0.1212338822365476</v>
      </c>
    </row>
    <row r="122" spans="1:23" collapsed="1">
      <c r="A122" s="4" t="s">
        <v>865</v>
      </c>
      <c r="C122" s="28"/>
      <c r="D122" s="28"/>
      <c r="E122" s="28"/>
      <c r="F122" s="28"/>
      <c r="G122" s="28"/>
      <c r="H122" s="28"/>
      <c r="I122" s="28">
        <f t="shared" ref="I122:M122" si="99">I55</f>
        <v>4.3171121462485564E-2</v>
      </c>
      <c r="J122" s="28">
        <f t="shared" si="99"/>
        <v>4.2014008843025724E-2</v>
      </c>
      <c r="K122" s="28">
        <f t="shared" si="99"/>
        <v>4.0832061006104349E-2</v>
      </c>
      <c r="L122" s="28">
        <f t="shared" si="99"/>
        <v>4.8671731560403005E-2</v>
      </c>
      <c r="M122" s="28">
        <f t="shared" si="99"/>
        <v>5.8258203228881172E-2</v>
      </c>
      <c r="N122" s="28">
        <f>N55</f>
        <v>6.1161631494595359E-2</v>
      </c>
      <c r="O122" s="28">
        <f t="shared" ref="O122:P122" si="100">O55</f>
        <v>7.2047298275721358E-2</v>
      </c>
      <c r="P122" s="28">
        <f t="shared" si="100"/>
        <v>8.1370425748500397E-2</v>
      </c>
      <c r="Q122" s="28">
        <f>(Q82+Q81)/Q72</f>
        <v>8.9407249773112901E-2</v>
      </c>
      <c r="R122" s="28">
        <f t="shared" ref="R122:U122" si="101">(R82+R81)/R72</f>
        <v>9.7970603289307012E-2</v>
      </c>
      <c r="S122" s="28">
        <f t="shared" si="101"/>
        <v>0.10540261052894843</v>
      </c>
      <c r="T122" s="28">
        <f t="shared" si="101"/>
        <v>0.1126917393115585</v>
      </c>
      <c r="U122" s="28">
        <f t="shared" si="101"/>
        <v>0.12122883342224237</v>
      </c>
    </row>
    <row r="123" spans="1:23">
      <c r="A123" s="4" t="s">
        <v>208</v>
      </c>
      <c r="C123" s="28" t="e">
        <f>#REF!/#REF!</f>
        <v>#REF!</v>
      </c>
      <c r="D123" s="28" t="e">
        <f>#REF!/#REF!</f>
        <v>#REF!</v>
      </c>
      <c r="E123" s="28" t="e">
        <f>#REF!/#REF!</f>
        <v>#REF!</v>
      </c>
      <c r="F123" s="28" t="e">
        <f>#REF!/#REF!</f>
        <v>#REF!</v>
      </c>
      <c r="G123" s="28" t="e">
        <f>#REF!/#REF!</f>
        <v>#REF!</v>
      </c>
      <c r="H123" s="28">
        <f t="shared" ref="H123:M123" si="102">H86/H84</f>
        <v>0.66184874455623943</v>
      </c>
      <c r="I123" s="28">
        <f t="shared" si="102"/>
        <v>0.41655032824314198</v>
      </c>
      <c r="J123" s="28">
        <f t="shared" si="102"/>
        <v>0.38071182318455737</v>
      </c>
      <c r="K123" s="28">
        <f t="shared" si="102"/>
        <v>0.12143530499741843</v>
      </c>
      <c r="L123" s="28">
        <f t="shared" si="102"/>
        <v>0.5010164145027266</v>
      </c>
      <c r="M123" s="28">
        <f t="shared" si="102"/>
        <v>0.34187308201244349</v>
      </c>
      <c r="N123" s="28">
        <f>N86/N84</f>
        <v>0.37003608597000914</v>
      </c>
      <c r="O123" s="28">
        <f>O86/O84</f>
        <v>0.35214518084582835</v>
      </c>
      <c r="P123" s="28">
        <f>P86/P84</f>
        <v>0.32009779943120914</v>
      </c>
      <c r="Q123" s="37">
        <f t="shared" ref="Q123:U123" si="103">Q56-0.005</f>
        <v>0.23019523691257235</v>
      </c>
      <c r="R123" s="37">
        <f t="shared" si="103"/>
        <v>0.23019523691257238</v>
      </c>
      <c r="S123" s="37">
        <f t="shared" si="103"/>
        <v>0.23019523691257238</v>
      </c>
      <c r="T123" s="37">
        <f t="shared" si="103"/>
        <v>0.23019523691257238</v>
      </c>
      <c r="U123" s="37">
        <f t="shared" si="103"/>
        <v>0.23019523691257235</v>
      </c>
    </row>
    <row r="124" spans="1:23">
      <c r="C124" s="24"/>
      <c r="D124" s="24"/>
      <c r="E124" s="24"/>
      <c r="F124" s="24"/>
      <c r="G124" s="24"/>
      <c r="H124" s="24"/>
      <c r="I124" s="24"/>
      <c r="J124" s="24"/>
      <c r="K124" s="24"/>
      <c r="L124" s="24"/>
      <c r="M124" s="24"/>
      <c r="N124" s="24"/>
      <c r="O124" s="24"/>
      <c r="P124" s="24"/>
      <c r="Q124" s="24"/>
      <c r="R124" s="24"/>
      <c r="S124" s="24"/>
      <c r="T124" s="24"/>
      <c r="U124" s="24"/>
    </row>
    <row r="125" spans="1:23">
      <c r="A125" s="15" t="s">
        <v>210</v>
      </c>
      <c r="C125" s="24"/>
      <c r="D125" s="24"/>
      <c r="E125" s="24"/>
      <c r="F125" s="24"/>
      <c r="G125" s="24"/>
      <c r="H125" s="24"/>
      <c r="I125" s="24"/>
      <c r="J125" s="24"/>
      <c r="K125" s="24"/>
      <c r="L125" s="24"/>
      <c r="M125" s="24"/>
      <c r="N125" s="24"/>
      <c r="O125" s="24"/>
      <c r="P125" s="47"/>
      <c r="Q125" s="47"/>
      <c r="R125" s="47"/>
      <c r="S125" s="47"/>
      <c r="T125" s="47"/>
      <c r="U125" s="47"/>
    </row>
    <row r="126" spans="1:23" ht="12.75">
      <c r="A126" s="4" t="s">
        <v>98</v>
      </c>
      <c r="C126" s="29" t="s">
        <v>90</v>
      </c>
      <c r="D126" s="28">
        <f t="shared" ref="D126:P126" si="104">((D72/C72)-1)</f>
        <v>0.11884082294857268</v>
      </c>
      <c r="E126" s="28">
        <f t="shared" si="104"/>
        <v>8.4602355117755934E-2</v>
      </c>
      <c r="F126" s="28">
        <f t="shared" si="104"/>
        <v>-8.3297940328835862E-3</v>
      </c>
      <c r="G126" s="28">
        <f t="shared" si="104"/>
        <v>-5.134753874963871E-3</v>
      </c>
      <c r="H126" s="28">
        <f t="shared" si="104"/>
        <v>2.8896547957592E-2</v>
      </c>
      <c r="I126" s="28">
        <f t="shared" si="104"/>
        <v>4.1638257419851943E-2</v>
      </c>
      <c r="J126" s="28">
        <f t="shared" si="104"/>
        <v>5.0286652339954108E-2</v>
      </c>
      <c r="K126" s="28">
        <f t="shared" si="104"/>
        <v>5.7834048081879086E-2</v>
      </c>
      <c r="L126" s="28">
        <f t="shared" si="104"/>
        <v>8.596170996477448E-2</v>
      </c>
      <c r="M126" s="28">
        <f t="shared" si="104"/>
        <v>8.7408410564600469E-2</v>
      </c>
      <c r="N126" s="28">
        <f t="shared" si="104"/>
        <v>5.9077321360621937E-2</v>
      </c>
      <c r="O126" s="28">
        <f t="shared" si="104"/>
        <v>9.1608595682389993E-2</v>
      </c>
      <c r="P126" s="28">
        <f t="shared" si="104"/>
        <v>9.3195195577177259E-2</v>
      </c>
      <c r="Q126" s="28">
        <f t="shared" ref="Q126:U126" si="105">Q127+Q134</f>
        <v>8.5602386578097822E-2</v>
      </c>
      <c r="R126" s="28">
        <f t="shared" si="105"/>
        <v>0.1069599383667178</v>
      </c>
      <c r="S126" s="28">
        <f t="shared" si="105"/>
        <v>0.10266618287372997</v>
      </c>
      <c r="T126" s="28">
        <f t="shared" si="105"/>
        <v>9.8843621399176906E-2</v>
      </c>
      <c r="U126" s="28">
        <f t="shared" si="105"/>
        <v>9.5418725617685385E-2</v>
      </c>
      <c r="V126" s="1540"/>
    </row>
    <row r="127" spans="1:23">
      <c r="A127" s="4" t="s">
        <v>211</v>
      </c>
      <c r="C127" s="29" t="s">
        <v>90</v>
      </c>
      <c r="D127" s="29" t="s">
        <v>90</v>
      </c>
      <c r="E127" s="28">
        <f t="shared" ref="E127:M127" si="106">E60</f>
        <v>4.2999999999999997E-2</v>
      </c>
      <c r="F127" s="28">
        <f t="shared" si="106"/>
        <v>-2.1999999999999999E-2</v>
      </c>
      <c r="G127" s="28">
        <f t="shared" si="106"/>
        <v>-5.1999999999999998E-2</v>
      </c>
      <c r="H127" s="28">
        <f t="shared" si="106"/>
        <v>-0.04</v>
      </c>
      <c r="I127" s="28">
        <f t="shared" si="106"/>
        <v>-2E-3</v>
      </c>
      <c r="J127" s="28">
        <f t="shared" si="106"/>
        <v>6.9999999999999993E-3</v>
      </c>
      <c r="K127" s="28">
        <f t="shared" si="106"/>
        <v>1.2E-2</v>
      </c>
      <c r="L127" s="28">
        <f t="shared" si="106"/>
        <v>4.7E-2</v>
      </c>
      <c r="M127" s="28">
        <f t="shared" si="106"/>
        <v>4.9000000000000002E-2</v>
      </c>
      <c r="N127" s="28">
        <f>N60</f>
        <v>2.1484157270581374E-2</v>
      </c>
      <c r="O127" s="28">
        <f>O60</f>
        <v>4.494161951463501E-2</v>
      </c>
      <c r="P127" s="28">
        <f>P60</f>
        <v>3.4000000000000002E-2</v>
      </c>
      <c r="Q127" s="37">
        <v>0.03</v>
      </c>
      <c r="R127" s="37">
        <v>0.03</v>
      </c>
      <c r="S127" s="37">
        <v>0.03</v>
      </c>
      <c r="T127" s="37">
        <v>0.03</v>
      </c>
      <c r="U127" s="37">
        <v>0.03</v>
      </c>
    </row>
    <row r="128" spans="1:23">
      <c r="A128" s="4" t="s">
        <v>189</v>
      </c>
      <c r="C128" s="29" t="s">
        <v>90</v>
      </c>
      <c r="D128" s="28">
        <f t="shared" ref="D128:U128" si="107">((D77/C77)-1)</f>
        <v>6.4106908547106434E-2</v>
      </c>
      <c r="E128" s="28">
        <f t="shared" si="107"/>
        <v>9.8315964663344246E-2</v>
      </c>
      <c r="F128" s="28">
        <f t="shared" si="107"/>
        <v>1.002545816134659E-2</v>
      </c>
      <c r="G128" s="28">
        <f t="shared" si="107"/>
        <v>2.6693509828060513E-2</v>
      </c>
      <c r="H128" s="28">
        <f t="shared" si="107"/>
        <v>2.120497346513539E-2</v>
      </c>
      <c r="I128" s="28">
        <f t="shared" si="107"/>
        <v>3.828952565621746E-2</v>
      </c>
      <c r="J128" s="28">
        <f t="shared" si="107"/>
        <v>5.1150211868619788E-2</v>
      </c>
      <c r="K128" s="28">
        <f t="shared" si="107"/>
        <v>6.0373202489114153E-2</v>
      </c>
      <c r="L128" s="28">
        <f t="shared" si="107"/>
        <v>7.9596560739587874E-2</v>
      </c>
      <c r="M128" s="28">
        <f t="shared" si="107"/>
        <v>8.6119437730459047E-2</v>
      </c>
      <c r="N128" s="28">
        <f t="shared" si="107"/>
        <v>5.6937858549080067E-2</v>
      </c>
      <c r="O128" s="28">
        <f t="shared" si="107"/>
        <v>7.8570185727393715E-2</v>
      </c>
      <c r="P128" s="28">
        <f t="shared" si="107"/>
        <v>8.1386286733621471E-2</v>
      </c>
      <c r="Q128" s="28">
        <f t="shared" si="107"/>
        <v>7.7603162530859304E-2</v>
      </c>
      <c r="R128" s="28">
        <f t="shared" si="107"/>
        <v>9.9313175634579531E-2</v>
      </c>
      <c r="S128" s="28">
        <f t="shared" si="107"/>
        <v>9.9744245323882375E-2</v>
      </c>
      <c r="T128" s="28">
        <f t="shared" si="107"/>
        <v>9.4829247491707402E-2</v>
      </c>
      <c r="U128" s="28">
        <f t="shared" si="107"/>
        <v>9.4323306892067915E-2</v>
      </c>
    </row>
    <row r="129" spans="1:21">
      <c r="A129" s="4" t="s">
        <v>190</v>
      </c>
      <c r="C129" s="29" t="s">
        <v>90</v>
      </c>
      <c r="D129" s="28" t="e">
        <f>((#REF!/#REF!)-1)</f>
        <v>#REF!</v>
      </c>
      <c r="E129" s="28" t="e">
        <f>((#REF!/#REF!)-1)</f>
        <v>#REF!</v>
      </c>
      <c r="F129" s="28" t="e">
        <f>((#REF!/#REF!)-1)</f>
        <v>#REF!</v>
      </c>
      <c r="G129" s="28" t="e">
        <f>((#REF!/#REF!)-1)</f>
        <v>#REF!</v>
      </c>
      <c r="H129" s="28"/>
      <c r="I129" s="28">
        <f t="shared" ref="I129:U129" si="108">I79/H79-1</f>
        <v>-6.1571220298232698E-2</v>
      </c>
      <c r="J129" s="28">
        <f t="shared" si="108"/>
        <v>4.3002473442855349E-2</v>
      </c>
      <c r="K129" s="28">
        <f t="shared" si="108"/>
        <v>8.9689350166590298E-2</v>
      </c>
      <c r="L129" s="28">
        <f t="shared" si="108"/>
        <v>8.3648779129756878E-3</v>
      </c>
      <c r="M129" s="28">
        <f t="shared" si="108"/>
        <v>-3.6505463928558912E-3</v>
      </c>
      <c r="N129" s="28">
        <f t="shared" si="108"/>
        <v>2.6966225086525908E-2</v>
      </c>
      <c r="O129" s="28">
        <f t="shared" si="108"/>
        <v>6.6746465697069768E-2</v>
      </c>
      <c r="P129" s="28">
        <f t="shared" si="108"/>
        <v>9.5415772444521929E-2</v>
      </c>
      <c r="Q129" s="28">
        <f t="shared" si="108"/>
        <v>0.1223874333053212</v>
      </c>
      <c r="R129" s="28">
        <f t="shared" si="108"/>
        <v>0.1039599383667178</v>
      </c>
      <c r="S129" s="28">
        <f t="shared" si="108"/>
        <v>9.9666182873729969E-2</v>
      </c>
      <c r="T129" s="28">
        <f t="shared" si="108"/>
        <v>9.5843621399176682E-2</v>
      </c>
      <c r="U129" s="28">
        <f t="shared" si="108"/>
        <v>9.2418725617685382E-2</v>
      </c>
    </row>
    <row r="130" spans="1:21">
      <c r="A130" s="4" t="s">
        <v>191</v>
      </c>
      <c r="C130" s="29" t="s">
        <v>90</v>
      </c>
      <c r="D130" s="28" t="e">
        <f>((#REF!/#REF!)-1)</f>
        <v>#REF!</v>
      </c>
      <c r="E130" s="28" t="e">
        <f>((#REF!/#REF!)-1)</f>
        <v>#REF!</v>
      </c>
      <c r="F130" s="28" t="e">
        <f>((#REF!/#REF!)-1)</f>
        <v>#REF!</v>
      </c>
      <c r="G130" s="28" t="e">
        <f>((#REF!/#REF!)-1)</f>
        <v>#REF!</v>
      </c>
      <c r="H130" s="28"/>
      <c r="I130" s="28">
        <f t="shared" ref="I130:P130" si="109">I82/H82-1</f>
        <v>2.8622032861409132</v>
      </c>
      <c r="J130" s="28">
        <f t="shared" si="109"/>
        <v>-0.22442369934393491</v>
      </c>
      <c r="K130" s="28">
        <f t="shared" si="109"/>
        <v>0.21444664910921163</v>
      </c>
      <c r="L130" s="28">
        <f t="shared" si="109"/>
        <v>0.1149928825248212</v>
      </c>
      <c r="M130" s="28">
        <f t="shared" si="109"/>
        <v>0.23718093466244561</v>
      </c>
      <c r="N130" s="28">
        <f t="shared" si="109"/>
        <v>0.50396331338452849</v>
      </c>
      <c r="O130" s="28">
        <f t="shared" si="109"/>
        <v>0.30717350289048206</v>
      </c>
      <c r="P130" s="28">
        <f t="shared" si="109"/>
        <v>0.25267288692333656</v>
      </c>
      <c r="Q130" s="28">
        <f>Q82/P82-1</f>
        <v>0.21093247599571363</v>
      </c>
      <c r="R130" s="28">
        <f>R82/Q82-1</f>
        <v>0.21296598980608383</v>
      </c>
      <c r="S130" s="28">
        <f>S82/R82-1</f>
        <v>0.18630121569025793</v>
      </c>
      <c r="T130" s="28">
        <f>T82/S82-1</f>
        <v>0.17482418945034262</v>
      </c>
      <c r="U130" s="28">
        <f>U82/T82-1</f>
        <v>0.17839469337494718</v>
      </c>
    </row>
    <row r="131" spans="1:21">
      <c r="A131" s="4" t="s">
        <v>415</v>
      </c>
      <c r="C131" s="29" t="s">
        <v>90</v>
      </c>
      <c r="D131" s="58" t="str">
        <f>IF(ISERROR(((#REF!/#REF!)-1)),"NA",((#REF!/#REF!)-1))</f>
        <v>NA</v>
      </c>
      <c r="E131" s="58" t="str">
        <f>IF(ISERROR(((#REF!/#REF!)-1)),"NA",((#REF!/#REF!)-1))</f>
        <v>NA</v>
      </c>
      <c r="F131" s="58" t="str">
        <f>IF(ISERROR(((#REF!/#REF!)-1)),"NA",((#REF!/#REF!)-1))</f>
        <v>NA</v>
      </c>
      <c r="G131" s="58" t="str">
        <f>IF(ISERROR(((#REF!/#REF!)-1)),"NA",((#REF!/#REF!)-1))</f>
        <v>NA</v>
      </c>
      <c r="H131" s="58"/>
      <c r="I131" s="58"/>
      <c r="J131" s="58"/>
      <c r="K131" s="58"/>
      <c r="L131" s="58">
        <f t="shared" ref="L131:U131" si="110">L104/K104-1</f>
        <v>7.1142166279147379E-2</v>
      </c>
      <c r="M131" s="58">
        <f t="shared" si="110"/>
        <v>0.9312153957617324</v>
      </c>
      <c r="N131" s="58">
        <f t="shared" si="110"/>
        <v>0.26682341914563978</v>
      </c>
      <c r="O131" s="58">
        <f t="shared" si="110"/>
        <v>0.39951865349258786</v>
      </c>
      <c r="P131" s="58">
        <f t="shared" si="110"/>
        <v>0.37278007035342808</v>
      </c>
      <c r="Q131" s="28">
        <f t="shared" si="110"/>
        <v>0.40613397759145586</v>
      </c>
      <c r="R131" s="62">
        <f t="shared" si="110"/>
        <v>0.26386599525498666</v>
      </c>
      <c r="S131" s="62">
        <f t="shared" si="110"/>
        <v>0.22768808022765019</v>
      </c>
      <c r="T131" s="62">
        <f t="shared" si="110"/>
        <v>0.21185763785002543</v>
      </c>
      <c r="U131" s="62">
        <f t="shared" si="110"/>
        <v>0.1871233052179091</v>
      </c>
    </row>
    <row r="132" spans="1:21">
      <c r="A132" s="4" t="s">
        <v>349</v>
      </c>
      <c r="C132" s="29" t="s">
        <v>90</v>
      </c>
      <c r="D132" s="28" t="e">
        <f>((#REF!/#REF!)-1)</f>
        <v>#REF!</v>
      </c>
      <c r="E132" s="28" t="e">
        <f>((#REF!/#REF!)-1)</f>
        <v>#REF!</v>
      </c>
      <c r="F132" s="28" t="e">
        <f>((#REF!/#REF!)-1)</f>
        <v>#REF!</v>
      </c>
      <c r="G132" s="28" t="e">
        <f>((#REF!/#REF!)-1)</f>
        <v>#REF!</v>
      </c>
      <c r="H132" s="28"/>
      <c r="I132" s="28">
        <f t="shared" ref="I132:P132" si="111">I113/H113-1</f>
        <v>0.12553251023385159</v>
      </c>
      <c r="J132" s="28">
        <f t="shared" si="111"/>
        <v>3.2170494948668749E-2</v>
      </c>
      <c r="K132" s="28">
        <f t="shared" si="111"/>
        <v>5.8015793488601863E-2</v>
      </c>
      <c r="L132" s="28">
        <f t="shared" si="111"/>
        <v>0.15127496929016115</v>
      </c>
      <c r="M132" s="28">
        <f t="shared" si="111"/>
        <v>0.16778235214878179</v>
      </c>
      <c r="N132" s="28">
        <f t="shared" si="111"/>
        <v>8.0108241870190389E-2</v>
      </c>
      <c r="O132" s="28">
        <f t="shared" si="111"/>
        <v>0.20796432748296234</v>
      </c>
      <c r="P132" s="28">
        <f t="shared" si="111"/>
        <v>0.19093095497122881</v>
      </c>
      <c r="Q132" s="28">
        <f>Q113/P113-1</f>
        <v>0.17247961026027792</v>
      </c>
      <c r="R132" s="28">
        <f>R113/Q113-1</f>
        <v>0.18283772959960998</v>
      </c>
      <c r="S132" s="28">
        <f>S113/R113-1</f>
        <v>0.16395285454463981</v>
      </c>
      <c r="T132" s="28">
        <f>T113/S113-1</f>
        <v>0.15557512533411089</v>
      </c>
      <c r="U132" s="28">
        <f>U113/T113-1</f>
        <v>0.15852268768083966</v>
      </c>
    </row>
    <row r="133" spans="1:21">
      <c r="A133" s="4" t="s">
        <v>236</v>
      </c>
      <c r="C133" s="29" t="s">
        <v>90</v>
      </c>
      <c r="D133" s="29" t="s">
        <v>90</v>
      </c>
      <c r="E133" s="28">
        <f t="shared" ref="E133:Q133" si="112">E59-E60</f>
        <v>4.1602355117755938E-2</v>
      </c>
      <c r="F133" s="28">
        <f t="shared" si="112"/>
        <v>1.3670205967116413E-2</v>
      </c>
      <c r="G133" s="28">
        <f t="shared" si="112"/>
        <v>4.6865246125036127E-2</v>
      </c>
      <c r="H133" s="28">
        <f t="shared" si="112"/>
        <v>6.8896547957592008E-2</v>
      </c>
      <c r="I133" s="28">
        <f t="shared" si="112"/>
        <v>4.3638257419851945E-2</v>
      </c>
      <c r="J133" s="28">
        <f t="shared" si="112"/>
        <v>4.3286652339954108E-2</v>
      </c>
      <c r="K133" s="28">
        <f t="shared" si="112"/>
        <v>4.5834048081879089E-2</v>
      </c>
      <c r="L133" s="28">
        <f t="shared" si="112"/>
        <v>3.896170996477448E-2</v>
      </c>
      <c r="M133" s="28">
        <f t="shared" si="112"/>
        <v>3.8408410564600468E-2</v>
      </c>
      <c r="N133" s="28">
        <f>N59-N60</f>
        <v>3.7593164090040564E-2</v>
      </c>
      <c r="O133" s="28">
        <f>O59-O60</f>
        <v>4.6666976167754982E-2</v>
      </c>
      <c r="P133" s="28">
        <f>P59-P60</f>
        <v>5.9195195577177256E-2</v>
      </c>
      <c r="Q133" s="28">
        <f t="shared" si="112"/>
        <v>5.2602386578097821E-2</v>
      </c>
      <c r="R133" s="28">
        <f>R59-R60</f>
        <v>7.3959938366717798E-2</v>
      </c>
      <c r="S133" s="28">
        <f>S59-S60</f>
        <v>6.966618287372997E-2</v>
      </c>
      <c r="T133" s="28">
        <f>T59-T60</f>
        <v>6.5843621399176905E-2</v>
      </c>
      <c r="U133" s="28">
        <f>U59-U60</f>
        <v>6.2418725617685383E-2</v>
      </c>
    </row>
    <row r="134" spans="1:21">
      <c r="A134" s="4" t="s">
        <v>237</v>
      </c>
      <c r="C134" s="29" t="str">
        <f t="shared" ref="C134:J134" si="113">C133</f>
        <v>NA</v>
      </c>
      <c r="D134" s="29" t="str">
        <f t="shared" si="113"/>
        <v>NA</v>
      </c>
      <c r="E134" s="28">
        <f>E133</f>
        <v>4.1602355117755938E-2</v>
      </c>
      <c r="F134" s="28">
        <f t="shared" si="113"/>
        <v>1.3670205967116413E-2</v>
      </c>
      <c r="G134" s="28">
        <f t="shared" si="113"/>
        <v>4.6865246125036127E-2</v>
      </c>
      <c r="H134" s="28">
        <f t="shared" si="113"/>
        <v>6.8896547957592008E-2</v>
      </c>
      <c r="I134" s="28">
        <f t="shared" si="113"/>
        <v>4.3638257419851945E-2</v>
      </c>
      <c r="J134" s="28">
        <f t="shared" si="113"/>
        <v>4.3286652339954108E-2</v>
      </c>
      <c r="K134" s="28">
        <f>K133</f>
        <v>4.5834048081879089E-2</v>
      </c>
      <c r="L134" s="28">
        <f>L126-L127</f>
        <v>3.896170996477448E-2</v>
      </c>
      <c r="M134" s="28">
        <f>M126-M127</f>
        <v>3.8408410564600468E-2</v>
      </c>
      <c r="N134" s="28">
        <f>N126-N127</f>
        <v>3.7593164090040564E-2</v>
      </c>
      <c r="O134" s="28">
        <f>O126-O127</f>
        <v>4.6666976167754982E-2</v>
      </c>
      <c r="P134" s="28">
        <f>P126-P127</f>
        <v>5.9195195577177256E-2</v>
      </c>
      <c r="Q134" s="37">
        <f>Q133+0.003</f>
        <v>5.5602386578097823E-2</v>
      </c>
      <c r="R134" s="37">
        <f t="shared" ref="R134:U134" si="114">R133+0.003</f>
        <v>7.6959938366717801E-2</v>
      </c>
      <c r="S134" s="37">
        <f t="shared" si="114"/>
        <v>7.2666182873729973E-2</v>
      </c>
      <c r="T134" s="37">
        <f t="shared" si="114"/>
        <v>6.8843621399176907E-2</v>
      </c>
      <c r="U134" s="37">
        <f t="shared" si="114"/>
        <v>6.5418725617685386E-2</v>
      </c>
    </row>
    <row r="135" spans="1:21">
      <c r="C135" s="29"/>
      <c r="D135" s="29"/>
      <c r="E135" s="28"/>
      <c r="F135" s="28"/>
      <c r="G135" s="28"/>
      <c r="H135" s="28"/>
      <c r="I135" s="28"/>
      <c r="J135" s="28"/>
      <c r="K135" s="28"/>
      <c r="L135" s="37"/>
      <c r="M135" s="37"/>
      <c r="N135" s="37"/>
      <c r="O135" s="37"/>
      <c r="P135" s="37"/>
      <c r="Q135" s="37"/>
      <c r="R135" s="37"/>
      <c r="S135" s="37"/>
      <c r="T135" s="37"/>
      <c r="U135" s="37"/>
    </row>
    <row r="136" spans="1:21">
      <c r="C136" s="29"/>
      <c r="D136" s="29"/>
      <c r="E136" s="28"/>
      <c r="F136" s="28"/>
      <c r="G136" s="28"/>
      <c r="H136" s="28"/>
      <c r="I136" s="28"/>
      <c r="J136" s="28"/>
      <c r="K136" s="28"/>
      <c r="L136" s="37"/>
      <c r="M136" s="37"/>
      <c r="N136" s="37"/>
      <c r="O136" s="37"/>
      <c r="P136" s="37"/>
      <c r="Q136" s="37"/>
      <c r="R136" s="37"/>
      <c r="S136" s="37"/>
      <c r="T136" s="37"/>
      <c r="U136" s="37"/>
    </row>
    <row r="137" spans="1:21">
      <c r="A137" s="38"/>
      <c r="B137" s="38"/>
      <c r="C137" s="38"/>
      <c r="D137" s="38"/>
      <c r="E137" s="38"/>
      <c r="F137" s="38"/>
      <c r="G137" s="38"/>
      <c r="H137" s="38"/>
      <c r="I137" s="38"/>
      <c r="J137" s="38"/>
      <c r="K137" s="38"/>
      <c r="L137" s="38"/>
      <c r="M137" s="38"/>
      <c r="N137" s="38"/>
      <c r="O137" s="38"/>
      <c r="P137" s="38"/>
      <c r="Q137" s="38"/>
      <c r="R137" s="38"/>
      <c r="S137" s="38"/>
      <c r="T137" s="38"/>
      <c r="U137" s="38"/>
    </row>
    <row r="138" spans="1:21">
      <c r="A138" s="36" t="s">
        <v>472</v>
      </c>
      <c r="C138" s="39" t="s">
        <v>166</v>
      </c>
      <c r="D138" s="39" t="s">
        <v>96</v>
      </c>
      <c r="E138" s="39" t="s">
        <v>95</v>
      </c>
      <c r="F138" s="39" t="s">
        <v>94</v>
      </c>
      <c r="G138" s="39" t="s">
        <v>93</v>
      </c>
      <c r="H138" s="39" t="s">
        <v>83</v>
      </c>
      <c r="I138" s="39" t="s">
        <v>84</v>
      </c>
      <c r="J138" s="39" t="s">
        <v>242</v>
      </c>
      <c r="K138" s="39" t="s">
        <v>393</v>
      </c>
      <c r="L138" s="39" t="s">
        <v>611</v>
      </c>
      <c r="M138" s="39" t="s">
        <v>626</v>
      </c>
      <c r="N138" s="39" t="s">
        <v>38</v>
      </c>
      <c r="O138" s="39" t="s">
        <v>244</v>
      </c>
      <c r="P138" s="39" t="str">
        <f>P69</f>
        <v>2017A</v>
      </c>
      <c r="Q138" s="39" t="s">
        <v>341</v>
      </c>
      <c r="R138" s="39" t="s">
        <v>420</v>
      </c>
      <c r="S138" s="39" t="s">
        <v>421</v>
      </c>
      <c r="T138" s="39" t="s">
        <v>422</v>
      </c>
      <c r="U138" s="39" t="str">
        <f>U69</f>
        <v>2022E</v>
      </c>
    </row>
    <row r="139" spans="1:21">
      <c r="A139" s="15" t="s">
        <v>185</v>
      </c>
      <c r="C139" s="23" t="s">
        <v>82</v>
      </c>
      <c r="D139" s="23" t="s">
        <v>82</v>
      </c>
      <c r="E139" s="23" t="s">
        <v>82</v>
      </c>
      <c r="F139" s="23" t="s">
        <v>82</v>
      </c>
      <c r="G139" s="23" t="s">
        <v>82</v>
      </c>
      <c r="H139" s="23" t="s">
        <v>82</v>
      </c>
      <c r="I139" s="23" t="s">
        <v>82</v>
      </c>
      <c r="J139" s="23" t="s">
        <v>82</v>
      </c>
      <c r="K139" s="23" t="s">
        <v>82</v>
      </c>
      <c r="L139" s="23" t="s">
        <v>82</v>
      </c>
      <c r="M139" s="23" t="s">
        <v>82</v>
      </c>
      <c r="N139" s="23" t="s">
        <v>82</v>
      </c>
      <c r="O139" s="23" t="s">
        <v>82</v>
      </c>
      <c r="P139" s="23" t="s">
        <v>82</v>
      </c>
      <c r="Q139" s="23" t="s">
        <v>82</v>
      </c>
      <c r="R139" s="23" t="s">
        <v>82</v>
      </c>
      <c r="S139" s="23" t="s">
        <v>82</v>
      </c>
      <c r="T139" s="23" t="s">
        <v>82</v>
      </c>
      <c r="U139" s="23" t="s">
        <v>82</v>
      </c>
    </row>
    <row r="140" spans="1:21">
      <c r="C140" s="24"/>
      <c r="D140" s="24"/>
      <c r="E140" s="24"/>
      <c r="F140" s="24"/>
      <c r="G140" s="24"/>
      <c r="H140" s="24"/>
      <c r="I140" s="24"/>
      <c r="J140" s="24"/>
      <c r="K140" s="24"/>
      <c r="L140" s="24"/>
      <c r="M140" s="24"/>
      <c r="N140" s="24"/>
      <c r="O140" s="24"/>
      <c r="P140" s="24"/>
      <c r="Q140" s="24"/>
      <c r="R140" s="24"/>
      <c r="S140" s="24"/>
      <c r="T140" s="24"/>
      <c r="U140" s="24"/>
    </row>
    <row r="141" spans="1:21">
      <c r="A141" s="4" t="s">
        <v>186</v>
      </c>
      <c r="C141" s="25">
        <f>C75</f>
        <v>0</v>
      </c>
      <c r="D141" s="25">
        <f>D75</f>
        <v>0</v>
      </c>
      <c r="E141" s="25">
        <f>E75</f>
        <v>0</v>
      </c>
      <c r="F141" s="25">
        <f>F75</f>
        <v>0</v>
      </c>
      <c r="G141" s="25">
        <f>G75</f>
        <v>0</v>
      </c>
      <c r="H141" s="25">
        <f t="shared" ref="H141:M141" si="115">H6</f>
        <v>3522.9139999999998</v>
      </c>
      <c r="I141" s="25">
        <f t="shared" si="115"/>
        <v>3669.6019999999999</v>
      </c>
      <c r="J141" s="25">
        <f t="shared" si="115"/>
        <v>3854.134</v>
      </c>
      <c r="K141" s="25">
        <f t="shared" si="115"/>
        <v>4077.034171070005</v>
      </c>
      <c r="L141" s="25">
        <f t="shared" si="115"/>
        <v>4427.5029999999997</v>
      </c>
      <c r="M141" s="25">
        <f t="shared" si="115"/>
        <v>4814.5039999999999</v>
      </c>
      <c r="N141" s="25">
        <f>N6</f>
        <v>5098.9319999999998</v>
      </c>
      <c r="O141" s="25">
        <f>O6</f>
        <v>5566.0379999999996</v>
      </c>
      <c r="P141" s="25">
        <f>P6</f>
        <v>6084.7659999999996</v>
      </c>
      <c r="Q141" s="25">
        <f>(P141*(1+Q194))</f>
        <v>6465.6868733692654</v>
      </c>
      <c r="R141" s="25">
        <f>(Q141*(1+R194))</f>
        <v>6976.2171103889996</v>
      </c>
      <c r="S141" s="25">
        <f>(R141*(1+S194))</f>
        <v>7497.1046129201495</v>
      </c>
      <c r="T141" s="25">
        <f>(S141*(1+T194))</f>
        <v>8028.2266537078876</v>
      </c>
      <c r="U141" s="25">
        <f>(T141*(1+U194))</f>
        <v>8569.4794636708084</v>
      </c>
    </row>
    <row r="142" spans="1:21" hidden="1" outlineLevel="1">
      <c r="C142" s="24"/>
      <c r="D142" s="24"/>
      <c r="E142" s="24"/>
      <c r="F142" s="24"/>
      <c r="G142" s="24"/>
      <c r="H142" s="24"/>
      <c r="I142" s="24"/>
      <c r="J142" s="24"/>
      <c r="K142" s="24"/>
      <c r="L142" s="24"/>
      <c r="M142" s="24"/>
      <c r="N142" s="24"/>
      <c r="O142" s="24"/>
      <c r="P142" s="24"/>
      <c r="Q142" s="24"/>
      <c r="R142" s="24"/>
      <c r="S142" s="24"/>
      <c r="T142" s="24"/>
      <c r="U142" s="24"/>
    </row>
    <row r="143" spans="1:21" hidden="1" outlineLevel="1">
      <c r="A143" s="4" t="s">
        <v>187</v>
      </c>
      <c r="C143" s="25">
        <f>C77</f>
        <v>900.05899999999997</v>
      </c>
      <c r="D143" s="25">
        <f>D77</f>
        <v>957.75900000000001</v>
      </c>
      <c r="E143" s="25">
        <f>E77</f>
        <v>1051.922</v>
      </c>
      <c r="F143" s="25">
        <f>F77</f>
        <v>1062.4680000000001</v>
      </c>
      <c r="G143" s="25">
        <f>G77</f>
        <v>1090.829</v>
      </c>
      <c r="H143" s="25">
        <f t="shared" ref="H143:M143" si="116">H8</f>
        <v>2181.7069999999999</v>
      </c>
      <c r="I143" s="25">
        <f t="shared" si="116"/>
        <v>2252.346</v>
      </c>
      <c r="J143" s="25">
        <f t="shared" si="116"/>
        <v>2363.4639999999999</v>
      </c>
      <c r="K143" s="25">
        <f t="shared" si="116"/>
        <v>2497.9727558300101</v>
      </c>
      <c r="L143" s="25">
        <f t="shared" si="116"/>
        <v>2695.9569999999999</v>
      </c>
      <c r="M143" s="25">
        <f t="shared" si="116"/>
        <v>2900.819</v>
      </c>
      <c r="N143" s="25">
        <f>N8</f>
        <v>3059.6409999999996</v>
      </c>
      <c r="O143" s="25">
        <f>O8</f>
        <v>3297.373</v>
      </c>
      <c r="P143" s="25">
        <f>P8</f>
        <v>3559.1579999999999</v>
      </c>
      <c r="Q143" s="25">
        <f t="shared" ref="Q143:U143" si="117">Q141-Q145</f>
        <v>3799.410645539936</v>
      </c>
      <c r="R143" s="25">
        <f t="shared" si="117"/>
        <v>4091.5513352431481</v>
      </c>
      <c r="S143" s="25">
        <f t="shared" si="117"/>
        <v>4399.3009868615445</v>
      </c>
      <c r="T143" s="25">
        <f t="shared" si="117"/>
        <v>4710.1605777304176</v>
      </c>
      <c r="U143" s="25">
        <f t="shared" si="117"/>
        <v>5021.7149657110931</v>
      </c>
    </row>
    <row r="144" spans="1:21" hidden="1" outlineLevel="1">
      <c r="C144" s="24"/>
      <c r="D144" s="24"/>
      <c r="E144" s="24"/>
      <c r="F144" s="24"/>
      <c r="G144" s="24"/>
      <c r="H144" s="24"/>
      <c r="I144" s="24"/>
      <c r="J144" s="24"/>
      <c r="K144" s="24"/>
      <c r="L144" s="24"/>
      <c r="M144" s="24"/>
      <c r="N144" s="24"/>
      <c r="O144" s="24"/>
      <c r="P144" s="24"/>
      <c r="Q144" s="24"/>
      <c r="R144" s="24"/>
      <c r="S144" s="24"/>
      <c r="T144" s="24"/>
      <c r="U144" s="24"/>
    </row>
    <row r="145" spans="1:21" collapsed="1">
      <c r="A145" s="4" t="s">
        <v>188</v>
      </c>
      <c r="C145" s="25">
        <f>C141-C143</f>
        <v>-900.05899999999997</v>
      </c>
      <c r="D145" s="25">
        <f>D141-D143</f>
        <v>-957.75900000000001</v>
      </c>
      <c r="E145" s="25">
        <f>E141-E143</f>
        <v>-1051.922</v>
      </c>
      <c r="F145" s="25">
        <f>F141-F143</f>
        <v>-1062.4680000000001</v>
      </c>
      <c r="G145" s="25">
        <f>G141-G143</f>
        <v>-1090.829</v>
      </c>
      <c r="H145" s="25">
        <f t="shared" ref="H145:O146" si="118">H10</f>
        <v>1341.2069999999999</v>
      </c>
      <c r="I145" s="25">
        <f t="shared" si="118"/>
        <v>1417.2559999999999</v>
      </c>
      <c r="J145" s="25">
        <f t="shared" si="118"/>
        <v>1490.67</v>
      </c>
      <c r="K145" s="25">
        <f t="shared" si="118"/>
        <v>1579.0614152399949</v>
      </c>
      <c r="L145" s="25">
        <f t="shared" si="118"/>
        <v>1731.5459999999998</v>
      </c>
      <c r="M145" s="25">
        <f t="shared" si="118"/>
        <v>1913.6849999999999</v>
      </c>
      <c r="N145" s="25">
        <f t="shared" si="118"/>
        <v>2039.2910000000002</v>
      </c>
      <c r="O145" s="25">
        <f t="shared" si="118"/>
        <v>2268.6649999999995</v>
      </c>
      <c r="P145" s="25">
        <f t="shared" ref="P145" si="119">P10</f>
        <v>2525.6079999999997</v>
      </c>
      <c r="Q145" s="25">
        <f t="shared" ref="Q145:U145" si="120">Q141*Q186</f>
        <v>2666.2762278293294</v>
      </c>
      <c r="R145" s="25">
        <f t="shared" si="120"/>
        <v>2884.6657751458515</v>
      </c>
      <c r="S145" s="25">
        <f t="shared" si="120"/>
        <v>3097.8036260586055</v>
      </c>
      <c r="T145" s="25">
        <f t="shared" si="120"/>
        <v>3318.0660759774696</v>
      </c>
      <c r="U145" s="25">
        <f t="shared" si="120"/>
        <v>3547.7644979597148</v>
      </c>
    </row>
    <row r="146" spans="1:21">
      <c r="A146" s="4" t="s">
        <v>189</v>
      </c>
      <c r="C146" s="26">
        <f>C80</f>
        <v>0</v>
      </c>
      <c r="D146" s="26">
        <f>D80</f>
        <v>0</v>
      </c>
      <c r="E146" s="26">
        <f>E80</f>
        <v>0</v>
      </c>
      <c r="F146" s="26">
        <f>F80</f>
        <v>0</v>
      </c>
      <c r="G146" s="26">
        <f>G80</f>
        <v>0</v>
      </c>
      <c r="H146" s="26">
        <f t="shared" si="118"/>
        <v>1113.96</v>
      </c>
      <c r="I146" s="26">
        <f t="shared" si="118"/>
        <v>1156.6130000000001</v>
      </c>
      <c r="J146" s="26">
        <f t="shared" si="118"/>
        <v>1215.7739999999999</v>
      </c>
      <c r="K146" s="26">
        <f t="shared" si="118"/>
        <v>1289.1741698830001</v>
      </c>
      <c r="L146" s="26">
        <f t="shared" si="118"/>
        <v>1391.788</v>
      </c>
      <c r="M146" s="26">
        <f t="shared" si="118"/>
        <v>1511.6480000000001</v>
      </c>
      <c r="N146" s="26">
        <f t="shared" si="118"/>
        <v>1597.7180000000001</v>
      </c>
      <c r="O146" s="26">
        <f t="shared" si="118"/>
        <v>1723.251</v>
      </c>
      <c r="P146" s="26">
        <f t="shared" ref="P146" si="121">P11</f>
        <v>1863.5</v>
      </c>
      <c r="Q146" s="26">
        <f t="shared" ref="Q146:U146" si="122">Q141*Q187</f>
        <v>1992.1135993861201</v>
      </c>
      <c r="R146" s="26">
        <f t="shared" si="122"/>
        <v>2149.3724917108507</v>
      </c>
      <c r="S146" s="26">
        <f t="shared" si="122"/>
        <v>2316.605325392326</v>
      </c>
      <c r="T146" s="26">
        <f t="shared" si="122"/>
        <v>2481.5248586611078</v>
      </c>
      <c r="U146" s="26">
        <f t="shared" si="122"/>
        <v>2653.9677898988493</v>
      </c>
    </row>
    <row r="147" spans="1:21">
      <c r="A147" s="4" t="s">
        <v>399</v>
      </c>
      <c r="C147" s="26">
        <f>'yrP&amp;L'!F$20</f>
        <v>-10.335000000000001</v>
      </c>
      <c r="D147" s="26">
        <f>'yrP&amp;L'!G$20</f>
        <v>-14.619</v>
      </c>
      <c r="E147" s="26">
        <f>'yrP&amp;L'!H$20</f>
        <v>-8.4480000000000004</v>
      </c>
      <c r="F147" s="26">
        <f>'yrP&amp;L'!I$20</f>
        <v>-6.18</v>
      </c>
      <c r="G147" s="26">
        <f>'yrP&amp;L'!J$20</f>
        <v>-12.861000000000001</v>
      </c>
      <c r="H147" s="1563">
        <f>H12</f>
        <v>-47.475000000000001</v>
      </c>
      <c r="I147" s="1563">
        <f t="shared" ref="I147:Q147" si="123">I12</f>
        <v>-42.832999999999998</v>
      </c>
      <c r="J147" s="1563">
        <f t="shared" si="123"/>
        <v>-43.338999999999999</v>
      </c>
      <c r="K147" s="1563">
        <f t="shared" si="123"/>
        <v>-42.24</v>
      </c>
      <c r="L147" s="1563">
        <f t="shared" si="123"/>
        <v>-43.423000000000002</v>
      </c>
      <c r="M147" s="1563">
        <f t="shared" si="123"/>
        <v>-45.882999999999996</v>
      </c>
      <c r="N147" s="1563">
        <f t="shared" ref="N147:O149" si="124">N12</f>
        <v>-36.773000000000003</v>
      </c>
      <c r="O147" s="1563">
        <f t="shared" si="124"/>
        <v>-35.747</v>
      </c>
      <c r="P147" s="1563">
        <f t="shared" ref="P147" si="125">P12</f>
        <v>-34.164000000000001</v>
      </c>
      <c r="Q147" s="1563">
        <f t="shared" si="123"/>
        <v>-36.230602063530966</v>
      </c>
      <c r="R147" s="1563">
        <f>R12</f>
        <v>-36.230602063530966</v>
      </c>
      <c r="S147" s="1563">
        <f>S12</f>
        <v>-36.230602063530966</v>
      </c>
      <c r="T147" s="1563">
        <f>T12</f>
        <v>-36.230602063530966</v>
      </c>
      <c r="U147" s="1563">
        <f>U12</f>
        <v>-36.230602063530966</v>
      </c>
    </row>
    <row r="148" spans="1:21">
      <c r="A148" s="4" t="s">
        <v>190</v>
      </c>
      <c r="C148" s="26"/>
      <c r="D148" s="26"/>
      <c r="E148" s="26"/>
      <c r="F148" s="26"/>
      <c r="G148" s="26"/>
      <c r="H148" s="26">
        <f>H13</f>
        <v>156.38800000000001</v>
      </c>
      <c r="I148" s="26">
        <f>I13</f>
        <v>146.75899999999999</v>
      </c>
      <c r="J148" s="26">
        <f>J13</f>
        <v>153.07</v>
      </c>
      <c r="K148" s="26">
        <f>K13</f>
        <v>166.79874882999997</v>
      </c>
      <c r="L148" s="26">
        <f>L13</f>
        <v>168.19400000000002</v>
      </c>
      <c r="M148" s="26">
        <f>M13</f>
        <v>167.58</v>
      </c>
      <c r="N148" s="26">
        <f t="shared" si="124"/>
        <v>172.09900000000002</v>
      </c>
      <c r="O148" s="26">
        <f t="shared" si="124"/>
        <v>183.58600000000001</v>
      </c>
      <c r="P148" s="26">
        <f t="shared" ref="P148" si="126">P13</f>
        <v>201.10300000000001</v>
      </c>
      <c r="Q148" s="26">
        <f t="shared" ref="Q148:U148" si="127">Q141*Q188</f>
        <v>220.93338288582191</v>
      </c>
      <c r="R148" s="26">
        <f t="shared" si="127"/>
        <v>237.7322342324407</v>
      </c>
      <c r="S148" s="26">
        <f t="shared" si="127"/>
        <v>254.78770620825432</v>
      </c>
      <c r="T148" s="26">
        <f t="shared" si="127"/>
        <v>272.0929038764092</v>
      </c>
      <c r="U148" s="26">
        <f t="shared" si="127"/>
        <v>289.64164689534721</v>
      </c>
    </row>
    <row r="149" spans="1:21" outlineLevel="1">
      <c r="A149" s="4" t="s">
        <v>368</v>
      </c>
      <c r="B149" s="4">
        <v>0</v>
      </c>
      <c r="C149" s="26">
        <v>115.66499999999999</v>
      </c>
      <c r="D149" s="26">
        <v>162.38800000000003</v>
      </c>
      <c r="E149" s="26">
        <v>69.73000000000016</v>
      </c>
      <c r="F149" s="26">
        <v>93.531000000000063</v>
      </c>
      <c r="G149" s="26">
        <v>91.033999999999978</v>
      </c>
      <c r="H149" s="26">
        <f>H14</f>
        <v>78.865380052422509</v>
      </c>
      <c r="I149" s="26">
        <f t="shared" ref="I149:Q149" si="128">I14</f>
        <v>4.2811663390198724</v>
      </c>
      <c r="J149" s="26">
        <f t="shared" si="128"/>
        <v>46.939380041794088</v>
      </c>
      <c r="K149" s="26">
        <f t="shared" si="128"/>
        <v>21.749788529892278</v>
      </c>
      <c r="L149" s="26">
        <f t="shared" si="128"/>
        <v>54.897762501120823</v>
      </c>
      <c r="M149" s="26">
        <f t="shared" si="128"/>
        <v>82.280647521738487</v>
      </c>
      <c r="N149" s="26">
        <f t="shared" si="124"/>
        <v>8.3729999999999993</v>
      </c>
      <c r="O149" s="26">
        <f t="shared" si="124"/>
        <v>8.202</v>
      </c>
      <c r="P149" s="26">
        <f t="shared" ref="P149:U150" si="129">P14</f>
        <v>7.4120000000000008</v>
      </c>
      <c r="Q149" s="26">
        <f t="shared" si="128"/>
        <v>0</v>
      </c>
      <c r="R149" s="26">
        <f>R14</f>
        <v>0</v>
      </c>
      <c r="S149" s="26">
        <f>S14</f>
        <v>0</v>
      </c>
      <c r="T149" s="26">
        <f>T14</f>
        <v>0</v>
      </c>
      <c r="U149" s="26">
        <f>U14</f>
        <v>0</v>
      </c>
    </row>
    <row r="150" spans="1:21" outlineLevel="1">
      <c r="A150" s="4" t="s">
        <v>1099</v>
      </c>
      <c r="C150" s="26"/>
      <c r="D150" s="26"/>
      <c r="E150" s="26"/>
      <c r="F150" s="26"/>
      <c r="G150" s="26"/>
      <c r="H150" s="26"/>
      <c r="I150" s="26"/>
      <c r="J150" s="26"/>
      <c r="K150" s="26"/>
      <c r="L150" s="26">
        <f t="shared" ref="L150:M150" si="130">L15</f>
        <v>55.404999999999994</v>
      </c>
      <c r="M150" s="26">
        <f t="shared" si="130"/>
        <v>82.425000000000011</v>
      </c>
      <c r="N150" s="26">
        <f>N15</f>
        <v>13.985000000000001</v>
      </c>
      <c r="O150" s="26">
        <f t="shared" ref="O150" si="131">O15</f>
        <v>11.645</v>
      </c>
      <c r="P150" s="26">
        <f t="shared" si="129"/>
        <v>7.3629999999999987</v>
      </c>
      <c r="Q150" s="26">
        <f t="shared" si="129"/>
        <v>-4.9000000000000002E-2</v>
      </c>
      <c r="R150" s="26">
        <f t="shared" si="129"/>
        <v>-4.9000000000000002E-2</v>
      </c>
      <c r="S150" s="26">
        <f t="shared" si="129"/>
        <v>-4.9000000000000002E-2</v>
      </c>
      <c r="T150" s="26">
        <f t="shared" si="129"/>
        <v>-4.9000000000000002E-2</v>
      </c>
      <c r="U150" s="26">
        <f t="shared" si="129"/>
        <v>-4.9000000000000002E-2</v>
      </c>
    </row>
    <row r="151" spans="1:21">
      <c r="A151" s="4" t="s">
        <v>191</v>
      </c>
      <c r="C151" s="26"/>
      <c r="D151" s="26"/>
      <c r="E151" s="26"/>
      <c r="F151" s="26"/>
      <c r="G151" s="26"/>
      <c r="H151" s="26">
        <f>H145-H146-H147-H148-H149</f>
        <v>39.468619947577352</v>
      </c>
      <c r="I151" s="26">
        <f t="shared" ref="I151:Q151" si="132">I145-I146-I147-I148-I149</f>
        <v>152.43583366097991</v>
      </c>
      <c r="J151" s="26">
        <f t="shared" si="132"/>
        <v>118.2256199582061</v>
      </c>
      <c r="K151" s="26">
        <f t="shared" si="132"/>
        <v>143.57870799710253</v>
      </c>
      <c r="L151" s="26">
        <f t="shared" si="132"/>
        <v>160.08923749887896</v>
      </c>
      <c r="M151" s="26">
        <f t="shared" si="132"/>
        <v>198.0593524782613</v>
      </c>
      <c r="N151" s="26">
        <f>N145-N146-N147-N148-N149</f>
        <v>297.87400000000008</v>
      </c>
      <c r="O151" s="26">
        <f>O145-O146-O147-O148-O149</f>
        <v>389.37299999999948</v>
      </c>
      <c r="P151" s="26">
        <f>P145-P146-P147-P148-P149</f>
        <v>487.75699999999972</v>
      </c>
      <c r="Q151" s="26">
        <f t="shared" si="132"/>
        <v>489.45984762091842</v>
      </c>
      <c r="R151" s="26">
        <f>R145-R146-R147-R148-R149</f>
        <v>533.79165126609109</v>
      </c>
      <c r="S151" s="26">
        <f>S145-S146-S147-S148-S149</f>
        <v>562.64119652155614</v>
      </c>
      <c r="T151" s="26">
        <f>T145-T146-T147-T148-T149</f>
        <v>600.67891550348361</v>
      </c>
      <c r="U151" s="26">
        <f>U145-U146-U147-U148-U149</f>
        <v>640.38566322904933</v>
      </c>
    </row>
    <row r="152" spans="1:21">
      <c r="A152" s="20" t="s">
        <v>199</v>
      </c>
      <c r="B152" s="4">
        <v>0</v>
      </c>
      <c r="C152" s="25">
        <v>5.8630000000000004</v>
      </c>
      <c r="D152" s="25">
        <v>7.3339999999999996</v>
      </c>
      <c r="E152" s="25">
        <v>22.702000000000002</v>
      </c>
      <c r="F152" s="25">
        <v>134.31299999999999</v>
      </c>
      <c r="G152" s="25">
        <v>132.99299999999999</v>
      </c>
      <c r="H152" s="1564">
        <f>H17</f>
        <v>84.423000000000002</v>
      </c>
      <c r="I152" s="1564">
        <f t="shared" ref="I152:Q152" si="133">I17</f>
        <v>99.308999999999997</v>
      </c>
      <c r="J152" s="1564">
        <f t="shared" si="133"/>
        <v>129.12100000000001</v>
      </c>
      <c r="K152" s="1564">
        <f t="shared" si="133"/>
        <v>111.770626154</v>
      </c>
      <c r="L152" s="1564">
        <f t="shared" si="133"/>
        <v>127.73899999999999</v>
      </c>
      <c r="M152" s="1564">
        <f t="shared" si="133"/>
        <v>83.74499999999999</v>
      </c>
      <c r="N152" s="1564">
        <f>N17</f>
        <v>59.000000000000007</v>
      </c>
      <c r="O152" s="1564">
        <f>O17</f>
        <v>56.161000000000001</v>
      </c>
      <c r="P152" s="1564">
        <f>P17</f>
        <v>58.777000000000001</v>
      </c>
      <c r="Q152" s="1564">
        <f t="shared" si="133"/>
        <v>60</v>
      </c>
      <c r="R152" s="1564">
        <f>R17</f>
        <v>55</v>
      </c>
      <c r="S152" s="1564">
        <f>S17</f>
        <v>50</v>
      </c>
      <c r="T152" s="1564">
        <f>T17</f>
        <v>45</v>
      </c>
      <c r="U152" s="1564">
        <f>U17</f>
        <v>40</v>
      </c>
    </row>
    <row r="153" spans="1:21">
      <c r="A153" s="4" t="s">
        <v>192</v>
      </c>
      <c r="B153" s="4">
        <v>0</v>
      </c>
      <c r="C153" s="26">
        <v>109.80199999999999</v>
      </c>
      <c r="D153" s="26">
        <v>155.05400000000003</v>
      </c>
      <c r="E153" s="26">
        <v>47.028000000000162</v>
      </c>
      <c r="F153" s="26">
        <v>-40.781999999999925</v>
      </c>
      <c r="G153" s="26">
        <v>-41.959000000000017</v>
      </c>
      <c r="H153" s="26">
        <f>H151-H152</f>
        <v>-44.95438005242265</v>
      </c>
      <c r="I153" s="26">
        <f t="shared" ref="I153:Q153" si="134">I151-I152</f>
        <v>53.126833660979912</v>
      </c>
      <c r="J153" s="26">
        <f t="shared" si="134"/>
        <v>-10.895380041793914</v>
      </c>
      <c r="K153" s="26">
        <f t="shared" si="134"/>
        <v>31.808081843102528</v>
      </c>
      <c r="L153" s="26">
        <f t="shared" si="134"/>
        <v>32.350237498878968</v>
      </c>
      <c r="M153" s="26">
        <f t="shared" si="134"/>
        <v>114.31435247826131</v>
      </c>
      <c r="N153" s="26">
        <f>N151-N152</f>
        <v>238.87400000000008</v>
      </c>
      <c r="O153" s="26">
        <f>O151-O152</f>
        <v>333.21199999999948</v>
      </c>
      <c r="P153" s="26">
        <f>P151-P152</f>
        <v>428.97999999999973</v>
      </c>
      <c r="Q153" s="26">
        <f t="shared" si="134"/>
        <v>429.45984762091842</v>
      </c>
      <c r="R153" s="26">
        <f>R151-R152</f>
        <v>478.79165126609109</v>
      </c>
      <c r="S153" s="26">
        <f>S151-S152</f>
        <v>512.64119652155614</v>
      </c>
      <c r="T153" s="26">
        <f>T151-T152</f>
        <v>555.67891550348361</v>
      </c>
      <c r="U153" s="26">
        <f>U151-U152</f>
        <v>600.38566322904933</v>
      </c>
    </row>
    <row r="154" spans="1:21">
      <c r="C154" s="26"/>
      <c r="D154" s="26"/>
      <c r="E154" s="26"/>
      <c r="F154" s="26"/>
      <c r="G154" s="26"/>
      <c r="H154" s="26"/>
      <c r="I154" s="26"/>
      <c r="J154" s="26"/>
      <c r="K154" s="26"/>
      <c r="L154" s="26"/>
      <c r="M154" s="26"/>
      <c r="N154" s="26"/>
      <c r="O154" s="26"/>
      <c r="P154" s="26"/>
      <c r="Q154" s="26"/>
      <c r="R154" s="26"/>
      <c r="S154" s="26"/>
      <c r="T154" s="26"/>
      <c r="U154" s="26"/>
    </row>
    <row r="155" spans="1:21">
      <c r="A155" s="4" t="s">
        <v>193</v>
      </c>
      <c r="B155" s="4">
        <v>0</v>
      </c>
      <c r="C155" s="26">
        <v>42.640999999999998</v>
      </c>
      <c r="D155" s="26">
        <v>66.506049999999988</v>
      </c>
      <c r="E155" s="26">
        <v>46.789000000000001</v>
      </c>
      <c r="F155" s="26">
        <v>-16.389230000000001</v>
      </c>
      <c r="G155" s="26">
        <v>-16.464399999999998</v>
      </c>
      <c r="H155" s="26">
        <f t="shared" ref="H155:M155" si="135">H20</f>
        <v>-29.753</v>
      </c>
      <c r="I155" s="26">
        <f t="shared" si="135"/>
        <v>22.13</v>
      </c>
      <c r="J155" s="26">
        <f t="shared" si="135"/>
        <v>-4.1479999999999997</v>
      </c>
      <c r="K155" s="26">
        <f t="shared" si="135"/>
        <v>3.8626241200000031</v>
      </c>
      <c r="L155" s="26">
        <f t="shared" si="135"/>
        <v>16.207999999999995</v>
      </c>
      <c r="M155" s="26">
        <f t="shared" si="135"/>
        <v>39.081000000000003</v>
      </c>
      <c r="N155" s="26">
        <f>N20</f>
        <v>88.391999999999996</v>
      </c>
      <c r="O155" s="26">
        <f>O20</f>
        <v>117.339</v>
      </c>
      <c r="P155" s="26">
        <f>P20</f>
        <v>137.31555400000002</v>
      </c>
      <c r="Q155" s="26">
        <f>Q153*Q191</f>
        <v>101.00691060563913</v>
      </c>
      <c r="R155" s="26">
        <f>R153*R191</f>
        <v>112.60951585129003</v>
      </c>
      <c r="S155" s="26">
        <f>S153*S191</f>
        <v>120.57076766703197</v>
      </c>
      <c r="T155" s="26">
        <f>T153*T191</f>
        <v>130.69303417916311</v>
      </c>
      <c r="U155" s="26">
        <f>U153*U191</f>
        <v>141.20784830206813</v>
      </c>
    </row>
    <row r="156" spans="1:21" hidden="1" outlineLevel="1">
      <c r="C156" s="26"/>
      <c r="D156" s="26"/>
      <c r="E156" s="26"/>
      <c r="F156" s="26"/>
      <c r="G156" s="26"/>
      <c r="H156" s="26"/>
      <c r="I156" s="26"/>
      <c r="J156" s="26"/>
      <c r="K156" s="26"/>
      <c r="L156" s="26"/>
      <c r="M156" s="26"/>
      <c r="N156" s="26"/>
      <c r="O156" s="26"/>
      <c r="P156" s="26"/>
      <c r="Q156" s="26"/>
      <c r="R156" s="26"/>
      <c r="S156" s="26"/>
      <c r="T156" s="26"/>
      <c r="U156" s="26"/>
    </row>
    <row r="157" spans="1:21" hidden="1" outlineLevel="1">
      <c r="A157" s="4" t="str">
        <f t="shared" ref="A157:G157" si="136">A88</f>
        <v>Minority Interest</v>
      </c>
      <c r="B157" s="4">
        <f t="shared" si="136"/>
        <v>0</v>
      </c>
      <c r="C157" s="24">
        <f t="shared" si="136"/>
        <v>0</v>
      </c>
      <c r="D157" s="24">
        <f t="shared" si="136"/>
        <v>0</v>
      </c>
      <c r="E157" s="24">
        <f t="shared" si="136"/>
        <v>0</v>
      </c>
      <c r="F157" s="24">
        <f t="shared" si="136"/>
        <v>0</v>
      </c>
      <c r="G157" s="24">
        <f t="shared" si="136"/>
        <v>0</v>
      </c>
      <c r="H157" s="35">
        <f>H22</f>
        <v>0</v>
      </c>
      <c r="I157" s="35">
        <f t="shared" ref="I157:Q157" si="137">I22</f>
        <v>0</v>
      </c>
      <c r="J157" s="35">
        <f t="shared" si="137"/>
        <v>0</v>
      </c>
      <c r="K157" s="35">
        <f t="shared" si="137"/>
        <v>0</v>
      </c>
      <c r="L157" s="35">
        <f t="shared" si="137"/>
        <v>0</v>
      </c>
      <c r="M157" s="35">
        <f t="shared" si="137"/>
        <v>0</v>
      </c>
      <c r="N157" s="35">
        <f>N22</f>
        <v>0</v>
      </c>
      <c r="O157" s="35">
        <f>O22</f>
        <v>0</v>
      </c>
      <c r="P157" s="35">
        <f>P22</f>
        <v>0</v>
      </c>
      <c r="Q157" s="35">
        <f t="shared" si="137"/>
        <v>0</v>
      </c>
      <c r="R157" s="35">
        <f>R22</f>
        <v>0</v>
      </c>
      <c r="S157" s="35">
        <f>S22</f>
        <v>0</v>
      </c>
      <c r="T157" s="35">
        <f>T22</f>
        <v>0</v>
      </c>
      <c r="U157" s="35">
        <f>U22</f>
        <v>0</v>
      </c>
    </row>
    <row r="158" spans="1:21" collapsed="1">
      <c r="C158" s="24"/>
      <c r="D158" s="24"/>
      <c r="E158" s="24"/>
      <c r="F158" s="24"/>
      <c r="G158" s="24"/>
      <c r="H158" s="35"/>
      <c r="I158" s="35"/>
      <c r="J158" s="35"/>
      <c r="K158" s="35"/>
      <c r="L158" s="35"/>
      <c r="M158" s="35"/>
      <c r="N158" s="35"/>
      <c r="O158" s="35"/>
      <c r="P158" s="35"/>
      <c r="Q158" s="35"/>
      <c r="R158" s="35"/>
      <c r="S158" s="35"/>
      <c r="T158" s="35"/>
      <c r="U158" s="35"/>
    </row>
    <row r="159" spans="1:21">
      <c r="A159" s="4" t="str">
        <f t="shared" ref="A159:G162" si="138">A90</f>
        <v>Net Income from Operations</v>
      </c>
      <c r="B159" s="4">
        <f t="shared" si="138"/>
        <v>0</v>
      </c>
      <c r="C159" s="27">
        <f t="shared" si="138"/>
        <v>67.161000000000001</v>
      </c>
      <c r="D159" s="27">
        <f t="shared" si="138"/>
        <v>88.547950000000043</v>
      </c>
      <c r="E159" s="27">
        <f t="shared" si="138"/>
        <v>0.23900000000016064</v>
      </c>
      <c r="F159" s="27">
        <f t="shared" si="138"/>
        <v>-24.392769999999924</v>
      </c>
      <c r="G159" s="27">
        <f t="shared" si="138"/>
        <v>-25.49460000000002</v>
      </c>
      <c r="H159" s="1565">
        <f t="shared" ref="H159:M159" si="139">H24</f>
        <v>-15.201380052422678</v>
      </c>
      <c r="I159" s="1565">
        <f t="shared" si="139"/>
        <v>30.996833660979942</v>
      </c>
      <c r="J159" s="1565">
        <f t="shared" si="139"/>
        <v>-6.7473800417939138</v>
      </c>
      <c r="K159" s="1565">
        <f t="shared" si="139"/>
        <v>27.945457723102525</v>
      </c>
      <c r="L159" s="1565">
        <f t="shared" si="139"/>
        <v>16.142237498878973</v>
      </c>
      <c r="M159" s="1565">
        <f t="shared" si="139"/>
        <v>75.23335247826131</v>
      </c>
      <c r="N159" s="1565">
        <f>N24</f>
        <v>150.48200000000008</v>
      </c>
      <c r="O159" s="1565">
        <f>O24</f>
        <v>215.87299999999954</v>
      </c>
      <c r="P159" s="1565">
        <f>P24</f>
        <v>291.66444599999971</v>
      </c>
      <c r="Q159" s="27">
        <f t="shared" ref="Q159:U159" si="140">Q153-Q155</f>
        <v>328.4529370152793</v>
      </c>
      <c r="R159" s="27">
        <f t="shared" si="140"/>
        <v>366.18213541480105</v>
      </c>
      <c r="S159" s="27">
        <f t="shared" si="140"/>
        <v>392.07042885452415</v>
      </c>
      <c r="T159" s="27">
        <f t="shared" si="140"/>
        <v>424.98588132432053</v>
      </c>
      <c r="U159" s="27">
        <f t="shared" si="140"/>
        <v>459.17781492698123</v>
      </c>
    </row>
    <row r="160" spans="1:21">
      <c r="A160" s="4">
        <f t="shared" si="138"/>
        <v>0</v>
      </c>
      <c r="B160" s="4">
        <f t="shared" si="138"/>
        <v>0</v>
      </c>
      <c r="C160" s="26">
        <f t="shared" si="138"/>
        <v>0</v>
      </c>
      <c r="D160" s="26">
        <f t="shared" si="138"/>
        <v>0</v>
      </c>
      <c r="E160" s="26">
        <f t="shared" si="138"/>
        <v>0</v>
      </c>
      <c r="F160" s="26">
        <f t="shared" si="138"/>
        <v>0</v>
      </c>
      <c r="G160" s="26">
        <f t="shared" si="138"/>
        <v>0</v>
      </c>
      <c r="H160" s="26">
        <f t="shared" ref="H160:Q160" si="141">H91</f>
        <v>0</v>
      </c>
      <c r="I160" s="26">
        <f t="shared" si="141"/>
        <v>0</v>
      </c>
      <c r="J160" s="26">
        <f t="shared" si="141"/>
        <v>0</v>
      </c>
      <c r="K160" s="26">
        <f t="shared" si="141"/>
        <v>0</v>
      </c>
      <c r="L160" s="26">
        <f t="shared" si="141"/>
        <v>0</v>
      </c>
      <c r="M160" s="26">
        <f t="shared" si="141"/>
        <v>0</v>
      </c>
      <c r="N160" s="26">
        <f t="shared" ref="N160:O162" si="142">N91</f>
        <v>0</v>
      </c>
      <c r="O160" s="26">
        <f t="shared" si="142"/>
        <v>0</v>
      </c>
      <c r="P160" s="26">
        <f t="shared" ref="P160" si="143">P91</f>
        <v>0</v>
      </c>
      <c r="Q160" s="26">
        <f t="shared" si="141"/>
        <v>0</v>
      </c>
      <c r="R160" s="26">
        <f>R91</f>
        <v>0</v>
      </c>
      <c r="S160" s="26">
        <f>S91</f>
        <v>0</v>
      </c>
      <c r="T160" s="26">
        <f>T91</f>
        <v>0</v>
      </c>
      <c r="U160" s="26">
        <f>U91</f>
        <v>0</v>
      </c>
    </row>
    <row r="161" spans="1:21">
      <c r="A161" s="19" t="str">
        <f t="shared" si="138"/>
        <v>Operating EPS</v>
      </c>
      <c r="B161" s="19">
        <f t="shared" si="138"/>
        <v>0</v>
      </c>
      <c r="C161" s="21">
        <f t="shared" si="138"/>
        <v>1.5035501029567244</v>
      </c>
      <c r="D161" s="21" t="str">
        <f t="shared" si="138"/>
        <v>NA</v>
      </c>
      <c r="E161" s="21" t="str">
        <f t="shared" si="138"/>
        <v>NA</v>
      </c>
      <c r="F161" s="21" t="str">
        <f t="shared" si="138"/>
        <v>NA</v>
      </c>
      <c r="G161" s="21" t="str">
        <f t="shared" si="138"/>
        <v>NA</v>
      </c>
      <c r="H161" s="21" t="str">
        <f t="shared" ref="H161:M162" si="144">H92</f>
        <v>N/A</v>
      </c>
      <c r="I161" s="21" t="str">
        <f t="shared" si="144"/>
        <v>N/A</v>
      </c>
      <c r="J161" s="21" t="str">
        <f t="shared" si="144"/>
        <v>N/A</v>
      </c>
      <c r="K161" s="21">
        <f t="shared" si="144"/>
        <v>0.39080169985260427</v>
      </c>
      <c r="L161" s="21">
        <f t="shared" si="144"/>
        <v>0.21737836045583786</v>
      </c>
      <c r="M161" s="21">
        <f t="shared" si="144"/>
        <v>0.99167405889753268</v>
      </c>
      <c r="N161" s="21">
        <f t="shared" si="142"/>
        <v>1.9946449637474661</v>
      </c>
      <c r="O161" s="21">
        <f t="shared" si="142"/>
        <v>3.0098994715634126</v>
      </c>
      <c r="P161" s="21">
        <f t="shared" ref="P161" si="145">P92</f>
        <v>4.1495624573184573</v>
      </c>
      <c r="Q161" s="21">
        <f t="shared" ref="Q161:U161" si="146">Q159/Q162</f>
        <v>4.8383727924472177</v>
      </c>
      <c r="R161" s="21">
        <f t="shared" si="146"/>
        <v>5.5144989841567016</v>
      </c>
      <c r="S161" s="21">
        <f t="shared" si="146"/>
        <v>6.0341785013194</v>
      </c>
      <c r="T161" s="21">
        <f t="shared" si="146"/>
        <v>6.677798632662034</v>
      </c>
      <c r="U161" s="21">
        <f t="shared" si="146"/>
        <v>7.2150561216600622</v>
      </c>
    </row>
    <row r="162" spans="1:21">
      <c r="A162" s="4" t="str">
        <f t="shared" si="138"/>
        <v>Average Diluted Shares</v>
      </c>
      <c r="B162" s="4">
        <f t="shared" si="138"/>
        <v>0</v>
      </c>
      <c r="C162" s="27">
        <f t="shared" si="138"/>
        <v>44.668281999999998</v>
      </c>
      <c r="D162" s="27" t="str">
        <f t="shared" si="138"/>
        <v>NA</v>
      </c>
      <c r="E162" s="27" t="str">
        <f t="shared" si="138"/>
        <v>NA</v>
      </c>
      <c r="F162" s="27" t="str">
        <f t="shared" si="138"/>
        <v>NA</v>
      </c>
      <c r="G162" s="27" t="str">
        <f t="shared" si="138"/>
        <v>NA</v>
      </c>
      <c r="H162" s="27">
        <f t="shared" si="144"/>
        <v>71.508025000000004</v>
      </c>
      <c r="I162" s="27">
        <f t="shared" si="144"/>
        <v>71.508025000000004</v>
      </c>
      <c r="J162" s="27">
        <f t="shared" si="144"/>
        <v>71.508025000000004</v>
      </c>
      <c r="K162" s="27">
        <f t="shared" si="144"/>
        <v>71.508025000000004</v>
      </c>
      <c r="L162" s="27">
        <f t="shared" si="144"/>
        <v>74.258713999999998</v>
      </c>
      <c r="M162" s="27">
        <f t="shared" si="144"/>
        <v>75.864999999999995</v>
      </c>
      <c r="N162" s="27">
        <f t="shared" si="142"/>
        <v>75.442999999999998</v>
      </c>
      <c r="O162" s="27">
        <f t="shared" si="142"/>
        <v>71.721000000000004</v>
      </c>
      <c r="P162" s="27">
        <f t="shared" ref="P162" si="147">P93</f>
        <v>70.287999999999997</v>
      </c>
      <c r="Q162" s="27">
        <f t="shared" ref="Q162:U162" si="148">Q93</f>
        <v>67.884999999999991</v>
      </c>
      <c r="R162" s="27">
        <f t="shared" si="148"/>
        <v>66.40351851851851</v>
      </c>
      <c r="S162" s="27">
        <f t="shared" si="148"/>
        <v>64.974947089947079</v>
      </c>
      <c r="T162" s="27">
        <f t="shared" si="148"/>
        <v>63.641613756613744</v>
      </c>
      <c r="U162" s="27">
        <f t="shared" si="148"/>
        <v>63.641613756613744</v>
      </c>
    </row>
    <row r="163" spans="1:21">
      <c r="B163" s="4">
        <f t="shared" ref="B163:G166" si="149">B94</f>
        <v>0</v>
      </c>
      <c r="C163" s="24">
        <f t="shared" si="149"/>
        <v>0</v>
      </c>
      <c r="D163" s="24">
        <f t="shared" si="149"/>
        <v>0</v>
      </c>
      <c r="E163" s="24">
        <f t="shared" si="149"/>
        <v>0</v>
      </c>
      <c r="F163" s="24">
        <f t="shared" si="149"/>
        <v>0</v>
      </c>
      <c r="G163" s="24">
        <f t="shared" si="149"/>
        <v>0</v>
      </c>
      <c r="H163" s="24"/>
      <c r="I163" s="24"/>
      <c r="J163" s="24"/>
      <c r="K163" s="24"/>
      <c r="L163" s="24"/>
      <c r="M163" s="24"/>
      <c r="N163" s="24"/>
      <c r="O163" s="24"/>
      <c r="P163" s="24"/>
      <c r="Q163" s="24"/>
      <c r="R163" s="24"/>
      <c r="S163" s="24"/>
      <c r="T163" s="24"/>
      <c r="U163" s="24"/>
    </row>
    <row r="164" spans="1:21" hidden="1" outlineLevel="2">
      <c r="A164" s="1554" t="str">
        <f t="shared" ref="A164:A170" si="150">A95</f>
        <v>Non-GAAP Reconciliation</v>
      </c>
      <c r="B164" s="1554">
        <f t="shared" si="149"/>
        <v>0</v>
      </c>
      <c r="C164" s="1556">
        <f t="shared" si="149"/>
        <v>0</v>
      </c>
      <c r="D164" s="1556">
        <f t="shared" si="149"/>
        <v>0</v>
      </c>
      <c r="E164" s="1556">
        <f t="shared" si="149"/>
        <v>0</v>
      </c>
      <c r="F164" s="1556">
        <f t="shared" si="149"/>
        <v>0</v>
      </c>
      <c r="G164" s="1556">
        <f t="shared" si="149"/>
        <v>0</v>
      </c>
    </row>
    <row r="165" spans="1:21" hidden="1" outlineLevel="2">
      <c r="A165" s="1554" t="str">
        <f t="shared" si="150"/>
        <v>Net Income from Operations (GAAP)</v>
      </c>
      <c r="B165" s="1554">
        <f t="shared" si="149"/>
        <v>0</v>
      </c>
      <c r="C165" s="1556">
        <f t="shared" si="149"/>
        <v>0</v>
      </c>
      <c r="D165" s="1556">
        <f t="shared" si="149"/>
        <v>0</v>
      </c>
      <c r="E165" s="1556">
        <f t="shared" si="149"/>
        <v>0</v>
      </c>
      <c r="F165" s="1556">
        <f t="shared" si="149"/>
        <v>0</v>
      </c>
      <c r="G165" s="1556">
        <f t="shared" si="149"/>
        <v>0</v>
      </c>
      <c r="H165" s="1550">
        <f t="shared" ref="H165:M165" si="151">H30</f>
        <v>-15.201380052422657</v>
      </c>
      <c r="I165" s="1550">
        <f t="shared" si="151"/>
        <v>30.996833660979942</v>
      </c>
      <c r="J165" s="1550">
        <f t="shared" si="151"/>
        <v>-6.7473800417939138</v>
      </c>
      <c r="K165" s="1550">
        <f t="shared" si="151"/>
        <v>27.945457723102525</v>
      </c>
      <c r="L165" s="1550">
        <f t="shared" si="151"/>
        <v>16.142237498878973</v>
      </c>
      <c r="M165" s="1550">
        <f t="shared" si="151"/>
        <v>75.23335247826131</v>
      </c>
      <c r="N165" s="1550">
        <f t="shared" ref="N165:O169" si="152">N30</f>
        <v>150.48200000000014</v>
      </c>
      <c r="O165" s="1550">
        <f t="shared" si="152"/>
        <v>215.87299999999954</v>
      </c>
      <c r="P165" s="1550">
        <f t="shared" ref="P165" si="153">P30</f>
        <v>291.66444599999966</v>
      </c>
      <c r="Q165" s="1550">
        <f t="shared" ref="Q165:U165" si="154">Q159</f>
        <v>328.4529370152793</v>
      </c>
      <c r="R165" s="1550">
        <f t="shared" si="154"/>
        <v>366.18213541480105</v>
      </c>
      <c r="S165" s="1550">
        <f t="shared" si="154"/>
        <v>392.07042885452415</v>
      </c>
      <c r="T165" s="1550">
        <f t="shared" si="154"/>
        <v>424.98588132432053</v>
      </c>
      <c r="U165" s="1550">
        <f t="shared" si="154"/>
        <v>459.17781492698123</v>
      </c>
    </row>
    <row r="166" spans="1:21" hidden="1" outlineLevel="2">
      <c r="A166" s="1554" t="str">
        <f t="shared" si="150"/>
        <v>+ Net Favorable Lease Amortization</v>
      </c>
      <c r="B166" s="1554">
        <f t="shared" si="149"/>
        <v>0</v>
      </c>
      <c r="C166" s="1556">
        <f t="shared" si="149"/>
        <v>0</v>
      </c>
      <c r="D166" s="1556">
        <f t="shared" si="149"/>
        <v>0</v>
      </c>
      <c r="E166" s="1556">
        <f t="shared" si="149"/>
        <v>0</v>
      </c>
      <c r="F166" s="1556">
        <f t="shared" si="149"/>
        <v>0</v>
      </c>
      <c r="G166" s="1556">
        <f t="shared" si="149"/>
        <v>0</v>
      </c>
      <c r="H166" s="1551">
        <f>H31</f>
        <v>0</v>
      </c>
      <c r="I166" s="1551">
        <f t="shared" ref="I166:Q166" si="155">I31</f>
        <v>0</v>
      </c>
      <c r="J166" s="1551">
        <f t="shared" si="155"/>
        <v>0</v>
      </c>
      <c r="K166" s="1551">
        <f t="shared" si="155"/>
        <v>31.292999999999999</v>
      </c>
      <c r="L166" s="1551">
        <f t="shared" si="155"/>
        <v>29.326000000000001</v>
      </c>
      <c r="M166" s="1551">
        <f t="shared" si="155"/>
        <v>25.96</v>
      </c>
      <c r="N166" s="1551">
        <f t="shared" si="152"/>
        <v>24.131</v>
      </c>
      <c r="O166" s="1551">
        <f t="shared" si="152"/>
        <v>23.828000000000003</v>
      </c>
      <c r="P166" s="1551">
        <f t="shared" ref="P166" si="156">P31</f>
        <v>23.324999999999996</v>
      </c>
      <c r="Q166" s="1552">
        <f t="shared" si="155"/>
        <v>20.89</v>
      </c>
      <c r="R166" s="1552">
        <f t="shared" ref="R166:T169" si="157">R31</f>
        <v>20.224</v>
      </c>
      <c r="S166" s="1552">
        <f t="shared" si="157"/>
        <v>18.917999999999999</v>
      </c>
      <c r="T166" s="1552">
        <f t="shared" si="157"/>
        <v>18.419</v>
      </c>
      <c r="U166" s="1552">
        <f t="shared" ref="U166" si="158">U31</f>
        <v>17.129670000000001</v>
      </c>
    </row>
    <row r="167" spans="1:21" hidden="1" outlineLevel="2">
      <c r="A167" s="1554" t="str">
        <f t="shared" si="150"/>
        <v>+Non GAAP Adjustments</v>
      </c>
      <c r="B167" s="1554">
        <f t="shared" ref="B167:G167" si="159">B32</f>
        <v>0</v>
      </c>
      <c r="C167" s="1556">
        <f t="shared" si="159"/>
        <v>0</v>
      </c>
      <c r="D167" s="1556">
        <f t="shared" si="159"/>
        <v>0</v>
      </c>
      <c r="E167" s="1556">
        <f t="shared" si="159"/>
        <v>0</v>
      </c>
      <c r="F167" s="1556">
        <f t="shared" si="159"/>
        <v>0</v>
      </c>
      <c r="G167" s="1556">
        <f t="shared" si="159"/>
        <v>0</v>
      </c>
      <c r="H167" s="1551">
        <f>H32</f>
        <v>71.390999999999991</v>
      </c>
      <c r="I167" s="1551">
        <f t="shared" ref="I167:M169" si="160">I32</f>
        <v>2.08</v>
      </c>
      <c r="J167" s="1551">
        <f t="shared" si="160"/>
        <v>39.499000000000002</v>
      </c>
      <c r="K167" s="1551">
        <f t="shared" si="160"/>
        <v>18.745999999999995</v>
      </c>
      <c r="L167" s="1551">
        <f t="shared" si="160"/>
        <v>52.716999999999999</v>
      </c>
      <c r="M167" s="1551">
        <f t="shared" si="160"/>
        <v>82.279000000000011</v>
      </c>
      <c r="N167" s="1551">
        <f t="shared" si="152"/>
        <v>8.3730000000000011</v>
      </c>
      <c r="O167" s="1551">
        <f t="shared" si="152"/>
        <v>8.202</v>
      </c>
      <c r="P167" s="1551">
        <f t="shared" ref="P167" si="161">P32</f>
        <v>7.411999999999999</v>
      </c>
      <c r="Q167" s="1551">
        <f>Q32</f>
        <v>0</v>
      </c>
      <c r="R167" s="1551">
        <f t="shared" si="157"/>
        <v>0</v>
      </c>
      <c r="S167" s="1551">
        <f t="shared" si="157"/>
        <v>0</v>
      </c>
      <c r="T167" s="1551">
        <f t="shared" si="157"/>
        <v>0</v>
      </c>
      <c r="U167" s="1551">
        <f t="shared" ref="U167" si="162">U32</f>
        <v>0</v>
      </c>
    </row>
    <row r="168" spans="1:21" hidden="1" outlineLevel="2">
      <c r="A168" s="1554" t="str">
        <f t="shared" si="150"/>
        <v>+Advisory Fees /other</v>
      </c>
      <c r="B168" s="1554">
        <f t="shared" ref="B168:G170" si="163">B99</f>
        <v>0</v>
      </c>
      <c r="C168" s="1556">
        <f t="shared" si="163"/>
        <v>0</v>
      </c>
      <c r="D168" s="1556">
        <f t="shared" si="163"/>
        <v>0</v>
      </c>
      <c r="E168" s="1556">
        <f t="shared" si="163"/>
        <v>0</v>
      </c>
      <c r="F168" s="1556">
        <f t="shared" si="163"/>
        <v>0</v>
      </c>
      <c r="G168" s="1556">
        <f t="shared" si="163"/>
        <v>0</v>
      </c>
      <c r="H168" s="1551">
        <f>H33</f>
        <v>4.1980000000000004</v>
      </c>
      <c r="I168" s="1551">
        <f t="shared" si="160"/>
        <v>4.2889999999999997</v>
      </c>
      <c r="J168" s="1551">
        <f t="shared" si="160"/>
        <v>4.2850000000000001</v>
      </c>
      <c r="K168" s="1551">
        <f t="shared" si="160"/>
        <v>4.2910000000000004</v>
      </c>
      <c r="L168" s="1551">
        <f t="shared" si="160"/>
        <v>2.91</v>
      </c>
      <c r="M168" s="1551">
        <f t="shared" si="160"/>
        <v>0.185</v>
      </c>
      <c r="N168" s="1551">
        <f t="shared" si="152"/>
        <v>5.7059999999999995</v>
      </c>
      <c r="O168" s="1551">
        <f t="shared" si="152"/>
        <v>3.4569999999999999</v>
      </c>
      <c r="P168" s="1551">
        <f t="shared" ref="P168" si="164">P33</f>
        <v>0</v>
      </c>
      <c r="Q168" s="1551">
        <f>Q33</f>
        <v>0</v>
      </c>
      <c r="R168" s="1551">
        <f t="shared" si="157"/>
        <v>0</v>
      </c>
      <c r="S168" s="1551">
        <f t="shared" si="157"/>
        <v>0</v>
      </c>
      <c r="T168" s="1551">
        <f t="shared" si="157"/>
        <v>0</v>
      </c>
      <c r="U168" s="1551">
        <f t="shared" ref="U168" si="165">U33</f>
        <v>0</v>
      </c>
    </row>
    <row r="169" spans="1:21" hidden="1" outlineLevel="2">
      <c r="A169" s="1554" t="str">
        <f t="shared" si="150"/>
        <v>+Tax Adjustment</v>
      </c>
      <c r="B169" s="1554">
        <f t="shared" si="163"/>
        <v>0</v>
      </c>
      <c r="C169" s="1556">
        <f t="shared" si="163"/>
        <v>0</v>
      </c>
      <c r="D169" s="1556">
        <f t="shared" si="163"/>
        <v>0</v>
      </c>
      <c r="E169" s="1556">
        <f t="shared" si="163"/>
        <v>0</v>
      </c>
      <c r="F169" s="1556">
        <f t="shared" si="163"/>
        <v>0</v>
      </c>
      <c r="G169" s="1556">
        <f t="shared" si="163"/>
        <v>0</v>
      </c>
      <c r="H169" s="1551">
        <f>H34</f>
        <v>-26.456149999999994</v>
      </c>
      <c r="I169" s="1551">
        <f t="shared" si="160"/>
        <v>-2.2291499999999997</v>
      </c>
      <c r="J169" s="1551">
        <f t="shared" si="160"/>
        <v>-15.324399999999999</v>
      </c>
      <c r="K169" s="1551">
        <f t="shared" si="160"/>
        <v>-19.133000000000003</v>
      </c>
      <c r="L169" s="1551">
        <f t="shared" si="160"/>
        <v>-30.858999999999998</v>
      </c>
      <c r="M169" s="1551">
        <f t="shared" si="160"/>
        <v>-45.081999999999994</v>
      </c>
      <c r="N169" s="1551">
        <f t="shared" si="152"/>
        <v>-14.117999999999999</v>
      </c>
      <c r="O169" s="1551">
        <f t="shared" si="152"/>
        <v>-19.094000000000001</v>
      </c>
      <c r="P169" s="1551">
        <f t="shared" ref="P169" si="166">P34</f>
        <v>-9.9220000000000006</v>
      </c>
      <c r="Q169" s="1551">
        <f>Q34</f>
        <v>-5.0136000000000003</v>
      </c>
      <c r="R169" s="1551">
        <f t="shared" si="157"/>
        <v>-4.756588471319863</v>
      </c>
      <c r="S169" s="1551">
        <f t="shared" si="157"/>
        <v>-4.4494234919120439</v>
      </c>
      <c r="T169" s="1551">
        <f t="shared" si="157"/>
        <v>-4.3320610686926706</v>
      </c>
      <c r="U169" s="1551">
        <f t="shared" ref="U169" si="167">U34</f>
        <v>-4.0288167938841832</v>
      </c>
    </row>
    <row r="170" spans="1:21" hidden="1" outlineLevel="2">
      <c r="A170" s="1554" t="str">
        <f t="shared" si="150"/>
        <v>Adjusted Net Income from Operations</v>
      </c>
      <c r="B170" s="1554">
        <f t="shared" si="163"/>
        <v>0</v>
      </c>
      <c r="C170" s="1556">
        <f t="shared" si="163"/>
        <v>0</v>
      </c>
      <c r="D170" s="1556">
        <f t="shared" si="163"/>
        <v>0</v>
      </c>
      <c r="E170" s="1556">
        <f t="shared" si="163"/>
        <v>0</v>
      </c>
      <c r="F170" s="1556">
        <f t="shared" si="163"/>
        <v>0</v>
      </c>
      <c r="G170" s="1556">
        <f t="shared" si="163"/>
        <v>0</v>
      </c>
      <c r="H170" s="1551" t="str">
        <f t="shared" ref="H170:M170" si="168">H104</f>
        <v>N/A</v>
      </c>
      <c r="I170" s="1551" t="str">
        <f t="shared" si="168"/>
        <v>N/A</v>
      </c>
      <c r="J170" s="1551" t="str">
        <f t="shared" si="168"/>
        <v>N/A</v>
      </c>
      <c r="K170" s="1551">
        <f t="shared" si="168"/>
        <v>0.88301218951442884</v>
      </c>
      <c r="L170" s="1551">
        <f t="shared" si="168"/>
        <v>0.94583158952737834</v>
      </c>
      <c r="M170" s="1551">
        <f t="shared" si="168"/>
        <v>1.8266045274930645</v>
      </c>
      <c r="N170" s="1551">
        <f>N104</f>
        <v>2.3139853929456695</v>
      </c>
      <c r="O170" s="1551">
        <f>O104</f>
        <v>3.2384657213368402</v>
      </c>
      <c r="P170" s="1551">
        <f>P104</f>
        <v>4.4457012007739527</v>
      </c>
      <c r="Q170" s="1551">
        <f t="shared" ref="Q170:U170" si="169">Q165+Q166+Q167+Q168+Q169</f>
        <v>344.32933701527929</v>
      </c>
      <c r="R170" s="1551">
        <f t="shared" si="169"/>
        <v>381.6495469434812</v>
      </c>
      <c r="S170" s="1551">
        <f t="shared" si="169"/>
        <v>406.5390053626121</v>
      </c>
      <c r="T170" s="1551">
        <f t="shared" si="169"/>
        <v>439.07282025562785</v>
      </c>
      <c r="U170" s="1551">
        <f t="shared" si="169"/>
        <v>472.27866813309703</v>
      </c>
    </row>
    <row r="171" spans="1:21" hidden="1" outlineLevel="1" collapsed="1">
      <c r="A171" s="1554"/>
      <c r="B171" s="1554"/>
      <c r="C171" s="1556"/>
      <c r="D171" s="1556"/>
      <c r="E171" s="1556"/>
      <c r="F171" s="1556"/>
      <c r="G171" s="1556"/>
      <c r="H171" s="1553"/>
      <c r="I171" s="1553"/>
      <c r="J171" s="1553"/>
      <c r="K171" s="1553"/>
      <c r="L171" s="1553"/>
      <c r="M171" s="1553"/>
      <c r="N171" s="1553"/>
      <c r="O171" s="1553"/>
      <c r="P171" s="1553"/>
      <c r="Q171" s="1553"/>
      <c r="R171" s="1553"/>
      <c r="S171" s="1553"/>
      <c r="T171" s="1553"/>
      <c r="U171" s="1553"/>
    </row>
    <row r="172" spans="1:21" collapsed="1">
      <c r="A172" s="1554"/>
      <c r="B172" s="1554">
        <f t="shared" ref="B172:G175" si="170">B103</f>
        <v>0</v>
      </c>
      <c r="C172" s="1556">
        <f t="shared" si="170"/>
        <v>0</v>
      </c>
      <c r="D172" s="1556">
        <f t="shared" si="170"/>
        <v>0</v>
      </c>
      <c r="E172" s="1556">
        <f t="shared" si="170"/>
        <v>0</v>
      </c>
      <c r="F172" s="1556">
        <f t="shared" si="170"/>
        <v>0</v>
      </c>
      <c r="G172" s="1556">
        <f t="shared" si="170"/>
        <v>0</v>
      </c>
      <c r="H172" s="1556"/>
      <c r="I172" s="1556"/>
      <c r="J172" s="1556"/>
      <c r="K172" s="1556"/>
      <c r="L172" s="1556"/>
      <c r="M172" s="1556"/>
      <c r="N172" s="1556"/>
      <c r="O172" s="1556"/>
      <c r="P172" s="1556"/>
      <c r="Q172" s="2045">
        <f>Q173/P173-1</f>
        <v>0.14093245424546685</v>
      </c>
      <c r="R172" s="2045">
        <f>R173/Q173-1</f>
        <v>0.13311360810318851</v>
      </c>
      <c r="S172" s="2045">
        <f>S173/R173-1</f>
        <v>8.8635836186976125E-2</v>
      </c>
      <c r="T172" s="2045">
        <f>T173/S173-1</f>
        <v>0.10265356193342634</v>
      </c>
      <c r="U172" s="2045">
        <f>U173/T173-1</f>
        <v>7.5627199739070061E-2</v>
      </c>
    </row>
    <row r="173" spans="1:21">
      <c r="A173" s="1567" t="str">
        <f>A104</f>
        <v>Adjusted EPS</v>
      </c>
      <c r="B173" s="1567">
        <f t="shared" si="170"/>
        <v>0</v>
      </c>
      <c r="C173" s="1567">
        <f t="shared" si="170"/>
        <v>0</v>
      </c>
      <c r="D173" s="1567">
        <f t="shared" si="170"/>
        <v>0</v>
      </c>
      <c r="E173" s="1567">
        <f t="shared" si="170"/>
        <v>0</v>
      </c>
      <c r="F173" s="1567">
        <f t="shared" si="170"/>
        <v>0</v>
      </c>
      <c r="G173" s="1567">
        <f t="shared" si="170"/>
        <v>0</v>
      </c>
      <c r="H173" s="1568" t="str">
        <f t="shared" ref="H173:M173" si="171">H38</f>
        <v>N/A</v>
      </c>
      <c r="I173" s="1568" t="str">
        <f t="shared" si="171"/>
        <v>N/A</v>
      </c>
      <c r="J173" s="1568" t="str">
        <f t="shared" si="171"/>
        <v>N/A</v>
      </c>
      <c r="K173" s="1568">
        <f t="shared" si="171"/>
        <v>0.88301218951442884</v>
      </c>
      <c r="L173" s="1568">
        <f t="shared" si="171"/>
        <v>0.94583158952737834</v>
      </c>
      <c r="M173" s="1568">
        <f t="shared" si="171"/>
        <v>1.8266045274930645</v>
      </c>
      <c r="N173" s="1568">
        <f>N38</f>
        <v>2.3139853929456695</v>
      </c>
      <c r="O173" s="1568">
        <f>O38</f>
        <v>3.2384657213368402</v>
      </c>
      <c r="P173" s="1568">
        <f>P38</f>
        <v>4.4457012007739527</v>
      </c>
      <c r="Q173" s="1568">
        <f t="shared" ref="Q173:U173" si="172">Q170/Q175</f>
        <v>5.0722447818410448</v>
      </c>
      <c r="R173" s="1568">
        <f t="shared" si="172"/>
        <v>5.7474295859344764</v>
      </c>
      <c r="S173" s="1568">
        <f t="shared" si="172"/>
        <v>6.2568578132095443</v>
      </c>
      <c r="T173" s="1568">
        <f t="shared" si="172"/>
        <v>6.8991465542464923</v>
      </c>
      <c r="U173" s="1568">
        <f t="shared" si="172"/>
        <v>7.4209096887336088</v>
      </c>
    </row>
    <row r="174" spans="1:21">
      <c r="A174" s="1554"/>
      <c r="B174" s="1554">
        <f t="shared" si="170"/>
        <v>0</v>
      </c>
      <c r="C174" s="1556">
        <f t="shared" si="170"/>
        <v>0</v>
      </c>
      <c r="D174" s="1556">
        <f t="shared" si="170"/>
        <v>0</v>
      </c>
      <c r="E174" s="1556">
        <f t="shared" si="170"/>
        <v>0</v>
      </c>
      <c r="F174" s="1556">
        <f t="shared" si="170"/>
        <v>0</v>
      </c>
      <c r="G174" s="1556">
        <f t="shared" si="170"/>
        <v>0</v>
      </c>
      <c r="H174" s="1558"/>
      <c r="I174" s="1558"/>
      <c r="J174" s="1558"/>
      <c r="K174" s="1558"/>
      <c r="L174" s="1553"/>
      <c r="M174" s="1553"/>
      <c r="N174" s="1553"/>
      <c r="O174" s="1553"/>
      <c r="P174" s="1553"/>
      <c r="Q174" s="1553">
        <f t="shared" ref="Q174:U174" si="173">Q173/P173-1</f>
        <v>0.14093245424546685</v>
      </c>
      <c r="R174" s="1553">
        <f t="shared" si="173"/>
        <v>0.13311360810318851</v>
      </c>
      <c r="S174" s="1553">
        <f t="shared" si="173"/>
        <v>8.8635836186976125E-2</v>
      </c>
      <c r="T174" s="1553">
        <f t="shared" si="173"/>
        <v>0.10265356193342634</v>
      </c>
      <c r="U174" s="1553">
        <f t="shared" si="173"/>
        <v>7.5627199739070061E-2</v>
      </c>
    </row>
    <row r="175" spans="1:21" ht="10.5" customHeight="1">
      <c r="A175" s="1554" t="str">
        <f>A106</f>
        <v>Average Diluted Shares</v>
      </c>
      <c r="B175" s="1554">
        <f t="shared" si="170"/>
        <v>0</v>
      </c>
      <c r="C175" s="1556">
        <f t="shared" si="170"/>
        <v>0</v>
      </c>
      <c r="D175" s="1556">
        <f t="shared" si="170"/>
        <v>0</v>
      </c>
      <c r="E175" s="1556">
        <f t="shared" si="170"/>
        <v>0</v>
      </c>
      <c r="F175" s="1556">
        <f t="shared" si="170"/>
        <v>0</v>
      </c>
      <c r="G175" s="1556">
        <f t="shared" si="170"/>
        <v>0</v>
      </c>
      <c r="H175" s="1558" t="str">
        <f>H106</f>
        <v>N/A</v>
      </c>
      <c r="I175" s="1558" t="str">
        <f>I106</f>
        <v>N/A</v>
      </c>
      <c r="J175" s="1558" t="str">
        <f>J106</f>
        <v>N/A</v>
      </c>
      <c r="K175" s="1551">
        <f>K40</f>
        <v>71.508025000000004</v>
      </c>
      <c r="L175" s="1551">
        <f t="shared" ref="L175:Q175" si="174">L40</f>
        <v>74.258713999999998</v>
      </c>
      <c r="M175" s="1551">
        <f t="shared" si="174"/>
        <v>75.864999999999995</v>
      </c>
      <c r="N175" s="1551">
        <f>N40</f>
        <v>75.442999999999998</v>
      </c>
      <c r="O175" s="1551">
        <f>O40</f>
        <v>71.721000000000004</v>
      </c>
      <c r="P175" s="1551">
        <f>P40</f>
        <v>70.287999999999997</v>
      </c>
      <c r="Q175" s="1551">
        <f t="shared" si="174"/>
        <v>67.884999999999991</v>
      </c>
      <c r="R175" s="1551">
        <f>R40</f>
        <v>66.40351851851851</v>
      </c>
      <c r="S175" s="1551">
        <f>S40</f>
        <v>64.974947089947079</v>
      </c>
      <c r="T175" s="1551">
        <f>T40</f>
        <v>63.641613756613744</v>
      </c>
      <c r="U175" s="1551">
        <f>U40</f>
        <v>63.641613756613744</v>
      </c>
    </row>
    <row r="176" spans="1:21" hidden="1" outlineLevel="1">
      <c r="A176" s="1554"/>
      <c r="B176" s="1554"/>
      <c r="C176" s="1556"/>
      <c r="D176" s="1556"/>
      <c r="E176" s="1556"/>
      <c r="F176" s="1556"/>
      <c r="G176" s="1556"/>
      <c r="H176" s="1558"/>
      <c r="I176" s="1558"/>
      <c r="J176" s="1558"/>
      <c r="K176" s="1551"/>
      <c r="L176" s="1551"/>
      <c r="M176" s="1551"/>
      <c r="N176" s="1551"/>
      <c r="O176" s="1551"/>
      <c r="P176" s="1551"/>
      <c r="Q176" s="1551"/>
      <c r="R176" s="1551"/>
      <c r="S176" s="1551"/>
      <c r="T176" s="1551"/>
      <c r="U176" s="1551"/>
    </row>
    <row r="177" spans="1:24" hidden="1" outlineLevel="1">
      <c r="A177" s="40" t="s">
        <v>855</v>
      </c>
      <c r="B177" s="40">
        <f t="shared" ref="B177:G177" si="175">B107</f>
        <v>0</v>
      </c>
      <c r="C177" s="42">
        <f t="shared" si="175"/>
        <v>0</v>
      </c>
      <c r="D177" s="42">
        <f t="shared" si="175"/>
        <v>0</v>
      </c>
      <c r="E177" s="42">
        <f t="shared" si="175"/>
        <v>0</v>
      </c>
      <c r="F177" s="42">
        <f t="shared" si="175"/>
        <v>0</v>
      </c>
      <c r="G177" s="42">
        <f t="shared" si="175"/>
        <v>0</v>
      </c>
      <c r="H177" s="1566">
        <f t="shared" ref="H177:M177" si="176">H42</f>
        <v>39.468619947577345</v>
      </c>
      <c r="I177" s="1566">
        <f t="shared" si="176"/>
        <v>152.43583366097994</v>
      </c>
      <c r="J177" s="1566">
        <f t="shared" si="176"/>
        <v>118.2256199582061</v>
      </c>
      <c r="K177" s="1566">
        <f t="shared" si="176"/>
        <v>143.57870799710253</v>
      </c>
      <c r="L177" s="1566">
        <f t="shared" si="176"/>
        <v>160.08923749887896</v>
      </c>
      <c r="M177" s="1566">
        <f t="shared" si="176"/>
        <v>198.0593524782613</v>
      </c>
      <c r="N177" s="1566">
        <f t="shared" ref="N177:T177" si="177">N151</f>
        <v>297.87400000000008</v>
      </c>
      <c r="O177" s="1566">
        <f>O151</f>
        <v>389.37299999999948</v>
      </c>
      <c r="P177" s="1566">
        <f>P151</f>
        <v>487.75699999999972</v>
      </c>
      <c r="Q177" s="1566">
        <f t="shared" si="177"/>
        <v>489.45984762091842</v>
      </c>
      <c r="R177" s="1566">
        <f t="shared" si="177"/>
        <v>533.79165126609109</v>
      </c>
      <c r="S177" s="1566">
        <f t="shared" si="177"/>
        <v>562.64119652155614</v>
      </c>
      <c r="T177" s="1566">
        <f t="shared" si="177"/>
        <v>600.67891550348361</v>
      </c>
      <c r="U177" s="1566">
        <f t="shared" ref="U177" si="178">U151</f>
        <v>640.38566322904933</v>
      </c>
    </row>
    <row r="178" spans="1:24" hidden="1" outlineLevel="1">
      <c r="A178" s="1554" t="str">
        <f t="shared" ref="A178:G179" si="179">A109</f>
        <v xml:space="preserve">+Non GAAP Adjustments </v>
      </c>
      <c r="B178" s="1554">
        <f t="shared" si="179"/>
        <v>0</v>
      </c>
      <c r="C178" s="1556">
        <f t="shared" si="179"/>
        <v>0</v>
      </c>
      <c r="D178" s="1556">
        <f t="shared" si="179"/>
        <v>0</v>
      </c>
      <c r="E178" s="1556">
        <f t="shared" si="179"/>
        <v>0</v>
      </c>
      <c r="F178" s="1556">
        <f t="shared" si="179"/>
        <v>0</v>
      </c>
      <c r="G178" s="1556">
        <f t="shared" si="179"/>
        <v>0</v>
      </c>
      <c r="H178" s="1551">
        <f>H43</f>
        <v>75.286000000000001</v>
      </c>
      <c r="I178" s="1551">
        <f t="shared" ref="I178:Q178" si="180">I109</f>
        <v>5.9849999999999994</v>
      </c>
      <c r="J178" s="1551">
        <f t="shared" si="180"/>
        <v>43.702000000000005</v>
      </c>
      <c r="K178" s="1551">
        <f t="shared" si="180"/>
        <v>22.894999999999996</v>
      </c>
      <c r="L178" s="1551">
        <f t="shared" si="180"/>
        <v>55.404999999999994</v>
      </c>
      <c r="M178" s="1551">
        <f t="shared" si="180"/>
        <v>82.425000000000011</v>
      </c>
      <c r="N178" s="1551">
        <f t="shared" si="180"/>
        <v>13.985000000000001</v>
      </c>
      <c r="O178" s="1551">
        <f>O109</f>
        <v>11.645</v>
      </c>
      <c r="P178" s="1551">
        <f>P109</f>
        <v>7.3629999999999987</v>
      </c>
      <c r="Q178" s="1551">
        <f t="shared" si="180"/>
        <v>-4.9000000000000002E-2</v>
      </c>
      <c r="R178" s="1551">
        <f>R109</f>
        <v>-4.9000000000000002E-2</v>
      </c>
      <c r="S178" s="1551">
        <f>S109</f>
        <v>-4.9000000000000002E-2</v>
      </c>
      <c r="T178" s="1551">
        <f>T109</f>
        <v>-4.9000000000000002E-2</v>
      </c>
      <c r="U178" s="1551">
        <f>U109</f>
        <v>-4.9000000000000002E-2</v>
      </c>
    </row>
    <row r="179" spans="1:24" hidden="1" outlineLevel="1">
      <c r="A179" s="1554" t="str">
        <f t="shared" si="179"/>
        <v>Adjusted Operating Income</v>
      </c>
      <c r="B179" s="1554">
        <f t="shared" si="179"/>
        <v>0</v>
      </c>
      <c r="C179" s="1556">
        <f t="shared" si="179"/>
        <v>0</v>
      </c>
      <c r="D179" s="1556">
        <f t="shared" si="179"/>
        <v>0</v>
      </c>
      <c r="E179" s="1556">
        <f t="shared" si="179"/>
        <v>0</v>
      </c>
      <c r="F179" s="1556">
        <f t="shared" si="179"/>
        <v>0</v>
      </c>
      <c r="G179" s="1556">
        <f t="shared" si="179"/>
        <v>0</v>
      </c>
      <c r="H179" s="1560">
        <f t="shared" ref="H179:M180" si="181">H110</f>
        <v>114.75461994757734</v>
      </c>
      <c r="I179" s="1560">
        <f t="shared" si="181"/>
        <v>158.42083366097995</v>
      </c>
      <c r="J179" s="1560">
        <f t="shared" si="181"/>
        <v>161.92761995820609</v>
      </c>
      <c r="K179" s="1560">
        <f t="shared" si="181"/>
        <v>166.47370799710251</v>
      </c>
      <c r="L179" s="1560">
        <f t="shared" si="181"/>
        <v>215.49423749887896</v>
      </c>
      <c r="M179" s="1560">
        <f t="shared" si="181"/>
        <v>280.48435247826131</v>
      </c>
      <c r="N179" s="1560">
        <f t="shared" ref="N179:T179" si="182">N177+N178</f>
        <v>311.85900000000009</v>
      </c>
      <c r="O179" s="1560">
        <f>O177+O178</f>
        <v>401.01799999999946</v>
      </c>
      <c r="P179" s="1560">
        <f>P177+P178</f>
        <v>495.11999999999972</v>
      </c>
      <c r="Q179" s="1560">
        <f t="shared" si="182"/>
        <v>489.41084762091845</v>
      </c>
      <c r="R179" s="1560">
        <f t="shared" si="182"/>
        <v>533.74265126609112</v>
      </c>
      <c r="S179" s="1560">
        <f t="shared" si="182"/>
        <v>562.59219652155616</v>
      </c>
      <c r="T179" s="1560">
        <f t="shared" si="182"/>
        <v>600.62991550348363</v>
      </c>
      <c r="U179" s="1560">
        <f t="shared" ref="U179" si="183">U177+U178</f>
        <v>640.33666322904935</v>
      </c>
    </row>
    <row r="180" spans="1:24" hidden="1" outlineLevel="1">
      <c r="A180" s="1554"/>
      <c r="B180" s="1554">
        <f t="shared" ref="B180:G182" si="184">B111</f>
        <v>0</v>
      </c>
      <c r="C180" s="1556">
        <f t="shared" si="184"/>
        <v>0</v>
      </c>
      <c r="D180" s="1556">
        <f t="shared" si="184"/>
        <v>0</v>
      </c>
      <c r="E180" s="1556">
        <f t="shared" si="184"/>
        <v>0</v>
      </c>
      <c r="F180" s="1556">
        <f t="shared" si="184"/>
        <v>0</v>
      </c>
      <c r="G180" s="1556">
        <f t="shared" si="184"/>
        <v>0</v>
      </c>
      <c r="H180" s="1553">
        <f t="shared" si="181"/>
        <v>0</v>
      </c>
      <c r="I180" s="1553">
        <f t="shared" si="181"/>
        <v>0</v>
      </c>
      <c r="J180" s="1553">
        <f t="shared" si="181"/>
        <v>0</v>
      </c>
      <c r="K180" s="1553">
        <f t="shared" si="181"/>
        <v>0</v>
      </c>
      <c r="L180" s="1553">
        <f t="shared" si="181"/>
        <v>0</v>
      </c>
      <c r="M180" s="1553">
        <f t="shared" si="181"/>
        <v>0</v>
      </c>
      <c r="N180" s="1553"/>
      <c r="O180" s="1553"/>
      <c r="P180" s="1553"/>
      <c r="Q180" s="1553"/>
      <c r="R180" s="1553"/>
      <c r="S180" s="1553"/>
      <c r="T180" s="1553"/>
      <c r="U180" s="1553"/>
    </row>
    <row r="181" spans="1:24" hidden="1" outlineLevel="1">
      <c r="A181" s="1554" t="str">
        <f>A112</f>
        <v>+Depreciation &amp; Amortization</v>
      </c>
      <c r="B181" s="1554">
        <f t="shared" si="184"/>
        <v>0</v>
      </c>
      <c r="C181" s="1556">
        <f t="shared" si="184"/>
        <v>0</v>
      </c>
      <c r="D181" s="1556">
        <f t="shared" si="184"/>
        <v>0</v>
      </c>
      <c r="E181" s="1556">
        <f t="shared" si="184"/>
        <v>0</v>
      </c>
      <c r="F181" s="1556">
        <f t="shared" si="184"/>
        <v>0</v>
      </c>
      <c r="G181" s="1556">
        <f t="shared" si="184"/>
        <v>0</v>
      </c>
      <c r="H181" s="1559">
        <f t="shared" ref="H181:M181" si="185">H46</f>
        <v>156.38800000000001</v>
      </c>
      <c r="I181" s="1559">
        <f t="shared" si="185"/>
        <v>146.75899999999999</v>
      </c>
      <c r="J181" s="1559">
        <f t="shared" si="185"/>
        <v>153.07</v>
      </c>
      <c r="K181" s="1559">
        <f t="shared" si="185"/>
        <v>166.79874882999997</v>
      </c>
      <c r="L181" s="1559">
        <f t="shared" si="185"/>
        <v>168.19400000000002</v>
      </c>
      <c r="M181" s="1559">
        <f t="shared" si="185"/>
        <v>167.58</v>
      </c>
      <c r="N181" s="1559">
        <f t="shared" ref="N181:T181" si="186">N148</f>
        <v>172.09900000000002</v>
      </c>
      <c r="O181" s="1559">
        <f>O148</f>
        <v>183.58600000000001</v>
      </c>
      <c r="P181" s="1559">
        <f>P148</f>
        <v>201.10300000000001</v>
      </c>
      <c r="Q181" s="1559">
        <f t="shared" si="186"/>
        <v>220.93338288582191</v>
      </c>
      <c r="R181" s="1559">
        <f t="shared" si="186"/>
        <v>237.7322342324407</v>
      </c>
      <c r="S181" s="1559">
        <f t="shared" si="186"/>
        <v>254.78770620825432</v>
      </c>
      <c r="T181" s="1559">
        <f t="shared" si="186"/>
        <v>272.0929038764092</v>
      </c>
      <c r="U181" s="1559">
        <f t="shared" ref="U181" si="187">U148</f>
        <v>289.64164689534721</v>
      </c>
    </row>
    <row r="182" spans="1:24" hidden="1" outlineLevel="1">
      <c r="A182" s="1557" t="str">
        <f>A113</f>
        <v>Adjusted EBITDA</v>
      </c>
      <c r="B182" s="1557">
        <f t="shared" si="184"/>
        <v>0</v>
      </c>
      <c r="C182" s="1557">
        <f t="shared" si="184"/>
        <v>0</v>
      </c>
      <c r="D182" s="1557">
        <f t="shared" si="184"/>
        <v>0</v>
      </c>
      <c r="E182" s="1557">
        <f t="shared" si="184"/>
        <v>0</v>
      </c>
      <c r="F182" s="1557">
        <f t="shared" si="184"/>
        <v>0</v>
      </c>
      <c r="G182" s="1557">
        <f t="shared" si="184"/>
        <v>0</v>
      </c>
      <c r="H182" s="1561">
        <f t="shared" ref="H182:M182" si="188">H113</f>
        <v>271.14261994757737</v>
      </c>
      <c r="I182" s="1561">
        <f t="shared" si="188"/>
        <v>305.17983366097997</v>
      </c>
      <c r="J182" s="1561">
        <f t="shared" si="188"/>
        <v>314.99761995820609</v>
      </c>
      <c r="K182" s="1561">
        <f t="shared" si="188"/>
        <v>333.27245682710247</v>
      </c>
      <c r="L182" s="1561">
        <f t="shared" si="188"/>
        <v>383.68823749887895</v>
      </c>
      <c r="M182" s="1561">
        <f t="shared" si="188"/>
        <v>448.0643524782613</v>
      </c>
      <c r="N182" s="1561">
        <f t="shared" ref="N182:T182" si="189">N179+N181</f>
        <v>483.95800000000008</v>
      </c>
      <c r="O182" s="1561">
        <f>O179+O181</f>
        <v>584.60399999999947</v>
      </c>
      <c r="P182" s="1561">
        <f>P179+P181</f>
        <v>696.22299999999973</v>
      </c>
      <c r="Q182" s="1562">
        <f t="shared" si="189"/>
        <v>710.34423050674036</v>
      </c>
      <c r="R182" s="1562">
        <f t="shared" si="189"/>
        <v>771.47488549853188</v>
      </c>
      <c r="S182" s="1562">
        <f t="shared" si="189"/>
        <v>817.37990272981051</v>
      </c>
      <c r="T182" s="1562">
        <f t="shared" si="189"/>
        <v>872.72281937989283</v>
      </c>
      <c r="U182" s="1562">
        <f t="shared" ref="U182" si="190">U179+U181</f>
        <v>929.97831012439656</v>
      </c>
    </row>
    <row r="183" spans="1:24" collapsed="1">
      <c r="C183" s="26"/>
      <c r="D183" s="26"/>
      <c r="E183" s="26"/>
      <c r="F183" s="26"/>
      <c r="G183" s="26"/>
      <c r="H183" s="26"/>
      <c r="I183" s="26"/>
      <c r="J183" s="26"/>
      <c r="K183" s="26"/>
      <c r="L183" s="26"/>
      <c r="M183" s="26"/>
      <c r="N183" s="26"/>
      <c r="O183" s="26"/>
      <c r="P183" s="26"/>
      <c r="Q183" s="28">
        <f t="shared" ref="Q183:U183" si="191">Q146/P146-1</f>
        <v>6.9017225321234221E-2</v>
      </c>
      <c r="R183" s="28">
        <f t="shared" si="191"/>
        <v>7.8940725254418531E-2</v>
      </c>
      <c r="S183" s="28">
        <f t="shared" si="191"/>
        <v>7.7805421966837374E-2</v>
      </c>
      <c r="T183" s="28">
        <f t="shared" si="191"/>
        <v>7.1190172732963131E-2</v>
      </c>
      <c r="U183" s="28">
        <f t="shared" si="191"/>
        <v>6.9490712791320686E-2</v>
      </c>
    </row>
    <row r="184" spans="1:24">
      <c r="C184" s="24"/>
      <c r="D184" s="24"/>
      <c r="E184" s="24"/>
      <c r="F184" s="24"/>
      <c r="G184" s="24"/>
      <c r="H184" s="24"/>
      <c r="I184" s="24"/>
      <c r="J184" s="24"/>
      <c r="K184" s="24"/>
      <c r="L184" s="24"/>
      <c r="M184" s="24"/>
      <c r="N184" s="24"/>
      <c r="O184" s="24"/>
      <c r="P184" s="24"/>
      <c r="Q184" s="24"/>
      <c r="R184" s="24"/>
      <c r="S184" s="24"/>
      <c r="T184" s="24"/>
      <c r="U184" s="24"/>
    </row>
    <row r="185" spans="1:24">
      <c r="A185" s="15" t="s">
        <v>203</v>
      </c>
      <c r="C185" s="24"/>
      <c r="D185" s="24"/>
      <c r="E185" s="24"/>
      <c r="F185" s="24"/>
      <c r="G185" s="24"/>
      <c r="H185" s="24"/>
      <c r="I185" s="24"/>
      <c r="J185" s="24"/>
      <c r="K185" s="24"/>
      <c r="L185" s="24"/>
      <c r="M185" s="24"/>
      <c r="N185" s="24"/>
      <c r="O185" s="24"/>
      <c r="P185" s="24"/>
      <c r="Q185" s="24"/>
      <c r="R185" s="24"/>
      <c r="S185" s="24"/>
      <c r="T185" s="24"/>
      <c r="U185" s="24"/>
      <c r="X185" s="2050"/>
    </row>
    <row r="186" spans="1:24">
      <c r="A186" s="4" t="s">
        <v>204</v>
      </c>
      <c r="C186" s="28" t="e">
        <f t="shared" ref="C186:M186" si="192">C145/C141</f>
        <v>#DIV/0!</v>
      </c>
      <c r="D186" s="28" t="e">
        <f t="shared" si="192"/>
        <v>#DIV/0!</v>
      </c>
      <c r="E186" s="28" t="e">
        <f t="shared" si="192"/>
        <v>#DIV/0!</v>
      </c>
      <c r="F186" s="28" t="e">
        <f t="shared" si="192"/>
        <v>#DIV/0!</v>
      </c>
      <c r="G186" s="28" t="e">
        <f t="shared" si="192"/>
        <v>#DIV/0!</v>
      </c>
      <c r="H186" s="28">
        <f t="shared" si="192"/>
        <v>0.380709548969972</v>
      </c>
      <c r="I186" s="28">
        <f t="shared" si="192"/>
        <v>0.38621518082887463</v>
      </c>
      <c r="J186" s="28">
        <f t="shared" si="192"/>
        <v>0.38677171058401189</v>
      </c>
      <c r="K186" s="28">
        <f t="shared" si="192"/>
        <v>0.38730639699926162</v>
      </c>
      <c r="L186" s="28">
        <f t="shared" si="192"/>
        <v>0.39108861134594375</v>
      </c>
      <c r="M186" s="28">
        <f t="shared" si="192"/>
        <v>0.39748331292278499</v>
      </c>
      <c r="N186" s="28">
        <f>N145/N141</f>
        <v>0.39994473352458915</v>
      </c>
      <c r="O186" s="28">
        <f>O145/O141</f>
        <v>0.40759064167366443</v>
      </c>
      <c r="P186" s="28">
        <f>P145/P141</f>
        <v>0.41507068636657513</v>
      </c>
      <c r="Q186" s="37">
        <f>Q51-0.007</f>
        <v>0.41237323737577386</v>
      </c>
      <c r="R186" s="37">
        <f>R51-0.0055</f>
        <v>0.41350000000000003</v>
      </c>
      <c r="S186" s="37">
        <f>S51-0.0066</f>
        <v>0.41319999999999996</v>
      </c>
      <c r="T186" s="37">
        <f>T51-0.0072</f>
        <v>0.41329999999999995</v>
      </c>
      <c r="U186" s="37">
        <f>U51-0.007</f>
        <v>0.41400000000000003</v>
      </c>
      <c r="W186" s="2050"/>
      <c r="X186" s="2050"/>
    </row>
    <row r="187" spans="1:24">
      <c r="A187" s="4" t="s">
        <v>205</v>
      </c>
      <c r="C187" s="28" t="e">
        <f t="shared" ref="C187:M187" si="193">C146/C141</f>
        <v>#DIV/0!</v>
      </c>
      <c r="D187" s="28" t="e">
        <f t="shared" si="193"/>
        <v>#DIV/0!</v>
      </c>
      <c r="E187" s="28" t="e">
        <f t="shared" si="193"/>
        <v>#DIV/0!</v>
      </c>
      <c r="F187" s="28" t="e">
        <f t="shared" si="193"/>
        <v>#DIV/0!</v>
      </c>
      <c r="G187" s="28" t="e">
        <f t="shared" si="193"/>
        <v>#DIV/0!</v>
      </c>
      <c r="H187" s="28">
        <f t="shared" si="193"/>
        <v>0.31620414236623434</v>
      </c>
      <c r="I187" s="28">
        <f t="shared" si="193"/>
        <v>0.31518758710072647</v>
      </c>
      <c r="J187" s="28">
        <f t="shared" si="193"/>
        <v>0.3154467384891132</v>
      </c>
      <c r="K187" s="28">
        <f t="shared" si="193"/>
        <v>0.31620391583440183</v>
      </c>
      <c r="L187" s="28">
        <f t="shared" si="193"/>
        <v>0.31435054928251888</v>
      </c>
      <c r="M187" s="28">
        <f t="shared" si="193"/>
        <v>0.31397793002145186</v>
      </c>
      <c r="N187" s="28">
        <f>N146/N141</f>
        <v>0.31334365706387146</v>
      </c>
      <c r="O187" s="28">
        <f>O146/O141</f>
        <v>0.30960101242571469</v>
      </c>
      <c r="P187" s="28">
        <f>P146/P141</f>
        <v>0.30625664158654581</v>
      </c>
      <c r="Q187" s="37">
        <f t="shared" ref="Q187:U187" si="194">Q52+0.002</f>
        <v>0.30810548645515073</v>
      </c>
      <c r="R187" s="37">
        <f t="shared" si="194"/>
        <v>0.30809999999999998</v>
      </c>
      <c r="S187" s="37">
        <f t="shared" si="194"/>
        <v>0.309</v>
      </c>
      <c r="T187" s="37">
        <f t="shared" si="194"/>
        <v>0.30909999999999999</v>
      </c>
      <c r="U187" s="37">
        <f t="shared" si="194"/>
        <v>0.30969999999999998</v>
      </c>
      <c r="W187" s="2046"/>
      <c r="X187" s="2050"/>
    </row>
    <row r="188" spans="1:24">
      <c r="A188" s="4" t="s">
        <v>190</v>
      </c>
      <c r="C188" s="28" t="e">
        <f>#REF!/C141</f>
        <v>#REF!</v>
      </c>
      <c r="D188" s="28" t="e">
        <f>#REF!/D141</f>
        <v>#REF!</v>
      </c>
      <c r="E188" s="28" t="e">
        <f>#REF!/E141</f>
        <v>#REF!</v>
      </c>
      <c r="F188" s="28" t="e">
        <f>#REF!/F141</f>
        <v>#REF!</v>
      </c>
      <c r="G188" s="28" t="e">
        <f>#REF!/G141</f>
        <v>#REF!</v>
      </c>
      <c r="H188" s="28">
        <f t="shared" ref="H188:M188" si="195">H148/H141</f>
        <v>4.4391659858855487E-2</v>
      </c>
      <c r="I188" s="28">
        <f t="shared" si="195"/>
        <v>3.9993165471350844E-2</v>
      </c>
      <c r="J188" s="28">
        <f t="shared" si="195"/>
        <v>3.9715796077666211E-2</v>
      </c>
      <c r="K188" s="28">
        <f t="shared" si="195"/>
        <v>4.0911785830390561E-2</v>
      </c>
      <c r="L188" s="28">
        <f t="shared" si="195"/>
        <v>3.7988455343790854E-2</v>
      </c>
      <c r="M188" s="28">
        <f t="shared" si="195"/>
        <v>3.4807323869707037E-2</v>
      </c>
      <c r="N188" s="28">
        <f>N148/N141</f>
        <v>3.3751970020388586E-2</v>
      </c>
      <c r="O188" s="28">
        <f>O148/O141</f>
        <v>3.2983245892320538E-2</v>
      </c>
      <c r="P188" s="28">
        <f>P148/P141</f>
        <v>3.3050243838464784E-2</v>
      </c>
      <c r="Q188" s="28">
        <f t="shared" ref="Q188:U188" si="196">Q120</f>
        <v>3.4170133384559292E-2</v>
      </c>
      <c r="R188" s="28">
        <f t="shared" si="196"/>
        <v>3.4077528045738326E-2</v>
      </c>
      <c r="S188" s="28">
        <f t="shared" si="196"/>
        <v>3.3984814053303385E-2</v>
      </c>
      <c r="T188" s="28">
        <f t="shared" si="196"/>
        <v>3.3892030657946277E-2</v>
      </c>
      <c r="U188" s="28">
        <f t="shared" si="196"/>
        <v>3.3799211273362079E-2</v>
      </c>
      <c r="W188" s="2050"/>
      <c r="X188" s="2050"/>
    </row>
    <row r="189" spans="1:24" hidden="1" outlineLevel="1">
      <c r="A189" s="4" t="s">
        <v>206</v>
      </c>
      <c r="C189" s="28" t="e">
        <f>#REF!/C141</f>
        <v>#REF!</v>
      </c>
      <c r="D189" s="28" t="e">
        <f>#REF!/D141</f>
        <v>#REF!</v>
      </c>
      <c r="E189" s="28" t="e">
        <f>#REF!/E141</f>
        <v>#REF!</v>
      </c>
      <c r="F189" s="28" t="e">
        <f>#REF!/F141</f>
        <v>#REF!</v>
      </c>
      <c r="G189" s="28" t="e">
        <f>#REF!/G141</f>
        <v>#REF!</v>
      </c>
      <c r="H189" s="28">
        <f>H152/H141</f>
        <v>2.3963968464742542E-2</v>
      </c>
      <c r="I189" s="28">
        <f>I151/I141</f>
        <v>4.154015439848243E-2</v>
      </c>
      <c r="J189" s="28">
        <f t="shared" ref="J189:T189" si="197">J151/J141</f>
        <v>3.067501544009785E-2</v>
      </c>
      <c r="K189" s="28">
        <f t="shared" si="197"/>
        <v>3.5216459311505043E-2</v>
      </c>
      <c r="L189" s="28">
        <f t="shared" si="197"/>
        <v>3.6157906047467152E-2</v>
      </c>
      <c r="M189" s="28">
        <f t="shared" si="197"/>
        <v>4.1138059596224512E-2</v>
      </c>
      <c r="N189" s="28">
        <f t="shared" si="197"/>
        <v>5.8418900271664749E-2</v>
      </c>
      <c r="O189" s="28">
        <f t="shared" si="197"/>
        <v>6.9955145832637053E-2</v>
      </c>
      <c r="P189" s="28">
        <f t="shared" ref="P189" si="198">P151/P141</f>
        <v>8.0160354564168895E-2</v>
      </c>
      <c r="Q189" s="28">
        <f t="shared" si="197"/>
        <v>7.5701136972298383E-2</v>
      </c>
      <c r="R189" s="28">
        <f t="shared" si="197"/>
        <v>7.6515917268567699E-2</v>
      </c>
      <c r="S189" s="28">
        <f t="shared" si="197"/>
        <v>7.5047798526370751E-2</v>
      </c>
      <c r="T189" s="28">
        <f t="shared" si="197"/>
        <v>7.4820871583895332E-2</v>
      </c>
      <c r="U189" s="28">
        <f t="shared" ref="U189" si="199">U151/U141</f>
        <v>7.4728653699898687E-2</v>
      </c>
      <c r="W189" s="2050"/>
      <c r="X189" s="2050"/>
    </row>
    <row r="190" spans="1:24" collapsed="1">
      <c r="A190" s="4" t="s">
        <v>865</v>
      </c>
      <c r="C190" s="28"/>
      <c r="D190" s="28"/>
      <c r="E190" s="28"/>
      <c r="F190" s="28"/>
      <c r="G190" s="28"/>
      <c r="H190" s="28"/>
      <c r="I190" s="28"/>
      <c r="J190" s="28"/>
      <c r="K190" s="28"/>
      <c r="L190" s="28">
        <f t="shared" ref="L190:M190" si="200">L55</f>
        <v>4.8671731560403005E-2</v>
      </c>
      <c r="M190" s="28">
        <f t="shared" si="200"/>
        <v>5.8258203228881172E-2</v>
      </c>
      <c r="N190" s="28">
        <f>N55</f>
        <v>6.1161631494595359E-2</v>
      </c>
      <c r="O190" s="28">
        <f t="shared" ref="O190:P190" si="201">O55</f>
        <v>7.2047298275721358E-2</v>
      </c>
      <c r="P190" s="28">
        <f t="shared" si="201"/>
        <v>8.1370425748500397E-2</v>
      </c>
      <c r="Q190" s="28">
        <f>(Q151+Q150)/Q141</f>
        <v>7.5693558504463548E-2</v>
      </c>
      <c r="R190" s="28">
        <f t="shared" ref="R190:U190" si="202">(R151+R150)/R141</f>
        <v>7.6508893404598932E-2</v>
      </c>
      <c r="S190" s="28">
        <f t="shared" si="202"/>
        <v>7.5041262669859485E-2</v>
      </c>
      <c r="T190" s="28">
        <f t="shared" si="202"/>
        <v>7.4814768118944289E-2</v>
      </c>
      <c r="U190" s="28">
        <f t="shared" si="202"/>
        <v>7.4722935732989756E-2</v>
      </c>
      <c r="W190" s="2050"/>
      <c r="X190" s="2050"/>
    </row>
    <row r="191" spans="1:24">
      <c r="A191" s="4" t="s">
        <v>208</v>
      </c>
      <c r="C191" s="28" t="e">
        <f>#REF!/#REF!</f>
        <v>#REF!</v>
      </c>
      <c r="D191" s="28" t="e">
        <f>#REF!/#REF!</f>
        <v>#REF!</v>
      </c>
      <c r="E191" s="28" t="e">
        <f>#REF!/#REF!</f>
        <v>#REF!</v>
      </c>
      <c r="F191" s="28" t="e">
        <f>#REF!/#REF!</f>
        <v>#REF!</v>
      </c>
      <c r="G191" s="28" t="e">
        <f>#REF!/#REF!</f>
        <v>#REF!</v>
      </c>
      <c r="H191" s="28">
        <f t="shared" ref="H191:P191" si="203">H155/H153</f>
        <v>0.66184874455623977</v>
      </c>
      <c r="I191" s="28">
        <f t="shared" si="203"/>
        <v>0.4165503282431422</v>
      </c>
      <c r="J191" s="28">
        <f t="shared" si="203"/>
        <v>0.38071182318455737</v>
      </c>
      <c r="K191" s="28">
        <f t="shared" si="203"/>
        <v>0.12143530499741843</v>
      </c>
      <c r="L191" s="28">
        <f t="shared" si="203"/>
        <v>0.5010164145027266</v>
      </c>
      <c r="M191" s="28">
        <f t="shared" si="203"/>
        <v>0.34187308201244349</v>
      </c>
      <c r="N191" s="28">
        <f t="shared" si="203"/>
        <v>0.37003608597000914</v>
      </c>
      <c r="O191" s="28">
        <f t="shared" si="203"/>
        <v>0.35214518084582841</v>
      </c>
      <c r="P191" s="28">
        <f t="shared" si="203"/>
        <v>0.32009779943120914</v>
      </c>
      <c r="Q191" s="37">
        <f>Q56</f>
        <v>0.23519523691257235</v>
      </c>
      <c r="R191" s="37">
        <f>R56</f>
        <v>0.23519523691257238</v>
      </c>
      <c r="S191" s="37">
        <f>S56</f>
        <v>0.23519523691257238</v>
      </c>
      <c r="T191" s="37">
        <f>T56</f>
        <v>0.23519523691257238</v>
      </c>
      <c r="U191" s="37">
        <f>U56</f>
        <v>0.23519523691257235</v>
      </c>
      <c r="W191" s="2050"/>
      <c r="X191" s="2050"/>
    </row>
    <row r="192" spans="1:24">
      <c r="C192" s="24"/>
      <c r="D192" s="24"/>
      <c r="E192" s="24"/>
      <c r="F192" s="24"/>
      <c r="G192" s="24"/>
      <c r="H192" s="24"/>
      <c r="I192" s="24"/>
      <c r="J192" s="24"/>
      <c r="K192" s="24"/>
      <c r="L192" s="24"/>
      <c r="M192" s="24"/>
      <c r="N192" s="24"/>
      <c r="O192" s="24"/>
      <c r="P192" s="24"/>
      <c r="Q192" s="24"/>
      <c r="R192" s="24"/>
      <c r="S192" s="24"/>
      <c r="T192" s="24"/>
      <c r="U192" s="24"/>
      <c r="W192" s="2050"/>
    </row>
    <row r="193" spans="1:23">
      <c r="A193" s="15" t="s">
        <v>210</v>
      </c>
      <c r="C193" s="24"/>
      <c r="D193" s="24"/>
      <c r="E193" s="24"/>
      <c r="F193" s="24"/>
      <c r="G193" s="24"/>
      <c r="H193" s="24"/>
      <c r="I193" s="24"/>
      <c r="J193" s="24"/>
      <c r="K193" s="24"/>
      <c r="L193" s="24"/>
      <c r="M193" s="24"/>
      <c r="N193" s="24"/>
      <c r="O193" s="24"/>
      <c r="P193" s="24"/>
      <c r="Q193" s="24"/>
      <c r="R193" s="24"/>
      <c r="S193" s="24"/>
      <c r="T193" s="24"/>
      <c r="U193" s="24"/>
      <c r="W193" s="1588"/>
    </row>
    <row r="194" spans="1:23">
      <c r="A194" s="4" t="s">
        <v>98</v>
      </c>
      <c r="C194" s="29" t="s">
        <v>90</v>
      </c>
      <c r="D194" s="28" t="e">
        <f>((D141/C141)-1)</f>
        <v>#DIV/0!</v>
      </c>
      <c r="E194" s="28" t="e">
        <f>((E141/D141)-1)</f>
        <v>#DIV/0!</v>
      </c>
      <c r="F194" s="28" t="e">
        <f>((F141/E141)-1)</f>
        <v>#DIV/0!</v>
      </c>
      <c r="G194" s="28" t="e">
        <f>((G141/F141)-1)</f>
        <v>#DIV/0!</v>
      </c>
      <c r="H194" s="28"/>
      <c r="I194" s="28">
        <f t="shared" ref="I194:P194" si="204">((I141/H141)-1)</f>
        <v>4.1638257419851943E-2</v>
      </c>
      <c r="J194" s="28">
        <f t="shared" si="204"/>
        <v>5.0286652339954108E-2</v>
      </c>
      <c r="K194" s="28">
        <f t="shared" si="204"/>
        <v>5.7834048081879086E-2</v>
      </c>
      <c r="L194" s="28">
        <f t="shared" si="204"/>
        <v>8.596170996477448E-2</v>
      </c>
      <c r="M194" s="28">
        <f t="shared" si="204"/>
        <v>8.7408410564600469E-2</v>
      </c>
      <c r="N194" s="28">
        <f t="shared" si="204"/>
        <v>5.9077321360621937E-2</v>
      </c>
      <c r="O194" s="28">
        <f t="shared" si="204"/>
        <v>9.1608595682389993E-2</v>
      </c>
      <c r="P194" s="28">
        <f t="shared" si="204"/>
        <v>9.3195195577177259E-2</v>
      </c>
      <c r="Q194" s="28">
        <f t="shared" ref="Q194:U194" si="205">Q195+Q202</f>
        <v>6.2602386578097829E-2</v>
      </c>
      <c r="R194" s="28">
        <f t="shared" si="205"/>
        <v>7.8959938366717788E-2</v>
      </c>
      <c r="S194" s="28">
        <f t="shared" si="205"/>
        <v>7.4666182873729961E-2</v>
      </c>
      <c r="T194" s="28">
        <f t="shared" si="205"/>
        <v>7.0843621399176909E-2</v>
      </c>
      <c r="U194" s="28">
        <f t="shared" si="205"/>
        <v>6.7418725617685388E-2</v>
      </c>
    </row>
    <row r="195" spans="1:23">
      <c r="A195" s="4" t="s">
        <v>211</v>
      </c>
      <c r="C195" s="29" t="s">
        <v>90</v>
      </c>
      <c r="D195" s="29" t="s">
        <v>90</v>
      </c>
      <c r="E195" s="28" t="e">
        <f>E129</f>
        <v>#REF!</v>
      </c>
      <c r="F195" s="28" t="e">
        <f>F129</f>
        <v>#REF!</v>
      </c>
      <c r="G195" s="28" t="e">
        <f>G129</f>
        <v>#REF!</v>
      </c>
      <c r="H195" s="28"/>
      <c r="I195" s="28">
        <f>I129</f>
        <v>-6.1571220298232698E-2</v>
      </c>
      <c r="J195" s="28">
        <f>J129</f>
        <v>4.3002473442855349E-2</v>
      </c>
      <c r="K195" s="28">
        <f>K129</f>
        <v>8.9689350166590298E-2</v>
      </c>
      <c r="L195" s="28">
        <f>L60</f>
        <v>4.7E-2</v>
      </c>
      <c r="M195" s="28">
        <f>M60</f>
        <v>4.9000000000000002E-2</v>
      </c>
      <c r="N195" s="28">
        <f>N60</f>
        <v>2.1484157270581374E-2</v>
      </c>
      <c r="O195" s="28">
        <f>O60</f>
        <v>4.494161951463501E-2</v>
      </c>
      <c r="P195" s="28">
        <f>P60</f>
        <v>3.4000000000000002E-2</v>
      </c>
      <c r="Q195" s="37">
        <v>1.4999999999999999E-2</v>
      </c>
      <c r="R195" s="37">
        <v>0.01</v>
      </c>
      <c r="S195" s="37">
        <v>0.01</v>
      </c>
      <c r="T195" s="37">
        <v>0.01</v>
      </c>
      <c r="U195" s="37">
        <v>0.01</v>
      </c>
    </row>
    <row r="196" spans="1:23">
      <c r="A196" s="4" t="s">
        <v>189</v>
      </c>
      <c r="C196" s="29" t="s">
        <v>90</v>
      </c>
      <c r="D196" s="28" t="e">
        <f>((D146/C146)-1)</f>
        <v>#DIV/0!</v>
      </c>
      <c r="E196" s="28" t="e">
        <f>((E146/D146)-1)</f>
        <v>#DIV/0!</v>
      </c>
      <c r="F196" s="28" t="e">
        <f>((F146/E146)-1)</f>
        <v>#DIV/0!</v>
      </c>
      <c r="G196" s="28" t="e">
        <f>((G146/F146)-1)</f>
        <v>#DIV/0!</v>
      </c>
      <c r="H196" s="28"/>
      <c r="I196" s="28">
        <f t="shared" ref="I196:U196" si="206">((I146/H146)-1)</f>
        <v>3.828952565621746E-2</v>
      </c>
      <c r="J196" s="28">
        <f t="shared" si="206"/>
        <v>5.1150211868619788E-2</v>
      </c>
      <c r="K196" s="28">
        <f t="shared" si="206"/>
        <v>6.0373202489114153E-2</v>
      </c>
      <c r="L196" s="28">
        <f t="shared" si="206"/>
        <v>7.9596560739587874E-2</v>
      </c>
      <c r="M196" s="28">
        <f t="shared" si="206"/>
        <v>8.6119437730459047E-2</v>
      </c>
      <c r="N196" s="28">
        <f t="shared" si="206"/>
        <v>5.6937858549080067E-2</v>
      </c>
      <c r="O196" s="28">
        <f t="shared" si="206"/>
        <v>7.8570185727393715E-2</v>
      </c>
      <c r="P196" s="28">
        <f t="shared" si="206"/>
        <v>8.1386286733621471E-2</v>
      </c>
      <c r="Q196" s="28">
        <f t="shared" si="206"/>
        <v>6.9017225321234221E-2</v>
      </c>
      <c r="R196" s="28">
        <f t="shared" si="206"/>
        <v>7.8940725254418531E-2</v>
      </c>
      <c r="S196" s="28">
        <f t="shared" si="206"/>
        <v>7.7805421966837374E-2</v>
      </c>
      <c r="T196" s="28">
        <f t="shared" si="206"/>
        <v>7.1190172732963131E-2</v>
      </c>
      <c r="U196" s="28">
        <f t="shared" si="206"/>
        <v>6.9490712791320686E-2</v>
      </c>
      <c r="W196" s="1603"/>
    </row>
    <row r="197" spans="1:23">
      <c r="A197" s="4" t="s">
        <v>190</v>
      </c>
      <c r="C197" s="29" t="s">
        <v>90</v>
      </c>
      <c r="D197" s="28" t="e">
        <f>((#REF!/#REF!)-1)</f>
        <v>#REF!</v>
      </c>
      <c r="E197" s="28" t="e">
        <f>((#REF!/#REF!)-1)</f>
        <v>#REF!</v>
      </c>
      <c r="F197" s="28" t="e">
        <f>((#REF!/#REF!)-1)</f>
        <v>#REF!</v>
      </c>
      <c r="G197" s="28" t="e">
        <f>((#REF!/#REF!)-1)</f>
        <v>#REF!</v>
      </c>
      <c r="H197" s="28"/>
      <c r="I197" s="28">
        <f t="shared" ref="I197:U197" si="207">I148/H148-1</f>
        <v>-6.1571220298232698E-2</v>
      </c>
      <c r="J197" s="28">
        <f t="shared" si="207"/>
        <v>4.3002473442855349E-2</v>
      </c>
      <c r="K197" s="28">
        <f t="shared" si="207"/>
        <v>8.9689350166590298E-2</v>
      </c>
      <c r="L197" s="28">
        <f t="shared" si="207"/>
        <v>8.3648779129756878E-3</v>
      </c>
      <c r="M197" s="28">
        <f t="shared" si="207"/>
        <v>-3.6505463928558912E-3</v>
      </c>
      <c r="N197" s="28">
        <f t="shared" si="207"/>
        <v>2.6966225086525908E-2</v>
      </c>
      <c r="O197" s="28">
        <f t="shared" si="207"/>
        <v>6.6746465697069768E-2</v>
      </c>
      <c r="P197" s="28">
        <f t="shared" si="207"/>
        <v>9.5415772444521929E-2</v>
      </c>
      <c r="Q197" s="28">
        <f t="shared" si="207"/>
        <v>9.8608090808301796E-2</v>
      </c>
      <c r="R197" s="28">
        <f t="shared" si="207"/>
        <v>7.6035821871701437E-2</v>
      </c>
      <c r="S197" s="28">
        <f t="shared" si="207"/>
        <v>7.1742361867250137E-2</v>
      </c>
      <c r="T197" s="28">
        <f t="shared" si="207"/>
        <v>6.7920065397544027E-2</v>
      </c>
      <c r="U197" s="28">
        <f t="shared" si="207"/>
        <v>6.4495408623038042E-2</v>
      </c>
    </row>
    <row r="198" spans="1:23">
      <c r="A198" s="4" t="s">
        <v>191</v>
      </c>
      <c r="C198" s="29" t="s">
        <v>90</v>
      </c>
      <c r="D198" s="28" t="e">
        <f>((#REF!/#REF!)-1)</f>
        <v>#REF!</v>
      </c>
      <c r="E198" s="28" t="e">
        <f>((#REF!/#REF!)-1)</f>
        <v>#REF!</v>
      </c>
      <c r="F198" s="28" t="e">
        <f>((#REF!/#REF!)-1)</f>
        <v>#REF!</v>
      </c>
      <c r="G198" s="28" t="e">
        <f>((#REF!/#REF!)-1)</f>
        <v>#REF!</v>
      </c>
      <c r="H198" s="28"/>
      <c r="I198" s="28">
        <f t="shared" ref="I198:U198" si="208">I151/H151-1</f>
        <v>2.8622032861409097</v>
      </c>
      <c r="J198" s="28">
        <f t="shared" si="208"/>
        <v>-0.2244236993439348</v>
      </c>
      <c r="K198" s="28">
        <f t="shared" si="208"/>
        <v>0.21444664910921163</v>
      </c>
      <c r="L198" s="28">
        <f t="shared" si="208"/>
        <v>0.1149928825248212</v>
      </c>
      <c r="M198" s="28">
        <f t="shared" si="208"/>
        <v>0.23718093466244561</v>
      </c>
      <c r="N198" s="28">
        <f t="shared" si="208"/>
        <v>0.50396331338452849</v>
      </c>
      <c r="O198" s="28">
        <f t="shared" si="208"/>
        <v>0.30717350289048184</v>
      </c>
      <c r="P198" s="28">
        <f t="shared" si="208"/>
        <v>0.25267288692333678</v>
      </c>
      <c r="Q198" s="28">
        <f t="shared" si="208"/>
        <v>3.4911802822279459E-3</v>
      </c>
      <c r="R198" s="28">
        <f t="shared" si="208"/>
        <v>9.0572911875515416E-2</v>
      </c>
      <c r="S198" s="28">
        <f t="shared" si="208"/>
        <v>5.4046452744319406E-2</v>
      </c>
      <c r="T198" s="28">
        <f t="shared" si="208"/>
        <v>6.7605641423148288E-2</v>
      </c>
      <c r="U198" s="28">
        <f t="shared" si="208"/>
        <v>6.6103115492715192E-2</v>
      </c>
    </row>
    <row r="199" spans="1:23">
      <c r="A199" s="4" t="s">
        <v>415</v>
      </c>
      <c r="C199" s="29" t="s">
        <v>90</v>
      </c>
      <c r="D199" s="58" t="str">
        <f>IF(ISERROR(((#REF!/#REF!)-1)),"NA",((#REF!/#REF!)-1))</f>
        <v>NA</v>
      </c>
      <c r="E199" s="58" t="str">
        <f>IF(ISERROR(((#REF!/#REF!)-1)),"NA",((#REF!/#REF!)-1))</f>
        <v>NA</v>
      </c>
      <c r="F199" s="58" t="str">
        <f>IF(ISERROR(((#REF!/#REF!)-1)),"NA",((#REF!/#REF!)-1))</f>
        <v>NA</v>
      </c>
      <c r="G199" s="58" t="str">
        <f>IF(ISERROR(((#REF!/#REF!)-1)),"NA",((#REF!/#REF!)-1))</f>
        <v>NA</v>
      </c>
      <c r="H199" s="58"/>
      <c r="I199" s="58"/>
      <c r="J199" s="58"/>
      <c r="K199" s="58"/>
      <c r="L199" s="58">
        <f t="shared" ref="L199:U199" si="209">L173/K173-1</f>
        <v>7.1142166279147379E-2</v>
      </c>
      <c r="M199" s="58">
        <f t="shared" si="209"/>
        <v>0.9312153957617324</v>
      </c>
      <c r="N199" s="58">
        <f t="shared" si="209"/>
        <v>0.26682341914563978</v>
      </c>
      <c r="O199" s="58">
        <f t="shared" si="209"/>
        <v>0.39951865349258786</v>
      </c>
      <c r="P199" s="58">
        <f t="shared" si="209"/>
        <v>0.37278007035342808</v>
      </c>
      <c r="Q199" s="28">
        <f t="shared" si="209"/>
        <v>0.14093245424546685</v>
      </c>
      <c r="R199" s="28">
        <f t="shared" si="209"/>
        <v>0.13311360810318851</v>
      </c>
      <c r="S199" s="28">
        <f t="shared" si="209"/>
        <v>8.8635836186976125E-2</v>
      </c>
      <c r="T199" s="28">
        <f t="shared" si="209"/>
        <v>0.10265356193342634</v>
      </c>
      <c r="U199" s="28">
        <f t="shared" si="209"/>
        <v>7.5627199739070061E-2</v>
      </c>
    </row>
    <row r="200" spans="1:23">
      <c r="A200" s="4" t="s">
        <v>349</v>
      </c>
      <c r="C200" s="29" t="s">
        <v>90</v>
      </c>
      <c r="D200" s="28" t="e">
        <f>((#REF!/#REF!)-1)</f>
        <v>#REF!</v>
      </c>
      <c r="E200" s="28" t="e">
        <f>((#REF!/#REF!)-1)</f>
        <v>#REF!</v>
      </c>
      <c r="F200" s="28" t="e">
        <f>((#REF!/#REF!)-1)</f>
        <v>#REF!</v>
      </c>
      <c r="G200" s="28" t="e">
        <f>((#REF!/#REF!)-1)</f>
        <v>#REF!</v>
      </c>
      <c r="H200" s="28"/>
      <c r="I200" s="28">
        <f t="shared" ref="I200:U200" si="210">I182/H182-1</f>
        <v>0.12553251023385159</v>
      </c>
      <c r="J200" s="28">
        <f t="shared" si="210"/>
        <v>3.2170494948668749E-2</v>
      </c>
      <c r="K200" s="28">
        <f t="shared" si="210"/>
        <v>5.8015793488601863E-2</v>
      </c>
      <c r="L200" s="28">
        <f t="shared" si="210"/>
        <v>0.15127496929016115</v>
      </c>
      <c r="M200" s="28">
        <f t="shared" si="210"/>
        <v>0.16778235214878179</v>
      </c>
      <c r="N200" s="28">
        <f t="shared" si="210"/>
        <v>8.0108241870190389E-2</v>
      </c>
      <c r="O200" s="28">
        <f t="shared" si="210"/>
        <v>0.20796432748296212</v>
      </c>
      <c r="P200" s="28">
        <f t="shared" si="210"/>
        <v>0.19093095497122903</v>
      </c>
      <c r="Q200" s="28">
        <f t="shared" si="210"/>
        <v>2.0282625691395717E-2</v>
      </c>
      <c r="R200" s="28">
        <f t="shared" si="210"/>
        <v>8.6057790528097255E-2</v>
      </c>
      <c r="S200" s="28">
        <f t="shared" si="210"/>
        <v>5.9502931455266417E-2</v>
      </c>
      <c r="T200" s="28">
        <f t="shared" si="210"/>
        <v>6.7707704171894978E-2</v>
      </c>
      <c r="U200" s="28">
        <f t="shared" si="210"/>
        <v>6.560558458318555E-2</v>
      </c>
    </row>
    <row r="201" spans="1:23">
      <c r="A201" s="4" t="s">
        <v>236</v>
      </c>
      <c r="C201" s="29" t="s">
        <v>90</v>
      </c>
      <c r="D201" s="29" t="s">
        <v>90</v>
      </c>
      <c r="E201" s="28" t="e">
        <f>E128-E129</f>
        <v>#REF!</v>
      </c>
      <c r="F201" s="28" t="e">
        <f>F128-F129</f>
        <v>#REF!</v>
      </c>
      <c r="G201" s="28" t="e">
        <f>G128-G129</f>
        <v>#REF!</v>
      </c>
      <c r="H201" s="28"/>
      <c r="I201" s="28">
        <f t="shared" ref="I201:U201" si="211">I133</f>
        <v>4.3638257419851945E-2</v>
      </c>
      <c r="J201" s="28">
        <f t="shared" si="211"/>
        <v>4.3286652339954108E-2</v>
      </c>
      <c r="K201" s="28">
        <f t="shared" si="211"/>
        <v>4.5834048081879089E-2</v>
      </c>
      <c r="L201" s="28">
        <f t="shared" si="211"/>
        <v>3.896170996477448E-2</v>
      </c>
      <c r="M201" s="28">
        <f t="shared" si="211"/>
        <v>3.8408410564600468E-2</v>
      </c>
      <c r="N201" s="28">
        <f t="shared" si="211"/>
        <v>3.7593164090040564E-2</v>
      </c>
      <c r="O201" s="28">
        <f t="shared" si="211"/>
        <v>4.6666976167754982E-2</v>
      </c>
      <c r="P201" s="28">
        <f t="shared" si="211"/>
        <v>5.9195195577177256E-2</v>
      </c>
      <c r="Q201" s="28">
        <f t="shared" si="211"/>
        <v>5.2602386578097821E-2</v>
      </c>
      <c r="R201" s="28">
        <f t="shared" si="211"/>
        <v>7.3959938366717798E-2</v>
      </c>
      <c r="S201" s="28">
        <f t="shared" si="211"/>
        <v>6.966618287372997E-2</v>
      </c>
      <c r="T201" s="28">
        <f t="shared" si="211"/>
        <v>6.5843621399176905E-2</v>
      </c>
      <c r="U201" s="28">
        <f t="shared" si="211"/>
        <v>6.2418725617685383E-2</v>
      </c>
    </row>
    <row r="202" spans="1:23">
      <c r="A202" s="4" t="s">
        <v>472</v>
      </c>
      <c r="C202" s="29" t="str">
        <f>C201</f>
        <v>NA</v>
      </c>
      <c r="D202" s="29" t="str">
        <f>D201</f>
        <v>NA</v>
      </c>
      <c r="E202" s="28" t="e">
        <f>E201</f>
        <v>#REF!</v>
      </c>
      <c r="F202" s="28" t="e">
        <f>F201</f>
        <v>#REF!</v>
      </c>
      <c r="G202" s="28" t="e">
        <f>G201</f>
        <v>#REF!</v>
      </c>
      <c r="H202" s="28"/>
      <c r="I202" s="28">
        <f>I134</f>
        <v>4.3638257419851945E-2</v>
      </c>
      <c r="J202" s="28">
        <f>J134</f>
        <v>4.3286652339954108E-2</v>
      </c>
      <c r="K202" s="28">
        <f>K134</f>
        <v>4.5834048081879089E-2</v>
      </c>
      <c r="L202" s="28">
        <f>L194-L195</f>
        <v>3.896170996477448E-2</v>
      </c>
      <c r="M202" s="28">
        <f>M194-M195</f>
        <v>3.8408410564600468E-2</v>
      </c>
      <c r="N202" s="28">
        <f>N194-N195</f>
        <v>3.7593164090040564E-2</v>
      </c>
      <c r="O202" s="28">
        <f>O194-O195</f>
        <v>4.6666976167754982E-2</v>
      </c>
      <c r="P202" s="28">
        <f>P194-P195</f>
        <v>5.9195195577177256E-2</v>
      </c>
      <c r="Q202" s="37">
        <f t="shared" ref="Q202:U202" si="212">Q201-0.005</f>
        <v>4.7602386578097823E-2</v>
      </c>
      <c r="R202" s="37">
        <f t="shared" si="212"/>
        <v>6.8959938366717793E-2</v>
      </c>
      <c r="S202" s="37">
        <f t="shared" si="212"/>
        <v>6.4666182873729966E-2</v>
      </c>
      <c r="T202" s="37">
        <f t="shared" si="212"/>
        <v>6.0843621399176907E-2</v>
      </c>
      <c r="U202" s="37">
        <f t="shared" si="212"/>
        <v>5.7418725617685386E-2</v>
      </c>
    </row>
    <row r="203" spans="1:23">
      <c r="C203" s="29"/>
      <c r="D203" s="29"/>
      <c r="E203" s="28"/>
      <c r="F203" s="28"/>
      <c r="G203" s="28"/>
      <c r="H203" s="28"/>
      <c r="I203" s="28"/>
      <c r="J203" s="28"/>
      <c r="K203" s="28"/>
      <c r="L203" s="37"/>
      <c r="M203" s="37"/>
      <c r="N203" s="37"/>
      <c r="O203" s="37"/>
      <c r="P203" s="37"/>
      <c r="Q203" s="37"/>
      <c r="R203" s="37"/>
      <c r="S203" s="37"/>
      <c r="T203" s="37"/>
      <c r="U203" s="37"/>
    </row>
    <row r="204" spans="1:23">
      <c r="C204" s="29"/>
      <c r="D204" s="29"/>
      <c r="E204" s="28"/>
      <c r="F204" s="28"/>
      <c r="G204" s="28"/>
      <c r="H204" s="28"/>
      <c r="I204" s="28"/>
      <c r="J204" s="28"/>
      <c r="K204" s="28"/>
      <c r="L204" s="37"/>
      <c r="M204" s="37"/>
      <c r="N204" s="37"/>
      <c r="O204" s="37"/>
      <c r="P204" s="37"/>
      <c r="Q204" s="37"/>
      <c r="R204" s="37"/>
      <c r="S204" s="37"/>
      <c r="T204" s="37"/>
      <c r="U204" s="37"/>
    </row>
    <row r="205" spans="1:23">
      <c r="C205" s="29"/>
      <c r="D205" s="29"/>
      <c r="E205" s="28"/>
      <c r="F205" s="28"/>
      <c r="G205" s="28"/>
      <c r="H205" s="28"/>
      <c r="I205" s="28"/>
      <c r="J205" s="28"/>
      <c r="K205" s="28"/>
      <c r="L205" s="37"/>
      <c r="M205" s="37"/>
      <c r="N205" s="37"/>
      <c r="O205" s="37"/>
      <c r="P205" s="37"/>
      <c r="Q205" s="37"/>
      <c r="R205" s="37"/>
      <c r="S205" s="37"/>
      <c r="T205" s="37"/>
      <c r="U205" s="37"/>
    </row>
    <row r="206" spans="1:23">
      <c r="C206" s="29"/>
      <c r="D206" s="29"/>
      <c r="E206" s="28"/>
      <c r="F206" s="28"/>
      <c r="G206" s="28"/>
      <c r="H206" s="28"/>
      <c r="I206" s="28"/>
      <c r="J206" s="28"/>
      <c r="K206" s="28"/>
      <c r="L206" s="37"/>
      <c r="M206" s="37"/>
      <c r="N206" s="37"/>
      <c r="O206" s="37"/>
      <c r="P206" s="37"/>
      <c r="Q206" s="37"/>
      <c r="R206" s="37"/>
      <c r="S206" s="37"/>
      <c r="T206" s="37"/>
      <c r="U206" s="37"/>
    </row>
    <row r="207" spans="1:23">
      <c r="C207" s="29"/>
      <c r="D207" s="29"/>
      <c r="E207" s="28"/>
      <c r="F207" s="28"/>
      <c r="G207" s="28"/>
      <c r="H207" s="28"/>
      <c r="I207" s="28"/>
      <c r="J207" s="28"/>
      <c r="K207" s="28"/>
      <c r="L207" s="37"/>
      <c r="M207" s="37"/>
      <c r="N207" s="37"/>
      <c r="O207" s="37"/>
      <c r="P207" s="37"/>
      <c r="Q207" s="37"/>
      <c r="R207" s="37"/>
      <c r="S207" s="37"/>
      <c r="T207" s="37"/>
      <c r="U207" s="37"/>
    </row>
    <row r="208" spans="1:23">
      <c r="C208" s="29"/>
      <c r="D208" s="29"/>
      <c r="E208" s="28"/>
      <c r="F208" s="28"/>
      <c r="G208" s="28"/>
      <c r="H208" s="28"/>
      <c r="I208" s="28"/>
      <c r="J208" s="28"/>
      <c r="K208" s="28"/>
      <c r="L208" s="37"/>
      <c r="M208" s="37"/>
      <c r="N208" s="37"/>
      <c r="O208" s="37"/>
      <c r="P208" s="37"/>
      <c r="Q208" s="37"/>
      <c r="R208" s="37"/>
      <c r="S208" s="37"/>
      <c r="T208" s="37"/>
      <c r="U208" s="37"/>
    </row>
    <row r="209" spans="1:21">
      <c r="C209" s="29"/>
      <c r="D209" s="29"/>
      <c r="E209" s="28"/>
      <c r="F209" s="28"/>
      <c r="G209" s="28"/>
      <c r="H209" s="28"/>
      <c r="I209" s="28"/>
      <c r="J209" s="28"/>
      <c r="K209" s="28"/>
      <c r="L209" s="37"/>
      <c r="M209" s="37"/>
      <c r="N209" s="37"/>
      <c r="O209" s="37"/>
      <c r="P209" s="37"/>
      <c r="Q209" s="37"/>
      <c r="R209" s="37"/>
      <c r="S209" s="37"/>
      <c r="T209" s="37"/>
      <c r="U209" s="37"/>
    </row>
    <row r="210" spans="1:21">
      <c r="C210" s="29"/>
      <c r="D210" s="29"/>
      <c r="E210" s="28"/>
      <c r="F210" s="28"/>
      <c r="G210" s="28"/>
      <c r="H210" s="28"/>
      <c r="I210" s="28"/>
      <c r="J210" s="28"/>
      <c r="K210" s="28"/>
      <c r="L210" s="37"/>
      <c r="M210" s="37"/>
      <c r="N210" s="37"/>
      <c r="O210" s="37"/>
      <c r="P210" s="37"/>
      <c r="Q210" s="37"/>
      <c r="R210" s="37"/>
      <c r="S210" s="37"/>
      <c r="T210" s="37"/>
      <c r="U210" s="37"/>
    </row>
    <row r="211" spans="1:21">
      <c r="C211" s="29"/>
      <c r="D211" s="29"/>
      <c r="E211" s="28"/>
      <c r="F211" s="28"/>
      <c r="G211" s="28"/>
      <c r="H211" s="28"/>
      <c r="I211" s="28"/>
      <c r="J211" s="28"/>
      <c r="K211" s="28"/>
      <c r="L211" s="37"/>
      <c r="M211" s="37"/>
      <c r="N211" s="37"/>
      <c r="O211" s="37"/>
      <c r="P211" s="37"/>
      <c r="Q211" s="37"/>
      <c r="R211" s="37"/>
      <c r="S211" s="37"/>
      <c r="T211" s="37"/>
      <c r="U211" s="37"/>
    </row>
    <row r="212" spans="1:21">
      <c r="C212" s="29"/>
      <c r="D212" s="29"/>
      <c r="E212" s="28"/>
      <c r="F212" s="28"/>
      <c r="G212" s="28"/>
      <c r="H212" s="28"/>
      <c r="I212" s="28"/>
      <c r="J212" s="28"/>
      <c r="K212" s="28"/>
      <c r="L212" s="37"/>
      <c r="M212" s="37"/>
      <c r="N212" s="37"/>
      <c r="O212" s="37"/>
      <c r="P212" s="37"/>
      <c r="Q212" s="37"/>
      <c r="R212" s="37"/>
      <c r="S212" s="37"/>
      <c r="T212" s="37"/>
      <c r="U212" s="37"/>
    </row>
    <row r="213" spans="1:21">
      <c r="C213" s="29"/>
      <c r="D213" s="29"/>
      <c r="E213" s="28"/>
      <c r="F213" s="28"/>
      <c r="G213" s="28"/>
      <c r="H213" s="28"/>
      <c r="I213" s="28"/>
      <c r="J213" s="28"/>
      <c r="K213" s="28"/>
      <c r="L213" s="37"/>
      <c r="M213" s="37"/>
      <c r="N213" s="37"/>
      <c r="O213" s="37"/>
      <c r="P213" s="37"/>
      <c r="Q213" s="37"/>
      <c r="R213" s="37"/>
      <c r="S213" s="37"/>
      <c r="T213" s="37"/>
      <c r="U213" s="37"/>
    </row>
    <row r="214" spans="1:21" ht="10.5" customHeight="1">
      <c r="C214" s="29"/>
      <c r="D214" s="29"/>
      <c r="E214" s="28"/>
      <c r="F214" s="28"/>
      <c r="G214" s="28"/>
      <c r="H214" s="28"/>
      <c r="I214" s="28"/>
      <c r="J214" s="28"/>
      <c r="K214" s="28"/>
      <c r="L214" s="37"/>
      <c r="M214" s="37"/>
      <c r="N214" s="37"/>
      <c r="O214" s="37"/>
      <c r="P214" s="37"/>
      <c r="Q214" s="37"/>
      <c r="R214" s="37"/>
      <c r="S214" s="37"/>
      <c r="T214" s="37"/>
      <c r="U214" s="37"/>
    </row>
    <row r="215" spans="1:21" ht="11.25" hidden="1" customHeight="1" outlineLevel="1">
      <c r="C215" s="29"/>
      <c r="D215" s="29"/>
      <c r="E215" s="28"/>
      <c r="F215" s="28"/>
      <c r="G215" s="28"/>
      <c r="H215" s="28"/>
      <c r="I215" s="28"/>
      <c r="J215" s="28"/>
      <c r="K215" s="28"/>
      <c r="L215" s="37"/>
      <c r="M215" s="37"/>
      <c r="N215" s="37"/>
      <c r="O215" s="37"/>
      <c r="P215" s="37"/>
      <c r="Q215" s="37"/>
      <c r="R215" s="37"/>
      <c r="S215" s="37"/>
      <c r="T215" s="37"/>
      <c r="U215" s="37"/>
    </row>
    <row r="216" spans="1:21" ht="11.25" hidden="1" customHeight="1" outlineLevel="1">
      <c r="A216" s="38"/>
      <c r="B216" s="38"/>
      <c r="C216" s="38"/>
      <c r="D216" s="38"/>
      <c r="E216" s="38"/>
      <c r="F216" s="38"/>
      <c r="G216" s="38"/>
      <c r="H216" s="38"/>
      <c r="I216" s="38"/>
      <c r="J216" s="38"/>
      <c r="K216" s="38"/>
      <c r="L216" s="38"/>
      <c r="M216" s="38"/>
      <c r="N216" s="38"/>
      <c r="O216" s="38"/>
      <c r="P216" s="38"/>
      <c r="Q216" s="38"/>
      <c r="R216" s="38"/>
      <c r="S216" s="38"/>
      <c r="T216" s="38"/>
      <c r="U216" s="38"/>
    </row>
    <row r="217" spans="1:21" ht="11.25" hidden="1" customHeight="1" outlineLevel="1">
      <c r="A217" s="36" t="s">
        <v>239</v>
      </c>
      <c r="C217" s="39" t="s">
        <v>166</v>
      </c>
      <c r="D217" s="39" t="s">
        <v>96</v>
      </c>
      <c r="E217" s="39" t="s">
        <v>95</v>
      </c>
      <c r="F217" s="39" t="s">
        <v>94</v>
      </c>
      <c r="G217" s="39" t="s">
        <v>93</v>
      </c>
      <c r="H217" s="39" t="s">
        <v>83</v>
      </c>
      <c r="I217" s="39" t="s">
        <v>84</v>
      </c>
      <c r="J217" s="39" t="s">
        <v>242</v>
      </c>
      <c r="K217" s="39" t="s">
        <v>393</v>
      </c>
      <c r="L217" s="39" t="s">
        <v>611</v>
      </c>
      <c r="M217" s="39" t="s">
        <v>626</v>
      </c>
      <c r="N217" s="39" t="s">
        <v>38</v>
      </c>
      <c r="O217" s="39" t="s">
        <v>244</v>
      </c>
      <c r="P217" s="39" t="s">
        <v>245</v>
      </c>
      <c r="Q217" s="39" t="s">
        <v>341</v>
      </c>
      <c r="R217" s="39" t="s">
        <v>341</v>
      </c>
      <c r="S217" s="39" t="s">
        <v>341</v>
      </c>
      <c r="T217" s="39" t="s">
        <v>341</v>
      </c>
      <c r="U217" s="39" t="s">
        <v>341</v>
      </c>
    </row>
    <row r="218" spans="1:21" ht="11.25" hidden="1" customHeight="1" outlineLevel="1">
      <c r="A218" s="15" t="s">
        <v>185</v>
      </c>
      <c r="C218" s="23" t="s">
        <v>82</v>
      </c>
      <c r="D218" s="23" t="s">
        <v>82</v>
      </c>
      <c r="E218" s="23" t="s">
        <v>82</v>
      </c>
      <c r="F218" s="23" t="s">
        <v>82</v>
      </c>
      <c r="G218" s="23" t="s">
        <v>82</v>
      </c>
      <c r="H218" s="23" t="s">
        <v>82</v>
      </c>
      <c r="I218" s="23" t="s">
        <v>82</v>
      </c>
      <c r="J218" s="23" t="s">
        <v>82</v>
      </c>
      <c r="K218" s="23" t="s">
        <v>82</v>
      </c>
      <c r="L218" s="23" t="s">
        <v>82</v>
      </c>
      <c r="M218" s="23" t="s">
        <v>82</v>
      </c>
      <c r="N218" s="23" t="s">
        <v>82</v>
      </c>
      <c r="O218" s="23" t="s">
        <v>82</v>
      </c>
      <c r="P218" s="23" t="s">
        <v>82</v>
      </c>
      <c r="Q218" s="23" t="s">
        <v>82</v>
      </c>
      <c r="R218" s="23" t="s">
        <v>82</v>
      </c>
      <c r="S218" s="23" t="s">
        <v>82</v>
      </c>
      <c r="T218" s="23" t="s">
        <v>82</v>
      </c>
      <c r="U218" s="23" t="s">
        <v>82</v>
      </c>
    </row>
    <row r="219" spans="1:21" ht="11.25" hidden="1" customHeight="1" outlineLevel="1">
      <c r="C219" s="24"/>
      <c r="D219" s="24"/>
      <c r="E219" s="24"/>
      <c r="F219" s="24"/>
      <c r="G219" s="24"/>
      <c r="H219" s="24"/>
      <c r="I219" s="24"/>
      <c r="J219" s="24"/>
      <c r="K219" s="24"/>
      <c r="L219" s="24"/>
      <c r="M219" s="24"/>
      <c r="N219" s="24"/>
      <c r="O219" s="24"/>
      <c r="P219" s="24"/>
      <c r="Q219" s="24"/>
      <c r="R219" s="24"/>
      <c r="S219" s="24"/>
      <c r="T219" s="24"/>
      <c r="U219" s="24"/>
    </row>
    <row r="220" spans="1:21" ht="11.25" hidden="1" customHeight="1" outlineLevel="1">
      <c r="A220" s="4" t="s">
        <v>186</v>
      </c>
      <c r="C220" s="25">
        <f t="shared" ref="C220:M220" si="213">C6</f>
        <v>2859.96</v>
      </c>
      <c r="D220" s="25">
        <f t="shared" si="213"/>
        <v>3199.84</v>
      </c>
      <c r="E220" s="25">
        <f t="shared" si="213"/>
        <v>3470.5540000000001</v>
      </c>
      <c r="F220" s="25">
        <f t="shared" si="213"/>
        <v>3441.645</v>
      </c>
      <c r="G220" s="25">
        <f t="shared" si="213"/>
        <v>3423.973</v>
      </c>
      <c r="H220" s="25">
        <f t="shared" si="213"/>
        <v>3522.9139999999998</v>
      </c>
      <c r="I220" s="25">
        <f t="shared" si="213"/>
        <v>3669.6019999999999</v>
      </c>
      <c r="J220" s="25">
        <f t="shared" si="213"/>
        <v>3854.134</v>
      </c>
      <c r="K220" s="25">
        <f t="shared" si="213"/>
        <v>4077.034171070005</v>
      </c>
      <c r="L220" s="25">
        <f t="shared" si="213"/>
        <v>4427.5029999999997</v>
      </c>
      <c r="M220" s="25">
        <f t="shared" si="213"/>
        <v>4814.5039999999999</v>
      </c>
      <c r="N220" s="25">
        <f t="shared" ref="N220:U220" si="214">(M220*(1+N256))</f>
        <v>4906.3518399999994</v>
      </c>
      <c r="O220" s="25">
        <f t="shared" si="214"/>
        <v>5159.5617683861092</v>
      </c>
      <c r="P220" s="25">
        <f t="shared" si="214"/>
        <v>5485.6212834317957</v>
      </c>
      <c r="Q220" s="25">
        <f t="shared" si="214"/>
        <v>5774.178054803916</v>
      </c>
      <c r="R220" s="25">
        <f t="shared" si="214"/>
        <v>6201.2359078556683</v>
      </c>
      <c r="S220" s="25">
        <f t="shared" si="214"/>
        <v>6633.2523426554817</v>
      </c>
      <c r="T220" s="25">
        <f t="shared" si="214"/>
        <v>7070.0096985504924</v>
      </c>
      <c r="U220" s="25">
        <f t="shared" si="214"/>
        <v>7511.3106940386897</v>
      </c>
    </row>
    <row r="221" spans="1:21" ht="11.25" hidden="1" customHeight="1" outlineLevel="1">
      <c r="C221" s="24"/>
      <c r="D221" s="24"/>
      <c r="E221" s="24"/>
      <c r="F221" s="24"/>
      <c r="G221" s="24"/>
      <c r="H221" s="24"/>
      <c r="I221" s="24"/>
      <c r="J221" s="24"/>
      <c r="K221" s="24"/>
      <c r="L221" s="24"/>
      <c r="M221" s="24"/>
      <c r="N221" s="24"/>
      <c r="O221" s="24"/>
      <c r="P221" s="24"/>
      <c r="Q221" s="24"/>
      <c r="R221" s="24"/>
      <c r="S221" s="24"/>
      <c r="T221" s="24"/>
      <c r="U221" s="24"/>
    </row>
    <row r="222" spans="1:21" ht="11.25" hidden="1" customHeight="1" outlineLevel="1">
      <c r="A222" s="4" t="s">
        <v>187</v>
      </c>
      <c r="C222" s="25">
        <f t="shared" ref="C222:M222" si="215">C8</f>
        <v>1765.4780000000001</v>
      </c>
      <c r="D222" s="25">
        <f t="shared" si="215"/>
        <v>1987.1590000000001</v>
      </c>
      <c r="E222" s="25">
        <f t="shared" si="215"/>
        <v>2183.2629999999999</v>
      </c>
      <c r="F222" s="25">
        <f t="shared" si="215"/>
        <v>2125.16</v>
      </c>
      <c r="G222" s="25">
        <f t="shared" si="215"/>
        <v>2095.364</v>
      </c>
      <c r="H222" s="25">
        <f t="shared" si="215"/>
        <v>2181.7069999999999</v>
      </c>
      <c r="I222" s="25">
        <f t="shared" si="215"/>
        <v>2252.346</v>
      </c>
      <c r="J222" s="25">
        <f t="shared" si="215"/>
        <v>2363.4639999999999</v>
      </c>
      <c r="K222" s="25">
        <f t="shared" si="215"/>
        <v>2497.9727558300101</v>
      </c>
      <c r="L222" s="25">
        <f t="shared" si="215"/>
        <v>2695.9569999999999</v>
      </c>
      <c r="M222" s="25">
        <f t="shared" si="215"/>
        <v>2900.819</v>
      </c>
      <c r="N222" s="25">
        <f t="shared" ref="N222:T222" si="216">N220-N224</f>
        <v>2960.763857029322</v>
      </c>
      <c r="O222" s="25">
        <f t="shared" si="216"/>
        <v>3080.258375726507</v>
      </c>
      <c r="P222" s="25">
        <f t="shared" si="216"/>
        <v>3230.6431773043946</v>
      </c>
      <c r="Q222" s="25">
        <f t="shared" si="216"/>
        <v>3373.4293517739434</v>
      </c>
      <c r="R222" s="25">
        <f t="shared" si="216"/>
        <v>3625.2425117324233</v>
      </c>
      <c r="S222" s="25">
        <f t="shared" si="216"/>
        <v>3872.4927176422707</v>
      </c>
      <c r="T222" s="25">
        <f t="shared" si="216"/>
        <v>4122.5226552247932</v>
      </c>
      <c r="U222" s="25">
        <f t="shared" ref="U222" si="217">U220-U224</f>
        <v>4376.0896103469404</v>
      </c>
    </row>
    <row r="223" spans="1:21" ht="11.25" hidden="1" customHeight="1" outlineLevel="1">
      <c r="C223" s="24"/>
      <c r="D223" s="24"/>
      <c r="E223" s="24"/>
      <c r="F223" s="24"/>
      <c r="G223" s="24"/>
      <c r="H223" s="24"/>
      <c r="I223" s="24"/>
      <c r="J223" s="24"/>
      <c r="K223" s="24"/>
      <c r="L223" s="24"/>
      <c r="M223" s="24"/>
      <c r="N223" s="24"/>
      <c r="O223" s="24"/>
      <c r="P223" s="24"/>
      <c r="Q223" s="24"/>
      <c r="R223" s="24"/>
      <c r="S223" s="24"/>
      <c r="T223" s="24"/>
      <c r="U223" s="24"/>
    </row>
    <row r="224" spans="1:21" ht="11.25" hidden="1" customHeight="1" outlineLevel="1">
      <c r="A224" s="4" t="s">
        <v>188</v>
      </c>
      <c r="C224" s="25">
        <f t="shared" ref="C224:J224" si="218">C220-C222</f>
        <v>1094.482</v>
      </c>
      <c r="D224" s="25">
        <f t="shared" si="218"/>
        <v>1212.681</v>
      </c>
      <c r="E224" s="25">
        <f t="shared" si="218"/>
        <v>1287.2910000000002</v>
      </c>
      <c r="F224" s="25">
        <f t="shared" si="218"/>
        <v>1316.4850000000001</v>
      </c>
      <c r="G224" s="25">
        <f t="shared" si="218"/>
        <v>1328.6089999999999</v>
      </c>
      <c r="H224" s="25">
        <f t="shared" si="218"/>
        <v>1341.2069999999999</v>
      </c>
      <c r="I224" s="25">
        <f t="shared" si="218"/>
        <v>1417.2559999999999</v>
      </c>
      <c r="J224" s="25">
        <f t="shared" si="218"/>
        <v>1490.67</v>
      </c>
      <c r="K224" s="25">
        <f>K220-K222</f>
        <v>1579.0614152399949</v>
      </c>
      <c r="L224" s="25">
        <f>L220-L222</f>
        <v>1731.5459999999998</v>
      </c>
      <c r="M224" s="25">
        <f>M220-M222</f>
        <v>1913.6849999999999</v>
      </c>
      <c r="N224" s="25">
        <f t="shared" ref="N224:T224" si="219">N220*N249</f>
        <v>1945.5879829706773</v>
      </c>
      <c r="O224" s="25">
        <f t="shared" si="219"/>
        <v>2079.3033926596022</v>
      </c>
      <c r="P224" s="25">
        <f t="shared" si="219"/>
        <v>2254.9781061274011</v>
      </c>
      <c r="Q224" s="25">
        <f t="shared" si="219"/>
        <v>2400.7487030299726</v>
      </c>
      <c r="R224" s="25">
        <f t="shared" si="219"/>
        <v>2575.993396123245</v>
      </c>
      <c r="S224" s="25">
        <f t="shared" si="219"/>
        <v>2760.759625013211</v>
      </c>
      <c r="T224" s="25">
        <f t="shared" si="219"/>
        <v>2947.4870433256997</v>
      </c>
      <c r="U224" s="25">
        <f t="shared" ref="U224" si="220">U220*U249</f>
        <v>3135.2210836917493</v>
      </c>
    </row>
    <row r="225" spans="1:28" ht="11.25" hidden="1" customHeight="1" outlineLevel="1">
      <c r="A225" s="4" t="s">
        <v>189</v>
      </c>
      <c r="C225" s="26">
        <f t="shared" ref="C225:M225" si="221">C11</f>
        <v>900.05899999999997</v>
      </c>
      <c r="D225" s="26">
        <f t="shared" si="221"/>
        <v>957.75900000000001</v>
      </c>
      <c r="E225" s="26">
        <f t="shared" si="221"/>
        <v>1051.922</v>
      </c>
      <c r="F225" s="26">
        <f t="shared" si="221"/>
        <v>1062.4680000000001</v>
      </c>
      <c r="G225" s="26">
        <f t="shared" si="221"/>
        <v>1090.829</v>
      </c>
      <c r="H225" s="26">
        <f t="shared" si="221"/>
        <v>1113.96</v>
      </c>
      <c r="I225" s="26">
        <f t="shared" si="221"/>
        <v>1156.6130000000001</v>
      </c>
      <c r="J225" s="26">
        <f t="shared" si="221"/>
        <v>1215.7739999999999</v>
      </c>
      <c r="K225" s="26">
        <f t="shared" si="221"/>
        <v>1289.1741698830001</v>
      </c>
      <c r="L225" s="26">
        <f t="shared" si="221"/>
        <v>1391.788</v>
      </c>
      <c r="M225" s="26">
        <f t="shared" si="221"/>
        <v>1511.6480000000001</v>
      </c>
      <c r="N225" s="26">
        <f t="shared" ref="N225:T225" si="222">N220*N250</f>
        <v>1547.1869320676547</v>
      </c>
      <c r="O225" s="26">
        <f t="shared" si="222"/>
        <v>1620.6235751230877</v>
      </c>
      <c r="P225" s="26">
        <f t="shared" si="222"/>
        <v>1718.4073002635214</v>
      </c>
      <c r="Q225" s="26">
        <f t="shared" si="222"/>
        <v>1819.4751848376441</v>
      </c>
      <c r="R225" s="26">
        <f t="shared" si="222"/>
        <v>1954.009434565321</v>
      </c>
      <c r="S225" s="26">
        <f t="shared" si="222"/>
        <v>2096.107740279132</v>
      </c>
      <c r="T225" s="26">
        <f t="shared" si="222"/>
        <v>2234.8300657118107</v>
      </c>
      <c r="U225" s="26">
        <f t="shared" ref="U225" si="223">U220*U250</f>
        <v>2378.832096802053</v>
      </c>
    </row>
    <row r="226" spans="1:28" ht="11.25" hidden="1" customHeight="1" outlineLevel="1">
      <c r="A226" s="4" t="s">
        <v>399</v>
      </c>
      <c r="C226" s="26">
        <f>'yrP&amp;L'!F$20</f>
        <v>-10.335000000000001</v>
      </c>
      <c r="D226" s="26">
        <f>'yrP&amp;L'!G$20</f>
        <v>-14.619</v>
      </c>
      <c r="E226" s="26">
        <f>'yrP&amp;L'!H$20</f>
        <v>-8.4480000000000004</v>
      </c>
      <c r="F226" s="26">
        <f>'yrP&amp;L'!I$20</f>
        <v>-6.18</v>
      </c>
      <c r="G226" s="26">
        <f>'yrP&amp;L'!J$20</f>
        <v>-12.861000000000001</v>
      </c>
      <c r="H226" s="26">
        <f>'yrP&amp;L'!L$20</f>
        <v>-47.475000000000001</v>
      </c>
      <c r="I226" s="26">
        <f>'yrP&amp;L'!M$20</f>
        <v>-42.832999999999998</v>
      </c>
      <c r="J226" s="26">
        <f>'yrP&amp;L'!N$20</f>
        <v>-43.338999999999999</v>
      </c>
      <c r="K226" s="26">
        <f>'yrP&amp;L'!P$20</f>
        <v>-41.6</v>
      </c>
      <c r="L226" s="26">
        <f>'yrP&amp;L'!Q$20</f>
        <v>-43.423000000000002</v>
      </c>
      <c r="M226" s="26">
        <f>'yrP&amp;L'!R$20</f>
        <v>-45.882999999999996</v>
      </c>
      <c r="N226" s="26">
        <f>'yrP&amp;L'!S$20</f>
        <v>-41.176000000000002</v>
      </c>
      <c r="O226" s="26">
        <f>'yrP&amp;L'!T$20</f>
        <v>-44.948075535818091</v>
      </c>
      <c r="P226" s="26">
        <f>'yrP&amp;L'!U$20</f>
        <v>-49.137020226196391</v>
      </c>
      <c r="Q226" s="26">
        <f>'yrP&amp;L'!V$20</f>
        <v>-53.195855366216485</v>
      </c>
      <c r="R226" s="26">
        <f>'yrP&amp;L'!W$20</f>
        <v>0</v>
      </c>
      <c r="S226" s="26">
        <f>'yrP&amp;L'!X$20</f>
        <v>27.552512386400085</v>
      </c>
      <c r="T226" s="26" t="str">
        <f>'yrP&amp;L'!Y$20</f>
        <v>%</v>
      </c>
      <c r="U226" s="26">
        <f>'yrP&amp;L'!Z$20</f>
        <v>4.1433621783888874</v>
      </c>
    </row>
    <row r="227" spans="1:28" ht="11.25" hidden="1" customHeight="1" outlineLevel="1">
      <c r="A227" s="4" t="s">
        <v>190</v>
      </c>
      <c r="C227" s="26" t="e">
        <f>#REF!</f>
        <v>#REF!</v>
      </c>
      <c r="D227" s="26" t="e">
        <f>#REF!</f>
        <v>#REF!</v>
      </c>
      <c r="E227" s="26" t="e">
        <f>#REF!</f>
        <v>#REF!</v>
      </c>
      <c r="F227" s="26" t="e">
        <f>#REF!</f>
        <v>#REF!</v>
      </c>
      <c r="G227" s="26" t="e">
        <f>#REF!</f>
        <v>#REF!</v>
      </c>
      <c r="H227" s="26" t="e">
        <f>#REF!</f>
        <v>#REF!</v>
      </c>
      <c r="I227" s="26" t="e">
        <f>#REF!</f>
        <v>#REF!</v>
      </c>
      <c r="J227" s="26" t="e">
        <f>#REF!</f>
        <v>#REF!</v>
      </c>
      <c r="K227" s="26" t="e">
        <f>#REF!</f>
        <v>#REF!</v>
      </c>
      <c r="L227" s="26" t="e">
        <f>#REF!</f>
        <v>#REF!</v>
      </c>
      <c r="M227" s="26" t="e">
        <f>#REF!</f>
        <v>#REF!</v>
      </c>
      <c r="N227" s="26" t="e">
        <f>#REF!</f>
        <v>#REF!</v>
      </c>
      <c r="O227" s="26" t="e">
        <f>#REF!</f>
        <v>#REF!</v>
      </c>
      <c r="P227" s="26" t="e">
        <f>#REF!</f>
        <v>#REF!</v>
      </c>
      <c r="Q227" s="26" t="e">
        <f>#REF!</f>
        <v>#REF!</v>
      </c>
      <c r="R227" s="26" t="e">
        <f>#REF!</f>
        <v>#REF!</v>
      </c>
      <c r="S227" s="26" t="e">
        <f>#REF!</f>
        <v>#REF!</v>
      </c>
      <c r="T227" s="26" t="e">
        <f>#REF!</f>
        <v>#REF!</v>
      </c>
      <c r="U227" s="26" t="e">
        <f>#REF!</f>
        <v>#REF!</v>
      </c>
    </row>
    <row r="228" spans="1:28" ht="11.25" hidden="1" customHeight="1" outlineLevel="1">
      <c r="A228" s="4" t="s">
        <v>368</v>
      </c>
      <c r="C228" s="26" t="e">
        <f>#REF!</f>
        <v>#REF!</v>
      </c>
      <c r="D228" s="26" t="e">
        <f>#REF!</f>
        <v>#REF!</v>
      </c>
      <c r="E228" s="26" t="e">
        <f>#REF!</f>
        <v>#REF!</v>
      </c>
      <c r="F228" s="26" t="e">
        <f>#REF!</f>
        <v>#REF!</v>
      </c>
      <c r="G228" s="26" t="e">
        <f>#REF!</f>
        <v>#REF!</v>
      </c>
      <c r="H228" s="26" t="e">
        <f>#REF!</f>
        <v>#REF!</v>
      </c>
      <c r="I228" s="26" t="e">
        <f>#REF!</f>
        <v>#REF!</v>
      </c>
      <c r="J228" s="26" t="e">
        <f>#REF!</f>
        <v>#REF!</v>
      </c>
      <c r="K228" s="26" t="e">
        <f>#REF!</f>
        <v>#REF!</v>
      </c>
      <c r="L228" s="26" t="e">
        <f>#REF!</f>
        <v>#REF!</v>
      </c>
      <c r="M228" s="26" t="e">
        <f>#REF!</f>
        <v>#REF!</v>
      </c>
      <c r="N228" s="26" t="e">
        <f>#REF!</f>
        <v>#REF!</v>
      </c>
      <c r="O228" s="26" t="e">
        <f>#REF!</f>
        <v>#REF!</v>
      </c>
      <c r="P228" s="26" t="e">
        <f>#REF!</f>
        <v>#REF!</v>
      </c>
      <c r="Q228" s="26" t="e">
        <f>#REF!</f>
        <v>#REF!</v>
      </c>
      <c r="R228" s="26" t="e">
        <f>#REF!</f>
        <v>#REF!</v>
      </c>
      <c r="S228" s="26" t="e">
        <f>#REF!</f>
        <v>#REF!</v>
      </c>
      <c r="T228" s="26" t="e">
        <f>#REF!</f>
        <v>#REF!</v>
      </c>
      <c r="U228" s="26" t="e">
        <f>#REF!</f>
        <v>#REF!</v>
      </c>
    </row>
    <row r="229" spans="1:28" ht="11.25" hidden="1" customHeight="1" outlineLevel="1">
      <c r="A229" s="20" t="s">
        <v>191</v>
      </c>
      <c r="C229" s="25" t="e">
        <f>C224-C225-C227-C226-C228</f>
        <v>#REF!</v>
      </c>
      <c r="D229" s="25" t="e">
        <f t="shared" ref="D229:Q229" si="224">D224-D225-D227-D226-D228</f>
        <v>#REF!</v>
      </c>
      <c r="E229" s="25" t="e">
        <f t="shared" si="224"/>
        <v>#REF!</v>
      </c>
      <c r="F229" s="25" t="e">
        <f t="shared" si="224"/>
        <v>#REF!</v>
      </c>
      <c r="G229" s="25" t="e">
        <f t="shared" si="224"/>
        <v>#REF!</v>
      </c>
      <c r="H229" s="25" t="e">
        <f t="shared" si="224"/>
        <v>#REF!</v>
      </c>
      <c r="I229" s="25" t="e">
        <f t="shared" si="224"/>
        <v>#REF!</v>
      </c>
      <c r="J229" s="25" t="e">
        <f t="shared" si="224"/>
        <v>#REF!</v>
      </c>
      <c r="K229" s="25" t="e">
        <f t="shared" si="224"/>
        <v>#REF!</v>
      </c>
      <c r="L229" s="25" t="e">
        <f>L224-L225-L227-L226-L228</f>
        <v>#REF!</v>
      </c>
      <c r="M229" s="25" t="e">
        <f>M224-M225-M227-M226-M228</f>
        <v>#REF!</v>
      </c>
      <c r="N229" s="25" t="e">
        <f t="shared" si="224"/>
        <v>#REF!</v>
      </c>
      <c r="O229" s="25" t="e">
        <f t="shared" si="224"/>
        <v>#REF!</v>
      </c>
      <c r="P229" s="25" t="e">
        <f t="shared" si="224"/>
        <v>#REF!</v>
      </c>
      <c r="Q229" s="25" t="e">
        <f t="shared" si="224"/>
        <v>#REF!</v>
      </c>
      <c r="R229" s="25" t="e">
        <f>R224-R225-R227-R226-R228</f>
        <v>#REF!</v>
      </c>
      <c r="S229" s="25" t="e">
        <f>S224-S225-S227-S226-S228</f>
        <v>#REF!</v>
      </c>
      <c r="T229" s="25" t="e">
        <f>T224-T225-T227-T226-T228</f>
        <v>#REF!</v>
      </c>
      <c r="U229" s="25" t="e">
        <f>U224-U225-U227-U226-U228</f>
        <v>#REF!</v>
      </c>
    </row>
    <row r="230" spans="1:28" ht="11.25" hidden="1" customHeight="1" outlineLevel="1">
      <c r="A230" s="4" t="s">
        <v>199</v>
      </c>
      <c r="C230" s="26">
        <f t="shared" ref="C230:U230" si="225">C17</f>
        <v>5.8630000000000004</v>
      </c>
      <c r="D230" s="26">
        <f t="shared" si="225"/>
        <v>7.3339999999999996</v>
      </c>
      <c r="E230" s="26">
        <f t="shared" si="225"/>
        <v>22.702000000000002</v>
      </c>
      <c r="F230" s="26">
        <f t="shared" si="225"/>
        <v>134.31299999999999</v>
      </c>
      <c r="G230" s="26">
        <f t="shared" si="225"/>
        <v>132.99299999999999</v>
      </c>
      <c r="H230" s="26">
        <f t="shared" si="225"/>
        <v>84.423000000000002</v>
      </c>
      <c r="I230" s="26">
        <f t="shared" si="225"/>
        <v>99.308999999999997</v>
      </c>
      <c r="J230" s="26">
        <f t="shared" si="225"/>
        <v>129.12100000000001</v>
      </c>
      <c r="K230" s="26">
        <f t="shared" si="225"/>
        <v>111.770626154</v>
      </c>
      <c r="L230" s="26">
        <f t="shared" si="225"/>
        <v>127.73899999999999</v>
      </c>
      <c r="M230" s="26">
        <f t="shared" si="225"/>
        <v>83.74499999999999</v>
      </c>
      <c r="N230" s="26">
        <f t="shared" si="225"/>
        <v>59.000000000000007</v>
      </c>
      <c r="O230" s="26">
        <f t="shared" si="225"/>
        <v>56.161000000000001</v>
      </c>
      <c r="P230" s="26">
        <f t="shared" si="225"/>
        <v>58.777000000000001</v>
      </c>
      <c r="Q230" s="26">
        <f t="shared" si="225"/>
        <v>60</v>
      </c>
      <c r="R230" s="26">
        <f t="shared" si="225"/>
        <v>55</v>
      </c>
      <c r="S230" s="26">
        <f t="shared" si="225"/>
        <v>50</v>
      </c>
      <c r="T230" s="26">
        <f t="shared" si="225"/>
        <v>45</v>
      </c>
      <c r="U230" s="26">
        <f t="shared" si="225"/>
        <v>40</v>
      </c>
    </row>
    <row r="231" spans="1:28" ht="11.25" hidden="1" customHeight="1" outlineLevel="1">
      <c r="A231" s="20" t="s">
        <v>192</v>
      </c>
      <c r="C231" s="25" t="e">
        <f>C229-C230</f>
        <v>#REF!</v>
      </c>
      <c r="D231" s="25" t="e">
        <f t="shared" ref="D231:Q231" si="226">D229-D230</f>
        <v>#REF!</v>
      </c>
      <c r="E231" s="25" t="e">
        <f t="shared" si="226"/>
        <v>#REF!</v>
      </c>
      <c r="F231" s="25" t="e">
        <f t="shared" si="226"/>
        <v>#REF!</v>
      </c>
      <c r="G231" s="25" t="e">
        <f t="shared" si="226"/>
        <v>#REF!</v>
      </c>
      <c r="H231" s="25" t="e">
        <f t="shared" si="226"/>
        <v>#REF!</v>
      </c>
      <c r="I231" s="25" t="e">
        <f t="shared" si="226"/>
        <v>#REF!</v>
      </c>
      <c r="J231" s="25" t="e">
        <f t="shared" si="226"/>
        <v>#REF!</v>
      </c>
      <c r="K231" s="25" t="e">
        <f t="shared" si="226"/>
        <v>#REF!</v>
      </c>
      <c r="L231" s="25" t="e">
        <f>L229-L230</f>
        <v>#REF!</v>
      </c>
      <c r="M231" s="25" t="e">
        <f>M229-M230</f>
        <v>#REF!</v>
      </c>
      <c r="N231" s="25" t="e">
        <f t="shared" si="226"/>
        <v>#REF!</v>
      </c>
      <c r="O231" s="25" t="e">
        <f t="shared" si="226"/>
        <v>#REF!</v>
      </c>
      <c r="P231" s="25" t="e">
        <f t="shared" si="226"/>
        <v>#REF!</v>
      </c>
      <c r="Q231" s="25" t="e">
        <f t="shared" si="226"/>
        <v>#REF!</v>
      </c>
      <c r="R231" s="25" t="e">
        <f>R229-R230</f>
        <v>#REF!</v>
      </c>
      <c r="S231" s="25" t="e">
        <f>S229-S230</f>
        <v>#REF!</v>
      </c>
      <c r="T231" s="25" t="e">
        <f>T229-T230</f>
        <v>#REF!</v>
      </c>
      <c r="U231" s="25" t="e">
        <f>U229-U230</f>
        <v>#REF!</v>
      </c>
    </row>
    <row r="232" spans="1:28" ht="11.25" hidden="1" customHeight="1" outlineLevel="1">
      <c r="C232" s="24"/>
      <c r="D232" s="24"/>
      <c r="E232" s="24"/>
      <c r="F232" s="24"/>
      <c r="G232" s="24"/>
      <c r="H232" s="24"/>
      <c r="I232" s="24"/>
      <c r="J232" s="24"/>
      <c r="K232" s="24"/>
      <c r="L232" s="24"/>
      <c r="M232" s="24"/>
      <c r="N232" s="24"/>
      <c r="O232" s="24"/>
      <c r="P232" s="24"/>
      <c r="Q232" s="24"/>
      <c r="R232" s="24"/>
      <c r="S232" s="24"/>
      <c r="T232" s="24"/>
      <c r="U232" s="24"/>
    </row>
    <row r="233" spans="1:28" ht="11.25" hidden="1" customHeight="1" outlineLevel="1">
      <c r="A233" s="4" t="s">
        <v>193</v>
      </c>
      <c r="C233" s="26">
        <f t="shared" ref="C233:M233" si="227">C20</f>
        <v>42.640999999999998</v>
      </c>
      <c r="D233" s="26">
        <f t="shared" si="227"/>
        <v>66.506049999999988</v>
      </c>
      <c r="E233" s="26">
        <f t="shared" si="227"/>
        <v>46.789000000000001</v>
      </c>
      <c r="F233" s="26">
        <f t="shared" si="227"/>
        <v>-16.389230000000001</v>
      </c>
      <c r="G233" s="26">
        <f t="shared" si="227"/>
        <v>-16.464399999999998</v>
      </c>
      <c r="H233" s="26">
        <f t="shared" si="227"/>
        <v>-29.753</v>
      </c>
      <c r="I233" s="26">
        <f t="shared" si="227"/>
        <v>22.13</v>
      </c>
      <c r="J233" s="26">
        <f t="shared" si="227"/>
        <v>-4.1479999999999997</v>
      </c>
      <c r="K233" s="26">
        <f t="shared" si="227"/>
        <v>3.8626241200000031</v>
      </c>
      <c r="L233" s="26">
        <f t="shared" si="227"/>
        <v>16.207999999999995</v>
      </c>
      <c r="M233" s="26">
        <f t="shared" si="227"/>
        <v>39.081000000000003</v>
      </c>
      <c r="N233" s="26" t="e">
        <f t="shared" ref="N233:T233" si="228">N231*N253</f>
        <v>#REF!</v>
      </c>
      <c r="O233" s="26" t="e">
        <f t="shared" si="228"/>
        <v>#REF!</v>
      </c>
      <c r="P233" s="26" t="e">
        <f t="shared" si="228"/>
        <v>#REF!</v>
      </c>
      <c r="Q233" s="26" t="e">
        <f t="shared" si="228"/>
        <v>#REF!</v>
      </c>
      <c r="R233" s="26" t="e">
        <f t="shared" si="228"/>
        <v>#REF!</v>
      </c>
      <c r="S233" s="26" t="e">
        <f t="shared" si="228"/>
        <v>#REF!</v>
      </c>
      <c r="T233" s="26" t="e">
        <f t="shared" si="228"/>
        <v>#REF!</v>
      </c>
      <c r="U233" s="26" t="e">
        <f t="shared" ref="U233" si="229">U231*U253</f>
        <v>#REF!</v>
      </c>
    </row>
    <row r="234" spans="1:28" ht="11.25" hidden="1" customHeight="1" outlineLevel="1">
      <c r="C234" s="24"/>
      <c r="D234" s="24"/>
      <c r="E234" s="24"/>
      <c r="F234" s="24"/>
      <c r="G234" s="24"/>
      <c r="H234" s="24"/>
      <c r="I234" s="24"/>
      <c r="J234" s="24"/>
      <c r="K234" s="24"/>
      <c r="L234" s="24"/>
      <c r="M234" s="24"/>
      <c r="N234" s="24"/>
      <c r="O234" s="24"/>
      <c r="P234" s="24"/>
      <c r="Q234" s="24"/>
      <c r="R234" s="24"/>
      <c r="S234" s="24"/>
      <c r="T234" s="24"/>
      <c r="U234" s="24"/>
    </row>
    <row r="235" spans="1:28" ht="11.25" hidden="1" customHeight="1" outlineLevel="1" collapsed="1">
      <c r="A235" s="4" t="s">
        <v>154</v>
      </c>
      <c r="C235" s="26">
        <f t="shared" ref="C235:U235" si="230">C22</f>
        <v>0</v>
      </c>
      <c r="D235" s="26">
        <f t="shared" si="230"/>
        <v>0</v>
      </c>
      <c r="E235" s="26">
        <f t="shared" si="230"/>
        <v>0</v>
      </c>
      <c r="F235" s="26">
        <f t="shared" si="230"/>
        <v>0</v>
      </c>
      <c r="G235" s="26">
        <f t="shared" si="230"/>
        <v>0</v>
      </c>
      <c r="H235" s="26">
        <f t="shared" si="230"/>
        <v>0</v>
      </c>
      <c r="I235" s="26">
        <f t="shared" si="230"/>
        <v>0</v>
      </c>
      <c r="J235" s="26">
        <f t="shared" si="230"/>
        <v>0</v>
      </c>
      <c r="K235" s="26">
        <f t="shared" si="230"/>
        <v>0</v>
      </c>
      <c r="L235" s="26">
        <f t="shared" si="230"/>
        <v>0</v>
      </c>
      <c r="M235" s="26">
        <f t="shared" si="230"/>
        <v>0</v>
      </c>
      <c r="N235" s="26">
        <f t="shared" si="230"/>
        <v>0</v>
      </c>
      <c r="O235" s="26">
        <f t="shared" si="230"/>
        <v>0</v>
      </c>
      <c r="P235" s="26">
        <f t="shared" si="230"/>
        <v>0</v>
      </c>
      <c r="Q235" s="26">
        <f t="shared" si="230"/>
        <v>0</v>
      </c>
      <c r="R235" s="26">
        <f t="shared" si="230"/>
        <v>0</v>
      </c>
      <c r="S235" s="26">
        <f t="shared" si="230"/>
        <v>0</v>
      </c>
      <c r="T235" s="26">
        <f t="shared" si="230"/>
        <v>0</v>
      </c>
      <c r="U235" s="26">
        <f t="shared" si="230"/>
        <v>0</v>
      </c>
    </row>
    <row r="236" spans="1:28" ht="11.25" hidden="1" customHeight="1" outlineLevel="1">
      <c r="C236" s="24"/>
      <c r="D236" s="24"/>
      <c r="E236" s="24"/>
      <c r="F236" s="24"/>
      <c r="G236" s="24"/>
      <c r="H236" s="24"/>
      <c r="I236" s="24"/>
      <c r="J236" s="24"/>
      <c r="K236" s="24"/>
      <c r="L236" s="24"/>
      <c r="M236" s="24"/>
      <c r="N236" s="24"/>
      <c r="O236" s="24"/>
      <c r="P236" s="24"/>
      <c r="Q236" s="24"/>
      <c r="R236" s="24"/>
      <c r="S236" s="24"/>
      <c r="T236" s="24"/>
      <c r="U236" s="24"/>
    </row>
    <row r="237" spans="1:28" ht="11.25" hidden="1" customHeight="1" outlineLevel="1">
      <c r="A237" s="4" t="s">
        <v>194</v>
      </c>
      <c r="C237" s="27" t="e">
        <f t="shared" ref="C237:P237" si="231">C231-C233-C235</f>
        <v>#REF!</v>
      </c>
      <c r="D237" s="27" t="e">
        <f t="shared" si="231"/>
        <v>#REF!</v>
      </c>
      <c r="E237" s="27" t="e">
        <f t="shared" si="231"/>
        <v>#REF!</v>
      </c>
      <c r="F237" s="27" t="e">
        <f t="shared" si="231"/>
        <v>#REF!</v>
      </c>
      <c r="G237" s="27" t="e">
        <f t="shared" si="231"/>
        <v>#REF!</v>
      </c>
      <c r="H237" s="27" t="e">
        <f t="shared" si="231"/>
        <v>#REF!</v>
      </c>
      <c r="I237" s="27" t="e">
        <f t="shared" si="231"/>
        <v>#REF!</v>
      </c>
      <c r="J237" s="27" t="e">
        <f t="shared" si="231"/>
        <v>#REF!</v>
      </c>
      <c r="K237" s="27" t="e">
        <f>K231-K233-K235</f>
        <v>#REF!</v>
      </c>
      <c r="L237" s="27" t="e">
        <f>L231-L233-L235</f>
        <v>#REF!</v>
      </c>
      <c r="M237" s="27" t="e">
        <f>M231-M233-M235</f>
        <v>#REF!</v>
      </c>
      <c r="N237" s="27" t="e">
        <f t="shared" si="231"/>
        <v>#REF!</v>
      </c>
      <c r="O237" s="27" t="e">
        <f t="shared" si="231"/>
        <v>#REF!</v>
      </c>
      <c r="P237" s="27" t="e">
        <f t="shared" si="231"/>
        <v>#REF!</v>
      </c>
      <c r="Q237" s="27" t="e">
        <f>Q231-Q233-Q235</f>
        <v>#REF!</v>
      </c>
      <c r="R237" s="27" t="e">
        <f>R231-R233-R235</f>
        <v>#REF!</v>
      </c>
      <c r="S237" s="27" t="e">
        <f>S231-S233-S235</f>
        <v>#REF!</v>
      </c>
      <c r="T237" s="27" t="e">
        <f>T231-T233-T235</f>
        <v>#REF!</v>
      </c>
      <c r="U237" s="27" t="e">
        <f>U231-U233-U235</f>
        <v>#REF!</v>
      </c>
      <c r="X237" s="24"/>
      <c r="Y237" s="24"/>
      <c r="Z237" s="24"/>
      <c r="AA237" s="24"/>
      <c r="AB237" s="24"/>
    </row>
    <row r="238" spans="1:28" s="24" customFormat="1" ht="11.25" hidden="1" customHeight="1" outlineLevel="1">
      <c r="A238" s="4"/>
      <c r="B238" s="4"/>
      <c r="X238" s="4"/>
      <c r="Y238" s="4"/>
      <c r="Z238" s="4"/>
      <c r="AA238" s="4"/>
      <c r="AB238" s="4"/>
    </row>
    <row r="239" spans="1:28" ht="11.25" hidden="1" customHeight="1" outlineLevel="1" collapsed="1">
      <c r="A239" s="19" t="s">
        <v>200</v>
      </c>
      <c r="B239" s="19"/>
      <c r="C239" s="21" t="e">
        <f>C237/C240</f>
        <v>#REF!</v>
      </c>
      <c r="D239" s="21" t="str">
        <f t="shared" ref="D239:J239" si="232">IF(ISERROR(D237/D240),"NA",D237/D240)</f>
        <v>NA</v>
      </c>
      <c r="E239" s="21" t="str">
        <f t="shared" si="232"/>
        <v>NA</v>
      </c>
      <c r="F239" s="21" t="str">
        <f t="shared" si="232"/>
        <v>NA</v>
      </c>
      <c r="G239" s="21" t="str">
        <f t="shared" si="232"/>
        <v>NA</v>
      </c>
      <c r="H239" s="21" t="str">
        <f t="shared" si="232"/>
        <v>NA</v>
      </c>
      <c r="I239" s="21" t="str">
        <f t="shared" si="232"/>
        <v>NA</v>
      </c>
      <c r="J239" s="21" t="str">
        <f t="shared" si="232"/>
        <v>NA</v>
      </c>
      <c r="K239" s="21" t="e">
        <f t="shared" ref="K239:Q239" si="233">K237/K240</f>
        <v>#REF!</v>
      </c>
      <c r="L239" s="21" t="e">
        <f>L237/L240</f>
        <v>#REF!</v>
      </c>
      <c r="M239" s="21" t="e">
        <f>M237/M240</f>
        <v>#REF!</v>
      </c>
      <c r="N239" s="21" t="e">
        <f t="shared" si="233"/>
        <v>#REF!</v>
      </c>
      <c r="O239" s="21" t="e">
        <f t="shared" si="233"/>
        <v>#REF!</v>
      </c>
      <c r="P239" s="21" t="e">
        <f t="shared" si="233"/>
        <v>#REF!</v>
      </c>
      <c r="Q239" s="21" t="e">
        <f t="shared" si="233"/>
        <v>#REF!</v>
      </c>
      <c r="R239" s="21" t="e">
        <f>R237/R240</f>
        <v>#REF!</v>
      </c>
      <c r="S239" s="21" t="e">
        <f>S237/S240</f>
        <v>#REF!</v>
      </c>
      <c r="T239" s="21" t="e">
        <f>T237/T240</f>
        <v>#REF!</v>
      </c>
      <c r="U239" s="21" t="e">
        <f>U237/U240</f>
        <v>#REF!</v>
      </c>
    </row>
    <row r="240" spans="1:28" ht="11.25" hidden="1" customHeight="1" outlineLevel="1">
      <c r="A240" s="24" t="s">
        <v>197</v>
      </c>
      <c r="B240" s="24"/>
      <c r="C240" s="26">
        <f t="shared" ref="C240:U240" si="234">C27</f>
        <v>44.668281999999998</v>
      </c>
      <c r="D240" s="26" t="str">
        <f t="shared" si="234"/>
        <v>NA</v>
      </c>
      <c r="E240" s="26" t="str">
        <f t="shared" si="234"/>
        <v>NA</v>
      </c>
      <c r="F240" s="26" t="str">
        <f t="shared" si="234"/>
        <v>NA</v>
      </c>
      <c r="G240" s="26" t="str">
        <f t="shared" si="234"/>
        <v>NA</v>
      </c>
      <c r="H240" s="26">
        <f t="shared" si="234"/>
        <v>71.508025000000004</v>
      </c>
      <c r="I240" s="26">
        <f t="shared" si="234"/>
        <v>71.508025000000004</v>
      </c>
      <c r="J240" s="26">
        <f t="shared" si="234"/>
        <v>71.508025000000004</v>
      </c>
      <c r="K240" s="26">
        <f t="shared" si="234"/>
        <v>71.508025000000004</v>
      </c>
      <c r="L240" s="26">
        <f t="shared" si="234"/>
        <v>74.258713999999998</v>
      </c>
      <c r="M240" s="26">
        <f t="shared" si="234"/>
        <v>75.864999999999995</v>
      </c>
      <c r="N240" s="26">
        <f t="shared" si="234"/>
        <v>75.442999999999998</v>
      </c>
      <c r="O240" s="26">
        <f t="shared" si="234"/>
        <v>71.721000000000004</v>
      </c>
      <c r="P240" s="26">
        <f t="shared" si="234"/>
        <v>70.287999999999997</v>
      </c>
      <c r="Q240" s="26">
        <f t="shared" si="234"/>
        <v>67.884999999999991</v>
      </c>
      <c r="R240" s="26">
        <f t="shared" si="234"/>
        <v>66.40351851851851</v>
      </c>
      <c r="S240" s="26">
        <f t="shared" si="234"/>
        <v>64.974947089947079</v>
      </c>
      <c r="T240" s="26">
        <f t="shared" si="234"/>
        <v>63.641613756613744</v>
      </c>
      <c r="U240" s="26">
        <f t="shared" si="234"/>
        <v>63.641613756613744</v>
      </c>
    </row>
    <row r="241" spans="1:21" ht="11.25" hidden="1" customHeight="1" outlineLevel="1">
      <c r="C241" s="24"/>
      <c r="D241" s="24"/>
      <c r="E241" s="24"/>
      <c r="F241" s="24"/>
      <c r="G241" s="24"/>
      <c r="H241" s="24"/>
      <c r="I241" s="24"/>
      <c r="J241" s="24"/>
      <c r="K241" s="24"/>
      <c r="L241" s="24"/>
      <c r="M241" s="24"/>
      <c r="N241" s="24"/>
      <c r="O241" s="24"/>
      <c r="P241" s="24"/>
      <c r="Q241" s="24"/>
      <c r="R241" s="24"/>
      <c r="S241" s="24"/>
      <c r="T241" s="24"/>
      <c r="U241" s="24"/>
    </row>
    <row r="242" spans="1:21" ht="11.25" hidden="1" customHeight="1" outlineLevel="1">
      <c r="A242" s="4" t="s">
        <v>372</v>
      </c>
      <c r="C242" s="35" t="e">
        <f>#REF!</f>
        <v>#REF!</v>
      </c>
      <c r="D242" s="35" t="e">
        <f>#REF!</f>
        <v>#REF!</v>
      </c>
      <c r="E242" s="35" t="e">
        <f>#REF!</f>
        <v>#REF!</v>
      </c>
      <c r="F242" s="35" t="e">
        <f>#REF!</f>
        <v>#REF!</v>
      </c>
      <c r="G242" s="35" t="e">
        <f>#REF!</f>
        <v>#REF!</v>
      </c>
      <c r="H242" s="35" t="e">
        <f>#REF!</f>
        <v>#REF!</v>
      </c>
      <c r="I242" s="35" t="e">
        <f>#REF!</f>
        <v>#REF!</v>
      </c>
      <c r="J242" s="35" t="e">
        <f>#REF!</f>
        <v>#REF!</v>
      </c>
      <c r="K242" s="35" t="e">
        <f>#REF!</f>
        <v>#REF!</v>
      </c>
      <c r="L242" s="35" t="e">
        <f>#REF!</f>
        <v>#REF!</v>
      </c>
      <c r="M242" s="35" t="e">
        <f>#REF!</f>
        <v>#REF!</v>
      </c>
      <c r="N242" s="35" t="e">
        <f>#REF!</f>
        <v>#REF!</v>
      </c>
      <c r="O242" s="35" t="e">
        <f>#REF!</f>
        <v>#REF!</v>
      </c>
      <c r="P242" s="35" t="e">
        <f>#REF!</f>
        <v>#REF!</v>
      </c>
      <c r="Q242" s="35" t="e">
        <f>#REF!</f>
        <v>#REF!</v>
      </c>
      <c r="R242" s="35" t="e">
        <f>#REF!</f>
        <v>#REF!</v>
      </c>
      <c r="S242" s="35" t="e">
        <f>#REF!</f>
        <v>#REF!</v>
      </c>
      <c r="T242" s="35" t="e">
        <f>#REF!</f>
        <v>#REF!</v>
      </c>
      <c r="U242" s="35" t="e">
        <f>#REF!</f>
        <v>#REF!</v>
      </c>
    </row>
    <row r="243" spans="1:21" ht="11.25" hidden="1" customHeight="1" outlineLevel="1" collapsed="1">
      <c r="A243" s="4" t="s">
        <v>370</v>
      </c>
      <c r="C243" s="27" t="e">
        <f>C237+C242</f>
        <v>#REF!</v>
      </c>
      <c r="D243" s="27" t="e">
        <f t="shared" ref="D243:Q243" si="235">D237+D242</f>
        <v>#REF!</v>
      </c>
      <c r="E243" s="27" t="e">
        <f t="shared" si="235"/>
        <v>#REF!</v>
      </c>
      <c r="F243" s="27" t="e">
        <f t="shared" si="235"/>
        <v>#REF!</v>
      </c>
      <c r="G243" s="27" t="e">
        <f t="shared" si="235"/>
        <v>#REF!</v>
      </c>
      <c r="H243" s="27" t="e">
        <f t="shared" si="235"/>
        <v>#REF!</v>
      </c>
      <c r="I243" s="27" t="e">
        <f t="shared" si="235"/>
        <v>#REF!</v>
      </c>
      <c r="J243" s="27" t="e">
        <f t="shared" si="235"/>
        <v>#REF!</v>
      </c>
      <c r="K243" s="27" t="e">
        <f t="shared" si="235"/>
        <v>#REF!</v>
      </c>
      <c r="L243" s="27" t="e">
        <f>L237+L242</f>
        <v>#REF!</v>
      </c>
      <c r="M243" s="27" t="e">
        <f>M237+M242</f>
        <v>#REF!</v>
      </c>
      <c r="N243" s="27" t="e">
        <f t="shared" si="235"/>
        <v>#REF!</v>
      </c>
      <c r="O243" s="27" t="e">
        <f t="shared" si="235"/>
        <v>#REF!</v>
      </c>
      <c r="P243" s="27" t="e">
        <f t="shared" si="235"/>
        <v>#REF!</v>
      </c>
      <c r="Q243" s="27" t="e">
        <f t="shared" si="235"/>
        <v>#REF!</v>
      </c>
      <c r="R243" s="27" t="e">
        <f>R237+R242</f>
        <v>#REF!</v>
      </c>
      <c r="S243" s="27" t="e">
        <f>S237+S242</f>
        <v>#REF!</v>
      </c>
      <c r="T243" s="27" t="e">
        <f>T237+T242</f>
        <v>#REF!</v>
      </c>
      <c r="U243" s="27" t="e">
        <f>U237+U242</f>
        <v>#REF!</v>
      </c>
    </row>
    <row r="244" spans="1:21" ht="11.25" hidden="1" customHeight="1" outlineLevel="1">
      <c r="A244" s="19" t="s">
        <v>371</v>
      </c>
      <c r="B244" s="19"/>
      <c r="C244" s="106" t="str">
        <f t="shared" ref="C244:J244" si="236">IF(ISERROR(C243/C240),"NA",C243/C240)</f>
        <v>NA</v>
      </c>
      <c r="D244" s="106" t="str">
        <f t="shared" si="236"/>
        <v>NA</v>
      </c>
      <c r="E244" s="106" t="str">
        <f t="shared" si="236"/>
        <v>NA</v>
      </c>
      <c r="F244" s="106" t="str">
        <f t="shared" si="236"/>
        <v>NA</v>
      </c>
      <c r="G244" s="106" t="str">
        <f t="shared" si="236"/>
        <v>NA</v>
      </c>
      <c r="H244" s="106" t="str">
        <f t="shared" si="236"/>
        <v>NA</v>
      </c>
      <c r="I244" s="106" t="str">
        <f t="shared" si="236"/>
        <v>NA</v>
      </c>
      <c r="J244" s="106" t="str">
        <f t="shared" si="236"/>
        <v>NA</v>
      </c>
      <c r="K244" s="106" t="e">
        <f t="shared" ref="K244:Q244" si="237">+K243/K240</f>
        <v>#REF!</v>
      </c>
      <c r="L244" s="106" t="e">
        <f>+L243/L240</f>
        <v>#REF!</v>
      </c>
      <c r="M244" s="106" t="e">
        <f>+M243/M240</f>
        <v>#REF!</v>
      </c>
      <c r="N244" s="106" t="e">
        <f t="shared" si="237"/>
        <v>#REF!</v>
      </c>
      <c r="O244" s="106" t="e">
        <f t="shared" si="237"/>
        <v>#REF!</v>
      </c>
      <c r="P244" s="106" t="e">
        <f t="shared" si="237"/>
        <v>#REF!</v>
      </c>
      <c r="Q244" s="106" t="e">
        <f t="shared" si="237"/>
        <v>#REF!</v>
      </c>
      <c r="R244" s="106" t="e">
        <f>+R243/R240</f>
        <v>#REF!</v>
      </c>
      <c r="S244" s="106" t="e">
        <f>+S243/S240</f>
        <v>#REF!</v>
      </c>
      <c r="T244" s="106" t="e">
        <f>+T243/T240</f>
        <v>#REF!</v>
      </c>
      <c r="U244" s="106" t="e">
        <f>+U243/U240</f>
        <v>#REF!</v>
      </c>
    </row>
    <row r="245" spans="1:21" ht="11.25" hidden="1" customHeight="1" outlineLevel="1">
      <c r="C245" s="24"/>
      <c r="D245" s="24"/>
      <c r="E245" s="24"/>
      <c r="F245" s="24"/>
      <c r="G245" s="24"/>
      <c r="H245" s="24"/>
      <c r="I245" s="24"/>
      <c r="J245" s="24"/>
      <c r="K245" s="24"/>
      <c r="L245" s="24"/>
      <c r="M245" s="24"/>
      <c r="N245" s="24"/>
      <c r="O245" s="24"/>
      <c r="P245" s="24"/>
      <c r="Q245" s="24"/>
      <c r="R245" s="24"/>
      <c r="S245" s="24"/>
      <c r="T245" s="24"/>
      <c r="U245" s="24"/>
    </row>
    <row r="246" spans="1:21" ht="11.25" hidden="1" customHeight="1" outlineLevel="1">
      <c r="A246" s="4" t="s">
        <v>349</v>
      </c>
      <c r="C246" s="27" t="e">
        <f>C229+C227+C228</f>
        <v>#REF!</v>
      </c>
      <c r="D246" s="27" t="e">
        <f t="shared" ref="D246:Q246" si="238">D229+D227+D228</f>
        <v>#REF!</v>
      </c>
      <c r="E246" s="27" t="e">
        <f t="shared" si="238"/>
        <v>#REF!</v>
      </c>
      <c r="F246" s="27" t="e">
        <f t="shared" si="238"/>
        <v>#REF!</v>
      </c>
      <c r="G246" s="27" t="e">
        <f t="shared" si="238"/>
        <v>#REF!</v>
      </c>
      <c r="H246" s="27" t="e">
        <f t="shared" si="238"/>
        <v>#REF!</v>
      </c>
      <c r="I246" s="27" t="e">
        <f t="shared" si="238"/>
        <v>#REF!</v>
      </c>
      <c r="J246" s="27" t="e">
        <f t="shared" si="238"/>
        <v>#REF!</v>
      </c>
      <c r="K246" s="27" t="e">
        <f t="shared" si="238"/>
        <v>#REF!</v>
      </c>
      <c r="L246" s="27" t="e">
        <f>L229+L227+L228</f>
        <v>#REF!</v>
      </c>
      <c r="M246" s="27" t="e">
        <f>M229+M227+M228</f>
        <v>#REF!</v>
      </c>
      <c r="N246" s="27" t="e">
        <f t="shared" si="238"/>
        <v>#REF!</v>
      </c>
      <c r="O246" s="27" t="e">
        <f t="shared" si="238"/>
        <v>#REF!</v>
      </c>
      <c r="P246" s="27" t="e">
        <f t="shared" si="238"/>
        <v>#REF!</v>
      </c>
      <c r="Q246" s="27" t="e">
        <f t="shared" si="238"/>
        <v>#REF!</v>
      </c>
      <c r="R246" s="27" t="e">
        <f>R229+R227+R228</f>
        <v>#REF!</v>
      </c>
      <c r="S246" s="27" t="e">
        <f>S229+S227+S228</f>
        <v>#REF!</v>
      </c>
      <c r="T246" s="27" t="e">
        <f>T229+T227+T228</f>
        <v>#REF!</v>
      </c>
      <c r="U246" s="27" t="e">
        <f>U229+U227+U228</f>
        <v>#REF!</v>
      </c>
    </row>
    <row r="247" spans="1:21" ht="11.25" hidden="1" customHeight="1" outlineLevel="1">
      <c r="C247" s="24"/>
      <c r="D247" s="24"/>
      <c r="E247" s="24"/>
      <c r="F247" s="24"/>
      <c r="G247" s="24"/>
      <c r="H247" s="24"/>
      <c r="I247" s="24"/>
      <c r="J247" s="24"/>
      <c r="K247" s="24"/>
      <c r="L247" s="24"/>
      <c r="M247" s="24"/>
      <c r="N247" s="24"/>
      <c r="O247" s="24"/>
      <c r="P247" s="24"/>
      <c r="Q247" s="24"/>
      <c r="R247" s="24"/>
      <c r="S247" s="24"/>
      <c r="T247" s="24"/>
      <c r="U247" s="24"/>
    </row>
    <row r="248" spans="1:21" ht="11.25" hidden="1" customHeight="1" outlineLevel="1">
      <c r="A248" s="15" t="s">
        <v>203</v>
      </c>
      <c r="C248" s="24"/>
      <c r="D248" s="24"/>
      <c r="E248" s="24"/>
      <c r="F248" s="24"/>
      <c r="G248" s="24"/>
      <c r="H248" s="24"/>
      <c r="I248" s="24"/>
      <c r="J248" s="24"/>
      <c r="K248" s="24"/>
      <c r="L248" s="24"/>
      <c r="M248" s="24"/>
      <c r="N248" s="24"/>
      <c r="O248" s="24"/>
      <c r="P248" s="24"/>
      <c r="Q248" s="24"/>
      <c r="R248" s="24"/>
      <c r="S248" s="24"/>
      <c r="T248" s="24"/>
      <c r="U248" s="24"/>
    </row>
    <row r="249" spans="1:21" ht="11.25" hidden="1" customHeight="1" outlineLevel="1">
      <c r="A249" s="4" t="s">
        <v>204</v>
      </c>
      <c r="C249" s="28">
        <f t="shared" ref="C249:J249" si="239">C224/C220</f>
        <v>0.38269136631281553</v>
      </c>
      <c r="D249" s="28">
        <f t="shared" si="239"/>
        <v>0.37898176158807939</v>
      </c>
      <c r="E249" s="28">
        <f t="shared" si="239"/>
        <v>0.37091801481838349</v>
      </c>
      <c r="F249" s="28">
        <f t="shared" si="239"/>
        <v>0.38251620954514487</v>
      </c>
      <c r="G249" s="28">
        <f t="shared" si="239"/>
        <v>0.38803138926621206</v>
      </c>
      <c r="H249" s="28">
        <f t="shared" si="239"/>
        <v>0.380709548969972</v>
      </c>
      <c r="I249" s="28">
        <f t="shared" si="239"/>
        <v>0.38621518082887463</v>
      </c>
      <c r="J249" s="28">
        <f t="shared" si="239"/>
        <v>0.38677171058401189</v>
      </c>
      <c r="K249" s="28">
        <f>K224/K220</f>
        <v>0.38730639699926162</v>
      </c>
      <c r="L249" s="28">
        <f>L224/L220</f>
        <v>0.39108861134594375</v>
      </c>
      <c r="M249" s="28">
        <f>M224/M220</f>
        <v>0.39748331292278499</v>
      </c>
      <c r="N249" s="37">
        <f>N51-0.0034</f>
        <v>0.39654473352458913</v>
      </c>
      <c r="O249" s="37">
        <v>0.40300000000000002</v>
      </c>
      <c r="P249" s="37">
        <f>P51-0.004</f>
        <v>0.41107068636657512</v>
      </c>
      <c r="Q249" s="37">
        <f>Q51-0.0036</f>
        <v>0.41577323737577387</v>
      </c>
      <c r="R249" s="37">
        <f>R51-0.0036</f>
        <v>0.41540000000000005</v>
      </c>
      <c r="S249" s="37">
        <f>S51-0.0036</f>
        <v>0.41619999999999996</v>
      </c>
      <c r="T249" s="37">
        <f>T51-0.0036</f>
        <v>0.41689999999999994</v>
      </c>
      <c r="U249" s="37">
        <f>U51-0.0036</f>
        <v>0.41740000000000005</v>
      </c>
    </row>
    <row r="250" spans="1:21" ht="11.25" hidden="1" customHeight="1" outlineLevel="1">
      <c r="A250" s="4" t="s">
        <v>205</v>
      </c>
      <c r="C250" s="28">
        <f t="shared" ref="C250:J250" si="240">C225/C220</f>
        <v>0.31471034559923916</v>
      </c>
      <c r="D250" s="28">
        <f t="shared" si="240"/>
        <v>0.2993146532326616</v>
      </c>
      <c r="E250" s="28">
        <f t="shared" si="240"/>
        <v>0.30309915938492815</v>
      </c>
      <c r="F250" s="28">
        <f t="shared" si="240"/>
        <v>0.30870935264967775</v>
      </c>
      <c r="G250" s="28">
        <f t="shared" si="240"/>
        <v>0.31858574819369195</v>
      </c>
      <c r="H250" s="28">
        <f t="shared" si="240"/>
        <v>0.31620414236623434</v>
      </c>
      <c r="I250" s="28">
        <f t="shared" si="240"/>
        <v>0.31518758710072647</v>
      </c>
      <c r="J250" s="28">
        <f t="shared" si="240"/>
        <v>0.3154467384891132</v>
      </c>
      <c r="K250" s="28">
        <f>K225/K220</f>
        <v>0.31620391583440183</v>
      </c>
      <c r="L250" s="28">
        <f>L225/L220</f>
        <v>0.31435054928251888</v>
      </c>
      <c r="M250" s="28">
        <f>M225/M220</f>
        <v>0.31397793002145186</v>
      </c>
      <c r="N250" s="37">
        <f>N52+0.002</f>
        <v>0.31534365706387146</v>
      </c>
      <c r="O250" s="37">
        <f>O52+0.0045</f>
        <v>0.3141010124257147</v>
      </c>
      <c r="P250" s="37">
        <f>P52+0.007</f>
        <v>0.31325664158654581</v>
      </c>
      <c r="Q250" s="37">
        <f>Q52+0.009</f>
        <v>0.31510548645515074</v>
      </c>
      <c r="R250" s="37">
        <f>R52+0.009</f>
        <v>0.31509999999999999</v>
      </c>
      <c r="S250" s="37">
        <f>S52+0.009</f>
        <v>0.316</v>
      </c>
      <c r="T250" s="37">
        <f>T52+0.009</f>
        <v>0.31609999999999999</v>
      </c>
      <c r="U250" s="37">
        <f>U52+0.009</f>
        <v>0.31669999999999998</v>
      </c>
    </row>
    <row r="251" spans="1:21" ht="11.25" hidden="1" customHeight="1" outlineLevel="1">
      <c r="A251" s="4" t="s">
        <v>190</v>
      </c>
      <c r="C251" s="28" t="e">
        <f>C227/C220</f>
        <v>#REF!</v>
      </c>
      <c r="D251" s="28" t="e">
        <f t="shared" ref="D251:Q251" si="241">D227/D220</f>
        <v>#REF!</v>
      </c>
      <c r="E251" s="28" t="e">
        <f t="shared" si="241"/>
        <v>#REF!</v>
      </c>
      <c r="F251" s="28" t="e">
        <f t="shared" si="241"/>
        <v>#REF!</v>
      </c>
      <c r="G251" s="28" t="e">
        <f t="shared" si="241"/>
        <v>#REF!</v>
      </c>
      <c r="H251" s="28" t="e">
        <f t="shared" si="241"/>
        <v>#REF!</v>
      </c>
      <c r="I251" s="28" t="e">
        <f t="shared" si="241"/>
        <v>#REF!</v>
      </c>
      <c r="J251" s="28" t="e">
        <f t="shared" si="241"/>
        <v>#REF!</v>
      </c>
      <c r="K251" s="28" t="e">
        <f t="shared" si="241"/>
        <v>#REF!</v>
      </c>
      <c r="L251" s="28" t="e">
        <f>L227/L220</f>
        <v>#REF!</v>
      </c>
      <c r="M251" s="28" t="e">
        <f>M227/M220</f>
        <v>#REF!</v>
      </c>
      <c r="N251" s="28" t="e">
        <f t="shared" si="241"/>
        <v>#REF!</v>
      </c>
      <c r="O251" s="28" t="e">
        <f t="shared" si="241"/>
        <v>#REF!</v>
      </c>
      <c r="P251" s="28" t="e">
        <f t="shared" si="241"/>
        <v>#REF!</v>
      </c>
      <c r="Q251" s="28" t="e">
        <f t="shared" si="241"/>
        <v>#REF!</v>
      </c>
      <c r="R251" s="28" t="e">
        <f>R227/R220</f>
        <v>#REF!</v>
      </c>
      <c r="S251" s="28" t="e">
        <f>S227/S220</f>
        <v>#REF!</v>
      </c>
      <c r="T251" s="28" t="e">
        <f>T227/T220</f>
        <v>#REF!</v>
      </c>
      <c r="U251" s="28" t="e">
        <f>U227/U220</f>
        <v>#REF!</v>
      </c>
    </row>
    <row r="252" spans="1:21" ht="11.25" hidden="1" customHeight="1" outlineLevel="1">
      <c r="A252" s="4" t="s">
        <v>206</v>
      </c>
      <c r="C252" s="28" t="e">
        <f t="shared" ref="C252:Q252" si="242">C229/C220</f>
        <v>#REF!</v>
      </c>
      <c r="D252" s="28" t="e">
        <f t="shared" si="242"/>
        <v>#REF!</v>
      </c>
      <c r="E252" s="28" t="e">
        <f t="shared" si="242"/>
        <v>#REF!</v>
      </c>
      <c r="F252" s="28" t="e">
        <f t="shared" si="242"/>
        <v>#REF!</v>
      </c>
      <c r="G252" s="28" t="e">
        <f t="shared" si="242"/>
        <v>#REF!</v>
      </c>
      <c r="H252" s="28" t="e">
        <f t="shared" si="242"/>
        <v>#REF!</v>
      </c>
      <c r="I252" s="28" t="e">
        <f t="shared" si="242"/>
        <v>#REF!</v>
      </c>
      <c r="J252" s="28" t="e">
        <f t="shared" si="242"/>
        <v>#REF!</v>
      </c>
      <c r="K252" s="28" t="e">
        <f t="shared" si="242"/>
        <v>#REF!</v>
      </c>
      <c r="L252" s="28" t="e">
        <f>L229/L220</f>
        <v>#REF!</v>
      </c>
      <c r="M252" s="28" t="e">
        <f>M229/M220</f>
        <v>#REF!</v>
      </c>
      <c r="N252" s="28" t="e">
        <f t="shared" si="242"/>
        <v>#REF!</v>
      </c>
      <c r="O252" s="28" t="e">
        <f t="shared" si="242"/>
        <v>#REF!</v>
      </c>
      <c r="P252" s="28" t="e">
        <f t="shared" si="242"/>
        <v>#REF!</v>
      </c>
      <c r="Q252" s="28" t="e">
        <f t="shared" si="242"/>
        <v>#REF!</v>
      </c>
      <c r="R252" s="28" t="e">
        <f>R229/R220</f>
        <v>#REF!</v>
      </c>
      <c r="S252" s="28" t="e">
        <f>S229/S220</f>
        <v>#REF!</v>
      </c>
      <c r="T252" s="28" t="e">
        <f>T229/T220</f>
        <v>#REF!</v>
      </c>
      <c r="U252" s="28" t="e">
        <f>U229/U220</f>
        <v>#REF!</v>
      </c>
    </row>
    <row r="253" spans="1:21" ht="11.25" hidden="1" customHeight="1" outlineLevel="1">
      <c r="A253" s="4" t="s">
        <v>208</v>
      </c>
      <c r="C253" s="28" t="e">
        <f>C233/C231</f>
        <v>#REF!</v>
      </c>
      <c r="D253" s="28" t="e">
        <f t="shared" ref="D253:J253" si="243">D233/D231</f>
        <v>#REF!</v>
      </c>
      <c r="E253" s="28" t="e">
        <f t="shared" si="243"/>
        <v>#REF!</v>
      </c>
      <c r="F253" s="28" t="e">
        <f t="shared" si="243"/>
        <v>#REF!</v>
      </c>
      <c r="G253" s="28" t="e">
        <f t="shared" si="243"/>
        <v>#REF!</v>
      </c>
      <c r="H253" s="28" t="e">
        <f t="shared" si="243"/>
        <v>#REF!</v>
      </c>
      <c r="I253" s="28" t="e">
        <f t="shared" si="243"/>
        <v>#REF!</v>
      </c>
      <c r="J253" s="28" t="e">
        <f t="shared" si="243"/>
        <v>#REF!</v>
      </c>
      <c r="K253" s="28" t="e">
        <f>K233/K231</f>
        <v>#REF!</v>
      </c>
      <c r="L253" s="28" t="e">
        <f>L233/L231</f>
        <v>#REF!</v>
      </c>
      <c r="M253" s="28" t="e">
        <f>M233/M231</f>
        <v>#REF!</v>
      </c>
      <c r="N253" s="37">
        <f t="shared" ref="N253:U253" si="244">N56</f>
        <v>0.37003608597000914</v>
      </c>
      <c r="O253" s="37">
        <f t="shared" si="244"/>
        <v>0.35214518084582835</v>
      </c>
      <c r="P253" s="37">
        <f t="shared" si="244"/>
        <v>0.32009779943120914</v>
      </c>
      <c r="Q253" s="37">
        <f t="shared" si="244"/>
        <v>0.23519523691257235</v>
      </c>
      <c r="R253" s="37">
        <f t="shared" si="244"/>
        <v>0.23519523691257238</v>
      </c>
      <c r="S253" s="37">
        <f t="shared" si="244"/>
        <v>0.23519523691257238</v>
      </c>
      <c r="T253" s="37">
        <f t="shared" si="244"/>
        <v>0.23519523691257238</v>
      </c>
      <c r="U253" s="37">
        <f t="shared" si="244"/>
        <v>0.23519523691257235</v>
      </c>
    </row>
    <row r="254" spans="1:21" ht="11.25" hidden="1" customHeight="1" outlineLevel="1">
      <c r="C254" s="24"/>
      <c r="D254" s="24"/>
      <c r="E254" s="24"/>
      <c r="F254" s="24"/>
      <c r="G254" s="24"/>
      <c r="H254" s="24"/>
      <c r="I254" s="24"/>
      <c r="J254" s="24"/>
      <c r="K254" s="24"/>
      <c r="L254" s="24"/>
      <c r="M254" s="24"/>
      <c r="N254" s="24"/>
      <c r="O254" s="24"/>
      <c r="P254" s="24"/>
      <c r="Q254" s="24"/>
      <c r="R254" s="24"/>
      <c r="S254" s="24"/>
      <c r="T254" s="24"/>
      <c r="U254" s="24"/>
    </row>
    <row r="255" spans="1:21" ht="11.25" hidden="1" customHeight="1" outlineLevel="1">
      <c r="A255" s="15" t="s">
        <v>210</v>
      </c>
      <c r="C255" s="24"/>
      <c r="D255" s="24"/>
      <c r="E255" s="24"/>
      <c r="F255" s="24"/>
      <c r="G255" s="24"/>
      <c r="H255" s="24"/>
      <c r="I255" s="24"/>
      <c r="J255" s="24"/>
      <c r="K255" s="24"/>
      <c r="L255" s="24"/>
      <c r="M255" s="24"/>
      <c r="N255" s="24"/>
      <c r="O255" s="24"/>
      <c r="P255" s="24"/>
      <c r="Q255" s="24"/>
      <c r="R255" s="24"/>
      <c r="S255" s="24"/>
      <c r="T255" s="24"/>
      <c r="U255" s="24"/>
    </row>
    <row r="256" spans="1:21" ht="11.25" hidden="1" customHeight="1" outlineLevel="1">
      <c r="A256" s="4" t="s">
        <v>98</v>
      </c>
      <c r="C256" s="29" t="s">
        <v>90</v>
      </c>
      <c r="D256" s="28">
        <f t="shared" ref="D256:M256" si="245">((D220/C220)-1)</f>
        <v>0.11884082294857268</v>
      </c>
      <c r="E256" s="28">
        <f t="shared" si="245"/>
        <v>8.4602355117755934E-2</v>
      </c>
      <c r="F256" s="28">
        <f t="shared" si="245"/>
        <v>-8.3297940328835862E-3</v>
      </c>
      <c r="G256" s="28">
        <f t="shared" si="245"/>
        <v>-5.134753874963871E-3</v>
      </c>
      <c r="H256" s="28">
        <f t="shared" si="245"/>
        <v>2.8896547957592E-2</v>
      </c>
      <c r="I256" s="28">
        <f t="shared" si="245"/>
        <v>4.1638257419851943E-2</v>
      </c>
      <c r="J256" s="28">
        <f t="shared" si="245"/>
        <v>5.0286652339954108E-2</v>
      </c>
      <c r="K256" s="28">
        <f t="shared" si="245"/>
        <v>5.7834048081879086E-2</v>
      </c>
      <c r="L256" s="28">
        <f t="shared" si="245"/>
        <v>8.596170996477448E-2</v>
      </c>
      <c r="M256" s="28">
        <f t="shared" si="245"/>
        <v>8.7408410564600469E-2</v>
      </c>
      <c r="N256" s="28">
        <f t="shared" ref="N256:T256" si="246">N257+N264</f>
        <v>1.9077321360621936E-2</v>
      </c>
      <c r="O256" s="28">
        <f t="shared" si="246"/>
        <v>5.1608595682389992E-2</v>
      </c>
      <c r="P256" s="28">
        <f t="shared" si="246"/>
        <v>6.319519557717726E-2</v>
      </c>
      <c r="Q256" s="28">
        <f t="shared" si="246"/>
        <v>5.2602386578097814E-2</v>
      </c>
      <c r="R256" s="28">
        <f t="shared" si="246"/>
        <v>7.3959938366717798E-2</v>
      </c>
      <c r="S256" s="28">
        <f t="shared" si="246"/>
        <v>6.966618287372997E-2</v>
      </c>
      <c r="T256" s="28">
        <f t="shared" si="246"/>
        <v>6.5843621399176905E-2</v>
      </c>
      <c r="U256" s="28">
        <f t="shared" ref="U256" si="247">U257+U264</f>
        <v>6.2418725617685383E-2</v>
      </c>
    </row>
    <row r="257" spans="1:22" ht="11.25" hidden="1" customHeight="1" outlineLevel="1">
      <c r="A257" s="4" t="s">
        <v>211</v>
      </c>
      <c r="C257" s="29" t="s">
        <v>90</v>
      </c>
      <c r="D257" s="29" t="s">
        <v>90</v>
      </c>
      <c r="E257" s="28">
        <f t="shared" ref="E257:M257" si="248">E60</f>
        <v>4.2999999999999997E-2</v>
      </c>
      <c r="F257" s="28">
        <f t="shared" si="248"/>
        <v>-2.1999999999999999E-2</v>
      </c>
      <c r="G257" s="28">
        <f t="shared" si="248"/>
        <v>-5.1999999999999998E-2</v>
      </c>
      <c r="H257" s="28">
        <f t="shared" si="248"/>
        <v>-0.04</v>
      </c>
      <c r="I257" s="28">
        <f t="shared" si="248"/>
        <v>-2E-3</v>
      </c>
      <c r="J257" s="28">
        <f t="shared" si="248"/>
        <v>6.9999999999999993E-3</v>
      </c>
      <c r="K257" s="28">
        <f t="shared" si="248"/>
        <v>1.2E-2</v>
      </c>
      <c r="L257" s="28">
        <f t="shared" si="248"/>
        <v>4.7E-2</v>
      </c>
      <c r="M257" s="28">
        <f t="shared" si="248"/>
        <v>4.9000000000000002E-2</v>
      </c>
      <c r="N257" s="37">
        <f>N60-0.03</f>
        <v>-8.5158427294186254E-3</v>
      </c>
      <c r="O257" s="37">
        <f>O60-0.03</f>
        <v>1.4941619514635011E-2</v>
      </c>
      <c r="P257" s="37">
        <f t="shared" ref="P257:U257" si="249">P60-0.02</f>
        <v>1.4000000000000002E-2</v>
      </c>
      <c r="Q257" s="37">
        <f t="shared" si="249"/>
        <v>9.999999999999995E-3</v>
      </c>
      <c r="R257" s="37">
        <f t="shared" si="249"/>
        <v>9.9999999999999985E-3</v>
      </c>
      <c r="S257" s="37">
        <f t="shared" si="249"/>
        <v>9.9999999999999985E-3</v>
      </c>
      <c r="T257" s="37">
        <f t="shared" si="249"/>
        <v>9.9999999999999985E-3</v>
      </c>
      <c r="U257" s="37">
        <f t="shared" si="249"/>
        <v>9.9999999999999985E-3</v>
      </c>
    </row>
    <row r="258" spans="1:22" ht="11.25" hidden="1" customHeight="1" outlineLevel="1">
      <c r="A258" s="4" t="s">
        <v>189</v>
      </c>
      <c r="C258" s="29" t="s">
        <v>90</v>
      </c>
      <c r="D258" s="28">
        <f t="shared" ref="D258:M258" si="250">((D225/C225)-1)</f>
        <v>6.4106908547106434E-2</v>
      </c>
      <c r="E258" s="28">
        <f t="shared" si="250"/>
        <v>9.8315964663344246E-2</v>
      </c>
      <c r="F258" s="28">
        <f t="shared" si="250"/>
        <v>1.002545816134659E-2</v>
      </c>
      <c r="G258" s="28">
        <f t="shared" si="250"/>
        <v>2.6693509828060513E-2</v>
      </c>
      <c r="H258" s="28">
        <f t="shared" si="250"/>
        <v>2.120497346513539E-2</v>
      </c>
      <c r="I258" s="28">
        <f t="shared" si="250"/>
        <v>3.828952565621746E-2</v>
      </c>
      <c r="J258" s="28">
        <f t="shared" si="250"/>
        <v>5.1150211868619788E-2</v>
      </c>
      <c r="K258" s="28">
        <f t="shared" si="250"/>
        <v>6.0373202489114153E-2</v>
      </c>
      <c r="L258" s="28">
        <f t="shared" si="250"/>
        <v>7.9596560739587874E-2</v>
      </c>
      <c r="M258" s="28">
        <f t="shared" si="250"/>
        <v>8.6119437730459047E-2</v>
      </c>
      <c r="N258" s="28">
        <f t="shared" ref="N258:U258" si="251">((N225/M225)-1)</f>
        <v>2.3510057941832141E-2</v>
      </c>
      <c r="O258" s="28">
        <f t="shared" si="251"/>
        <v>4.7464622104384402E-2</v>
      </c>
      <c r="P258" s="28">
        <f t="shared" si="251"/>
        <v>6.0337099028691554E-2</v>
      </c>
      <c r="Q258" s="28">
        <f t="shared" si="251"/>
        <v>5.8814859875550907E-2</v>
      </c>
      <c r="R258" s="28">
        <f t="shared" si="251"/>
        <v>7.3941239126974923E-2</v>
      </c>
      <c r="S258" s="28">
        <f t="shared" si="251"/>
        <v>7.2721402056802997E-2</v>
      </c>
      <c r="T258" s="28">
        <f t="shared" si="251"/>
        <v>6.6180913684429798E-2</v>
      </c>
      <c r="U258" s="28">
        <f t="shared" si="251"/>
        <v>6.4435338193992164E-2</v>
      </c>
    </row>
    <row r="259" spans="1:22" ht="11.25" hidden="1" customHeight="1" outlineLevel="1">
      <c r="A259" s="4" t="s">
        <v>190</v>
      </c>
      <c r="C259" s="29" t="s">
        <v>90</v>
      </c>
      <c r="D259" s="28" t="e">
        <f>((D227/C227)-1)</f>
        <v>#REF!</v>
      </c>
      <c r="E259" s="28" t="e">
        <f t="shared" ref="E259:U259" si="252">((E227/D227)-1)</f>
        <v>#REF!</v>
      </c>
      <c r="F259" s="28" t="e">
        <f t="shared" si="252"/>
        <v>#REF!</v>
      </c>
      <c r="G259" s="28" t="e">
        <f t="shared" si="252"/>
        <v>#REF!</v>
      </c>
      <c r="H259" s="28" t="e">
        <f t="shared" si="252"/>
        <v>#REF!</v>
      </c>
      <c r="I259" s="28" t="e">
        <f t="shared" si="252"/>
        <v>#REF!</v>
      </c>
      <c r="J259" s="28" t="e">
        <f t="shared" si="252"/>
        <v>#REF!</v>
      </c>
      <c r="K259" s="28" t="e">
        <f t="shared" si="252"/>
        <v>#REF!</v>
      </c>
      <c r="L259" s="28" t="e">
        <f t="shared" si="252"/>
        <v>#REF!</v>
      </c>
      <c r="M259" s="28" t="e">
        <f t="shared" si="252"/>
        <v>#REF!</v>
      </c>
      <c r="N259" s="28" t="e">
        <f t="shared" si="252"/>
        <v>#REF!</v>
      </c>
      <c r="O259" s="28" t="e">
        <f t="shared" si="252"/>
        <v>#REF!</v>
      </c>
      <c r="P259" s="28" t="e">
        <f t="shared" si="252"/>
        <v>#REF!</v>
      </c>
      <c r="Q259" s="28" t="e">
        <f t="shared" si="252"/>
        <v>#REF!</v>
      </c>
      <c r="R259" s="28" t="e">
        <f t="shared" si="252"/>
        <v>#REF!</v>
      </c>
      <c r="S259" s="28" t="e">
        <f t="shared" si="252"/>
        <v>#REF!</v>
      </c>
      <c r="T259" s="28" t="e">
        <f t="shared" si="252"/>
        <v>#REF!</v>
      </c>
      <c r="U259" s="28" t="e">
        <f t="shared" si="252"/>
        <v>#REF!</v>
      </c>
    </row>
    <row r="260" spans="1:22" ht="11.25" hidden="1" customHeight="1" outlineLevel="1">
      <c r="A260" s="4" t="s">
        <v>191</v>
      </c>
      <c r="C260" s="29" t="s">
        <v>90</v>
      </c>
      <c r="D260" s="28" t="e">
        <f t="shared" ref="D260:M260" si="253">((D229/C229)-1)</f>
        <v>#REF!</v>
      </c>
      <c r="E260" s="28" t="e">
        <f t="shared" si="253"/>
        <v>#REF!</v>
      </c>
      <c r="F260" s="28" t="e">
        <f t="shared" si="253"/>
        <v>#REF!</v>
      </c>
      <c r="G260" s="28" t="e">
        <f t="shared" si="253"/>
        <v>#REF!</v>
      </c>
      <c r="H260" s="28" t="e">
        <f t="shared" si="253"/>
        <v>#REF!</v>
      </c>
      <c r="I260" s="28" t="e">
        <f t="shared" si="253"/>
        <v>#REF!</v>
      </c>
      <c r="J260" s="28" t="e">
        <f t="shared" si="253"/>
        <v>#REF!</v>
      </c>
      <c r="K260" s="28" t="e">
        <f t="shared" si="253"/>
        <v>#REF!</v>
      </c>
      <c r="L260" s="28" t="e">
        <f t="shared" si="253"/>
        <v>#REF!</v>
      </c>
      <c r="M260" s="28" t="e">
        <f t="shared" si="253"/>
        <v>#REF!</v>
      </c>
      <c r="N260" s="28" t="e">
        <f t="shared" ref="N260:U260" si="254">((N229/M229)-1)</f>
        <v>#REF!</v>
      </c>
      <c r="O260" s="28" t="e">
        <f t="shared" si="254"/>
        <v>#REF!</v>
      </c>
      <c r="P260" s="28" t="e">
        <f t="shared" si="254"/>
        <v>#REF!</v>
      </c>
      <c r="Q260" s="28" t="e">
        <f t="shared" si="254"/>
        <v>#REF!</v>
      </c>
      <c r="R260" s="28" t="e">
        <f t="shared" si="254"/>
        <v>#REF!</v>
      </c>
      <c r="S260" s="28" t="e">
        <f t="shared" si="254"/>
        <v>#REF!</v>
      </c>
      <c r="T260" s="28" t="e">
        <f t="shared" si="254"/>
        <v>#REF!</v>
      </c>
      <c r="U260" s="28" t="e">
        <f t="shared" si="254"/>
        <v>#REF!</v>
      </c>
    </row>
    <row r="261" spans="1:22" ht="11.25" hidden="1" customHeight="1" outlineLevel="1">
      <c r="A261" s="4" t="s">
        <v>415</v>
      </c>
      <c r="C261" s="29" t="s">
        <v>90</v>
      </c>
      <c r="D261" s="58" t="str">
        <f t="shared" ref="D261:M261" si="255">IF(ISERROR(((D244/C244)-1)),"NA",((D244/C244)-1))</f>
        <v>NA</v>
      </c>
      <c r="E261" s="58" t="str">
        <f t="shared" si="255"/>
        <v>NA</v>
      </c>
      <c r="F261" s="58" t="str">
        <f t="shared" si="255"/>
        <v>NA</v>
      </c>
      <c r="G261" s="58" t="str">
        <f t="shared" si="255"/>
        <v>NA</v>
      </c>
      <c r="H261" s="58" t="str">
        <f t="shared" si="255"/>
        <v>NA</v>
      </c>
      <c r="I261" s="58" t="str">
        <f t="shared" si="255"/>
        <v>NA</v>
      </c>
      <c r="J261" s="58" t="str">
        <f t="shared" si="255"/>
        <v>NA</v>
      </c>
      <c r="K261" s="58" t="str">
        <f t="shared" si="255"/>
        <v>NA</v>
      </c>
      <c r="L261" s="58" t="str">
        <f t="shared" si="255"/>
        <v>NA</v>
      </c>
      <c r="M261" s="58" t="str">
        <f t="shared" si="255"/>
        <v>NA</v>
      </c>
      <c r="N261" s="28" t="e">
        <f t="shared" ref="N261:U261" si="256">((N244/M244)-1)</f>
        <v>#REF!</v>
      </c>
      <c r="O261" s="28" t="e">
        <f t="shared" si="256"/>
        <v>#REF!</v>
      </c>
      <c r="P261" s="28" t="e">
        <f t="shared" si="256"/>
        <v>#REF!</v>
      </c>
      <c r="Q261" s="28" t="e">
        <f t="shared" si="256"/>
        <v>#REF!</v>
      </c>
      <c r="R261" s="28" t="e">
        <f t="shared" si="256"/>
        <v>#REF!</v>
      </c>
      <c r="S261" s="28" t="e">
        <f t="shared" si="256"/>
        <v>#REF!</v>
      </c>
      <c r="T261" s="28" t="e">
        <f t="shared" si="256"/>
        <v>#REF!</v>
      </c>
      <c r="U261" s="28" t="e">
        <f t="shared" si="256"/>
        <v>#REF!</v>
      </c>
    </row>
    <row r="262" spans="1:22" ht="11.25" hidden="1" customHeight="1" outlineLevel="1">
      <c r="A262" s="4" t="s">
        <v>349</v>
      </c>
      <c r="C262" s="29" t="s">
        <v>90</v>
      </c>
      <c r="D262" s="28" t="e">
        <f t="shared" ref="D262:M262" si="257">((D246/C246)-1)</f>
        <v>#REF!</v>
      </c>
      <c r="E262" s="28" t="e">
        <f t="shared" si="257"/>
        <v>#REF!</v>
      </c>
      <c r="F262" s="28" t="e">
        <f t="shared" si="257"/>
        <v>#REF!</v>
      </c>
      <c r="G262" s="28" t="e">
        <f t="shared" si="257"/>
        <v>#REF!</v>
      </c>
      <c r="H262" s="28" t="e">
        <f t="shared" si="257"/>
        <v>#REF!</v>
      </c>
      <c r="I262" s="28" t="e">
        <f t="shared" si="257"/>
        <v>#REF!</v>
      </c>
      <c r="J262" s="28" t="e">
        <f t="shared" si="257"/>
        <v>#REF!</v>
      </c>
      <c r="K262" s="28" t="e">
        <f t="shared" si="257"/>
        <v>#REF!</v>
      </c>
      <c r="L262" s="28" t="e">
        <f t="shared" si="257"/>
        <v>#REF!</v>
      </c>
      <c r="M262" s="28" t="e">
        <f t="shared" si="257"/>
        <v>#REF!</v>
      </c>
      <c r="N262" s="28" t="e">
        <f t="shared" ref="N262:U262" si="258">((N246/M246)-1)</f>
        <v>#REF!</v>
      </c>
      <c r="O262" s="28" t="e">
        <f t="shared" si="258"/>
        <v>#REF!</v>
      </c>
      <c r="P262" s="28" t="e">
        <f t="shared" si="258"/>
        <v>#REF!</v>
      </c>
      <c r="Q262" s="28" t="e">
        <f t="shared" si="258"/>
        <v>#REF!</v>
      </c>
      <c r="R262" s="28" t="e">
        <f t="shared" si="258"/>
        <v>#REF!</v>
      </c>
      <c r="S262" s="28" t="e">
        <f t="shared" si="258"/>
        <v>#REF!</v>
      </c>
      <c r="T262" s="28" t="e">
        <f t="shared" si="258"/>
        <v>#REF!</v>
      </c>
      <c r="U262" s="28" t="e">
        <f t="shared" si="258"/>
        <v>#REF!</v>
      </c>
    </row>
    <row r="263" spans="1:22" ht="11.25" hidden="1" customHeight="1" outlineLevel="1">
      <c r="A263" s="4" t="s">
        <v>236</v>
      </c>
      <c r="C263" s="29" t="s">
        <v>90</v>
      </c>
      <c r="D263" s="29" t="s">
        <v>90</v>
      </c>
      <c r="E263" s="28">
        <f t="shared" ref="E263:U263" si="259">E59-E60</f>
        <v>4.1602355117755938E-2</v>
      </c>
      <c r="F263" s="28">
        <f t="shared" si="259"/>
        <v>1.3670205967116413E-2</v>
      </c>
      <c r="G263" s="28">
        <f t="shared" si="259"/>
        <v>4.6865246125036127E-2</v>
      </c>
      <c r="H263" s="28">
        <f t="shared" si="259"/>
        <v>6.8896547957592008E-2</v>
      </c>
      <c r="I263" s="28">
        <f t="shared" si="259"/>
        <v>4.3638257419851945E-2</v>
      </c>
      <c r="J263" s="28">
        <f t="shared" si="259"/>
        <v>4.3286652339954108E-2</v>
      </c>
      <c r="K263" s="28">
        <f t="shared" si="259"/>
        <v>4.5834048081879089E-2</v>
      </c>
      <c r="L263" s="28">
        <f t="shared" si="259"/>
        <v>3.896170996477448E-2</v>
      </c>
      <c r="M263" s="28">
        <f t="shared" si="259"/>
        <v>3.8408410564600468E-2</v>
      </c>
      <c r="N263" s="28">
        <f t="shared" si="259"/>
        <v>3.7593164090040564E-2</v>
      </c>
      <c r="O263" s="28">
        <f t="shared" si="259"/>
        <v>4.6666976167754982E-2</v>
      </c>
      <c r="P263" s="28">
        <f t="shared" si="259"/>
        <v>5.9195195577177256E-2</v>
      </c>
      <c r="Q263" s="28">
        <f t="shared" si="259"/>
        <v>5.2602386578097821E-2</v>
      </c>
      <c r="R263" s="28">
        <f t="shared" si="259"/>
        <v>7.3959938366717798E-2</v>
      </c>
      <c r="S263" s="28">
        <f t="shared" si="259"/>
        <v>6.966618287372997E-2</v>
      </c>
      <c r="T263" s="28">
        <f t="shared" si="259"/>
        <v>6.5843621399176905E-2</v>
      </c>
      <c r="U263" s="28">
        <f t="shared" si="259"/>
        <v>6.2418725617685383E-2</v>
      </c>
    </row>
    <row r="264" spans="1:22" ht="12.75" hidden="1" customHeight="1" outlineLevel="1" collapsed="1">
      <c r="A264" s="4" t="s">
        <v>243</v>
      </c>
      <c r="C264" s="29" t="str">
        <f t="shared" ref="C264:K264" si="260">C263</f>
        <v>NA</v>
      </c>
      <c r="D264" s="29" t="str">
        <f t="shared" si="260"/>
        <v>NA</v>
      </c>
      <c r="E264" s="28">
        <f t="shared" si="260"/>
        <v>4.1602355117755938E-2</v>
      </c>
      <c r="F264" s="28">
        <f t="shared" si="260"/>
        <v>1.3670205967116413E-2</v>
      </c>
      <c r="G264" s="28">
        <f t="shared" si="260"/>
        <v>4.6865246125036127E-2</v>
      </c>
      <c r="H264" s="28">
        <f t="shared" si="260"/>
        <v>6.8896547957592008E-2</v>
      </c>
      <c r="I264" s="28">
        <f t="shared" si="260"/>
        <v>4.3638257419851945E-2</v>
      </c>
      <c r="J264" s="28">
        <f t="shared" si="260"/>
        <v>4.3286652339954108E-2</v>
      </c>
      <c r="K264" s="28">
        <f t="shared" si="260"/>
        <v>4.5834048081879089E-2</v>
      </c>
      <c r="L264" s="37">
        <f t="shared" ref="L264:Q264" si="261">L263-0.01</f>
        <v>2.8961709964774478E-2</v>
      </c>
      <c r="M264" s="37">
        <f>M263-0.01</f>
        <v>2.8408410564600466E-2</v>
      </c>
      <c r="N264" s="37">
        <f t="shared" si="261"/>
        <v>2.7593164090040562E-2</v>
      </c>
      <c r="O264" s="37">
        <f t="shared" si="261"/>
        <v>3.666697616775498E-2</v>
      </c>
      <c r="P264" s="37">
        <f t="shared" si="261"/>
        <v>4.9195195577177254E-2</v>
      </c>
      <c r="Q264" s="37">
        <f t="shared" si="261"/>
        <v>4.2602386578097819E-2</v>
      </c>
      <c r="R264" s="37">
        <f>R263-0.01</f>
        <v>6.3959938366717803E-2</v>
      </c>
      <c r="S264" s="37">
        <f>S263-0.01</f>
        <v>5.9666182873729968E-2</v>
      </c>
      <c r="T264" s="37">
        <f>T263-0.01</f>
        <v>5.5843621399176903E-2</v>
      </c>
      <c r="U264" s="37">
        <f>U263-0.01</f>
        <v>5.2418725617685381E-2</v>
      </c>
      <c r="V264" s="17"/>
    </row>
    <row r="265" spans="1:22" ht="12.75" hidden="1" customHeight="1" outlineLevel="1">
      <c r="A265" s="51"/>
      <c r="B265" s="51"/>
      <c r="C265" s="51"/>
      <c r="D265" s="51"/>
      <c r="E265" s="51"/>
      <c r="F265" s="51"/>
      <c r="G265" s="51"/>
      <c r="H265" s="51"/>
      <c r="I265" s="51"/>
      <c r="J265" s="51"/>
      <c r="K265" s="51"/>
      <c r="L265" s="51"/>
      <c r="M265" s="51"/>
      <c r="N265" s="51"/>
      <c r="O265" s="51"/>
      <c r="P265" s="51"/>
      <c r="Q265" s="51"/>
      <c r="R265" s="51"/>
      <c r="S265" s="51"/>
      <c r="T265" s="51"/>
      <c r="U265" s="51"/>
      <c r="V265" s="17"/>
    </row>
    <row r="266" spans="1:22" ht="12.75" hidden="1" customHeight="1" outlineLevel="1">
      <c r="A266" s="52" t="s">
        <v>248</v>
      </c>
      <c r="B266" s="17"/>
      <c r="C266" s="39" t="str">
        <f>C217</f>
        <v>2004A</v>
      </c>
      <c r="D266" s="39" t="str">
        <f t="shared" ref="D266:P266" si="262">D217</f>
        <v>2005A</v>
      </c>
      <c r="E266" s="39" t="str">
        <f t="shared" si="262"/>
        <v>2006A</v>
      </c>
      <c r="F266" s="39" t="str">
        <f t="shared" si="262"/>
        <v>2007A</v>
      </c>
      <c r="G266" s="39" t="str">
        <f t="shared" si="262"/>
        <v>2008A</v>
      </c>
      <c r="H266" s="39" t="str">
        <f t="shared" si="262"/>
        <v>2009A</v>
      </c>
      <c r="I266" s="39" t="str">
        <f t="shared" si="262"/>
        <v>2010A</v>
      </c>
      <c r="J266" s="39" t="str">
        <f t="shared" si="262"/>
        <v>2011A</v>
      </c>
      <c r="K266" s="39" t="str">
        <f t="shared" si="262"/>
        <v>2012PF</v>
      </c>
      <c r="L266" s="39" t="str">
        <f t="shared" si="262"/>
        <v>2013A</v>
      </c>
      <c r="M266" s="39" t="str">
        <f>M217</f>
        <v>2014A</v>
      </c>
      <c r="N266" s="39" t="str">
        <f t="shared" si="262"/>
        <v>2015E</v>
      </c>
      <c r="O266" s="39" t="str">
        <f t="shared" si="262"/>
        <v>2016E</v>
      </c>
      <c r="P266" s="39" t="str">
        <f t="shared" si="262"/>
        <v>2017E</v>
      </c>
      <c r="Q266" s="39" t="str">
        <f t="shared" ref="Q266:T267" si="263">Q217</f>
        <v>2018E</v>
      </c>
      <c r="R266" s="39" t="str">
        <f t="shared" si="263"/>
        <v>2018E</v>
      </c>
      <c r="S266" s="39" t="str">
        <f t="shared" si="263"/>
        <v>2018E</v>
      </c>
      <c r="T266" s="39" t="str">
        <f t="shared" si="263"/>
        <v>2018E</v>
      </c>
      <c r="U266" s="39" t="str">
        <f t="shared" ref="U266" si="264">U217</f>
        <v>2018E</v>
      </c>
      <c r="V266" s="17"/>
    </row>
    <row r="267" spans="1:22" ht="12.75" hidden="1" customHeight="1" outlineLevel="1">
      <c r="A267" s="15" t="s">
        <v>185</v>
      </c>
      <c r="B267" s="17"/>
      <c r="C267" s="39" t="str">
        <f>C218</f>
        <v>Jan</v>
      </c>
      <c r="D267" s="39" t="str">
        <f t="shared" ref="D267:P267" si="265">D218</f>
        <v>Jan</v>
      </c>
      <c r="E267" s="39" t="str">
        <f t="shared" si="265"/>
        <v>Jan</v>
      </c>
      <c r="F267" s="39" t="str">
        <f t="shared" si="265"/>
        <v>Jan</v>
      </c>
      <c r="G267" s="39" t="str">
        <f t="shared" si="265"/>
        <v>Jan</v>
      </c>
      <c r="H267" s="39" t="str">
        <f t="shared" si="265"/>
        <v>Jan</v>
      </c>
      <c r="I267" s="39" t="str">
        <f t="shared" si="265"/>
        <v>Jan</v>
      </c>
      <c r="J267" s="39" t="str">
        <f t="shared" si="265"/>
        <v>Jan</v>
      </c>
      <c r="K267" s="39" t="str">
        <f t="shared" si="265"/>
        <v>Jan</v>
      </c>
      <c r="L267" s="39" t="str">
        <f t="shared" si="265"/>
        <v>Jan</v>
      </c>
      <c r="M267" s="39" t="str">
        <f>M218</f>
        <v>Jan</v>
      </c>
      <c r="N267" s="39" t="str">
        <f t="shared" si="265"/>
        <v>Jan</v>
      </c>
      <c r="O267" s="39" t="str">
        <f t="shared" si="265"/>
        <v>Jan</v>
      </c>
      <c r="P267" s="39" t="str">
        <f t="shared" si="265"/>
        <v>Jan</v>
      </c>
      <c r="Q267" s="39" t="str">
        <f t="shared" si="263"/>
        <v>Jan</v>
      </c>
      <c r="R267" s="39" t="str">
        <f t="shared" si="263"/>
        <v>Jan</v>
      </c>
      <c r="S267" s="39" t="str">
        <f t="shared" si="263"/>
        <v>Jan</v>
      </c>
      <c r="T267" s="39" t="str">
        <f t="shared" si="263"/>
        <v>Jan</v>
      </c>
      <c r="U267" s="39" t="str">
        <f t="shared" ref="U267" si="266">U218</f>
        <v>Jan</v>
      </c>
      <c r="V267" s="17"/>
    </row>
    <row r="268" spans="1:22" ht="12.75" hidden="1" customHeight="1" outlineLevel="1">
      <c r="A268" s="6"/>
      <c r="B268" s="17"/>
      <c r="C268" s="17"/>
      <c r="D268" s="17"/>
      <c r="E268" s="17"/>
      <c r="F268" s="17"/>
      <c r="G268" s="17"/>
      <c r="H268" s="17"/>
      <c r="I268" s="17"/>
      <c r="J268" s="17"/>
      <c r="K268" s="17"/>
      <c r="L268" s="17"/>
      <c r="M268" s="17"/>
      <c r="N268" s="17"/>
      <c r="O268" s="17"/>
      <c r="P268" s="17"/>
      <c r="Q268" s="17"/>
      <c r="R268" s="17"/>
      <c r="S268" s="17"/>
      <c r="T268" s="17"/>
      <c r="U268" s="17"/>
      <c r="V268" s="17"/>
    </row>
    <row r="269" spans="1:22" ht="12.75" hidden="1" customHeight="1" outlineLevel="1">
      <c r="A269" s="6" t="s">
        <v>186</v>
      </c>
      <c r="B269" s="17"/>
      <c r="C269" s="53">
        <f t="shared" ref="C269:J269" si="267">C6</f>
        <v>2859.96</v>
      </c>
      <c r="D269" s="53">
        <f t="shared" si="267"/>
        <v>3199.84</v>
      </c>
      <c r="E269" s="53">
        <f t="shared" si="267"/>
        <v>3470.5540000000001</v>
      </c>
      <c r="F269" s="53">
        <f t="shared" si="267"/>
        <v>3441.645</v>
      </c>
      <c r="G269" s="53">
        <f t="shared" si="267"/>
        <v>3423.973</v>
      </c>
      <c r="H269" s="53">
        <f t="shared" si="267"/>
        <v>3522.9139999999998</v>
      </c>
      <c r="I269" s="53">
        <f t="shared" si="267"/>
        <v>3669.6019999999999</v>
      </c>
      <c r="J269" s="53">
        <f t="shared" si="267"/>
        <v>3854.134</v>
      </c>
      <c r="K269" s="53" t="e">
        <f t="shared" ref="K269:U269" si="268">(J269*(1+K311))</f>
        <v>#REF!</v>
      </c>
      <c r="L269" s="53" t="e">
        <f t="shared" si="268"/>
        <v>#REF!</v>
      </c>
      <c r="M269" s="53" t="e">
        <f t="shared" si="268"/>
        <v>#REF!</v>
      </c>
      <c r="N269" s="53" t="e">
        <f t="shared" si="268"/>
        <v>#REF!</v>
      </c>
      <c r="O269" s="53" t="e">
        <f t="shared" si="268"/>
        <v>#REF!</v>
      </c>
      <c r="P269" s="53" t="e">
        <f t="shared" si="268"/>
        <v>#REF!</v>
      </c>
      <c r="Q269" s="53" t="e">
        <f t="shared" si="268"/>
        <v>#REF!</v>
      </c>
      <c r="R269" s="53" t="e">
        <f t="shared" si="268"/>
        <v>#REF!</v>
      </c>
      <c r="S269" s="53" t="e">
        <f t="shared" si="268"/>
        <v>#REF!</v>
      </c>
      <c r="T269" s="53" t="e">
        <f t="shared" si="268"/>
        <v>#REF!</v>
      </c>
      <c r="U269" s="53" t="e">
        <f t="shared" si="268"/>
        <v>#REF!</v>
      </c>
      <c r="V269" s="17"/>
    </row>
    <row r="270" spans="1:22" ht="12.75" hidden="1" customHeight="1" outlineLevel="1">
      <c r="A270" s="6"/>
      <c r="B270" s="17"/>
      <c r="C270" s="54"/>
      <c r="D270" s="54"/>
      <c r="E270" s="54"/>
      <c r="F270" s="54"/>
      <c r="G270" s="54"/>
      <c r="H270" s="54"/>
      <c r="I270" s="54"/>
      <c r="J270" s="54"/>
      <c r="K270" s="54"/>
      <c r="L270" s="54"/>
      <c r="M270" s="54"/>
      <c r="N270"/>
      <c r="O270"/>
      <c r="P270"/>
      <c r="Q270"/>
      <c r="R270"/>
      <c r="S270"/>
      <c r="T270"/>
      <c r="U270"/>
      <c r="V270" s="17"/>
    </row>
    <row r="271" spans="1:22" ht="12.75" hidden="1" customHeight="1" outlineLevel="1">
      <c r="A271" s="6" t="s">
        <v>187</v>
      </c>
      <c r="B271" s="17"/>
      <c r="C271" s="53">
        <f t="shared" ref="C271:J271" si="269">C8</f>
        <v>1765.4780000000001</v>
      </c>
      <c r="D271" s="53">
        <f t="shared" si="269"/>
        <v>1987.1590000000001</v>
      </c>
      <c r="E271" s="53">
        <f t="shared" si="269"/>
        <v>2183.2629999999999</v>
      </c>
      <c r="F271" s="53">
        <f t="shared" si="269"/>
        <v>2125.16</v>
      </c>
      <c r="G271" s="53">
        <f t="shared" si="269"/>
        <v>2095.364</v>
      </c>
      <c r="H271" s="53">
        <f t="shared" si="269"/>
        <v>2181.7069999999999</v>
      </c>
      <c r="I271" s="53">
        <f t="shared" si="269"/>
        <v>2252.346</v>
      </c>
      <c r="J271" s="53">
        <f t="shared" si="269"/>
        <v>2363.4639999999999</v>
      </c>
      <c r="K271" s="53" t="e">
        <f t="shared" ref="K271:P271" si="270">K269-K273</f>
        <v>#REF!</v>
      </c>
      <c r="L271" s="53" t="e">
        <f t="shared" si="270"/>
        <v>#REF!</v>
      </c>
      <c r="M271" s="53" t="e">
        <f>M269-M273</f>
        <v>#REF!</v>
      </c>
      <c r="N271" s="53" t="e">
        <f t="shared" si="270"/>
        <v>#REF!</v>
      </c>
      <c r="O271" s="53" t="e">
        <f t="shared" si="270"/>
        <v>#REF!</v>
      </c>
      <c r="P271" s="53" t="e">
        <f t="shared" si="270"/>
        <v>#REF!</v>
      </c>
      <c r="Q271" s="53" t="e">
        <f>Q269-Q273</f>
        <v>#REF!</v>
      </c>
      <c r="R271" s="53" t="e">
        <f>R269-R273</f>
        <v>#REF!</v>
      </c>
      <c r="S271" s="53" t="e">
        <f>S269-S273</f>
        <v>#REF!</v>
      </c>
      <c r="T271" s="53" t="e">
        <f>T269-T273</f>
        <v>#REF!</v>
      </c>
      <c r="U271" s="53" t="e">
        <f>U269-U273</f>
        <v>#REF!</v>
      </c>
      <c r="V271" s="17"/>
    </row>
    <row r="272" spans="1:22" ht="12.75" hidden="1" customHeight="1" outlineLevel="1">
      <c r="A272" s="6"/>
      <c r="B272" s="17"/>
      <c r="C272" s="54"/>
      <c r="D272" s="54"/>
      <c r="E272" s="54"/>
      <c r="F272" s="54"/>
      <c r="G272" s="54"/>
      <c r="H272" s="54"/>
      <c r="I272" s="54"/>
      <c r="J272" s="54"/>
      <c r="K272" s="54"/>
      <c r="L272" s="54"/>
      <c r="M272" s="54"/>
      <c r="N272"/>
      <c r="O272"/>
      <c r="P272"/>
      <c r="Q272"/>
      <c r="R272"/>
      <c r="S272"/>
      <c r="T272"/>
      <c r="U272"/>
      <c r="V272" s="17"/>
    </row>
    <row r="273" spans="1:22" ht="12.75" hidden="1" customHeight="1" outlineLevel="1">
      <c r="A273" s="6" t="s">
        <v>188</v>
      </c>
      <c r="B273" s="17"/>
      <c r="C273" s="53">
        <f t="shared" ref="C273:J273" si="271">C269-C271</f>
        <v>1094.482</v>
      </c>
      <c r="D273" s="53">
        <f t="shared" si="271"/>
        <v>1212.681</v>
      </c>
      <c r="E273" s="53">
        <f t="shared" si="271"/>
        <v>1287.2910000000002</v>
      </c>
      <c r="F273" s="53">
        <f t="shared" si="271"/>
        <v>1316.4850000000001</v>
      </c>
      <c r="G273" s="53">
        <f t="shared" si="271"/>
        <v>1328.6089999999999</v>
      </c>
      <c r="H273" s="53">
        <f t="shared" si="271"/>
        <v>1341.2069999999999</v>
      </c>
      <c r="I273" s="53">
        <f t="shared" si="271"/>
        <v>1417.2559999999999</v>
      </c>
      <c r="J273" s="53">
        <f t="shared" si="271"/>
        <v>1490.67</v>
      </c>
      <c r="K273" s="53" t="e">
        <f t="shared" ref="K273:Q273" si="272">K269*K296</f>
        <v>#REF!</v>
      </c>
      <c r="L273" s="53" t="e">
        <f t="shared" si="272"/>
        <v>#REF!</v>
      </c>
      <c r="M273" s="53" t="e">
        <f>M269*M296</f>
        <v>#REF!</v>
      </c>
      <c r="N273" s="53" t="e">
        <f t="shared" si="272"/>
        <v>#REF!</v>
      </c>
      <c r="O273" s="53" t="e">
        <f t="shared" si="272"/>
        <v>#REF!</v>
      </c>
      <c r="P273" s="53" t="e">
        <f t="shared" si="272"/>
        <v>#REF!</v>
      </c>
      <c r="Q273" s="53" t="e">
        <f t="shared" si="272"/>
        <v>#REF!</v>
      </c>
      <c r="R273" s="53" t="e">
        <f>R269*R296</f>
        <v>#REF!</v>
      </c>
      <c r="S273" s="53" t="e">
        <f>S269*S296</f>
        <v>#REF!</v>
      </c>
      <c r="T273" s="53" t="e">
        <f>T269*T296</f>
        <v>#REF!</v>
      </c>
      <c r="U273" s="53" t="e">
        <f>U269*U296</f>
        <v>#REF!</v>
      </c>
      <c r="V273" s="17"/>
    </row>
    <row r="274" spans="1:22" ht="11.25" hidden="1" customHeight="1" outlineLevel="1">
      <c r="A274" s="6" t="s">
        <v>189</v>
      </c>
      <c r="B274" s="17"/>
      <c r="C274" s="54">
        <f t="shared" ref="C274:J274" si="273">C11</f>
        <v>900.05899999999997</v>
      </c>
      <c r="D274" s="54">
        <f t="shared" si="273"/>
        <v>957.75900000000001</v>
      </c>
      <c r="E274" s="54">
        <f t="shared" si="273"/>
        <v>1051.922</v>
      </c>
      <c r="F274" s="54">
        <f t="shared" si="273"/>
        <v>1062.4680000000001</v>
      </c>
      <c r="G274" s="54">
        <f t="shared" si="273"/>
        <v>1090.829</v>
      </c>
      <c r="H274" s="54">
        <f t="shared" si="273"/>
        <v>1113.96</v>
      </c>
      <c r="I274" s="54">
        <f t="shared" si="273"/>
        <v>1156.6130000000001</v>
      </c>
      <c r="J274" s="54">
        <f t="shared" si="273"/>
        <v>1215.7739999999999</v>
      </c>
      <c r="K274" s="54" t="e">
        <f t="shared" ref="K274:Q274" si="274">K269*K300</f>
        <v>#REF!</v>
      </c>
      <c r="L274" s="54" t="e">
        <f t="shared" si="274"/>
        <v>#REF!</v>
      </c>
      <c r="M274" s="54" t="e">
        <f>M269*M300</f>
        <v>#REF!</v>
      </c>
      <c r="N274" s="54" t="e">
        <f t="shared" si="274"/>
        <v>#REF!</v>
      </c>
      <c r="O274" s="54" t="e">
        <f t="shared" si="274"/>
        <v>#REF!</v>
      </c>
      <c r="P274" s="54" t="e">
        <f t="shared" si="274"/>
        <v>#REF!</v>
      </c>
      <c r="Q274" s="54" t="e">
        <f t="shared" si="274"/>
        <v>#REF!</v>
      </c>
      <c r="R274" s="54" t="e">
        <f>R269*R300</f>
        <v>#REF!</v>
      </c>
      <c r="S274" s="54" t="e">
        <f>S269*S300</f>
        <v>#REF!</v>
      </c>
      <c r="T274" s="54" t="e">
        <f>T269*T300</f>
        <v>#REF!</v>
      </c>
      <c r="U274" s="54" t="e">
        <f>U269*U300</f>
        <v>#REF!</v>
      </c>
    </row>
    <row r="275" spans="1:22" ht="12.75" hidden="1" customHeight="1" outlineLevel="1">
      <c r="A275" s="4" t="s">
        <v>399</v>
      </c>
      <c r="C275" s="26">
        <f>'yrP&amp;L'!F$20</f>
        <v>-10.335000000000001</v>
      </c>
      <c r="D275" s="26">
        <f>'yrP&amp;L'!G$20</f>
        <v>-14.619</v>
      </c>
      <c r="E275" s="26">
        <f>'yrP&amp;L'!H$20</f>
        <v>-8.4480000000000004</v>
      </c>
      <c r="F275" s="26">
        <f>'yrP&amp;L'!I$20</f>
        <v>-6.18</v>
      </c>
      <c r="G275" s="26">
        <f>'yrP&amp;L'!J$20</f>
        <v>-12.861000000000001</v>
      </c>
      <c r="H275" s="26">
        <f>'yrP&amp;L'!L$20</f>
        <v>-47.475000000000001</v>
      </c>
      <c r="I275" s="26">
        <f>'yrP&amp;L'!M$20</f>
        <v>-42.832999999999998</v>
      </c>
      <c r="J275" s="26">
        <f>'yrP&amp;L'!N$20</f>
        <v>-43.338999999999999</v>
      </c>
      <c r="K275" s="26">
        <f>'yrP&amp;L'!P$20</f>
        <v>-41.6</v>
      </c>
      <c r="L275" s="26">
        <f>'yrP&amp;L'!Q$20</f>
        <v>-43.423000000000002</v>
      </c>
      <c r="M275" s="26">
        <f>'yrP&amp;L'!R$20</f>
        <v>-45.882999999999996</v>
      </c>
      <c r="N275" s="26">
        <f>'yrP&amp;L'!S$20</f>
        <v>-41.176000000000002</v>
      </c>
      <c r="O275" s="26">
        <f>'yrP&amp;L'!T$20</f>
        <v>-44.948075535818091</v>
      </c>
      <c r="P275" s="26">
        <f>'yrP&amp;L'!U$20</f>
        <v>-49.137020226196391</v>
      </c>
      <c r="Q275" s="26">
        <f>'yrP&amp;L'!V$20</f>
        <v>-53.195855366216485</v>
      </c>
      <c r="R275" s="26">
        <f>'yrP&amp;L'!W$20</f>
        <v>0</v>
      </c>
      <c r="S275" s="26">
        <f>'yrP&amp;L'!X$20</f>
        <v>27.552512386400085</v>
      </c>
      <c r="T275" s="26" t="str">
        <f>'yrP&amp;L'!Y$20</f>
        <v>%</v>
      </c>
      <c r="U275" s="26">
        <f>'yrP&amp;L'!Z$20</f>
        <v>4.1433621783888874</v>
      </c>
      <c r="V275" s="17"/>
    </row>
    <row r="276" spans="1:22" ht="12.75" hidden="1" customHeight="1" outlineLevel="1">
      <c r="A276" s="6" t="s">
        <v>190</v>
      </c>
      <c r="B276" s="17"/>
      <c r="C276" s="54">
        <f t="shared" ref="C276:U276" si="275">C13</f>
        <v>89.093000000000004</v>
      </c>
      <c r="D276" s="54">
        <f t="shared" si="275"/>
        <v>107.15299999999999</v>
      </c>
      <c r="E276" s="54">
        <f t="shared" si="275"/>
        <v>174.08699999999999</v>
      </c>
      <c r="F276" s="54">
        <f t="shared" si="275"/>
        <v>166.666</v>
      </c>
      <c r="G276" s="54">
        <f t="shared" si="275"/>
        <v>159.607</v>
      </c>
      <c r="H276" s="54">
        <f t="shared" si="275"/>
        <v>156.38800000000001</v>
      </c>
      <c r="I276" s="54">
        <f t="shared" si="275"/>
        <v>146.75899999999999</v>
      </c>
      <c r="J276" s="54">
        <f t="shared" si="275"/>
        <v>153.07</v>
      </c>
      <c r="K276" s="54">
        <f t="shared" si="275"/>
        <v>166.79874882999997</v>
      </c>
      <c r="L276" s="54">
        <f t="shared" si="275"/>
        <v>168.19400000000002</v>
      </c>
      <c r="M276" s="54">
        <f t="shared" si="275"/>
        <v>167.58</v>
      </c>
      <c r="N276" s="54">
        <f t="shared" si="275"/>
        <v>172.09900000000002</v>
      </c>
      <c r="O276" s="54">
        <f t="shared" si="275"/>
        <v>183.58600000000001</v>
      </c>
      <c r="P276" s="54">
        <f t="shared" si="275"/>
        <v>201.10300000000001</v>
      </c>
      <c r="Q276" s="54">
        <f t="shared" si="275"/>
        <v>225.71548000000001</v>
      </c>
      <c r="R276" s="54">
        <f t="shared" si="275"/>
        <v>249.18084738921414</v>
      </c>
      <c r="S276" s="54">
        <f t="shared" si="275"/>
        <v>274.01575129373856</v>
      </c>
      <c r="T276" s="54">
        <f t="shared" si="275"/>
        <v>300.27841321814662</v>
      </c>
      <c r="U276" s="54">
        <f t="shared" si="275"/>
        <v>328.0297614982685</v>
      </c>
      <c r="V276" s="17"/>
    </row>
    <row r="277" spans="1:22" ht="12.75" hidden="1" customHeight="1" outlineLevel="1">
      <c r="A277" s="8" t="s">
        <v>191</v>
      </c>
      <c r="B277" s="17"/>
      <c r="C277" s="53">
        <f>C273-C274-C276-C275</f>
        <v>115.66499999999999</v>
      </c>
      <c r="D277" s="53">
        <f t="shared" ref="D277:Q277" si="276">D273-D274-D276-D275</f>
        <v>162.38800000000003</v>
      </c>
      <c r="E277" s="53">
        <f t="shared" si="276"/>
        <v>69.73000000000016</v>
      </c>
      <c r="F277" s="53">
        <f t="shared" si="276"/>
        <v>93.531000000000063</v>
      </c>
      <c r="G277" s="53">
        <f t="shared" si="276"/>
        <v>91.033999999999978</v>
      </c>
      <c r="H277" s="53">
        <f t="shared" si="276"/>
        <v>118.33399999999983</v>
      </c>
      <c r="I277" s="53">
        <f t="shared" si="276"/>
        <v>156.71699999999981</v>
      </c>
      <c r="J277" s="53">
        <f t="shared" si="276"/>
        <v>165.16500000000019</v>
      </c>
      <c r="K277" s="53" t="e">
        <f t="shared" si="276"/>
        <v>#REF!</v>
      </c>
      <c r="L277" s="53" t="e">
        <f t="shared" si="276"/>
        <v>#REF!</v>
      </c>
      <c r="M277" s="53" t="e">
        <f>M273-M274-M276-M275</f>
        <v>#REF!</v>
      </c>
      <c r="N277" s="53" t="e">
        <f t="shared" si="276"/>
        <v>#REF!</v>
      </c>
      <c r="O277" s="53" t="e">
        <f t="shared" si="276"/>
        <v>#REF!</v>
      </c>
      <c r="P277" s="53" t="e">
        <f t="shared" si="276"/>
        <v>#REF!</v>
      </c>
      <c r="Q277" s="53" t="e">
        <f t="shared" si="276"/>
        <v>#REF!</v>
      </c>
      <c r="R277" s="53" t="e">
        <f>R273-R274-R276-R275</f>
        <v>#REF!</v>
      </c>
      <c r="S277" s="53" t="e">
        <f>S273-S274-S276-S275</f>
        <v>#REF!</v>
      </c>
      <c r="T277" s="53" t="e">
        <f>T273-T274-T276-T275</f>
        <v>#REF!</v>
      </c>
      <c r="U277" s="53" t="e">
        <f>U273-U274-U276-U275</f>
        <v>#REF!</v>
      </c>
      <c r="V277" s="17"/>
    </row>
    <row r="278" spans="1:22" ht="12.75" hidden="1" customHeight="1" outlineLevel="1">
      <c r="A278" s="6" t="s">
        <v>199</v>
      </c>
      <c r="B278" s="17"/>
      <c r="C278" s="54">
        <f t="shared" ref="C278:U278" si="277">C17</f>
        <v>5.8630000000000004</v>
      </c>
      <c r="D278" s="54">
        <f t="shared" si="277"/>
        <v>7.3339999999999996</v>
      </c>
      <c r="E278" s="54">
        <f t="shared" si="277"/>
        <v>22.702000000000002</v>
      </c>
      <c r="F278" s="54">
        <f t="shared" si="277"/>
        <v>134.31299999999999</v>
      </c>
      <c r="G278" s="54">
        <f t="shared" si="277"/>
        <v>132.99299999999999</v>
      </c>
      <c r="H278" s="54">
        <f t="shared" si="277"/>
        <v>84.423000000000002</v>
      </c>
      <c r="I278" s="54">
        <f t="shared" si="277"/>
        <v>99.308999999999997</v>
      </c>
      <c r="J278" s="54">
        <f t="shared" si="277"/>
        <v>129.12100000000001</v>
      </c>
      <c r="K278" s="54">
        <f t="shared" si="277"/>
        <v>111.770626154</v>
      </c>
      <c r="L278" s="54">
        <f t="shared" si="277"/>
        <v>127.73899999999999</v>
      </c>
      <c r="M278" s="54">
        <f t="shared" si="277"/>
        <v>83.74499999999999</v>
      </c>
      <c r="N278" s="54">
        <f t="shared" si="277"/>
        <v>59.000000000000007</v>
      </c>
      <c r="O278" s="54">
        <f t="shared" si="277"/>
        <v>56.161000000000001</v>
      </c>
      <c r="P278" s="54">
        <f t="shared" si="277"/>
        <v>58.777000000000001</v>
      </c>
      <c r="Q278" s="54">
        <f t="shared" si="277"/>
        <v>60</v>
      </c>
      <c r="R278" s="54">
        <f t="shared" si="277"/>
        <v>55</v>
      </c>
      <c r="S278" s="54">
        <f t="shared" si="277"/>
        <v>50</v>
      </c>
      <c r="T278" s="54">
        <f t="shared" si="277"/>
        <v>45</v>
      </c>
      <c r="U278" s="54">
        <f t="shared" si="277"/>
        <v>40</v>
      </c>
      <c r="V278" s="17"/>
    </row>
    <row r="279" spans="1:22" ht="12.75" hidden="1" customHeight="1" outlineLevel="1">
      <c r="A279" s="8" t="s">
        <v>192</v>
      </c>
      <c r="B279" s="17"/>
      <c r="C279" s="53">
        <f>C277-C278</f>
        <v>109.80199999999999</v>
      </c>
      <c r="D279" s="53">
        <f t="shared" ref="D279:Q279" si="278">D277-D278</f>
        <v>155.05400000000003</v>
      </c>
      <c r="E279" s="53">
        <f t="shared" si="278"/>
        <v>47.028000000000162</v>
      </c>
      <c r="F279" s="53">
        <f t="shared" si="278"/>
        <v>-40.781999999999925</v>
      </c>
      <c r="G279" s="53">
        <f t="shared" si="278"/>
        <v>-41.959000000000017</v>
      </c>
      <c r="H279" s="53">
        <f t="shared" si="278"/>
        <v>33.910999999999831</v>
      </c>
      <c r="I279" s="53">
        <f t="shared" si="278"/>
        <v>57.407999999999817</v>
      </c>
      <c r="J279" s="53">
        <f t="shared" si="278"/>
        <v>36.044000000000182</v>
      </c>
      <c r="K279" s="53" t="e">
        <f t="shared" si="278"/>
        <v>#REF!</v>
      </c>
      <c r="L279" s="53" t="e">
        <f t="shared" si="278"/>
        <v>#REF!</v>
      </c>
      <c r="M279" s="53" t="e">
        <f>M277-M278</f>
        <v>#REF!</v>
      </c>
      <c r="N279" s="53" t="e">
        <f t="shared" si="278"/>
        <v>#REF!</v>
      </c>
      <c r="O279" s="53" t="e">
        <f t="shared" si="278"/>
        <v>#REF!</v>
      </c>
      <c r="P279" s="53" t="e">
        <f t="shared" si="278"/>
        <v>#REF!</v>
      </c>
      <c r="Q279" s="53" t="e">
        <f t="shared" si="278"/>
        <v>#REF!</v>
      </c>
      <c r="R279" s="53" t="e">
        <f>R277-R278</f>
        <v>#REF!</v>
      </c>
      <c r="S279" s="53" t="e">
        <f>S277-S278</f>
        <v>#REF!</v>
      </c>
      <c r="T279" s="53" t="e">
        <f>T277-T278</f>
        <v>#REF!</v>
      </c>
      <c r="U279" s="53" t="e">
        <f>U277-U278</f>
        <v>#REF!</v>
      </c>
      <c r="V279" s="17"/>
    </row>
    <row r="280" spans="1:22" ht="12.75" hidden="1" customHeight="1" outlineLevel="1">
      <c r="A280" s="6"/>
      <c r="B280" s="17"/>
      <c r="C280" s="54"/>
      <c r="D280" s="54"/>
      <c r="E280" s="54"/>
      <c r="F280" s="54"/>
      <c r="G280" s="54"/>
      <c r="H280" s="54"/>
      <c r="I280" s="54"/>
      <c r="J280" s="54"/>
      <c r="K280" s="54"/>
      <c r="L280" s="54"/>
      <c r="M280" s="54"/>
      <c r="N280"/>
      <c r="O280"/>
      <c r="P280"/>
      <c r="Q280"/>
      <c r="R280"/>
      <c r="S280"/>
      <c r="T280"/>
      <c r="U280"/>
      <c r="V280" s="17"/>
    </row>
    <row r="281" spans="1:22" ht="12.75" hidden="1" customHeight="1" outlineLevel="1">
      <c r="A281" s="6" t="s">
        <v>193</v>
      </c>
      <c r="B281" s="17"/>
      <c r="C281" s="54">
        <f t="shared" ref="C281:J281" si="279">C20</f>
        <v>42.640999999999998</v>
      </c>
      <c r="D281" s="54">
        <f t="shared" si="279"/>
        <v>66.506049999999988</v>
      </c>
      <c r="E281" s="54">
        <f t="shared" si="279"/>
        <v>46.789000000000001</v>
      </c>
      <c r="F281" s="54">
        <f t="shared" si="279"/>
        <v>-16.389230000000001</v>
      </c>
      <c r="G281" s="54">
        <f t="shared" si="279"/>
        <v>-16.464399999999998</v>
      </c>
      <c r="H281" s="54">
        <f t="shared" si="279"/>
        <v>-29.753</v>
      </c>
      <c r="I281" s="54">
        <f t="shared" si="279"/>
        <v>22.13</v>
      </c>
      <c r="J281" s="54">
        <f t="shared" si="279"/>
        <v>-4.1479999999999997</v>
      </c>
      <c r="K281" s="54" t="e">
        <f t="shared" ref="K281:P281" si="280">K279*K305</f>
        <v>#REF!</v>
      </c>
      <c r="L281" s="54" t="e">
        <f t="shared" si="280"/>
        <v>#REF!</v>
      </c>
      <c r="M281" s="54" t="e">
        <f>M279*M305</f>
        <v>#REF!</v>
      </c>
      <c r="N281" s="54" t="e">
        <f t="shared" si="280"/>
        <v>#REF!</v>
      </c>
      <c r="O281" s="54" t="e">
        <f t="shared" si="280"/>
        <v>#REF!</v>
      </c>
      <c r="P281" s="54" t="e">
        <f t="shared" si="280"/>
        <v>#REF!</v>
      </c>
      <c r="Q281" s="54" t="e">
        <f>Q279*Q305</f>
        <v>#REF!</v>
      </c>
      <c r="R281" s="54" t="e">
        <f>R279*R305</f>
        <v>#REF!</v>
      </c>
      <c r="S281" s="54" t="e">
        <f>S279*S305</f>
        <v>#REF!</v>
      </c>
      <c r="T281" s="54" t="e">
        <f>T279*T305</f>
        <v>#REF!</v>
      </c>
      <c r="U281" s="54" t="e">
        <f>U279*U305</f>
        <v>#REF!</v>
      </c>
      <c r="V281" s="17"/>
    </row>
    <row r="282" spans="1:22" ht="12.75" hidden="1" customHeight="1" outlineLevel="1">
      <c r="A282" s="6"/>
      <c r="B282" s="17"/>
      <c r="C282" s="54"/>
      <c r="D282" s="54"/>
      <c r="E282" s="54"/>
      <c r="F282" s="54"/>
      <c r="G282" s="54"/>
      <c r="H282" s="54"/>
      <c r="I282" s="54"/>
      <c r="J282" s="54"/>
      <c r="K282" s="54"/>
      <c r="L282" s="54"/>
      <c r="M282" s="54"/>
      <c r="N282" s="54"/>
      <c r="O282" s="54"/>
      <c r="P282" s="54"/>
      <c r="Q282" s="54"/>
      <c r="R282" s="54"/>
      <c r="S282" s="54"/>
      <c r="T282" s="54"/>
      <c r="U282" s="54"/>
      <c r="V282" s="17"/>
    </row>
    <row r="283" spans="1:22" ht="12.75" hidden="1" customHeight="1" outlineLevel="1">
      <c r="A283" s="6" t="s">
        <v>154</v>
      </c>
      <c r="B283" s="17"/>
      <c r="C283" s="54">
        <f t="shared" ref="C283:U283" si="281">C22</f>
        <v>0</v>
      </c>
      <c r="D283" s="54">
        <f t="shared" si="281"/>
        <v>0</v>
      </c>
      <c r="E283" s="54">
        <f t="shared" si="281"/>
        <v>0</v>
      </c>
      <c r="F283" s="54">
        <f t="shared" si="281"/>
        <v>0</v>
      </c>
      <c r="G283" s="54">
        <f t="shared" si="281"/>
        <v>0</v>
      </c>
      <c r="H283" s="54">
        <f t="shared" si="281"/>
        <v>0</v>
      </c>
      <c r="I283" s="54">
        <f t="shared" si="281"/>
        <v>0</v>
      </c>
      <c r="J283" s="54">
        <f t="shared" si="281"/>
        <v>0</v>
      </c>
      <c r="K283" s="54">
        <f t="shared" si="281"/>
        <v>0</v>
      </c>
      <c r="L283" s="54">
        <f t="shared" si="281"/>
        <v>0</v>
      </c>
      <c r="M283" s="54">
        <f t="shared" si="281"/>
        <v>0</v>
      </c>
      <c r="N283" s="54">
        <f t="shared" si="281"/>
        <v>0</v>
      </c>
      <c r="O283" s="54">
        <f t="shared" si="281"/>
        <v>0</v>
      </c>
      <c r="P283" s="54">
        <f t="shared" si="281"/>
        <v>0</v>
      </c>
      <c r="Q283" s="54">
        <f t="shared" si="281"/>
        <v>0</v>
      </c>
      <c r="R283" s="54">
        <f t="shared" si="281"/>
        <v>0</v>
      </c>
      <c r="S283" s="54">
        <f t="shared" si="281"/>
        <v>0</v>
      </c>
      <c r="T283" s="54">
        <f t="shared" si="281"/>
        <v>0</v>
      </c>
      <c r="U283" s="54">
        <f t="shared" si="281"/>
        <v>0</v>
      </c>
      <c r="V283" s="17"/>
    </row>
    <row r="284" spans="1:22" ht="12.75" hidden="1" customHeight="1" outlineLevel="1">
      <c r="A284" s="6"/>
      <c r="B284" s="17"/>
      <c r="C284" s="54"/>
      <c r="D284" s="54"/>
      <c r="E284" s="54"/>
      <c r="F284" s="54"/>
      <c r="G284" s="54"/>
      <c r="H284" s="54"/>
      <c r="I284" s="54"/>
      <c r="J284" s="54"/>
      <c r="K284" s="54"/>
      <c r="L284" s="54"/>
      <c r="M284" s="54"/>
      <c r="N284"/>
      <c r="O284"/>
      <c r="P284"/>
      <c r="Q284"/>
      <c r="R284"/>
      <c r="S284"/>
      <c r="T284"/>
      <c r="U284"/>
      <c r="V284" s="17"/>
    </row>
    <row r="285" spans="1:22" ht="12.75" hidden="1" customHeight="1" outlineLevel="1">
      <c r="A285" s="6" t="s">
        <v>194</v>
      </c>
      <c r="B285" s="17"/>
      <c r="C285" s="53">
        <f>C279-C281-C283</f>
        <v>67.161000000000001</v>
      </c>
      <c r="D285" s="53">
        <f t="shared" ref="D285:P285" si="282">D279-D281-D283</f>
        <v>88.547950000000043</v>
      </c>
      <c r="E285" s="53">
        <f t="shared" si="282"/>
        <v>0.23900000000016064</v>
      </c>
      <c r="F285" s="53">
        <f t="shared" si="282"/>
        <v>-24.392769999999924</v>
      </c>
      <c r="G285" s="53">
        <f t="shared" si="282"/>
        <v>-25.49460000000002</v>
      </c>
      <c r="H285" s="53">
        <f t="shared" si="282"/>
        <v>63.663999999999831</v>
      </c>
      <c r="I285" s="53">
        <f t="shared" si="282"/>
        <v>35.277999999999821</v>
      </c>
      <c r="J285" s="53">
        <f t="shared" si="282"/>
        <v>40.192000000000178</v>
      </c>
      <c r="K285" s="53" t="e">
        <f t="shared" si="282"/>
        <v>#REF!</v>
      </c>
      <c r="L285" s="53" t="e">
        <f t="shared" si="282"/>
        <v>#REF!</v>
      </c>
      <c r="M285" s="53" t="e">
        <f>M279-M281-M283</f>
        <v>#REF!</v>
      </c>
      <c r="N285" s="53" t="e">
        <f t="shared" si="282"/>
        <v>#REF!</v>
      </c>
      <c r="O285" s="53" t="e">
        <f t="shared" si="282"/>
        <v>#REF!</v>
      </c>
      <c r="P285" s="53" t="e">
        <f t="shared" si="282"/>
        <v>#REF!</v>
      </c>
      <c r="Q285" s="53" t="e">
        <f>Q279-Q281-Q283</f>
        <v>#REF!</v>
      </c>
      <c r="R285" s="53" t="e">
        <f>R279-R281-R283</f>
        <v>#REF!</v>
      </c>
      <c r="S285" s="53" t="e">
        <f>S279-S281-S283</f>
        <v>#REF!</v>
      </c>
      <c r="T285" s="53" t="e">
        <f>T279-T281-T283</f>
        <v>#REF!</v>
      </c>
      <c r="U285" s="53" t="e">
        <f>U279-U281-U283</f>
        <v>#REF!</v>
      </c>
      <c r="V285" s="17"/>
    </row>
    <row r="286" spans="1:22" ht="12.75" hidden="1" customHeight="1" outlineLevel="1">
      <c r="A286" s="6"/>
      <c r="B286" s="17"/>
      <c r="C286" s="3"/>
      <c r="D286" s="3"/>
      <c r="E286" s="3"/>
      <c r="F286" s="3"/>
      <c r="G286" s="3"/>
      <c r="H286" s="3"/>
      <c r="I286" s="3"/>
      <c r="J286" s="3"/>
      <c r="K286" s="3"/>
      <c r="L286" s="3"/>
      <c r="M286" s="3"/>
      <c r="N286" s="3"/>
      <c r="O286" s="3"/>
      <c r="P286" s="3"/>
      <c r="Q286" s="3"/>
      <c r="R286" s="3"/>
      <c r="S286" s="3"/>
      <c r="T286" s="3"/>
      <c r="U286" s="3"/>
      <c r="V286" s="17"/>
    </row>
    <row r="287" spans="1:22" ht="12.75" hidden="1" customHeight="1" outlineLevel="1">
      <c r="A287" s="55" t="s">
        <v>200</v>
      </c>
      <c r="B287" s="17"/>
      <c r="C287" s="56">
        <f>C285/C288</f>
        <v>1.5035501029567244</v>
      </c>
      <c r="D287" s="56" t="s">
        <v>90</v>
      </c>
      <c r="E287" s="56" t="s">
        <v>90</v>
      </c>
      <c r="F287" s="56" t="s">
        <v>90</v>
      </c>
      <c r="G287" s="56" t="s">
        <v>90</v>
      </c>
      <c r="H287" s="56" t="s">
        <v>90</v>
      </c>
      <c r="I287" s="56" t="s">
        <v>90</v>
      </c>
      <c r="J287" s="56" t="s">
        <v>90</v>
      </c>
      <c r="K287" s="56" t="s">
        <v>90</v>
      </c>
      <c r="L287" s="56" t="s">
        <v>90</v>
      </c>
      <c r="M287" s="56" t="s">
        <v>90</v>
      </c>
      <c r="N287" s="56" t="s">
        <v>90</v>
      </c>
      <c r="O287" s="56" t="s">
        <v>90</v>
      </c>
      <c r="P287" s="56" t="s">
        <v>90</v>
      </c>
      <c r="Q287" s="56" t="s">
        <v>90</v>
      </c>
      <c r="R287" s="56" t="s">
        <v>90</v>
      </c>
      <c r="S287" s="56" t="s">
        <v>90</v>
      </c>
      <c r="T287" s="56" t="s">
        <v>90</v>
      </c>
      <c r="U287" s="56" t="s">
        <v>90</v>
      </c>
      <c r="V287" s="17"/>
    </row>
    <row r="288" spans="1:22" ht="12.75" hidden="1" customHeight="1" outlineLevel="1">
      <c r="A288" s="6" t="s">
        <v>197</v>
      </c>
      <c r="B288" s="17"/>
      <c r="C288" s="54">
        <f t="shared" ref="C288:J288" si="283">C27</f>
        <v>44.668281999999998</v>
      </c>
      <c r="D288" s="54" t="str">
        <f t="shared" si="283"/>
        <v>NA</v>
      </c>
      <c r="E288" s="54" t="str">
        <f t="shared" si="283"/>
        <v>NA</v>
      </c>
      <c r="F288" s="54" t="str">
        <f t="shared" si="283"/>
        <v>NA</v>
      </c>
      <c r="G288" s="54" t="str">
        <f t="shared" si="283"/>
        <v>NA</v>
      </c>
      <c r="H288" s="54">
        <f t="shared" si="283"/>
        <v>71.508025000000004</v>
      </c>
      <c r="I288" s="54">
        <f t="shared" si="283"/>
        <v>71.508025000000004</v>
      </c>
      <c r="J288" s="54">
        <f t="shared" si="283"/>
        <v>71.508025000000004</v>
      </c>
      <c r="K288" s="61" t="e">
        <f>INDEX(K289:K291,MATCH(#REF!,#REF!,0))</f>
        <v>#REF!</v>
      </c>
      <c r="L288" s="61" t="e">
        <f>INDEX(L289:L291,MATCH(#REF!,#REF!,0))</f>
        <v>#REF!</v>
      </c>
      <c r="M288" s="61" t="e">
        <f>INDEX(M289:M291,MATCH(#REF!,#REF!,0))</f>
        <v>#REF!</v>
      </c>
      <c r="N288" s="61" t="e">
        <f>INDEX(N289:N291,MATCH(#REF!,#REF!,0))</f>
        <v>#REF!</v>
      </c>
      <c r="O288" s="61" t="e">
        <f>INDEX(O289:O291,MATCH(#REF!,#REF!,0))</f>
        <v>#REF!</v>
      </c>
      <c r="P288" s="61" t="e">
        <f>INDEX(P289:P291,MATCH(#REF!,#REF!,0))</f>
        <v>#REF!</v>
      </c>
      <c r="Q288" s="61" t="e">
        <f>INDEX(Q289:Q291,MATCH(#REF!,#REF!,0))</f>
        <v>#REF!</v>
      </c>
      <c r="R288" s="61" t="e">
        <f>INDEX(R289:R291,MATCH(#REF!,#REF!,0))</f>
        <v>#REF!</v>
      </c>
      <c r="S288" s="61" t="e">
        <f>INDEX(S289:S291,MATCH(#REF!,#REF!,0))</f>
        <v>#REF!</v>
      </c>
      <c r="T288" s="61" t="e">
        <f>INDEX(T289:T291,MATCH(#REF!,#REF!,0))</f>
        <v>#REF!</v>
      </c>
      <c r="U288" s="61" t="e">
        <f>INDEX(U289:U291,MATCH(#REF!,#REF!,0))</f>
        <v>#REF!</v>
      </c>
      <c r="V288" s="17"/>
    </row>
    <row r="289" spans="1:22" ht="12.75" hidden="1" customHeight="1" outlineLevel="1">
      <c r="A289" s="8" t="s">
        <v>249</v>
      </c>
      <c r="B289" s="17"/>
      <c r="C289" s="54"/>
      <c r="D289" s="54"/>
      <c r="E289" s="54"/>
      <c r="F289" s="54"/>
      <c r="G289" s="54"/>
      <c r="H289" s="54"/>
      <c r="I289" s="54"/>
      <c r="J289" s="54"/>
      <c r="K289" s="61" t="e">
        <f>#REF!</f>
        <v>#REF!</v>
      </c>
      <c r="L289" s="61" t="e">
        <f>#REF!</f>
        <v>#REF!</v>
      </c>
      <c r="M289" s="61" t="e">
        <f>#REF!</f>
        <v>#REF!</v>
      </c>
      <c r="N289" s="61" t="e">
        <f>#REF!</f>
        <v>#REF!</v>
      </c>
      <c r="O289" s="61" t="e">
        <f>#REF!</f>
        <v>#REF!</v>
      </c>
      <c r="P289" s="61" t="e">
        <f>#REF!</f>
        <v>#REF!</v>
      </c>
      <c r="Q289" s="61" t="e">
        <f>#REF!</f>
        <v>#REF!</v>
      </c>
      <c r="R289" s="61" t="e">
        <f>#REF!</f>
        <v>#REF!</v>
      </c>
      <c r="S289" s="61" t="e">
        <f>#REF!</f>
        <v>#REF!</v>
      </c>
      <c r="T289" s="61" t="e">
        <f>#REF!</f>
        <v>#REF!</v>
      </c>
      <c r="U289" s="61" t="e">
        <f>#REF!</f>
        <v>#REF!</v>
      </c>
      <c r="V289" s="17"/>
    </row>
    <row r="290" spans="1:22" ht="12.75" hidden="1" customHeight="1" outlineLevel="1">
      <c r="A290" s="8" t="s">
        <v>250</v>
      </c>
      <c r="B290" s="17"/>
      <c r="C290" s="54"/>
      <c r="D290" s="54"/>
      <c r="E290" s="54"/>
      <c r="F290" s="54"/>
      <c r="G290" s="54"/>
      <c r="H290" s="54"/>
      <c r="I290" s="54"/>
      <c r="J290" s="54"/>
      <c r="K290" s="61">
        <f t="shared" ref="K290:U290" si="284">K27</f>
        <v>71.508025000000004</v>
      </c>
      <c r="L290" s="61">
        <f t="shared" si="284"/>
        <v>74.258713999999998</v>
      </c>
      <c r="M290" s="61">
        <f t="shared" si="284"/>
        <v>75.864999999999995</v>
      </c>
      <c r="N290" s="61">
        <f t="shared" si="284"/>
        <v>75.442999999999998</v>
      </c>
      <c r="O290" s="61">
        <f t="shared" si="284"/>
        <v>71.721000000000004</v>
      </c>
      <c r="P290" s="61">
        <f t="shared" si="284"/>
        <v>70.287999999999997</v>
      </c>
      <c r="Q290" s="61">
        <f t="shared" si="284"/>
        <v>67.884999999999991</v>
      </c>
      <c r="R290" s="61">
        <f t="shared" si="284"/>
        <v>66.40351851851851</v>
      </c>
      <c r="S290" s="61">
        <f t="shared" si="284"/>
        <v>64.974947089947079</v>
      </c>
      <c r="T290" s="61">
        <f t="shared" si="284"/>
        <v>63.641613756613744</v>
      </c>
      <c r="U290" s="61">
        <f t="shared" si="284"/>
        <v>63.641613756613744</v>
      </c>
      <c r="V290" s="17"/>
    </row>
    <row r="291" spans="1:22" ht="12.75" hidden="1" customHeight="1" outlineLevel="1">
      <c r="A291" s="8" t="s">
        <v>251</v>
      </c>
      <c r="B291" s="17"/>
      <c r="C291" s="54"/>
      <c r="D291" s="54"/>
      <c r="E291" s="54"/>
      <c r="F291" s="54"/>
      <c r="G291" s="54"/>
      <c r="H291" s="54"/>
      <c r="I291" s="54"/>
      <c r="J291" s="54"/>
      <c r="K291" s="61">
        <f t="shared" ref="K291:P291" si="285">K240</f>
        <v>71.508025000000004</v>
      </c>
      <c r="L291" s="61">
        <f t="shared" si="285"/>
        <v>74.258713999999998</v>
      </c>
      <c r="M291" s="61">
        <f>M240</f>
        <v>75.864999999999995</v>
      </c>
      <c r="N291" s="61">
        <f t="shared" si="285"/>
        <v>75.442999999999998</v>
      </c>
      <c r="O291" s="61">
        <f t="shared" si="285"/>
        <v>71.721000000000004</v>
      </c>
      <c r="P291" s="61">
        <f t="shared" si="285"/>
        <v>70.287999999999997</v>
      </c>
      <c r="Q291" s="61">
        <f>Q240</f>
        <v>67.884999999999991</v>
      </c>
      <c r="R291" s="61">
        <f>R240</f>
        <v>66.40351851851851</v>
      </c>
      <c r="S291" s="61">
        <f>S240</f>
        <v>64.974947089947079</v>
      </c>
      <c r="T291" s="61">
        <f>T240</f>
        <v>63.641613756613744</v>
      </c>
      <c r="U291" s="61">
        <f>U240</f>
        <v>63.641613756613744</v>
      </c>
      <c r="V291" s="17"/>
    </row>
    <row r="292" spans="1:22" ht="12.75" hidden="1" customHeight="1" outlineLevel="1">
      <c r="A292" s="6"/>
      <c r="B292" s="17"/>
      <c r="C292"/>
      <c r="D292"/>
      <c r="E292"/>
      <c r="F292"/>
      <c r="G292"/>
      <c r="H292"/>
      <c r="I292"/>
      <c r="J292"/>
      <c r="K292" s="5"/>
      <c r="L292" s="5"/>
      <c r="M292" s="5"/>
      <c r="N292" s="5"/>
      <c r="O292" s="5"/>
      <c r="P292" s="5"/>
      <c r="Q292" s="5"/>
      <c r="R292" s="5"/>
      <c r="S292" s="5"/>
      <c r="T292" s="5"/>
      <c r="U292" s="5"/>
      <c r="V292" s="17"/>
    </row>
    <row r="293" spans="1:22" ht="12.75" hidden="1" customHeight="1" outlineLevel="1">
      <c r="A293" s="6" t="s">
        <v>349</v>
      </c>
      <c r="B293" s="17"/>
      <c r="C293" s="53">
        <f t="shared" ref="C293:Q293" si="286">C276+C277-C275</f>
        <v>215.09299999999999</v>
      </c>
      <c r="D293" s="53">
        <f t="shared" si="286"/>
        <v>284.16000000000008</v>
      </c>
      <c r="E293" s="53">
        <f t="shared" si="286"/>
        <v>252.26500000000016</v>
      </c>
      <c r="F293" s="53">
        <f t="shared" si="286"/>
        <v>266.37700000000007</v>
      </c>
      <c r="G293" s="53">
        <f t="shared" si="286"/>
        <v>263.50199999999995</v>
      </c>
      <c r="H293" s="53">
        <f t="shared" si="286"/>
        <v>322.19699999999989</v>
      </c>
      <c r="I293" s="53">
        <f t="shared" si="286"/>
        <v>346.30899999999974</v>
      </c>
      <c r="J293" s="53">
        <f t="shared" si="286"/>
        <v>361.57400000000018</v>
      </c>
      <c r="K293" s="53" t="e">
        <f t="shared" si="286"/>
        <v>#REF!</v>
      </c>
      <c r="L293" s="53" t="e">
        <f t="shared" si="286"/>
        <v>#REF!</v>
      </c>
      <c r="M293" s="53" t="e">
        <f>M276+M277-M275</f>
        <v>#REF!</v>
      </c>
      <c r="N293" s="53" t="e">
        <f t="shared" si="286"/>
        <v>#REF!</v>
      </c>
      <c r="O293" s="53" t="e">
        <f t="shared" si="286"/>
        <v>#REF!</v>
      </c>
      <c r="P293" s="53" t="e">
        <f t="shared" si="286"/>
        <v>#REF!</v>
      </c>
      <c r="Q293" s="53" t="e">
        <f t="shared" si="286"/>
        <v>#REF!</v>
      </c>
      <c r="R293" s="53" t="e">
        <f>R276+R277-R275</f>
        <v>#REF!</v>
      </c>
      <c r="S293" s="53" t="e">
        <f>S276+S277-S275</f>
        <v>#REF!</v>
      </c>
      <c r="T293" s="53" t="e">
        <f>T276+T277-T275</f>
        <v>#REF!</v>
      </c>
      <c r="U293" s="53" t="e">
        <f>U276+U277-U275</f>
        <v>#REF!</v>
      </c>
      <c r="V293" s="17"/>
    </row>
    <row r="294" spans="1:22" ht="12.75" hidden="1" customHeight="1" outlineLevel="1">
      <c r="A294" s="6"/>
      <c r="B294" s="17"/>
      <c r="C294"/>
      <c r="D294"/>
      <c r="E294"/>
      <c r="F294"/>
      <c r="G294"/>
      <c r="H294"/>
      <c r="I294"/>
      <c r="J294"/>
      <c r="K294" s="5"/>
      <c r="L294" s="5"/>
      <c r="M294" s="5"/>
      <c r="N294" s="5"/>
      <c r="O294" s="5"/>
      <c r="P294" s="5"/>
      <c r="Q294" s="5"/>
      <c r="R294" s="5"/>
      <c r="S294" s="5"/>
      <c r="T294" s="5"/>
      <c r="U294" s="5"/>
      <c r="V294" s="17"/>
    </row>
    <row r="295" spans="1:22" ht="12.75" hidden="1" customHeight="1" outlineLevel="1">
      <c r="A295" s="15" t="s">
        <v>203</v>
      </c>
      <c r="B295" s="17"/>
      <c r="C295"/>
      <c r="D295"/>
      <c r="E295"/>
      <c r="F295"/>
      <c r="G295"/>
      <c r="H295"/>
      <c r="I295"/>
      <c r="J295"/>
      <c r="K295" s="5"/>
      <c r="L295" s="5"/>
      <c r="M295" s="5"/>
      <c r="N295" s="5"/>
      <c r="O295" s="5"/>
      <c r="P295" s="5"/>
      <c r="Q295" s="5"/>
      <c r="R295" s="5"/>
      <c r="S295" s="5"/>
      <c r="T295" s="5"/>
      <c r="U295" s="5"/>
      <c r="V295" s="17"/>
    </row>
    <row r="296" spans="1:22" ht="12.75" hidden="1" customHeight="1" outlineLevel="1">
      <c r="A296" s="6" t="s">
        <v>204</v>
      </c>
      <c r="B296" s="17"/>
      <c r="C296" s="16">
        <f t="shared" ref="C296:J296" si="287">C273/C269</f>
        <v>0.38269136631281553</v>
      </c>
      <c r="D296" s="16">
        <f t="shared" si="287"/>
        <v>0.37898176158807939</v>
      </c>
      <c r="E296" s="16">
        <f t="shared" si="287"/>
        <v>0.37091801481838349</v>
      </c>
      <c r="F296" s="16">
        <f t="shared" si="287"/>
        <v>0.38251620954514487</v>
      </c>
      <c r="G296" s="16">
        <f t="shared" si="287"/>
        <v>0.38803138926621206</v>
      </c>
      <c r="H296" s="16">
        <f t="shared" si="287"/>
        <v>0.380709548969972</v>
      </c>
      <c r="I296" s="16">
        <f t="shared" si="287"/>
        <v>0.38621518082887463</v>
      </c>
      <c r="J296" s="16">
        <f t="shared" si="287"/>
        <v>0.38677171058401189</v>
      </c>
      <c r="K296" s="49" t="e">
        <f>INDEX(K297:K299,MATCH(#REF!,#REF!,0))</f>
        <v>#REF!</v>
      </c>
      <c r="L296" s="49" t="e">
        <f>INDEX(L297:L299,MATCH(#REF!,#REF!,0))</f>
        <v>#REF!</v>
      </c>
      <c r="M296" s="49" t="e">
        <f>INDEX(M297:M299,MATCH(#REF!,#REF!,0))</f>
        <v>#REF!</v>
      </c>
      <c r="N296" s="49" t="e">
        <f>INDEX(N297:N299,MATCH(#REF!,#REF!,0))</f>
        <v>#REF!</v>
      </c>
      <c r="O296" s="49" t="e">
        <f>INDEX(O297:O299,MATCH(#REF!,#REF!,0))</f>
        <v>#REF!</v>
      </c>
      <c r="P296" s="49" t="e">
        <f>INDEX(P297:P299,MATCH(#REF!,#REF!,0))</f>
        <v>#REF!</v>
      </c>
      <c r="Q296" s="49" t="e">
        <f>INDEX(Q297:Q299,MATCH(#REF!,#REF!,0))</f>
        <v>#REF!</v>
      </c>
      <c r="R296" s="49" t="e">
        <f>INDEX(R297:R299,MATCH(#REF!,#REF!,0))</f>
        <v>#REF!</v>
      </c>
      <c r="S296" s="49" t="e">
        <f>INDEX(S297:S299,MATCH(#REF!,#REF!,0))</f>
        <v>#REF!</v>
      </c>
      <c r="T296" s="49" t="e">
        <f>INDEX(T297:T299,MATCH(#REF!,#REF!,0))</f>
        <v>#REF!</v>
      </c>
      <c r="U296" s="49" t="e">
        <f>INDEX(U297:U299,MATCH(#REF!,#REF!,0))</f>
        <v>#REF!</v>
      </c>
      <c r="V296" s="17"/>
    </row>
    <row r="297" spans="1:22" ht="12.75" hidden="1" customHeight="1" outlineLevel="1">
      <c r="A297" s="8" t="s">
        <v>249</v>
      </c>
      <c r="B297" s="17"/>
      <c r="C297" s="16"/>
      <c r="D297" s="16"/>
      <c r="E297" s="16"/>
      <c r="F297" s="16"/>
      <c r="G297" s="16"/>
      <c r="H297" s="16"/>
      <c r="I297" s="16"/>
      <c r="J297" s="16"/>
      <c r="K297" s="49">
        <f t="shared" ref="K297:U297" si="288">K118</f>
        <v>0.38730639699926162</v>
      </c>
      <c r="L297" s="49">
        <f t="shared" si="288"/>
        <v>0.39108861134594375</v>
      </c>
      <c r="M297" s="49">
        <f t="shared" si="288"/>
        <v>0.39748331292278499</v>
      </c>
      <c r="N297" s="49">
        <f t="shared" si="288"/>
        <v>0.39994473352458915</v>
      </c>
      <c r="O297" s="49">
        <f t="shared" si="288"/>
        <v>0.40759064167366443</v>
      </c>
      <c r="P297" s="49">
        <f t="shared" si="288"/>
        <v>0.41507068636657513</v>
      </c>
      <c r="Q297" s="49">
        <f t="shared" si="288"/>
        <v>0.42209999999999998</v>
      </c>
      <c r="R297" s="49">
        <f t="shared" si="288"/>
        <v>0.42899999999999999</v>
      </c>
      <c r="S297" s="49">
        <f t="shared" si="288"/>
        <v>0.436</v>
      </c>
      <c r="T297" s="49">
        <f t="shared" si="288"/>
        <v>0.4425</v>
      </c>
      <c r="U297" s="49">
        <f t="shared" si="288"/>
        <v>0.45100000000000001</v>
      </c>
      <c r="V297" s="17"/>
    </row>
    <row r="298" spans="1:22" ht="12.75" hidden="1" customHeight="1" outlineLevel="1">
      <c r="A298" s="8" t="s">
        <v>250</v>
      </c>
      <c r="B298" s="17"/>
      <c r="C298" s="16"/>
      <c r="D298" s="16"/>
      <c r="E298" s="16"/>
      <c r="F298" s="16"/>
      <c r="G298" s="16"/>
      <c r="H298" s="16"/>
      <c r="I298" s="16"/>
      <c r="J298" s="16"/>
      <c r="K298" s="49">
        <f t="shared" ref="K298:U298" si="289">K51</f>
        <v>0.38730639699926162</v>
      </c>
      <c r="L298" s="49">
        <f t="shared" si="289"/>
        <v>0.39108861134594375</v>
      </c>
      <c r="M298" s="49">
        <f t="shared" si="289"/>
        <v>0.39748331292278499</v>
      </c>
      <c r="N298" s="49">
        <f t="shared" si="289"/>
        <v>0.39994473352458915</v>
      </c>
      <c r="O298" s="49">
        <f t="shared" si="289"/>
        <v>0.40759064167366443</v>
      </c>
      <c r="P298" s="49">
        <f t="shared" si="289"/>
        <v>0.41507068636657513</v>
      </c>
      <c r="Q298" s="49">
        <f t="shared" si="289"/>
        <v>0.41937323737577387</v>
      </c>
      <c r="R298" s="49">
        <f t="shared" si="289"/>
        <v>0.41900000000000004</v>
      </c>
      <c r="S298" s="49">
        <f t="shared" si="289"/>
        <v>0.41979999999999995</v>
      </c>
      <c r="T298" s="49">
        <f t="shared" si="289"/>
        <v>0.42049999999999993</v>
      </c>
      <c r="U298" s="49">
        <f t="shared" si="289"/>
        <v>0.42100000000000004</v>
      </c>
      <c r="V298" s="17"/>
    </row>
    <row r="299" spans="1:22" ht="12.75" hidden="1" customHeight="1" outlineLevel="1">
      <c r="A299" s="8" t="s">
        <v>251</v>
      </c>
      <c r="B299" s="17"/>
      <c r="C299" s="16"/>
      <c r="D299" s="16"/>
      <c r="E299" s="16"/>
      <c r="F299" s="16"/>
      <c r="G299" s="16"/>
      <c r="H299" s="16"/>
      <c r="I299" s="16"/>
      <c r="J299" s="16"/>
      <c r="K299" s="49">
        <f t="shared" ref="K299:P299" si="290">K249</f>
        <v>0.38730639699926162</v>
      </c>
      <c r="L299" s="49">
        <f t="shared" si="290"/>
        <v>0.39108861134594375</v>
      </c>
      <c r="M299" s="49">
        <f>M249</f>
        <v>0.39748331292278499</v>
      </c>
      <c r="N299" s="49">
        <f t="shared" si="290"/>
        <v>0.39654473352458913</v>
      </c>
      <c r="O299" s="49">
        <f t="shared" si="290"/>
        <v>0.40300000000000002</v>
      </c>
      <c r="P299" s="49">
        <f t="shared" si="290"/>
        <v>0.41107068636657512</v>
      </c>
      <c r="Q299" s="49">
        <f>Q249</f>
        <v>0.41577323737577387</v>
      </c>
      <c r="R299" s="49">
        <f>R249</f>
        <v>0.41540000000000005</v>
      </c>
      <c r="S299" s="49">
        <f>S249</f>
        <v>0.41619999999999996</v>
      </c>
      <c r="T299" s="49">
        <f>T249</f>
        <v>0.41689999999999994</v>
      </c>
      <c r="U299" s="49">
        <f>U249</f>
        <v>0.41740000000000005</v>
      </c>
      <c r="V299" s="17"/>
    </row>
    <row r="300" spans="1:22" ht="12.75" hidden="1" customHeight="1" outlineLevel="1">
      <c r="A300" s="6" t="s">
        <v>205</v>
      </c>
      <c r="B300" s="17"/>
      <c r="C300" s="16">
        <f t="shared" ref="C300:J300" si="291">C274/C269</f>
        <v>0.31471034559923916</v>
      </c>
      <c r="D300" s="16">
        <f t="shared" si="291"/>
        <v>0.2993146532326616</v>
      </c>
      <c r="E300" s="16">
        <f t="shared" si="291"/>
        <v>0.30309915938492815</v>
      </c>
      <c r="F300" s="16">
        <f t="shared" si="291"/>
        <v>0.30870935264967775</v>
      </c>
      <c r="G300" s="16">
        <f t="shared" si="291"/>
        <v>0.31858574819369195</v>
      </c>
      <c r="H300" s="16">
        <f t="shared" si="291"/>
        <v>0.31620414236623434</v>
      </c>
      <c r="I300" s="16">
        <f t="shared" si="291"/>
        <v>0.31518758710072647</v>
      </c>
      <c r="J300" s="16">
        <f t="shared" si="291"/>
        <v>0.3154467384891132</v>
      </c>
      <c r="K300" s="49" t="e">
        <f>INDEX(K301:K303,MATCH(#REF!,#REF!,0))</f>
        <v>#REF!</v>
      </c>
      <c r="L300" s="49" t="e">
        <f>INDEX(L301:L303,MATCH(#REF!,#REF!,0))</f>
        <v>#REF!</v>
      </c>
      <c r="M300" s="49" t="e">
        <f>INDEX(M301:M303,MATCH(#REF!,#REF!,0))</f>
        <v>#REF!</v>
      </c>
      <c r="N300" s="49" t="e">
        <f>INDEX(N301:N303,MATCH(#REF!,#REF!,0))</f>
        <v>#REF!</v>
      </c>
      <c r="O300" s="49" t="e">
        <f>INDEX(O301:O303,MATCH(#REF!,#REF!,0))</f>
        <v>#REF!</v>
      </c>
      <c r="P300" s="49" t="e">
        <f>INDEX(P301:P303,MATCH(#REF!,#REF!,0))</f>
        <v>#REF!</v>
      </c>
      <c r="Q300" s="49" t="e">
        <f>INDEX(Q301:Q303,MATCH(#REF!,#REF!,0))</f>
        <v>#REF!</v>
      </c>
      <c r="R300" s="49" t="e">
        <f>INDEX(R301:R303,MATCH(#REF!,#REF!,0))</f>
        <v>#REF!</v>
      </c>
      <c r="S300" s="49" t="e">
        <f>INDEX(S301:S303,MATCH(#REF!,#REF!,0))</f>
        <v>#REF!</v>
      </c>
      <c r="T300" s="49" t="e">
        <f>INDEX(T301:T303,MATCH(#REF!,#REF!,0))</f>
        <v>#REF!</v>
      </c>
      <c r="U300" s="49" t="e">
        <f>INDEX(U301:U303,MATCH(#REF!,#REF!,0))</f>
        <v>#REF!</v>
      </c>
      <c r="V300" s="17"/>
    </row>
    <row r="301" spans="1:22" ht="12.75" hidden="1" customHeight="1" outlineLevel="1">
      <c r="A301" s="8" t="s">
        <v>249</v>
      </c>
      <c r="B301" s="17"/>
      <c r="C301" s="16"/>
      <c r="D301" s="16"/>
      <c r="E301" s="16"/>
      <c r="F301" s="16"/>
      <c r="G301" s="16"/>
      <c r="H301" s="16"/>
      <c r="I301" s="16"/>
      <c r="J301" s="16"/>
      <c r="K301" s="49">
        <f t="shared" ref="K301:U301" si="292">K119</f>
        <v>0.31620391583440183</v>
      </c>
      <c r="L301" s="49">
        <f t="shared" si="292"/>
        <v>0.31435054928251888</v>
      </c>
      <c r="M301" s="49">
        <f t="shared" si="292"/>
        <v>0.31397793002145186</v>
      </c>
      <c r="N301" s="49">
        <f t="shared" si="292"/>
        <v>0.31334365706387146</v>
      </c>
      <c r="O301" s="49">
        <f t="shared" si="292"/>
        <v>0.30960101242571469</v>
      </c>
      <c r="P301" s="49">
        <f t="shared" si="292"/>
        <v>0.30625664158654581</v>
      </c>
      <c r="Q301" s="49">
        <f t="shared" si="292"/>
        <v>0.30399999999999999</v>
      </c>
      <c r="R301" s="49">
        <f t="shared" si="292"/>
        <v>0.3019</v>
      </c>
      <c r="S301" s="49">
        <f t="shared" si="292"/>
        <v>0.30109999999999998</v>
      </c>
      <c r="T301" s="49">
        <f t="shared" si="292"/>
        <v>0.3</v>
      </c>
      <c r="U301" s="49">
        <f t="shared" si="292"/>
        <v>0.29970000000000002</v>
      </c>
      <c r="V301" s="57"/>
    </row>
    <row r="302" spans="1:22" ht="12.75" hidden="1" customHeight="1" outlineLevel="1">
      <c r="A302" s="8" t="s">
        <v>250</v>
      </c>
      <c r="B302" s="17"/>
      <c r="C302" s="16"/>
      <c r="D302" s="16"/>
      <c r="E302" s="16"/>
      <c r="F302" s="16"/>
      <c r="G302" s="16"/>
      <c r="H302" s="16"/>
      <c r="I302" s="16"/>
      <c r="J302" s="16"/>
      <c r="K302" s="49">
        <f t="shared" ref="K302:U302" si="293">K52</f>
        <v>0.31620391583440183</v>
      </c>
      <c r="L302" s="49">
        <f t="shared" si="293"/>
        <v>0.31435054928251888</v>
      </c>
      <c r="M302" s="49">
        <f t="shared" si="293"/>
        <v>0.31397793002145186</v>
      </c>
      <c r="N302" s="49">
        <f t="shared" si="293"/>
        <v>0.31334365706387146</v>
      </c>
      <c r="O302" s="49">
        <f t="shared" si="293"/>
        <v>0.30960101242571469</v>
      </c>
      <c r="P302" s="49">
        <f t="shared" si="293"/>
        <v>0.30625664158654581</v>
      </c>
      <c r="Q302" s="49">
        <f t="shared" si="293"/>
        <v>0.30610548645515073</v>
      </c>
      <c r="R302" s="49">
        <f t="shared" si="293"/>
        <v>0.30609999999999998</v>
      </c>
      <c r="S302" s="49">
        <f t="shared" si="293"/>
        <v>0.307</v>
      </c>
      <c r="T302" s="49">
        <f t="shared" si="293"/>
        <v>0.30709999999999998</v>
      </c>
      <c r="U302" s="49">
        <f t="shared" si="293"/>
        <v>0.30769999999999997</v>
      </c>
      <c r="V302" s="57"/>
    </row>
    <row r="303" spans="1:22" ht="12.75" hidden="1" customHeight="1" outlineLevel="1">
      <c r="A303" s="8" t="s">
        <v>251</v>
      </c>
      <c r="B303" s="17"/>
      <c r="C303" s="16"/>
      <c r="D303" s="16"/>
      <c r="E303" s="16"/>
      <c r="F303" s="16"/>
      <c r="G303" s="16"/>
      <c r="H303" s="16"/>
      <c r="I303" s="16"/>
      <c r="J303" s="16"/>
      <c r="K303" s="49">
        <f t="shared" ref="K303:P303" si="294">K250</f>
        <v>0.31620391583440183</v>
      </c>
      <c r="L303" s="49">
        <f t="shared" si="294"/>
        <v>0.31435054928251888</v>
      </c>
      <c r="M303" s="49">
        <f>M250</f>
        <v>0.31397793002145186</v>
      </c>
      <c r="N303" s="49">
        <f t="shared" si="294"/>
        <v>0.31534365706387146</v>
      </c>
      <c r="O303" s="49">
        <f t="shared" si="294"/>
        <v>0.3141010124257147</v>
      </c>
      <c r="P303" s="49">
        <f t="shared" si="294"/>
        <v>0.31325664158654581</v>
      </c>
      <c r="Q303" s="49">
        <f>Q250</f>
        <v>0.31510548645515074</v>
      </c>
      <c r="R303" s="49">
        <f>R250</f>
        <v>0.31509999999999999</v>
      </c>
      <c r="S303" s="49">
        <f>S250</f>
        <v>0.316</v>
      </c>
      <c r="T303" s="49">
        <f>T250</f>
        <v>0.31609999999999999</v>
      </c>
      <c r="U303" s="49">
        <f>U250</f>
        <v>0.31669999999999998</v>
      </c>
      <c r="V303" s="57"/>
    </row>
    <row r="304" spans="1:22" ht="12.75" hidden="1" customHeight="1" outlineLevel="1">
      <c r="A304" s="6" t="s">
        <v>206</v>
      </c>
      <c r="B304" s="17"/>
      <c r="C304" s="16">
        <f>C277/C269</f>
        <v>4.0442873326899671E-2</v>
      </c>
      <c r="D304" s="16">
        <f>D277/D269</f>
        <v>5.074878743937198E-2</v>
      </c>
      <c r="E304" s="16">
        <f>E277/E269</f>
        <v>2.0091893109860891E-2</v>
      </c>
      <c r="F304" s="16">
        <f>F277/F269</f>
        <v>2.717624856718228E-2</v>
      </c>
      <c r="G304" s="16">
        <f t="shared" ref="G304:P304" si="295">G277/G269</f>
        <v>2.658724236435275E-2</v>
      </c>
      <c r="H304" s="16">
        <f t="shared" si="295"/>
        <v>3.3589806620314841E-2</v>
      </c>
      <c r="I304" s="16">
        <f t="shared" si="295"/>
        <v>4.2706811256370533E-2</v>
      </c>
      <c r="J304" s="16">
        <f t="shared" si="295"/>
        <v>4.2853984838098567E-2</v>
      </c>
      <c r="K304" s="49" t="e">
        <f t="shared" si="295"/>
        <v>#REF!</v>
      </c>
      <c r="L304" s="49" t="e">
        <f t="shared" si="295"/>
        <v>#REF!</v>
      </c>
      <c r="M304" s="49" t="e">
        <f>M277/M269</f>
        <v>#REF!</v>
      </c>
      <c r="N304" s="49" t="e">
        <f t="shared" si="295"/>
        <v>#REF!</v>
      </c>
      <c r="O304" s="49" t="e">
        <f t="shared" si="295"/>
        <v>#REF!</v>
      </c>
      <c r="P304" s="49" t="e">
        <f t="shared" si="295"/>
        <v>#REF!</v>
      </c>
      <c r="Q304" s="49" t="e">
        <f>Q277/Q269</f>
        <v>#REF!</v>
      </c>
      <c r="R304" s="49" t="e">
        <f>R277/R269</f>
        <v>#REF!</v>
      </c>
      <c r="S304" s="49" t="e">
        <f>S277/S269</f>
        <v>#REF!</v>
      </c>
      <c r="T304" s="49" t="e">
        <f>T277/T269</f>
        <v>#REF!</v>
      </c>
      <c r="U304" s="49" t="e">
        <f>U277/U269</f>
        <v>#REF!</v>
      </c>
      <c r="V304" s="17"/>
    </row>
    <row r="305" spans="1:22" ht="12.75" hidden="1" customHeight="1" outlineLevel="1">
      <c r="A305" s="6" t="s">
        <v>208</v>
      </c>
      <c r="B305" s="17"/>
      <c r="C305" s="16">
        <f t="shared" ref="C305:J305" si="296">C281/C279</f>
        <v>0.38834447459973409</v>
      </c>
      <c r="D305" s="16">
        <f t="shared" si="296"/>
        <v>0.42892185948121281</v>
      </c>
      <c r="E305" s="16">
        <f t="shared" si="296"/>
        <v>0.99491792123840772</v>
      </c>
      <c r="F305" s="16">
        <f t="shared" si="296"/>
        <v>0.40187411112745897</v>
      </c>
      <c r="G305" s="16">
        <f t="shared" si="296"/>
        <v>0.39239257370290026</v>
      </c>
      <c r="H305" s="16">
        <f t="shared" si="296"/>
        <v>-0.87738491934770868</v>
      </c>
      <c r="I305" s="16">
        <f t="shared" si="296"/>
        <v>0.38548634336677934</v>
      </c>
      <c r="J305" s="16">
        <f t="shared" si="296"/>
        <v>-0.11508156697369823</v>
      </c>
      <c r="K305" s="49" t="e">
        <f>INDEX(K306:K308,MATCH(#REF!,#REF!,0))</f>
        <v>#REF!</v>
      </c>
      <c r="L305" s="49" t="e">
        <f>INDEX(L306:L308,MATCH(#REF!,#REF!,0))</f>
        <v>#REF!</v>
      </c>
      <c r="M305" s="49" t="e">
        <f>INDEX(M306:M308,MATCH(#REF!,#REF!,0))</f>
        <v>#REF!</v>
      </c>
      <c r="N305" s="49" t="e">
        <f>INDEX(N306:N308,MATCH(#REF!,#REF!,0))</f>
        <v>#REF!</v>
      </c>
      <c r="O305" s="49" t="e">
        <f>INDEX(O306:O308,MATCH(#REF!,#REF!,0))</f>
        <v>#REF!</v>
      </c>
      <c r="P305" s="49" t="e">
        <f>INDEX(P306:P308,MATCH(#REF!,#REF!,0))</f>
        <v>#REF!</v>
      </c>
      <c r="Q305" s="49" t="e">
        <f>INDEX(Q306:Q308,MATCH(#REF!,#REF!,0))</f>
        <v>#REF!</v>
      </c>
      <c r="R305" s="49" t="e">
        <f>INDEX(R306:R308,MATCH(#REF!,#REF!,0))</f>
        <v>#REF!</v>
      </c>
      <c r="S305" s="49" t="e">
        <f>INDEX(S306:S308,MATCH(#REF!,#REF!,0))</f>
        <v>#REF!</v>
      </c>
      <c r="T305" s="49" t="e">
        <f>INDEX(T306:T308,MATCH(#REF!,#REF!,0))</f>
        <v>#REF!</v>
      </c>
      <c r="U305" s="49" t="e">
        <f>INDEX(U306:U308,MATCH(#REF!,#REF!,0))</f>
        <v>#REF!</v>
      </c>
      <c r="V305" s="17"/>
    </row>
    <row r="306" spans="1:22" ht="12.75" hidden="1" customHeight="1" outlineLevel="1">
      <c r="A306" s="8" t="s">
        <v>249</v>
      </c>
      <c r="B306" s="17"/>
      <c r="C306" s="16"/>
      <c r="D306" s="16"/>
      <c r="E306" s="16"/>
      <c r="F306" s="16"/>
      <c r="G306" s="16"/>
      <c r="H306" s="16"/>
      <c r="I306" s="16"/>
      <c r="J306" s="16"/>
      <c r="K306" s="49">
        <f t="shared" ref="K306:U306" si="297">K123</f>
        <v>0.12143530499741843</v>
      </c>
      <c r="L306" s="49">
        <f t="shared" si="297"/>
        <v>0.5010164145027266</v>
      </c>
      <c r="M306" s="49">
        <f t="shared" si="297"/>
        <v>0.34187308201244349</v>
      </c>
      <c r="N306" s="49">
        <f t="shared" si="297"/>
        <v>0.37003608597000914</v>
      </c>
      <c r="O306" s="49">
        <f t="shared" si="297"/>
        <v>0.35214518084582835</v>
      </c>
      <c r="P306" s="49">
        <f t="shared" si="297"/>
        <v>0.32009779943120914</v>
      </c>
      <c r="Q306" s="49">
        <f t="shared" si="297"/>
        <v>0.23019523691257235</v>
      </c>
      <c r="R306" s="49">
        <f t="shared" si="297"/>
        <v>0.23019523691257238</v>
      </c>
      <c r="S306" s="49">
        <f t="shared" si="297"/>
        <v>0.23019523691257238</v>
      </c>
      <c r="T306" s="49">
        <f t="shared" si="297"/>
        <v>0.23019523691257238</v>
      </c>
      <c r="U306" s="49">
        <f t="shared" si="297"/>
        <v>0.23019523691257235</v>
      </c>
      <c r="V306" s="17"/>
    </row>
    <row r="307" spans="1:22" ht="12.75" hidden="1" customHeight="1" outlineLevel="1">
      <c r="A307" s="8" t="s">
        <v>250</v>
      </c>
      <c r="B307" s="17"/>
      <c r="C307" s="16"/>
      <c r="D307" s="16"/>
      <c r="E307" s="16"/>
      <c r="F307" s="16"/>
      <c r="G307" s="16"/>
      <c r="H307" s="16"/>
      <c r="I307" s="16"/>
      <c r="J307" s="16"/>
      <c r="K307" s="49">
        <f t="shared" ref="K307:U307" si="298">K56</f>
        <v>0.12143530499741843</v>
      </c>
      <c r="L307" s="49">
        <f t="shared" si="298"/>
        <v>0.5010164145027266</v>
      </c>
      <c r="M307" s="49">
        <f t="shared" si="298"/>
        <v>0.34187308201244349</v>
      </c>
      <c r="N307" s="49">
        <f t="shared" si="298"/>
        <v>0.37003608597000914</v>
      </c>
      <c r="O307" s="49">
        <f t="shared" si="298"/>
        <v>0.35214518084582835</v>
      </c>
      <c r="P307" s="49">
        <f t="shared" si="298"/>
        <v>0.32009779943120914</v>
      </c>
      <c r="Q307" s="49">
        <f t="shared" si="298"/>
        <v>0.23519523691257235</v>
      </c>
      <c r="R307" s="49">
        <f t="shared" si="298"/>
        <v>0.23519523691257238</v>
      </c>
      <c r="S307" s="49">
        <f t="shared" si="298"/>
        <v>0.23519523691257238</v>
      </c>
      <c r="T307" s="49">
        <f t="shared" si="298"/>
        <v>0.23519523691257238</v>
      </c>
      <c r="U307" s="49">
        <f t="shared" si="298"/>
        <v>0.23519523691257235</v>
      </c>
      <c r="V307" s="17"/>
    </row>
    <row r="308" spans="1:22" ht="12.75" hidden="1" customHeight="1" outlineLevel="1">
      <c r="A308" s="8" t="s">
        <v>251</v>
      </c>
      <c r="B308" s="17"/>
      <c r="C308" s="16"/>
      <c r="D308" s="16"/>
      <c r="E308" s="16"/>
      <c r="F308" s="16"/>
      <c r="G308" s="16"/>
      <c r="H308" s="16"/>
      <c r="I308" s="16"/>
      <c r="J308" s="16"/>
      <c r="K308" s="49" t="e">
        <f t="shared" ref="K308:P308" si="299">K253</f>
        <v>#REF!</v>
      </c>
      <c r="L308" s="49" t="e">
        <f t="shared" si="299"/>
        <v>#REF!</v>
      </c>
      <c r="M308" s="49" t="e">
        <f>M253</f>
        <v>#REF!</v>
      </c>
      <c r="N308" s="49">
        <f t="shared" si="299"/>
        <v>0.37003608597000914</v>
      </c>
      <c r="O308" s="49">
        <f t="shared" si="299"/>
        <v>0.35214518084582835</v>
      </c>
      <c r="P308" s="49">
        <f t="shared" si="299"/>
        <v>0.32009779943120914</v>
      </c>
      <c r="Q308" s="49">
        <f>Q253</f>
        <v>0.23519523691257235</v>
      </c>
      <c r="R308" s="49">
        <f>R253</f>
        <v>0.23519523691257238</v>
      </c>
      <c r="S308" s="49">
        <f>S253</f>
        <v>0.23519523691257238</v>
      </c>
      <c r="T308" s="49">
        <f>T253</f>
        <v>0.23519523691257238</v>
      </c>
      <c r="U308" s="49">
        <f>U253</f>
        <v>0.23519523691257235</v>
      </c>
      <c r="V308" s="17"/>
    </row>
    <row r="309" spans="1:22" ht="12.75" hidden="1" customHeight="1" outlineLevel="1">
      <c r="A309" s="6"/>
      <c r="B309" s="17"/>
      <c r="C309"/>
      <c r="D309"/>
      <c r="E309"/>
      <c r="F309"/>
      <c r="G309"/>
      <c r="H309"/>
      <c r="I309"/>
      <c r="J309"/>
      <c r="K309" s="5"/>
      <c r="L309" s="5"/>
      <c r="M309" s="5"/>
      <c r="N309" s="5"/>
      <c r="O309" s="5"/>
      <c r="P309" s="5"/>
      <c r="Q309" s="5"/>
      <c r="R309" s="5"/>
      <c r="S309" s="5"/>
      <c r="T309" s="5"/>
      <c r="U309" s="5"/>
      <c r="V309" s="17"/>
    </row>
    <row r="310" spans="1:22" ht="12.75" hidden="1" customHeight="1" outlineLevel="1">
      <c r="A310" s="15" t="s">
        <v>210</v>
      </c>
      <c r="B310" s="17"/>
      <c r="C310"/>
      <c r="D310"/>
      <c r="E310"/>
      <c r="F310"/>
      <c r="G310"/>
      <c r="H310"/>
      <c r="I310"/>
      <c r="J310"/>
      <c r="K310" s="5"/>
      <c r="L310" s="5"/>
      <c r="M310" s="5"/>
      <c r="N310" s="5"/>
      <c r="O310" s="5"/>
      <c r="P310" s="5"/>
      <c r="Q310" s="5"/>
      <c r="R310" s="5"/>
      <c r="S310" s="5"/>
      <c r="T310" s="5"/>
      <c r="U310" s="5"/>
      <c r="V310" s="17"/>
    </row>
    <row r="311" spans="1:22" ht="12.75" hidden="1" customHeight="1" outlineLevel="1">
      <c r="A311" s="6" t="s">
        <v>98</v>
      </c>
      <c r="B311" s="17"/>
      <c r="C311" s="58" t="s">
        <v>90</v>
      </c>
      <c r="D311" s="28">
        <f t="shared" ref="D311:J311" si="300">((D269/C269)-1)</f>
        <v>0.11884082294857268</v>
      </c>
      <c r="E311" s="28">
        <f t="shared" si="300"/>
        <v>8.4602355117755934E-2</v>
      </c>
      <c r="F311" s="28">
        <f t="shared" si="300"/>
        <v>-8.3297940328835862E-3</v>
      </c>
      <c r="G311" s="28">
        <f t="shared" si="300"/>
        <v>-5.134753874963871E-3</v>
      </c>
      <c r="H311" s="28">
        <f t="shared" si="300"/>
        <v>2.8896547957592E-2</v>
      </c>
      <c r="I311" s="28">
        <f t="shared" si="300"/>
        <v>4.1638257419851943E-2</v>
      </c>
      <c r="J311" s="28">
        <f t="shared" si="300"/>
        <v>5.0286652339954108E-2</v>
      </c>
      <c r="K311" s="62" t="e">
        <f t="shared" ref="K311:P311" si="301">K312+K321</f>
        <v>#REF!</v>
      </c>
      <c r="L311" s="62" t="e">
        <f t="shared" si="301"/>
        <v>#REF!</v>
      </c>
      <c r="M311" s="62" t="e">
        <f>M312+M321</f>
        <v>#REF!</v>
      </c>
      <c r="N311" s="62" t="e">
        <f t="shared" si="301"/>
        <v>#REF!</v>
      </c>
      <c r="O311" s="62" t="e">
        <f t="shared" si="301"/>
        <v>#REF!</v>
      </c>
      <c r="P311" s="62" t="e">
        <f t="shared" si="301"/>
        <v>#REF!</v>
      </c>
      <c r="Q311" s="62" t="e">
        <f>Q312+Q321</f>
        <v>#REF!</v>
      </c>
      <c r="R311" s="62" t="e">
        <f>R312+R321</f>
        <v>#REF!</v>
      </c>
      <c r="S311" s="62" t="e">
        <f>S312+S321</f>
        <v>#REF!</v>
      </c>
      <c r="T311" s="62" t="e">
        <f>T312+T321</f>
        <v>#REF!</v>
      </c>
      <c r="U311" s="62" t="e">
        <f>U312+U321</f>
        <v>#REF!</v>
      </c>
      <c r="V311" s="17"/>
    </row>
    <row r="312" spans="1:22" ht="12.75" hidden="1" customHeight="1" outlineLevel="1">
      <c r="A312" s="6" t="s">
        <v>211</v>
      </c>
      <c r="B312" s="17"/>
      <c r="C312" s="59" t="str">
        <f t="shared" ref="C312:J312" si="302">C127</f>
        <v>NA</v>
      </c>
      <c r="D312" s="59" t="str">
        <f t="shared" si="302"/>
        <v>NA</v>
      </c>
      <c r="E312" s="59">
        <f t="shared" si="302"/>
        <v>4.2999999999999997E-2</v>
      </c>
      <c r="F312" s="59">
        <f t="shared" si="302"/>
        <v>-2.1999999999999999E-2</v>
      </c>
      <c r="G312" s="59">
        <f t="shared" si="302"/>
        <v>-5.1999999999999998E-2</v>
      </c>
      <c r="H312" s="59">
        <f t="shared" si="302"/>
        <v>-0.04</v>
      </c>
      <c r="I312" s="59">
        <f t="shared" si="302"/>
        <v>-2E-3</v>
      </c>
      <c r="J312" s="59">
        <f t="shared" si="302"/>
        <v>6.9999999999999993E-3</v>
      </c>
      <c r="K312" s="49" t="e">
        <f>INDEX(K313:K315,MATCH(#REF!,#REF!,0))</f>
        <v>#REF!</v>
      </c>
      <c r="L312" s="49" t="e">
        <f>INDEX(L313:L315,MATCH(#REF!,#REF!,0))</f>
        <v>#REF!</v>
      </c>
      <c r="M312" s="49" t="e">
        <f>INDEX(M313:M315,MATCH(#REF!,#REF!,0))</f>
        <v>#REF!</v>
      </c>
      <c r="N312" s="49" t="e">
        <f>INDEX(N313:N315,MATCH(#REF!,#REF!,0))</f>
        <v>#REF!</v>
      </c>
      <c r="O312" s="49" t="e">
        <f>INDEX(O313:O315,MATCH(#REF!,#REF!,0))</f>
        <v>#REF!</v>
      </c>
      <c r="P312" s="49" t="e">
        <f>INDEX(P313:P315,MATCH(#REF!,#REF!,0))</f>
        <v>#REF!</v>
      </c>
      <c r="Q312" s="49" t="e">
        <f>INDEX(Q313:Q315,MATCH(#REF!,#REF!,0))</f>
        <v>#REF!</v>
      </c>
      <c r="R312" s="49" t="e">
        <f>INDEX(R313:R315,MATCH(#REF!,#REF!,0))</f>
        <v>#REF!</v>
      </c>
      <c r="S312" s="49" t="e">
        <f>INDEX(S313:S315,MATCH(#REF!,#REF!,0))</f>
        <v>#REF!</v>
      </c>
      <c r="T312" s="49" t="e">
        <f>INDEX(T313:T315,MATCH(#REF!,#REF!,0))</f>
        <v>#REF!</v>
      </c>
      <c r="U312" s="49" t="e">
        <f>INDEX(U313:U315,MATCH(#REF!,#REF!,0))</f>
        <v>#REF!</v>
      </c>
      <c r="V312" s="17"/>
    </row>
    <row r="313" spans="1:22" ht="12.75" hidden="1" customHeight="1" outlineLevel="1">
      <c r="A313" s="8" t="s">
        <v>249</v>
      </c>
      <c r="B313" s="17"/>
      <c r="C313" s="59"/>
      <c r="D313" s="59"/>
      <c r="E313" s="59"/>
      <c r="F313" s="59"/>
      <c r="G313" s="59"/>
      <c r="H313" s="16"/>
      <c r="I313" s="16"/>
      <c r="J313" s="16"/>
      <c r="K313" s="49">
        <f t="shared" ref="K313:U313" si="303">K127</f>
        <v>1.2E-2</v>
      </c>
      <c r="L313" s="49">
        <f t="shared" si="303"/>
        <v>4.7E-2</v>
      </c>
      <c r="M313" s="49">
        <f t="shared" si="303"/>
        <v>4.9000000000000002E-2</v>
      </c>
      <c r="N313" s="49">
        <f t="shared" si="303"/>
        <v>2.1484157270581374E-2</v>
      </c>
      <c r="O313" s="49">
        <f t="shared" si="303"/>
        <v>4.494161951463501E-2</v>
      </c>
      <c r="P313" s="49">
        <f t="shared" si="303"/>
        <v>3.4000000000000002E-2</v>
      </c>
      <c r="Q313" s="49">
        <f t="shared" si="303"/>
        <v>0.03</v>
      </c>
      <c r="R313" s="49">
        <f t="shared" si="303"/>
        <v>0.03</v>
      </c>
      <c r="S313" s="49">
        <f t="shared" si="303"/>
        <v>0.03</v>
      </c>
      <c r="T313" s="49">
        <f t="shared" si="303"/>
        <v>0.03</v>
      </c>
      <c r="U313" s="49">
        <f t="shared" si="303"/>
        <v>0.03</v>
      </c>
      <c r="V313" s="17"/>
    </row>
    <row r="314" spans="1:22" ht="12.75" hidden="1" customHeight="1" outlineLevel="1">
      <c r="A314" s="8" t="s">
        <v>250</v>
      </c>
      <c r="B314" s="17"/>
      <c r="C314" s="59"/>
      <c r="D314" s="59"/>
      <c r="E314" s="59"/>
      <c r="F314" s="59"/>
      <c r="G314" s="59"/>
      <c r="H314" s="16"/>
      <c r="I314" s="16"/>
      <c r="J314" s="16"/>
      <c r="K314" s="49">
        <f t="shared" ref="K314:U314" si="304">K60</f>
        <v>1.2E-2</v>
      </c>
      <c r="L314" s="49">
        <f t="shared" si="304"/>
        <v>4.7E-2</v>
      </c>
      <c r="M314" s="49">
        <f t="shared" si="304"/>
        <v>4.9000000000000002E-2</v>
      </c>
      <c r="N314" s="49">
        <f t="shared" si="304"/>
        <v>2.1484157270581374E-2</v>
      </c>
      <c r="O314" s="49">
        <f t="shared" si="304"/>
        <v>4.494161951463501E-2</v>
      </c>
      <c r="P314" s="49">
        <f t="shared" si="304"/>
        <v>3.4000000000000002E-2</v>
      </c>
      <c r="Q314" s="49">
        <f t="shared" si="304"/>
        <v>2.9999999999999995E-2</v>
      </c>
      <c r="R314" s="49">
        <f t="shared" si="304"/>
        <v>0.03</v>
      </c>
      <c r="S314" s="49">
        <f t="shared" si="304"/>
        <v>0.03</v>
      </c>
      <c r="T314" s="49">
        <f t="shared" si="304"/>
        <v>0.03</v>
      </c>
      <c r="U314" s="49">
        <f t="shared" si="304"/>
        <v>0.03</v>
      </c>
      <c r="V314" s="17"/>
    </row>
    <row r="315" spans="1:22" ht="12.75" hidden="1" customHeight="1" outlineLevel="1">
      <c r="A315" s="8" t="s">
        <v>251</v>
      </c>
      <c r="B315" s="17"/>
      <c r="C315" s="59"/>
      <c r="D315" s="59"/>
      <c r="E315" s="59"/>
      <c r="F315" s="59"/>
      <c r="G315" s="59"/>
      <c r="H315" s="16"/>
      <c r="I315" s="16"/>
      <c r="J315" s="16"/>
      <c r="K315" s="49">
        <f t="shared" ref="K315:P315" si="305">K257</f>
        <v>1.2E-2</v>
      </c>
      <c r="L315" s="49">
        <f t="shared" si="305"/>
        <v>4.7E-2</v>
      </c>
      <c r="M315" s="49">
        <f>M257</f>
        <v>4.9000000000000002E-2</v>
      </c>
      <c r="N315" s="49">
        <f t="shared" si="305"/>
        <v>-8.5158427294186254E-3</v>
      </c>
      <c r="O315" s="49">
        <f t="shared" si="305"/>
        <v>1.4941619514635011E-2</v>
      </c>
      <c r="P315" s="49">
        <f t="shared" si="305"/>
        <v>1.4000000000000002E-2</v>
      </c>
      <c r="Q315" s="49">
        <f>Q257</f>
        <v>9.999999999999995E-3</v>
      </c>
      <c r="R315" s="49">
        <f>R257</f>
        <v>9.9999999999999985E-3</v>
      </c>
      <c r="S315" s="49">
        <f>S257</f>
        <v>9.9999999999999985E-3</v>
      </c>
      <c r="T315" s="49">
        <f>T257</f>
        <v>9.9999999999999985E-3</v>
      </c>
      <c r="U315" s="49">
        <f>U257</f>
        <v>9.9999999999999985E-3</v>
      </c>
      <c r="V315" s="17"/>
    </row>
    <row r="316" spans="1:22" ht="12.75" hidden="1" customHeight="1" outlineLevel="1">
      <c r="A316" s="6" t="s">
        <v>189</v>
      </c>
      <c r="B316" s="17"/>
      <c r="C316" s="58" t="s">
        <v>90</v>
      </c>
      <c r="D316" s="28">
        <f>((D274/C274)-1)</f>
        <v>6.4106908547106434E-2</v>
      </c>
      <c r="E316" s="28">
        <f>((E274/D274)-1)</f>
        <v>9.8315964663344246E-2</v>
      </c>
      <c r="F316" s="28">
        <f>((F274/E274)-1)</f>
        <v>1.002545816134659E-2</v>
      </c>
      <c r="G316" s="28">
        <f>((G274/F274)-1)</f>
        <v>2.6693509828060513E-2</v>
      </c>
      <c r="H316" s="28">
        <f t="shared" ref="H316:U316" si="306">((H274/G274)-1)</f>
        <v>2.120497346513539E-2</v>
      </c>
      <c r="I316" s="28">
        <f t="shared" si="306"/>
        <v>3.828952565621746E-2</v>
      </c>
      <c r="J316" s="28">
        <f>((J274/I274)-1)</f>
        <v>5.1150211868619788E-2</v>
      </c>
      <c r="K316" s="62" t="e">
        <f>((K274/J274)-1)</f>
        <v>#REF!</v>
      </c>
      <c r="L316" s="62" t="e">
        <f t="shared" si="306"/>
        <v>#REF!</v>
      </c>
      <c r="M316" s="62" t="e">
        <f t="shared" si="306"/>
        <v>#REF!</v>
      </c>
      <c r="N316" s="62" t="e">
        <f t="shared" si="306"/>
        <v>#REF!</v>
      </c>
      <c r="O316" s="62" t="e">
        <f t="shared" si="306"/>
        <v>#REF!</v>
      </c>
      <c r="P316" s="62" t="e">
        <f t="shared" si="306"/>
        <v>#REF!</v>
      </c>
      <c r="Q316" s="62" t="e">
        <f t="shared" si="306"/>
        <v>#REF!</v>
      </c>
      <c r="R316" s="62" t="e">
        <f t="shared" si="306"/>
        <v>#REF!</v>
      </c>
      <c r="S316" s="62" t="e">
        <f t="shared" si="306"/>
        <v>#REF!</v>
      </c>
      <c r="T316" s="62" t="e">
        <f t="shared" si="306"/>
        <v>#REF!</v>
      </c>
      <c r="U316" s="62" t="e">
        <f t="shared" si="306"/>
        <v>#REF!</v>
      </c>
      <c r="V316" s="17"/>
    </row>
    <row r="317" spans="1:22" ht="12.75" hidden="1" customHeight="1" outlineLevel="1">
      <c r="A317" s="6" t="s">
        <v>191</v>
      </c>
      <c r="B317" s="17"/>
      <c r="C317" s="58" t="s">
        <v>90</v>
      </c>
      <c r="D317" s="28">
        <f>((D277/C277)-1)</f>
        <v>0.40395106557731419</v>
      </c>
      <c r="E317" s="28">
        <f>((E277/D277)-1)</f>
        <v>-0.5705963494839511</v>
      </c>
      <c r="F317" s="28">
        <f>((F277/E277)-1)</f>
        <v>0.34133084755485221</v>
      </c>
      <c r="G317" s="28">
        <f>((G277/F277)-1)</f>
        <v>-2.6697030930922239E-2</v>
      </c>
      <c r="H317" s="28">
        <f t="shared" ref="H317:U317" si="307">((H277/G277)-1)</f>
        <v>0.29988795395126933</v>
      </c>
      <c r="I317" s="28">
        <f t="shared" si="307"/>
        <v>0.32436155289266</v>
      </c>
      <c r="J317" s="28">
        <f t="shared" si="307"/>
        <v>5.3906085491684852E-2</v>
      </c>
      <c r="K317" s="62" t="e">
        <f>((K277/J277)-1)</f>
        <v>#REF!</v>
      </c>
      <c r="L317" s="62" t="e">
        <f t="shared" si="307"/>
        <v>#REF!</v>
      </c>
      <c r="M317" s="62" t="e">
        <f t="shared" si="307"/>
        <v>#REF!</v>
      </c>
      <c r="N317" s="62" t="e">
        <f t="shared" si="307"/>
        <v>#REF!</v>
      </c>
      <c r="O317" s="62" t="e">
        <f t="shared" si="307"/>
        <v>#REF!</v>
      </c>
      <c r="P317" s="62" t="e">
        <f t="shared" si="307"/>
        <v>#REF!</v>
      </c>
      <c r="Q317" s="62" t="e">
        <f t="shared" si="307"/>
        <v>#REF!</v>
      </c>
      <c r="R317" s="62" t="e">
        <f t="shared" si="307"/>
        <v>#REF!</v>
      </c>
      <c r="S317" s="62" t="e">
        <f t="shared" si="307"/>
        <v>#REF!</v>
      </c>
      <c r="T317" s="62" t="e">
        <f t="shared" si="307"/>
        <v>#REF!</v>
      </c>
      <c r="U317" s="62" t="e">
        <f t="shared" si="307"/>
        <v>#REF!</v>
      </c>
      <c r="V317" s="17"/>
    </row>
    <row r="318" spans="1:22" ht="12.75" hidden="1" customHeight="1" outlineLevel="1">
      <c r="A318" s="6" t="s">
        <v>196</v>
      </c>
      <c r="B318" s="17"/>
      <c r="C318" s="58" t="s">
        <v>90</v>
      </c>
      <c r="D318" s="58" t="s">
        <v>90</v>
      </c>
      <c r="E318" s="58" t="s">
        <v>90</v>
      </c>
      <c r="F318" s="58" t="s">
        <v>90</v>
      </c>
      <c r="G318" s="58" t="s">
        <v>90</v>
      </c>
      <c r="H318" s="58" t="s">
        <v>90</v>
      </c>
      <c r="I318" s="58" t="s">
        <v>90</v>
      </c>
      <c r="J318" s="58" t="s">
        <v>90</v>
      </c>
      <c r="K318" s="58" t="s">
        <v>90</v>
      </c>
      <c r="L318" s="58" t="s">
        <v>90</v>
      </c>
      <c r="M318" s="58" t="s">
        <v>90</v>
      </c>
      <c r="N318" s="58" t="s">
        <v>90</v>
      </c>
      <c r="O318" s="58" t="s">
        <v>90</v>
      </c>
      <c r="P318" s="58" t="s">
        <v>90</v>
      </c>
      <c r="Q318" s="58" t="s">
        <v>90</v>
      </c>
      <c r="R318" s="58" t="s">
        <v>90</v>
      </c>
      <c r="S318" s="58" t="s">
        <v>90</v>
      </c>
      <c r="T318" s="58" t="s">
        <v>90</v>
      </c>
      <c r="U318" s="58" t="s">
        <v>90</v>
      </c>
      <c r="V318" s="17"/>
    </row>
    <row r="319" spans="1:22" ht="12.75" hidden="1" customHeight="1" outlineLevel="1">
      <c r="A319" s="6" t="s">
        <v>202</v>
      </c>
      <c r="B319" s="17"/>
      <c r="C319" s="58" t="s">
        <v>90</v>
      </c>
      <c r="D319" s="28">
        <f>((D293/C293)-1)</f>
        <v>0.32110296476407929</v>
      </c>
      <c r="E319" s="28">
        <f>((E293/D293)-1)</f>
        <v>-0.11224310247747715</v>
      </c>
      <c r="F319" s="28">
        <f>((F293/E293)-1)</f>
        <v>5.5941172972865383E-2</v>
      </c>
      <c r="G319" s="28">
        <f>((G293/F293)-1)</f>
        <v>-1.0792973867864375E-2</v>
      </c>
      <c r="H319" s="28">
        <f t="shared" ref="H319:U319" si="308">((H293/G293)-1)</f>
        <v>0.22274973244984841</v>
      </c>
      <c r="I319" s="28">
        <f t="shared" si="308"/>
        <v>7.4836202695865772E-2</v>
      </c>
      <c r="J319" s="28">
        <f t="shared" si="308"/>
        <v>4.4079131642551728E-2</v>
      </c>
      <c r="K319" s="62" t="e">
        <f>((K293/J293)-1)</f>
        <v>#REF!</v>
      </c>
      <c r="L319" s="62" t="e">
        <f t="shared" si="308"/>
        <v>#REF!</v>
      </c>
      <c r="M319" s="62" t="e">
        <f t="shared" si="308"/>
        <v>#REF!</v>
      </c>
      <c r="N319" s="62" t="e">
        <f t="shared" si="308"/>
        <v>#REF!</v>
      </c>
      <c r="O319" s="62" t="e">
        <f t="shared" si="308"/>
        <v>#REF!</v>
      </c>
      <c r="P319" s="62" t="e">
        <f t="shared" si="308"/>
        <v>#REF!</v>
      </c>
      <c r="Q319" s="62" t="e">
        <f t="shared" si="308"/>
        <v>#REF!</v>
      </c>
      <c r="R319" s="62" t="e">
        <f t="shared" si="308"/>
        <v>#REF!</v>
      </c>
      <c r="S319" s="62" t="e">
        <f t="shared" si="308"/>
        <v>#REF!</v>
      </c>
      <c r="T319" s="62" t="e">
        <f t="shared" si="308"/>
        <v>#REF!</v>
      </c>
      <c r="U319" s="62" t="e">
        <f t="shared" si="308"/>
        <v>#REF!</v>
      </c>
      <c r="V319" s="17"/>
    </row>
    <row r="320" spans="1:22" ht="12.75" hidden="1" customHeight="1" outlineLevel="1">
      <c r="A320" s="6" t="s">
        <v>236</v>
      </c>
      <c r="B320" s="17"/>
      <c r="C320" s="58" t="s">
        <v>90</v>
      </c>
      <c r="D320" s="16">
        <f t="shared" ref="D320:U320" si="309">D61-D63</f>
        <v>-0.33984415703020776</v>
      </c>
      <c r="E320" s="16">
        <f t="shared" si="309"/>
        <v>0.66891231414729535</v>
      </c>
      <c r="F320" s="16">
        <f t="shared" si="309"/>
        <v>-0.33130538939350562</v>
      </c>
      <c r="G320" s="16">
        <f t="shared" si="309"/>
        <v>5.3390540758982752E-2</v>
      </c>
      <c r="H320" s="16">
        <f t="shared" si="309"/>
        <v>0.38641216482107132</v>
      </c>
      <c r="I320" s="16">
        <f t="shared" si="309"/>
        <v>-0.13803683090538299</v>
      </c>
      <c r="J320" s="16">
        <f t="shared" si="309"/>
        <v>-0.24904413104088508</v>
      </c>
      <c r="K320" s="49">
        <f t="shared" si="309"/>
        <v>0.19474618477704575</v>
      </c>
      <c r="L320" s="49">
        <f t="shared" si="309"/>
        <v>-6.3270795340160779E-2</v>
      </c>
      <c r="M320" s="49">
        <f t="shared" si="309"/>
        <v>0.43052482684419879</v>
      </c>
      <c r="N320" s="49">
        <f t="shared" si="309"/>
        <v>0.35241818573279238</v>
      </c>
      <c r="O320" s="49">
        <f t="shared" si="309"/>
        <v>0.12668882979519047</v>
      </c>
      <c r="P320" s="49">
        <f t="shared" si="309"/>
        <v>3.4805919574917077E-2</v>
      </c>
      <c r="Q320" s="49">
        <f t="shared" si="309"/>
        <v>6.1260601813877713E-2</v>
      </c>
      <c r="R320" s="49">
        <f t="shared" si="309"/>
        <v>0.18727348496979623</v>
      </c>
      <c r="S320" s="49">
        <f t="shared" si="309"/>
        <v>0.19380852946588634</v>
      </c>
      <c r="T320" s="49">
        <f t="shared" si="309"/>
        <v>0.19620057371885091</v>
      </c>
      <c r="U320" s="49">
        <f t="shared" si="309"/>
        <v>0.20566416181955072</v>
      </c>
      <c r="V320" s="17"/>
    </row>
    <row r="321" spans="1:22" ht="12.75" hidden="1" customHeight="1" outlineLevel="1">
      <c r="A321" s="6" t="s">
        <v>243</v>
      </c>
      <c r="B321" s="17"/>
      <c r="C321" s="58" t="s">
        <v>90</v>
      </c>
      <c r="D321" s="16">
        <f t="shared" ref="D321:J321" si="310">D320</f>
        <v>-0.33984415703020776</v>
      </c>
      <c r="E321" s="16">
        <f t="shared" si="310"/>
        <v>0.66891231414729535</v>
      </c>
      <c r="F321" s="16">
        <f t="shared" si="310"/>
        <v>-0.33130538939350562</v>
      </c>
      <c r="G321" s="16">
        <f t="shared" si="310"/>
        <v>5.3390540758982752E-2</v>
      </c>
      <c r="H321" s="16">
        <f t="shared" si="310"/>
        <v>0.38641216482107132</v>
      </c>
      <c r="I321" s="16">
        <f t="shared" si="310"/>
        <v>-0.13803683090538299</v>
      </c>
      <c r="J321" s="16">
        <f t="shared" si="310"/>
        <v>-0.24904413104088508</v>
      </c>
      <c r="K321" s="49" t="e">
        <f>INDEX(K322:K324,MATCH(#REF!,#REF!,0))</f>
        <v>#REF!</v>
      </c>
      <c r="L321" s="49" t="e">
        <f>INDEX(L322:L324,MATCH(#REF!,#REF!,0))</f>
        <v>#REF!</v>
      </c>
      <c r="M321" s="49" t="e">
        <f>INDEX(M322:M324,MATCH(#REF!,#REF!,0))</f>
        <v>#REF!</v>
      </c>
      <c r="N321" s="49" t="e">
        <f>INDEX(N322:N324,MATCH(#REF!,#REF!,0))</f>
        <v>#REF!</v>
      </c>
      <c r="O321" s="49" t="e">
        <f>INDEX(O322:O324,MATCH(#REF!,#REF!,0))</f>
        <v>#REF!</v>
      </c>
      <c r="P321" s="49" t="e">
        <f>INDEX(P322:P324,MATCH(#REF!,#REF!,0))</f>
        <v>#REF!</v>
      </c>
      <c r="Q321" s="49" t="e">
        <f>INDEX(Q322:Q324,MATCH(#REF!,#REF!,0))</f>
        <v>#REF!</v>
      </c>
      <c r="R321" s="49" t="e">
        <f>INDEX(R322:R324,MATCH(#REF!,#REF!,0))</f>
        <v>#REF!</v>
      </c>
      <c r="S321" s="49" t="e">
        <f>INDEX(S322:S324,MATCH(#REF!,#REF!,0))</f>
        <v>#REF!</v>
      </c>
      <c r="T321" s="49" t="e">
        <f>INDEX(T322:T324,MATCH(#REF!,#REF!,0))</f>
        <v>#REF!</v>
      </c>
      <c r="U321" s="49" t="e">
        <f>INDEX(U322:U324,MATCH(#REF!,#REF!,0))</f>
        <v>#REF!</v>
      </c>
      <c r="V321" s="17"/>
    </row>
    <row r="322" spans="1:22" ht="12.75" hidden="1" customHeight="1" outlineLevel="1">
      <c r="A322" s="8" t="s">
        <v>249</v>
      </c>
      <c r="B322" s="17"/>
      <c r="C322" s="58"/>
      <c r="D322" s="58"/>
      <c r="E322" s="58"/>
      <c r="F322" s="58"/>
      <c r="G322" s="58"/>
      <c r="H322" s="16"/>
      <c r="I322" s="16"/>
      <c r="J322" s="16"/>
      <c r="K322" s="49">
        <f t="shared" ref="K322:U322" si="311">K134</f>
        <v>4.5834048081879089E-2</v>
      </c>
      <c r="L322" s="49">
        <f t="shared" si="311"/>
        <v>3.896170996477448E-2</v>
      </c>
      <c r="M322" s="49">
        <f t="shared" si="311"/>
        <v>3.8408410564600468E-2</v>
      </c>
      <c r="N322" s="49">
        <f t="shared" si="311"/>
        <v>3.7593164090040564E-2</v>
      </c>
      <c r="O322" s="49">
        <f t="shared" si="311"/>
        <v>4.6666976167754982E-2</v>
      </c>
      <c r="P322" s="49">
        <f t="shared" si="311"/>
        <v>5.9195195577177256E-2</v>
      </c>
      <c r="Q322" s="49">
        <f t="shared" si="311"/>
        <v>5.5602386578097823E-2</v>
      </c>
      <c r="R322" s="49">
        <f t="shared" si="311"/>
        <v>7.6959938366717801E-2</v>
      </c>
      <c r="S322" s="49">
        <f t="shared" si="311"/>
        <v>7.2666182873729973E-2</v>
      </c>
      <c r="T322" s="49">
        <f t="shared" si="311"/>
        <v>6.8843621399176907E-2</v>
      </c>
      <c r="U322" s="49">
        <f t="shared" si="311"/>
        <v>6.5418725617685386E-2</v>
      </c>
      <c r="V322" s="17"/>
    </row>
    <row r="323" spans="1:22" ht="12.75" hidden="1" customHeight="1" outlineLevel="1">
      <c r="A323" s="8" t="s">
        <v>250</v>
      </c>
      <c r="B323" s="17"/>
      <c r="C323" s="58"/>
      <c r="D323" s="58"/>
      <c r="E323" s="58"/>
      <c r="F323" s="58"/>
      <c r="G323" s="58"/>
      <c r="H323" s="16"/>
      <c r="I323" s="16"/>
      <c r="J323" s="16"/>
      <c r="K323" s="49">
        <f>K263</f>
        <v>4.5834048081879089E-2</v>
      </c>
      <c r="L323" s="49">
        <f t="shared" ref="L323:P324" si="312">L263</f>
        <v>3.896170996477448E-2</v>
      </c>
      <c r="M323" s="49">
        <f>M263</f>
        <v>3.8408410564600468E-2</v>
      </c>
      <c r="N323" s="49">
        <f t="shared" si="312"/>
        <v>3.7593164090040564E-2</v>
      </c>
      <c r="O323" s="49">
        <f t="shared" si="312"/>
        <v>4.6666976167754982E-2</v>
      </c>
      <c r="P323" s="49">
        <f t="shared" si="312"/>
        <v>5.9195195577177256E-2</v>
      </c>
      <c r="Q323" s="49">
        <f t="shared" ref="Q323:T324" si="313">Q263</f>
        <v>5.2602386578097821E-2</v>
      </c>
      <c r="R323" s="49">
        <f t="shared" si="313"/>
        <v>7.3959938366717798E-2</v>
      </c>
      <c r="S323" s="49">
        <f t="shared" si="313"/>
        <v>6.966618287372997E-2</v>
      </c>
      <c r="T323" s="49">
        <f t="shared" si="313"/>
        <v>6.5843621399176905E-2</v>
      </c>
      <c r="U323" s="49">
        <f t="shared" ref="U323" si="314">U263</f>
        <v>6.2418725617685383E-2</v>
      </c>
      <c r="V323" s="17"/>
    </row>
    <row r="324" spans="1:22" ht="12.75" hidden="1" customHeight="1" outlineLevel="1">
      <c r="A324" s="8" t="s">
        <v>251</v>
      </c>
      <c r="B324" s="17"/>
      <c r="C324" s="58"/>
      <c r="D324" s="58"/>
      <c r="E324" s="58"/>
      <c r="F324" s="58"/>
      <c r="G324" s="58"/>
      <c r="H324" s="16"/>
      <c r="I324" s="16"/>
      <c r="J324" s="16"/>
      <c r="K324" s="49">
        <f>K264</f>
        <v>4.5834048081879089E-2</v>
      </c>
      <c r="L324" s="49">
        <f t="shared" si="312"/>
        <v>2.8961709964774478E-2</v>
      </c>
      <c r="M324" s="49">
        <f>M264</f>
        <v>2.8408410564600466E-2</v>
      </c>
      <c r="N324" s="49">
        <f t="shared" si="312"/>
        <v>2.7593164090040562E-2</v>
      </c>
      <c r="O324" s="49">
        <f t="shared" si="312"/>
        <v>3.666697616775498E-2</v>
      </c>
      <c r="P324" s="49">
        <f t="shared" si="312"/>
        <v>4.9195195577177254E-2</v>
      </c>
      <c r="Q324" s="49">
        <f t="shared" si="313"/>
        <v>4.2602386578097819E-2</v>
      </c>
      <c r="R324" s="49">
        <f t="shared" si="313"/>
        <v>6.3959938366717803E-2</v>
      </c>
      <c r="S324" s="49">
        <f t="shared" si="313"/>
        <v>5.9666182873729968E-2</v>
      </c>
      <c r="T324" s="49">
        <f t="shared" si="313"/>
        <v>5.5843621399176903E-2</v>
      </c>
      <c r="U324" s="49">
        <f t="shared" ref="U324" si="315">U264</f>
        <v>5.2418725617685381E-2</v>
      </c>
      <c r="V324" s="17"/>
    </row>
    <row r="325" spans="1:22" ht="12.75" hidden="1" customHeight="1" outlineLevel="1">
      <c r="A325" s="17"/>
      <c r="B325" s="17"/>
      <c r="C325" s="17"/>
      <c r="D325" s="17"/>
      <c r="E325" s="17"/>
      <c r="F325" s="17"/>
      <c r="G325" s="17"/>
      <c r="H325" s="17"/>
      <c r="I325" s="17"/>
      <c r="J325" s="17"/>
      <c r="K325" s="17"/>
      <c r="L325" s="17"/>
      <c r="M325" s="17"/>
      <c r="N325" s="17"/>
      <c r="O325" s="17"/>
      <c r="P325" s="17"/>
      <c r="Q325" s="17"/>
      <c r="R325" s="17"/>
      <c r="S325" s="17"/>
      <c r="T325" s="17"/>
      <c r="U325" s="17"/>
      <c r="V325" s="17"/>
    </row>
    <row r="326" spans="1:22" ht="12.75" hidden="1" customHeight="1" outlineLevel="1">
      <c r="A326" s="17"/>
      <c r="B326" s="17"/>
      <c r="C326" s="17"/>
      <c r="D326" s="17"/>
      <c r="E326" s="17"/>
      <c r="F326" s="17"/>
      <c r="G326" s="17"/>
      <c r="H326" s="17"/>
      <c r="I326" s="17"/>
      <c r="J326" s="17"/>
      <c r="K326" s="17"/>
      <c r="L326" s="17"/>
      <c r="M326" s="17"/>
      <c r="N326" s="17"/>
      <c r="O326" s="17"/>
      <c r="P326" s="17"/>
      <c r="Q326" s="17"/>
      <c r="R326" s="17"/>
      <c r="S326" s="17"/>
      <c r="T326" s="17"/>
      <c r="U326" s="17"/>
      <c r="V326" s="17"/>
    </row>
    <row r="327" spans="1:22" ht="12.75" hidden="1" customHeight="1" outlineLevel="1">
      <c r="A327" s="17"/>
      <c r="B327" s="17"/>
      <c r="C327" s="17"/>
      <c r="D327" s="17"/>
      <c r="E327" s="17"/>
      <c r="F327" s="17"/>
      <c r="G327" s="17"/>
      <c r="H327" s="17"/>
      <c r="I327" s="17"/>
      <c r="J327" s="17"/>
      <c r="K327" s="17"/>
      <c r="L327" s="17"/>
      <c r="M327" s="17"/>
      <c r="N327" s="17"/>
      <c r="O327" s="17"/>
      <c r="P327" s="17"/>
      <c r="Q327" s="17"/>
      <c r="R327" s="17"/>
      <c r="S327" s="17"/>
      <c r="T327" s="17"/>
      <c r="U327" s="17"/>
      <c r="V327" s="17"/>
    </row>
    <row r="328" spans="1:22" ht="12.75" hidden="1" customHeight="1" outlineLevel="1">
      <c r="A328" s="17"/>
      <c r="B328" s="17"/>
      <c r="C328" s="17"/>
      <c r="D328" s="17"/>
      <c r="E328" s="17"/>
      <c r="F328" s="17"/>
      <c r="G328" s="17"/>
      <c r="H328" s="17"/>
      <c r="I328" s="17"/>
      <c r="J328" s="17"/>
      <c r="K328" s="17"/>
      <c r="L328" s="17"/>
      <c r="M328" s="17"/>
      <c r="N328" s="17"/>
      <c r="O328" s="17"/>
      <c r="P328" s="17"/>
      <c r="Q328" s="17"/>
      <c r="R328" s="17"/>
      <c r="S328" s="17"/>
      <c r="T328" s="17"/>
      <c r="U328" s="17"/>
      <c r="V328" s="17"/>
    </row>
    <row r="329" spans="1:22" ht="12.75" hidden="1" customHeight="1" outlineLevel="1">
      <c r="A329" s="17"/>
      <c r="B329" s="17"/>
      <c r="C329" s="17"/>
      <c r="D329" s="17"/>
      <c r="E329" s="17"/>
      <c r="F329" s="17"/>
      <c r="G329" s="17"/>
      <c r="H329" s="17"/>
      <c r="I329" s="17"/>
      <c r="J329" s="17"/>
      <c r="K329" s="17"/>
      <c r="L329" s="17"/>
      <c r="M329" s="17"/>
      <c r="N329" s="17"/>
      <c r="O329" s="17"/>
      <c r="P329" s="17"/>
      <c r="Q329" s="17"/>
      <c r="R329" s="17"/>
      <c r="S329" s="17"/>
      <c r="T329" s="17"/>
      <c r="U329" s="17"/>
      <c r="V329" s="17"/>
    </row>
    <row r="330" spans="1:22" ht="12.75" hidden="1" customHeight="1" outlineLevel="1">
      <c r="A330" s="17"/>
      <c r="B330" s="17"/>
      <c r="C330" s="17"/>
      <c r="D330" s="17"/>
      <c r="E330" s="17"/>
      <c r="F330" s="17"/>
      <c r="G330" s="17"/>
      <c r="H330" s="17"/>
      <c r="I330" s="17"/>
      <c r="J330" s="17"/>
      <c r="K330" s="17"/>
      <c r="L330" s="17"/>
      <c r="M330" s="17"/>
      <c r="N330" s="17"/>
      <c r="O330" s="17"/>
      <c r="P330" s="17"/>
      <c r="Q330" s="17"/>
      <c r="R330" s="17"/>
      <c r="S330" s="17"/>
      <c r="T330" s="17"/>
      <c r="U330" s="17"/>
      <c r="V330" s="17"/>
    </row>
    <row r="331" spans="1:22" ht="12.75" hidden="1" customHeight="1" outlineLevel="1">
      <c r="A331" s="17"/>
      <c r="B331" s="17"/>
      <c r="C331" s="17"/>
      <c r="D331" s="17"/>
      <c r="E331" s="17"/>
      <c r="F331" s="17"/>
      <c r="G331" s="17"/>
      <c r="H331" s="17"/>
      <c r="I331" s="17"/>
      <c r="J331" s="17"/>
      <c r="K331" s="17"/>
      <c r="L331" s="17"/>
      <c r="M331" s="17"/>
      <c r="N331" s="17"/>
      <c r="O331" s="17"/>
      <c r="P331" s="17"/>
      <c r="Q331" s="17"/>
      <c r="R331" s="17"/>
      <c r="S331" s="17"/>
      <c r="T331" s="17"/>
      <c r="U331" s="17"/>
      <c r="V331" s="17"/>
    </row>
    <row r="332" spans="1:22" ht="12.75" hidden="1" customHeight="1" outlineLevel="1">
      <c r="A332" s="17"/>
      <c r="B332" s="17"/>
      <c r="C332" s="17"/>
      <c r="D332" s="17"/>
      <c r="E332" s="17"/>
      <c r="F332" s="17"/>
      <c r="G332" s="17"/>
      <c r="H332" s="17"/>
      <c r="I332" s="17"/>
      <c r="J332" s="17"/>
      <c r="K332" s="17"/>
      <c r="L332" s="17"/>
      <c r="M332" s="17"/>
      <c r="N332" s="17"/>
      <c r="O332" s="17"/>
      <c r="P332" s="17"/>
      <c r="Q332" s="17"/>
      <c r="R332" s="17"/>
      <c r="S332" s="17"/>
      <c r="T332" s="17"/>
      <c r="U332" s="17"/>
      <c r="V332" s="17"/>
    </row>
    <row r="333" spans="1:22" ht="12.75" hidden="1" customHeight="1" outlineLevel="1">
      <c r="A333" s="17"/>
      <c r="B333" s="17"/>
      <c r="C333" s="17"/>
      <c r="D333" s="17"/>
      <c r="E333" s="17"/>
      <c r="F333" s="17"/>
      <c r="G333" s="17"/>
      <c r="H333" s="17"/>
      <c r="I333" s="17"/>
      <c r="J333" s="17"/>
      <c r="K333" s="17"/>
      <c r="L333" s="17"/>
      <c r="M333" s="17"/>
      <c r="N333" s="17"/>
      <c r="O333" s="17"/>
      <c r="P333" s="17"/>
      <c r="Q333" s="17"/>
      <c r="R333" s="17"/>
      <c r="S333" s="17"/>
      <c r="T333" s="17"/>
      <c r="U333" s="17"/>
      <c r="V333" s="17"/>
    </row>
    <row r="334" spans="1:22" ht="12.75" hidden="1" customHeight="1" outlineLevel="1">
      <c r="A334" s="17"/>
      <c r="B334" s="17"/>
      <c r="C334" s="17"/>
      <c r="D334" s="17"/>
      <c r="E334" s="17"/>
      <c r="F334" s="17"/>
      <c r="G334" s="17"/>
      <c r="H334" s="17"/>
      <c r="I334" s="17"/>
      <c r="J334" s="17"/>
      <c r="K334" s="17"/>
      <c r="L334" s="17"/>
      <c r="M334" s="17"/>
      <c r="N334" s="17"/>
      <c r="O334" s="17"/>
      <c r="P334" s="17"/>
      <c r="Q334" s="17"/>
      <c r="R334" s="17"/>
      <c r="S334" s="17"/>
      <c r="T334" s="17"/>
      <c r="U334" s="17"/>
      <c r="V334" s="17"/>
    </row>
    <row r="335" spans="1:22" ht="12.75" hidden="1" customHeight="1" outlineLevel="1">
      <c r="A335" s="17"/>
      <c r="B335" s="17"/>
      <c r="C335" s="17"/>
      <c r="D335" s="17"/>
      <c r="E335" s="17"/>
      <c r="F335" s="17"/>
      <c r="G335" s="17"/>
      <c r="H335" s="17"/>
      <c r="I335" s="17"/>
      <c r="J335" s="17"/>
      <c r="K335" s="17"/>
      <c r="L335" s="17"/>
      <c r="M335" s="17"/>
      <c r="N335" s="17"/>
      <c r="O335" s="17"/>
      <c r="P335" s="17"/>
      <c r="Q335" s="17"/>
      <c r="R335" s="17"/>
      <c r="S335" s="17"/>
      <c r="T335" s="17"/>
      <c r="U335" s="17"/>
      <c r="V335" s="17"/>
    </row>
    <row r="336" spans="1:22" ht="12.75" hidden="1" customHeight="1" outlineLevel="1">
      <c r="A336" s="17"/>
      <c r="B336" s="17"/>
      <c r="C336" s="17"/>
      <c r="D336" s="17"/>
      <c r="E336" s="17"/>
      <c r="F336" s="17"/>
      <c r="G336" s="17"/>
      <c r="H336" s="17"/>
      <c r="I336" s="17"/>
      <c r="J336" s="17"/>
      <c r="K336" s="17"/>
      <c r="L336" s="17"/>
      <c r="M336" s="17"/>
      <c r="N336" s="17"/>
      <c r="O336" s="17"/>
      <c r="P336" s="17"/>
      <c r="Q336" s="17"/>
      <c r="R336" s="17"/>
      <c r="S336" s="17"/>
      <c r="T336" s="17"/>
      <c r="U336" s="17"/>
      <c r="V336" s="17"/>
    </row>
    <row r="337" spans="1:22" ht="12.75" hidden="1" customHeight="1" outlineLevel="1">
      <c r="A337" s="17"/>
      <c r="B337" s="17"/>
      <c r="C337" s="17"/>
      <c r="D337" s="17"/>
      <c r="E337" s="17"/>
      <c r="F337" s="17"/>
      <c r="G337" s="17"/>
      <c r="H337" s="17"/>
      <c r="I337" s="17"/>
      <c r="J337" s="17"/>
      <c r="K337" s="17"/>
      <c r="L337" s="17"/>
      <c r="M337" s="17"/>
      <c r="N337" s="17"/>
      <c r="O337" s="17"/>
      <c r="P337" s="17"/>
      <c r="Q337" s="17"/>
      <c r="R337" s="17"/>
      <c r="S337" s="17"/>
      <c r="T337" s="17"/>
      <c r="U337" s="17"/>
      <c r="V337" s="17"/>
    </row>
    <row r="338" spans="1:22" ht="12.75" hidden="1" customHeight="1" outlineLevel="1">
      <c r="A338" s="17"/>
      <c r="B338" s="17"/>
      <c r="C338" s="17"/>
      <c r="D338" s="17"/>
      <c r="E338" s="17"/>
      <c r="F338" s="17"/>
      <c r="G338" s="17"/>
      <c r="H338" s="17"/>
      <c r="I338" s="17"/>
      <c r="J338" s="17"/>
      <c r="K338" s="17"/>
      <c r="L338" s="17"/>
      <c r="M338" s="17"/>
      <c r="N338" s="17"/>
      <c r="O338" s="17"/>
      <c r="P338" s="17"/>
      <c r="Q338" s="17"/>
      <c r="R338" s="17"/>
      <c r="S338" s="17"/>
      <c r="T338" s="17"/>
      <c r="U338" s="17"/>
      <c r="V338" s="17"/>
    </row>
    <row r="339" spans="1:22" ht="12.75" hidden="1" customHeight="1" outlineLevel="1">
      <c r="A339" s="17"/>
      <c r="B339" s="17"/>
      <c r="C339" s="60"/>
      <c r="D339" s="17"/>
      <c r="E339" s="17"/>
      <c r="F339" s="17"/>
      <c r="G339" s="17"/>
      <c r="H339" s="17"/>
      <c r="I339" s="17"/>
      <c r="J339" s="17"/>
      <c r="K339" s="17"/>
      <c r="L339" s="17"/>
      <c r="M339" s="17"/>
      <c r="N339" s="17"/>
      <c r="O339" s="17"/>
      <c r="P339" s="17"/>
      <c r="Q339" s="17"/>
      <c r="R339" s="17"/>
      <c r="S339" s="17"/>
      <c r="T339" s="17"/>
      <c r="U339" s="17"/>
      <c r="V339" s="17"/>
    </row>
    <row r="340" spans="1:22" ht="12.75" hidden="1" customHeight="1" outlineLevel="1">
      <c r="A340" s="17"/>
      <c r="B340" s="17"/>
      <c r="C340" s="17"/>
      <c r="D340" s="17"/>
      <c r="E340" s="17"/>
      <c r="F340" s="17"/>
      <c r="G340" s="17"/>
      <c r="H340" s="17"/>
      <c r="I340" s="17"/>
      <c r="J340" s="17"/>
      <c r="K340" s="17"/>
      <c r="L340" s="17"/>
      <c r="M340" s="17"/>
      <c r="N340" s="17"/>
      <c r="O340" s="17"/>
      <c r="P340" s="17"/>
      <c r="Q340" s="17"/>
      <c r="R340" s="17"/>
      <c r="S340" s="17"/>
      <c r="T340" s="17"/>
      <c r="U340" s="17"/>
      <c r="V340" s="17"/>
    </row>
    <row r="341" spans="1:22" ht="12.75" hidden="1" customHeight="1" outlineLevel="1">
      <c r="A341" s="17"/>
      <c r="B341" s="17"/>
      <c r="C341" s="17"/>
      <c r="D341" s="17"/>
      <c r="E341" s="17"/>
      <c r="F341" s="17"/>
      <c r="G341" s="17"/>
      <c r="H341" s="17"/>
      <c r="I341" s="17"/>
      <c r="J341" s="17"/>
      <c r="K341" s="17"/>
      <c r="L341" s="17"/>
      <c r="M341" s="17"/>
      <c r="N341" s="17"/>
      <c r="O341" s="17"/>
      <c r="P341" s="17"/>
      <c r="Q341" s="17"/>
      <c r="R341" s="17"/>
      <c r="S341" s="17"/>
      <c r="T341" s="17"/>
      <c r="U341" s="17"/>
      <c r="V341" s="17"/>
    </row>
    <row r="342" spans="1:22" ht="12.75" collapsed="1">
      <c r="A342" s="17"/>
      <c r="B342" s="17"/>
      <c r="C342" s="17"/>
      <c r="D342" s="17"/>
      <c r="E342" s="17"/>
      <c r="F342" s="17"/>
      <c r="G342" s="17"/>
      <c r="H342" s="17"/>
      <c r="I342" s="17"/>
      <c r="J342" s="17"/>
      <c r="K342" s="17"/>
      <c r="L342" s="17"/>
      <c r="M342" s="17"/>
      <c r="N342" s="17"/>
      <c r="O342" s="17"/>
      <c r="P342" s="17"/>
      <c r="Q342" s="17"/>
      <c r="R342" s="17"/>
      <c r="S342" s="17"/>
      <c r="T342" s="17"/>
      <c r="U342" s="17"/>
      <c r="V342" s="17"/>
    </row>
    <row r="343" spans="1:22" ht="12.75">
      <c r="A343" s="17"/>
      <c r="B343" s="17"/>
      <c r="C343" s="17"/>
      <c r="D343" s="17"/>
      <c r="E343" s="17"/>
      <c r="F343" s="17"/>
      <c r="G343" s="17"/>
      <c r="H343" s="17"/>
      <c r="I343" s="17"/>
      <c r="J343" s="17"/>
      <c r="K343" s="17"/>
      <c r="L343" s="17"/>
      <c r="M343" s="17"/>
      <c r="N343" s="17"/>
      <c r="O343" s="17"/>
      <c r="P343" s="17"/>
      <c r="Q343" s="17"/>
      <c r="R343" s="17"/>
      <c r="S343" s="17"/>
      <c r="T343" s="17"/>
      <c r="U343" s="17"/>
      <c r="V343" s="17"/>
    </row>
    <row r="344" spans="1:22" ht="12.75">
      <c r="A344" s="17"/>
      <c r="B344" s="17"/>
      <c r="C344" s="17"/>
      <c r="D344" s="17"/>
      <c r="E344" s="17"/>
      <c r="F344" s="17"/>
      <c r="G344" s="17"/>
      <c r="H344" s="17"/>
      <c r="I344" s="17"/>
      <c r="J344" s="17"/>
      <c r="K344" s="17"/>
      <c r="L344" s="17"/>
      <c r="M344" s="17"/>
      <c r="N344" s="17"/>
      <c r="O344" s="17"/>
      <c r="P344" s="17"/>
      <c r="Q344" s="17"/>
      <c r="R344" s="17"/>
      <c r="S344" s="17"/>
      <c r="T344" s="17"/>
      <c r="U344" s="17"/>
      <c r="V344" s="17"/>
    </row>
    <row r="345" spans="1:22" ht="12.75">
      <c r="A345" s="17"/>
      <c r="B345" s="17"/>
      <c r="C345" s="17"/>
      <c r="D345" s="17"/>
      <c r="E345" s="17"/>
      <c r="F345" s="17"/>
      <c r="G345" s="17"/>
      <c r="H345" s="17"/>
      <c r="I345" s="17"/>
      <c r="J345" s="17"/>
      <c r="K345" s="17"/>
      <c r="L345" s="17"/>
      <c r="M345" s="17"/>
      <c r="N345" s="17"/>
      <c r="O345" s="17"/>
      <c r="P345" s="17"/>
      <c r="Q345" s="17"/>
      <c r="R345" s="17"/>
      <c r="S345" s="17"/>
      <c r="T345" s="17"/>
      <c r="U345" s="17"/>
      <c r="V345" s="17"/>
    </row>
    <row r="346" spans="1:22" ht="12.75">
      <c r="A346" s="17"/>
      <c r="B346" s="17"/>
      <c r="C346" s="17"/>
      <c r="D346" s="17"/>
      <c r="E346" s="17"/>
      <c r="F346" s="17"/>
      <c r="G346" s="17"/>
      <c r="H346" s="17"/>
      <c r="I346" s="17"/>
      <c r="J346" s="17"/>
      <c r="K346" s="17"/>
      <c r="L346" s="17"/>
      <c r="M346" s="17"/>
      <c r="N346" s="17"/>
      <c r="O346" s="17"/>
      <c r="P346" s="17"/>
      <c r="Q346" s="17"/>
      <c r="R346" s="17"/>
      <c r="S346" s="17"/>
      <c r="T346" s="17"/>
      <c r="U346" s="17"/>
      <c r="V346" s="17"/>
    </row>
    <row r="347" spans="1:22" ht="12.75">
      <c r="A347" s="17"/>
      <c r="B347" s="17"/>
      <c r="C347" s="17"/>
      <c r="D347" s="17"/>
      <c r="E347" s="17"/>
      <c r="F347" s="17"/>
      <c r="G347" s="17"/>
      <c r="H347" s="17"/>
      <c r="I347" s="17"/>
      <c r="J347" s="17"/>
      <c r="K347" s="17"/>
      <c r="L347" s="17"/>
      <c r="M347" s="17"/>
      <c r="N347" s="17"/>
      <c r="O347" s="17"/>
      <c r="P347" s="17"/>
      <c r="Q347" s="17"/>
      <c r="R347" s="17"/>
      <c r="S347" s="17"/>
      <c r="T347" s="17"/>
      <c r="U347" s="17"/>
      <c r="V347" s="17"/>
    </row>
    <row r="348" spans="1:22" ht="12.75">
      <c r="A348" s="17"/>
      <c r="B348" s="17"/>
      <c r="C348" s="17"/>
      <c r="D348" s="17"/>
      <c r="E348" s="17"/>
      <c r="F348" s="17"/>
      <c r="G348" s="17"/>
      <c r="H348" s="17"/>
      <c r="I348" s="17"/>
      <c r="J348" s="17"/>
      <c r="K348" s="17"/>
      <c r="L348" s="17"/>
      <c r="M348" s="17"/>
      <c r="N348" s="17"/>
      <c r="O348" s="17"/>
      <c r="P348" s="17"/>
      <c r="Q348" s="17"/>
      <c r="R348" s="17"/>
      <c r="S348" s="17"/>
      <c r="T348" s="17"/>
      <c r="U348" s="17"/>
    </row>
  </sheetData>
  <phoneticPr fontId="11" type="noConversion"/>
  <printOptions horizontalCentered="1" verticalCentered="1"/>
  <pageMargins left="1" right="1" top="0" bottom="0" header="0.5" footer="0.5"/>
  <pageSetup scale="52"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indexed="54"/>
  </sheetPr>
  <dimension ref="A1:L56"/>
  <sheetViews>
    <sheetView workbookViewId="0">
      <selection activeCell="A51" sqref="A51"/>
    </sheetView>
  </sheetViews>
  <sheetFormatPr defaultRowHeight="12.75"/>
  <cols>
    <col min="1" max="1" width="23.5703125" customWidth="1"/>
    <col min="2" max="2" width="8.28515625" bestFit="1" customWidth="1"/>
    <col min="3" max="4" width="7.85546875" customWidth="1"/>
    <col min="5" max="5" width="10.140625" bestFit="1" customWidth="1"/>
    <col min="6" max="6" width="4.140625" customWidth="1"/>
    <col min="7" max="7" width="7.7109375" customWidth="1"/>
    <col min="8" max="8" width="8.42578125" bestFit="1" customWidth="1"/>
    <col min="9" max="9" width="10.5703125" bestFit="1" customWidth="1"/>
    <col min="10" max="10" width="1.5703125" customWidth="1"/>
    <col min="11" max="11" width="11.85546875" customWidth="1"/>
  </cols>
  <sheetData>
    <row r="1" spans="1:12">
      <c r="A1" s="364" t="s">
        <v>982</v>
      </c>
      <c r="B1" s="365"/>
      <c r="C1" s="365"/>
      <c r="D1" s="365"/>
      <c r="E1" s="2021" t="s">
        <v>990</v>
      </c>
      <c r="F1" s="366"/>
      <c r="G1" s="366"/>
      <c r="H1" s="366"/>
      <c r="I1" s="366"/>
    </row>
    <row r="2" spans="1:12">
      <c r="A2" s="367"/>
      <c r="B2" s="368"/>
      <c r="C2" s="368"/>
      <c r="D2" s="369" t="s">
        <v>590</v>
      </c>
      <c r="E2" s="369" t="s">
        <v>591</v>
      </c>
      <c r="F2" s="366"/>
      <c r="G2" s="370" t="s">
        <v>592</v>
      </c>
      <c r="H2" s="371"/>
      <c r="I2" s="372"/>
    </row>
    <row r="3" spans="1:12">
      <c r="A3" s="369"/>
      <c r="B3" s="369" t="s">
        <v>983</v>
      </c>
      <c r="C3" s="369" t="s">
        <v>984</v>
      </c>
      <c r="D3" s="369" t="s">
        <v>987</v>
      </c>
      <c r="E3" s="369" t="str">
        <f>D3</f>
        <v>4Q16E</v>
      </c>
      <c r="F3" s="366"/>
      <c r="G3" s="369" t="str">
        <f>C3</f>
        <v>4Q15A</v>
      </c>
      <c r="H3" s="369" t="str">
        <f>D2&amp;" "&amp;D3</f>
        <v>MS 4Q16E</v>
      </c>
      <c r="I3" s="369" t="s">
        <v>631</v>
      </c>
    </row>
    <row r="4" spans="1:12">
      <c r="A4" s="373" t="s">
        <v>186</v>
      </c>
      <c r="B4" s="374">
        <f>sumry_new!BI10</f>
        <v>1685.7149999999999</v>
      </c>
      <c r="C4" s="2025">
        <f>sumry_new!BD10</f>
        <v>1540.769</v>
      </c>
      <c r="D4" s="375">
        <v>1680.2269531774052</v>
      </c>
      <c r="E4" s="2020">
        <f>_xll.ThomsonONEAddinShim.SpreadsheetFormulas.TF($A$1,"TF.ES.Sales.Mean(period=#1,scale=6)",,E1)</f>
        <v>1364.8</v>
      </c>
      <c r="F4" s="366"/>
      <c r="G4" s="376">
        <f>IF(ISERROR(B4-C4)=TRUE,"NA",B4-C4)</f>
        <v>144.94599999999991</v>
      </c>
      <c r="H4" s="376">
        <f>IF(ISERROR(B4-D4)=TRUE,"NA",B4-D4)</f>
        <v>5.488046822594697</v>
      </c>
      <c r="I4" s="376">
        <f>IF(ISERROR(B4-E4)=TRUE,"NA",B4-E4)</f>
        <v>320.91499999999996</v>
      </c>
    </row>
    <row r="5" spans="1:12">
      <c r="A5" s="373"/>
      <c r="B5" s="408"/>
      <c r="C5" s="2026"/>
      <c r="D5" s="379"/>
      <c r="E5" s="379"/>
      <c r="F5" s="366"/>
      <c r="G5" s="380"/>
      <c r="H5" s="380"/>
      <c r="I5" s="380"/>
    </row>
    <row r="6" spans="1:12">
      <c r="A6" s="373" t="s">
        <v>187</v>
      </c>
      <c r="B6" s="408">
        <f>sumry_new!BI11</f>
        <v>981.21199999999999</v>
      </c>
      <c r="C6" s="2026">
        <f>sumry_new!BD11</f>
        <v>909.21199999999999</v>
      </c>
      <c r="D6" s="381">
        <v>974.53163284289519</v>
      </c>
      <c r="E6" s="381">
        <f>E4-E8</f>
        <v>811.8</v>
      </c>
      <c r="F6" s="366"/>
      <c r="G6" s="382">
        <f>IF(ISERROR(B6-C6)=TRUE,"NA",B6-C6)</f>
        <v>72</v>
      </c>
      <c r="H6" s="382">
        <f>IF(ISERROR(B6-D6)=TRUE,"NA",B6-D6)</f>
        <v>6.6803671571047971</v>
      </c>
      <c r="I6" s="382">
        <f>IF(ISERROR(B6-E6)=TRUE,"NA",B6-E6)</f>
        <v>169.41200000000003</v>
      </c>
    </row>
    <row r="7" spans="1:12">
      <c r="A7" s="373"/>
      <c r="B7" s="408"/>
      <c r="C7" s="2026"/>
      <c r="D7" s="365"/>
      <c r="E7" s="365"/>
      <c r="F7" s="366"/>
      <c r="G7" s="380"/>
      <c r="H7" s="380"/>
      <c r="I7" s="380"/>
    </row>
    <row r="8" spans="1:12">
      <c r="A8" s="373" t="s">
        <v>188</v>
      </c>
      <c r="B8" s="408">
        <f>B4-B6</f>
        <v>704.50299999999993</v>
      </c>
      <c r="C8" s="2026">
        <f>C4-C6</f>
        <v>631.55700000000002</v>
      </c>
      <c r="D8" s="378">
        <v>705.69532033451003</v>
      </c>
      <c r="E8" s="2022">
        <f>_xll.ThomsonONEAddinShim.SpreadsheetFormulas.TF($A$1,"TF.ES.GPM.Mean(period=#1)*TF.ES.Sales.Mean(period=#1,scale=6)",,E$1)</f>
        <v>553</v>
      </c>
      <c r="F8" s="366"/>
      <c r="G8" s="382">
        <f>IF(ISERROR(B8-C8)=TRUE,"NA",B8-C8)</f>
        <v>72.945999999999913</v>
      </c>
      <c r="H8" s="382">
        <f>IF(ISERROR(B8-D8)=TRUE,"NA",B8-D8)</f>
        <v>-1.1923203345101001</v>
      </c>
      <c r="I8" s="382">
        <f>IF(ISERROR(B8-E8)=TRUE,"NA",B8-E8)</f>
        <v>151.50299999999993</v>
      </c>
      <c r="L8" s="2039"/>
    </row>
    <row r="9" spans="1:12">
      <c r="A9" s="373" t="s">
        <v>189</v>
      </c>
      <c r="B9" s="408">
        <f>sumry_new!BI13</f>
        <v>461.69200000000001</v>
      </c>
      <c r="C9" s="2026">
        <f>sumry_new!BD13</f>
        <v>422.22800000000001</v>
      </c>
      <c r="D9" s="378">
        <v>465.42286603014122</v>
      </c>
      <c r="E9" s="381">
        <f>E8-E13</f>
        <v>414.28728000000001</v>
      </c>
      <c r="F9" s="366"/>
      <c r="G9" s="382"/>
      <c r="H9" s="382"/>
      <c r="I9" s="382"/>
    </row>
    <row r="10" spans="1:12">
      <c r="A10" s="2023" t="s">
        <v>838</v>
      </c>
      <c r="B10" s="408">
        <f>sumry_new!BI19</f>
        <v>2.4220000000000002</v>
      </c>
      <c r="C10" s="2026">
        <f>sumry_new!BD19</f>
        <v>4.4550000000000001</v>
      </c>
      <c r="D10" s="381">
        <v>0</v>
      </c>
      <c r="E10" s="383"/>
      <c r="F10" s="366"/>
      <c r="G10" s="382">
        <f>IF(ISERROR(B10-C10)=TRUE,"NA",B10-C10)</f>
        <v>-2.0329999999999999</v>
      </c>
      <c r="H10" s="382">
        <f>IF(ISERROR(B10-D10)=TRUE,"NA",B10-D10)</f>
        <v>2.4220000000000002</v>
      </c>
      <c r="I10" s="382">
        <f>IF(ISERROR(B10-E11)=TRUE,"NA",B10-E11)</f>
        <v>2.4220000000000002</v>
      </c>
    </row>
    <row r="11" spans="1:12">
      <c r="A11" s="373" t="s">
        <v>605</v>
      </c>
      <c r="B11" s="408">
        <f>SUM(B9:B10)</f>
        <v>464.11400000000003</v>
      </c>
      <c r="C11" s="2026">
        <f>SUM(C9:C10)</f>
        <v>426.68299999999999</v>
      </c>
      <c r="D11" s="381">
        <v>465.42286603014122</v>
      </c>
      <c r="E11" s="381"/>
      <c r="F11" s="412"/>
      <c r="G11" s="382">
        <f>IF(ISERROR(B11-C11)=TRUE,"NA",B11-C11)</f>
        <v>37.43100000000004</v>
      </c>
      <c r="H11" s="380"/>
      <c r="I11" s="380"/>
    </row>
    <row r="12" spans="1:12">
      <c r="A12" s="2023" t="s">
        <v>432</v>
      </c>
      <c r="B12" s="408">
        <f>sumry_new!BI20</f>
        <v>46.956000000000003</v>
      </c>
      <c r="C12" s="2026">
        <f>sumry_new!BD20</f>
        <v>45.012</v>
      </c>
      <c r="D12" s="381">
        <v>47.712719999999997</v>
      </c>
      <c r="E12" s="381"/>
      <c r="F12" s="412"/>
      <c r="G12" s="382"/>
      <c r="H12" s="380"/>
      <c r="I12" s="380"/>
    </row>
    <row r="13" spans="1:12">
      <c r="A13" s="2023" t="s">
        <v>985</v>
      </c>
      <c r="B13" s="408">
        <f>sumry_new!BI21</f>
        <v>-10.064</v>
      </c>
      <c r="C13" s="2026">
        <f>sumry_new!BD21</f>
        <v>-9.6340000000000003</v>
      </c>
      <c r="D13" s="381">
        <v>-8.4011347658870257</v>
      </c>
      <c r="E13" s="381">
        <f>E14+D12</f>
        <v>138.71271999999999</v>
      </c>
      <c r="F13" s="412"/>
      <c r="G13" s="382"/>
      <c r="H13" s="380"/>
      <c r="I13" s="380"/>
    </row>
    <row r="14" spans="1:12">
      <c r="A14" s="373" t="s">
        <v>593</v>
      </c>
      <c r="B14" s="408">
        <f>B8-B9-B10-B12-B13</f>
        <v>203.49699999999993</v>
      </c>
      <c r="C14" s="2028">
        <f>C8-C9-C10-C12-C13</f>
        <v>169.49599999999998</v>
      </c>
      <c r="D14" s="378">
        <v>200.96086907025585</v>
      </c>
      <c r="E14" s="2036">
        <f>_xll.ThomsonONEAddinShim.SpreadsheetFormulas.TF($A$1,"TF.ES.EBIT.Mean(period=#1,scale=6)",,E$1)</f>
        <v>91</v>
      </c>
      <c r="F14" s="366"/>
      <c r="G14" s="382">
        <f>IF(ISERROR(B14-C14)=TRUE,"NA",B14-C14)</f>
        <v>34.000999999999948</v>
      </c>
      <c r="H14" s="382">
        <f>IF(ISERROR(B14-D14)=TRUE,"NA",B14-D14)</f>
        <v>2.5361309297440755</v>
      </c>
      <c r="I14" s="382">
        <f>IF(ISERROR(B14-E14)=TRUE,"NA",B14-E14)</f>
        <v>112.49699999999993</v>
      </c>
    </row>
    <row r="15" spans="1:12">
      <c r="A15" s="373"/>
      <c r="B15" s="409"/>
      <c r="C15" s="2027"/>
      <c r="D15" s="381"/>
      <c r="E15" s="381"/>
      <c r="F15" s="366"/>
      <c r="G15" s="382"/>
      <c r="H15" s="382"/>
      <c r="I15" s="382"/>
    </row>
    <row r="16" spans="1:12">
      <c r="A16" s="373" t="s">
        <v>594</v>
      </c>
      <c r="B16" s="408">
        <f>sumry_new!BI24</f>
        <v>12.965999999999999</v>
      </c>
      <c r="C16" s="2026">
        <f>sumry_new!BD24</f>
        <v>14.807</v>
      </c>
      <c r="D16" s="381">
        <v>14</v>
      </c>
      <c r="E16" s="381">
        <f>E14-E18</f>
        <v>13</v>
      </c>
      <c r="F16" s="366"/>
      <c r="G16" s="382">
        <f>IF(ISERROR(B16-C16)=TRUE,"NA",B16-C16)</f>
        <v>-1.8410000000000011</v>
      </c>
      <c r="H16" s="382">
        <f>IF(ISERROR(B16-D16)=TRUE,"NA",B16-D16)</f>
        <v>-1.0340000000000007</v>
      </c>
      <c r="I16" s="382">
        <f>IF(ISERROR(B16-E16)=TRUE,"NA",B16-E16)</f>
        <v>-3.4000000000000696E-2</v>
      </c>
    </row>
    <row r="17" spans="1:9">
      <c r="A17" s="373"/>
      <c r="B17" s="409"/>
      <c r="C17" s="2027"/>
      <c r="D17" s="381"/>
      <c r="E17" s="381"/>
      <c r="F17" s="366"/>
      <c r="G17" s="382"/>
      <c r="H17" s="382"/>
      <c r="I17" s="382"/>
    </row>
    <row r="18" spans="1:9">
      <c r="A18" s="373" t="s">
        <v>595</v>
      </c>
      <c r="B18" s="408">
        <f>B14-B16</f>
        <v>190.53099999999992</v>
      </c>
      <c r="C18" s="2028">
        <f>C14-C16</f>
        <v>154.68899999999999</v>
      </c>
      <c r="D18" s="378">
        <v>186.96086907025585</v>
      </c>
      <c r="E18" s="2036">
        <f>_xll.ThomsonONEAddinShim.SpreadsheetFormulas.TF($A$1,"TF.ES.PBT.Mean(period=#1,scale=6)",,E$1)</f>
        <v>78</v>
      </c>
      <c r="F18" s="366"/>
      <c r="G18" s="382">
        <f>IF(ISERROR(B18-C18)=TRUE,"NA",B18-C18)</f>
        <v>35.841999999999928</v>
      </c>
      <c r="H18" s="382">
        <f>IF(ISERROR(B18-D18)=TRUE,"NA",B18-D18)</f>
        <v>3.5701309297440673</v>
      </c>
      <c r="I18" s="382">
        <f>IF(ISERROR(B18-E18)=TRUE,"NA",B18-E18)</f>
        <v>112.53099999999992</v>
      </c>
    </row>
    <row r="19" spans="1:9">
      <c r="A19" s="373"/>
      <c r="B19" s="409"/>
      <c r="C19" s="2027"/>
      <c r="D19" s="384"/>
      <c r="E19" s="384"/>
      <c r="F19" s="366"/>
      <c r="G19" s="382"/>
      <c r="H19" s="382"/>
      <c r="I19" s="382"/>
    </row>
    <row r="20" spans="1:9">
      <c r="A20" s="373" t="s">
        <v>193</v>
      </c>
      <c r="B20" s="408">
        <f>sumry_new!BI27</f>
        <v>64.97</v>
      </c>
      <c r="C20" s="2026">
        <f>sumry_new!BD27</f>
        <v>55.917999999999999</v>
      </c>
      <c r="D20" s="381">
        <v>71.045130246697227</v>
      </c>
      <c r="E20" s="381">
        <f>E18-E22</f>
        <v>28</v>
      </c>
      <c r="F20" s="366"/>
      <c r="G20" s="382">
        <f>IF(ISERROR(B20-C20)=TRUE,"NA",B20-C20)</f>
        <v>9.0519999999999996</v>
      </c>
      <c r="H20" s="382">
        <f>IF(ISERROR(B20-D20)=TRUE,"NA",B20-D20)</f>
        <v>-6.0751302466972277</v>
      </c>
      <c r="I20" s="382">
        <f>IF(ISERROR(B20-E20)=TRUE,"NA",B20-E20)</f>
        <v>36.97</v>
      </c>
    </row>
    <row r="21" spans="1:9">
      <c r="A21" s="373"/>
      <c r="B21" s="409"/>
      <c r="C21" s="2027"/>
      <c r="D21" s="381"/>
      <c r="E21" s="381"/>
      <c r="F21" s="366"/>
      <c r="G21" s="382"/>
      <c r="H21" s="382"/>
      <c r="I21" s="382"/>
    </row>
    <row r="22" spans="1:9">
      <c r="A22" s="373" t="s">
        <v>596</v>
      </c>
      <c r="B22" s="408">
        <f>B18-B20</f>
        <v>125.56099999999992</v>
      </c>
      <c r="C22" s="2026">
        <f>C18-C20</f>
        <v>98.770999999999987</v>
      </c>
      <c r="D22" s="378">
        <v>115.91573882355863</v>
      </c>
      <c r="E22" s="2037" t="str">
        <f>_xll.ThomsonONEAddinShim.SpreadsheetFormulas.TF($A$1,"TF.ES.NetInc.Mean(period=#1,scale=6)",,E$1)</f>
        <v xml:space="preserve">$50 </v>
      </c>
      <c r="F22" s="366"/>
      <c r="G22" s="382">
        <f>IF(ISERROR(B22-C22)=TRUE,"NA",B22-C22)</f>
        <v>26.789999999999935</v>
      </c>
      <c r="H22" s="382">
        <f>IF(ISERROR(B22-D22)=TRUE,"NA",B22-D22)</f>
        <v>9.645261176441295</v>
      </c>
      <c r="I22" s="382">
        <f>IF(ISERROR(B22-E22)=TRUE,"NA",B22-E22)</f>
        <v>75.560999999999922</v>
      </c>
    </row>
    <row r="23" spans="1:9">
      <c r="A23" s="2023" t="s">
        <v>986</v>
      </c>
      <c r="B23" s="2024">
        <f>SUM(sumry_new!BI35:BI38)</f>
        <v>0.57399999999999984</v>
      </c>
      <c r="C23" s="2028">
        <f>SUM(sumry_new!BD35:BD38)</f>
        <v>10.491</v>
      </c>
      <c r="D23" s="378">
        <v>3.41</v>
      </c>
      <c r="E23" s="383"/>
      <c r="F23" s="366"/>
      <c r="G23" s="382"/>
      <c r="H23" s="382"/>
      <c r="I23" s="382"/>
    </row>
    <row r="24" spans="1:9">
      <c r="A24" s="373"/>
      <c r="B24" s="377"/>
      <c r="C24" s="2029"/>
      <c r="D24" s="381"/>
      <c r="E24" s="381"/>
      <c r="F24" s="366"/>
      <c r="G24" s="376"/>
      <c r="H24" s="376"/>
      <c r="I24" s="376"/>
    </row>
    <row r="25" spans="1:9">
      <c r="A25" s="373" t="s">
        <v>606</v>
      </c>
      <c r="B25" s="410">
        <f>(B22+B23)/B26</f>
        <v>1.779607212393125</v>
      </c>
      <c r="C25" s="2030">
        <f>(C22+C23)/C26</f>
        <v>1.4892526612782311</v>
      </c>
      <c r="D25" s="385">
        <v>1.6736431942937098</v>
      </c>
      <c r="E25" s="2038" t="str">
        <f>_xll.ThomsonONEAddinShim.SpreadsheetFormulas.TF($A$1,"TF.ES.EPS.Mean(period=#1)",,E$1)</f>
        <v xml:space="preserve">$0.70 </v>
      </c>
      <c r="F25" s="366"/>
      <c r="G25" s="386">
        <f>IF(ISERROR(B25-C25)=TRUE,"NA",B25-C25)</f>
        <v>0.29035455111489394</v>
      </c>
      <c r="H25" s="386">
        <f>IF(ISERROR(B25-D25)=TRUE,"NA",B25-D25)</f>
        <v>0.10596401809941525</v>
      </c>
      <c r="I25" s="386">
        <f>IF(ISERROR(B25-E25)=TRUE,"NA",B25-E25)</f>
        <v>1.0796072123931251</v>
      </c>
    </row>
    <row r="26" spans="1:9">
      <c r="A26" s="373" t="s">
        <v>597</v>
      </c>
      <c r="B26" s="407">
        <f>sumry_new!BI41</f>
        <v>70.878</v>
      </c>
      <c r="C26" s="2031">
        <f>sumry_new!BD41</f>
        <v>73.367000000000004</v>
      </c>
      <c r="D26" s="391">
        <v>71.296999999999997</v>
      </c>
      <c r="E26" s="391">
        <f>E22/E25</f>
        <v>71.428571428571431</v>
      </c>
      <c r="F26" s="366"/>
      <c r="G26" s="387">
        <f>IF(ISERROR(B26-C26)=TRUE,"NA",B26-C26)</f>
        <v>-2.4890000000000043</v>
      </c>
      <c r="H26" s="387">
        <f>IF(ISERROR(B26-D26)=TRUE,"NA",B26-D26)</f>
        <v>-0.41899999999999693</v>
      </c>
      <c r="I26" s="387"/>
    </row>
    <row r="27" spans="1:9">
      <c r="A27" s="373"/>
      <c r="B27" s="388"/>
      <c r="C27" s="2032"/>
      <c r="D27" s="381"/>
      <c r="E27" s="381"/>
      <c r="F27" s="366"/>
      <c r="G27" s="382"/>
      <c r="H27" s="382"/>
      <c r="I27" s="382"/>
    </row>
    <row r="28" spans="1:9">
      <c r="A28" s="389" t="s">
        <v>203</v>
      </c>
      <c r="B28" s="390"/>
      <c r="C28" s="2033"/>
      <c r="D28" s="392"/>
      <c r="E28" s="391"/>
      <c r="F28" s="366"/>
      <c r="G28" s="391"/>
      <c r="H28" s="391"/>
      <c r="I28" s="391"/>
    </row>
    <row r="29" spans="1:9">
      <c r="A29" s="373" t="s">
        <v>598</v>
      </c>
      <c r="B29" s="393">
        <f>B8/B4</f>
        <v>0.41792533138757143</v>
      </c>
      <c r="C29" s="2034">
        <f>C8/C4</f>
        <v>0.40989726558621054</v>
      </c>
      <c r="D29" s="379">
        <v>0.41999999999999993</v>
      </c>
      <c r="E29" s="2035">
        <f>E8/E4</f>
        <v>0.4051875732708089</v>
      </c>
      <c r="F29" s="366"/>
      <c r="G29" s="380">
        <f t="shared" ref="G29:G34" si="0">IF(ISERROR((B29-C29)*10000)=TRUE,"NA",(B29-C29)*10000)</f>
        <v>80.280658013608956</v>
      </c>
      <c r="H29" s="380">
        <f t="shared" ref="H29:H34" si="1">IF(ISERROR((B29-D29)*10000)=TRUE,"NA",(B29-D29)*10000)</f>
        <v>-20.746686124284984</v>
      </c>
      <c r="I29" s="380">
        <f t="shared" ref="I29:I34" si="2">IF(ISERROR((B29-E29)*10000)=TRUE,"NA",(B29-E29)*10000)</f>
        <v>127.37758116762532</v>
      </c>
    </row>
    <row r="30" spans="1:9">
      <c r="A30" s="373" t="s">
        <v>599</v>
      </c>
      <c r="B30" s="393">
        <f>B9/B4</f>
        <v>0.27388496869280987</v>
      </c>
      <c r="C30" s="2034">
        <f>C9/C4</f>
        <v>0.27403718532758642</v>
      </c>
      <c r="D30" s="379">
        <v>0.27699999999999997</v>
      </c>
      <c r="E30" s="379">
        <f>E9/E4</f>
        <v>0.30355164126611961</v>
      </c>
      <c r="F30" s="366"/>
      <c r="G30" s="380">
        <f t="shared" si="0"/>
        <v>-1.5221663477654745</v>
      </c>
      <c r="H30" s="380">
        <f t="shared" si="1"/>
        <v>-31.150313071900971</v>
      </c>
      <c r="I30" s="380">
        <f t="shared" si="2"/>
        <v>-296.66672573309739</v>
      </c>
    </row>
    <row r="31" spans="1:9">
      <c r="A31" s="373" t="s">
        <v>206</v>
      </c>
      <c r="B31" s="393">
        <f>B14/B4</f>
        <v>0.12071850817012363</v>
      </c>
      <c r="C31" s="2034">
        <f>C14/C4</f>
        <v>0.11000740539302127</v>
      </c>
      <c r="D31" s="379">
        <v>0.11960340755766795</v>
      </c>
      <c r="E31" s="379">
        <f>E14/E4</f>
        <v>6.6676436107854634E-2</v>
      </c>
      <c r="F31" s="366"/>
      <c r="G31" s="380">
        <f t="shared" si="0"/>
        <v>107.11102777102354</v>
      </c>
      <c r="H31" s="380">
        <f t="shared" si="1"/>
        <v>11.151006124556773</v>
      </c>
      <c r="I31" s="380">
        <f t="shared" si="2"/>
        <v>540.42072062268994</v>
      </c>
    </row>
    <row r="32" spans="1:9">
      <c r="A32" s="373" t="s">
        <v>207</v>
      </c>
      <c r="B32" s="393">
        <f>B18/B4</f>
        <v>0.11302681651406075</v>
      </c>
      <c r="C32" s="2034">
        <f>C18/C4</f>
        <v>0.10039726915585659</v>
      </c>
      <c r="D32" s="379">
        <v>0.1112711998320835</v>
      </c>
      <c r="E32" s="379">
        <f>E18/E4</f>
        <v>5.7151230949589682E-2</v>
      </c>
      <c r="F32" s="366"/>
      <c r="G32" s="380">
        <f t="shared" si="0"/>
        <v>126.29547358204165</v>
      </c>
      <c r="H32" s="380">
        <f t="shared" si="1"/>
        <v>17.556166819772539</v>
      </c>
      <c r="I32" s="380">
        <f t="shared" si="2"/>
        <v>558.75585564471078</v>
      </c>
    </row>
    <row r="33" spans="1:9">
      <c r="A33" s="373" t="s">
        <v>208</v>
      </c>
      <c r="B33" s="393">
        <f>B20/B18</f>
        <v>0.34099437886748102</v>
      </c>
      <c r="C33" s="2034">
        <f>C20/C18</f>
        <v>0.36148659568553682</v>
      </c>
      <c r="D33" s="379">
        <v>0.38</v>
      </c>
      <c r="E33" s="395">
        <f>E20/E18</f>
        <v>0.35897435897435898</v>
      </c>
      <c r="F33" s="379"/>
      <c r="G33" s="380">
        <f t="shared" si="0"/>
        <v>-204.92216818055797</v>
      </c>
      <c r="H33" s="380">
        <f t="shared" si="1"/>
        <v>-390.05621132518985</v>
      </c>
      <c r="I33" s="380">
        <f t="shared" si="2"/>
        <v>-179.79980106877957</v>
      </c>
    </row>
    <row r="34" spans="1:9">
      <c r="A34" s="373" t="s">
        <v>209</v>
      </c>
      <c r="B34" s="396">
        <f>B22/B4</f>
        <v>7.4485307421479865E-2</v>
      </c>
      <c r="C34" s="2035">
        <f>C22/C4</f>
        <v>6.4105002112581438E-2</v>
      </c>
      <c r="D34" s="379">
        <v>6.8988143895891765E-2</v>
      </c>
      <c r="E34" s="395">
        <f>E22/E4</f>
        <v>3.6635404454865184E-2</v>
      </c>
      <c r="F34" s="379"/>
      <c r="G34" s="380">
        <f t="shared" si="0"/>
        <v>103.80305308898427</v>
      </c>
      <c r="H34" s="380">
        <f t="shared" si="1"/>
        <v>54.971635255881004</v>
      </c>
      <c r="I34" s="380">
        <f t="shared" si="2"/>
        <v>378.49902966614684</v>
      </c>
    </row>
    <row r="35" spans="1:9">
      <c r="A35" s="373"/>
      <c r="B35" s="396"/>
      <c r="C35" s="2035"/>
      <c r="D35" s="379"/>
      <c r="E35" s="366"/>
      <c r="F35" s="379"/>
      <c r="G35" s="380"/>
      <c r="H35" s="380"/>
      <c r="I35" s="379"/>
    </row>
    <row r="36" spans="1:9">
      <c r="A36" s="389" t="s">
        <v>210</v>
      </c>
      <c r="B36" s="396"/>
      <c r="C36" s="2035"/>
      <c r="D36" s="379"/>
      <c r="E36" s="366"/>
      <c r="F36" s="379"/>
      <c r="G36" s="380"/>
      <c r="H36" s="380"/>
      <c r="I36" s="379"/>
    </row>
    <row r="37" spans="1:9">
      <c r="A37" s="373" t="s">
        <v>98</v>
      </c>
      <c r="B37" s="396">
        <f>sumry_new!BI69</f>
        <v>9.4073803405961609E-2</v>
      </c>
      <c r="C37" s="2035">
        <f>sumry_new!BD69</f>
        <v>3.7302017959258471E-2</v>
      </c>
      <c r="D37" s="379">
        <v>9.0511915269196885E-2</v>
      </c>
      <c r="E37" s="379">
        <f>E4/C4-1</f>
        <v>-0.11420855429983345</v>
      </c>
      <c r="F37" s="379"/>
      <c r="G37" s="380"/>
      <c r="H37" s="397"/>
      <c r="I37" s="379"/>
    </row>
    <row r="38" spans="1:9">
      <c r="A38" s="373" t="s">
        <v>600</v>
      </c>
      <c r="B38" s="396">
        <f>sumry_new!BI70</f>
        <v>4.5999999999999999E-2</v>
      </c>
      <c r="C38" s="2035">
        <f>sumry_new!BD70</f>
        <v>1E-3</v>
      </c>
      <c r="D38" s="379">
        <v>0.05</v>
      </c>
      <c r="E38" s="394">
        <v>2.5000000000000001E-2</v>
      </c>
      <c r="F38" s="379"/>
      <c r="G38" s="380"/>
      <c r="H38" s="380"/>
      <c r="I38" s="379"/>
    </row>
    <row r="39" spans="1:9">
      <c r="A39" s="373" t="s">
        <v>601</v>
      </c>
      <c r="B39" s="396">
        <f>sumry_new!BI71</f>
        <v>9.3466089411408104E-2</v>
      </c>
      <c r="C39" s="2035">
        <f>sumry_new!BD71</f>
        <v>1.0385557852821803E-2</v>
      </c>
      <c r="D39" s="379">
        <v>0.10230223014613249</v>
      </c>
      <c r="E39" s="379">
        <f>E9/C9-1</f>
        <v>-1.8806711066059134E-2</v>
      </c>
      <c r="F39" s="379"/>
      <c r="G39" s="380"/>
      <c r="H39" s="380"/>
      <c r="I39" s="379"/>
    </row>
    <row r="40" spans="1:9">
      <c r="A40" s="373" t="s">
        <v>191</v>
      </c>
      <c r="B40" s="396">
        <f>sumry_new!BI72</f>
        <v>0.20060060414405023</v>
      </c>
      <c r="C40" s="2035">
        <f>sumry_new!BD72</f>
        <v>-5.1850194389282511E-2</v>
      </c>
      <c r="D40" s="379">
        <v>0.18563782667588535</v>
      </c>
      <c r="E40" s="379">
        <f>E14/C14-1</f>
        <v>-0.46311417378581199</v>
      </c>
      <c r="F40" s="379"/>
      <c r="G40" s="380"/>
      <c r="H40" s="380"/>
      <c r="I40" s="379"/>
    </row>
    <row r="41" spans="1:9">
      <c r="A41" s="373" t="s">
        <v>196</v>
      </c>
      <c r="B41" s="396">
        <f>sumry_new!BI76</f>
        <v>0.19496661558132189</v>
      </c>
      <c r="C41" s="2035">
        <f>sumry_new!BD76</f>
        <v>4.2863766992897956E-2</v>
      </c>
      <c r="D41" s="379">
        <v>0.1845245146316552</v>
      </c>
      <c r="E41" s="379">
        <f>E25/C25-1</f>
        <v>-0.52996558730391163</v>
      </c>
      <c r="F41" s="379"/>
      <c r="G41" s="380"/>
      <c r="H41" s="380"/>
      <c r="I41" s="379"/>
    </row>
    <row r="42" spans="1:9">
      <c r="A42" s="366"/>
      <c r="B42" s="365"/>
      <c r="C42" s="365"/>
      <c r="D42" s="365"/>
      <c r="E42" s="366"/>
      <c r="F42" s="366"/>
      <c r="G42" s="366"/>
      <c r="H42" s="366"/>
      <c r="I42" s="366"/>
    </row>
    <row r="43" spans="1:9">
      <c r="A43" s="398" t="s">
        <v>602</v>
      </c>
      <c r="B43" s="366"/>
      <c r="C43" s="366"/>
      <c r="D43" s="366"/>
      <c r="E43" s="366"/>
      <c r="F43" s="366"/>
      <c r="G43" s="366"/>
      <c r="H43" s="366"/>
      <c r="I43" s="366"/>
    </row>
    <row r="44" spans="1:9">
      <c r="A44" s="399" t="s">
        <v>98</v>
      </c>
      <c r="B44" s="366"/>
      <c r="C44" s="366"/>
      <c r="D44" s="366"/>
      <c r="E44" s="366"/>
      <c r="F44" s="366"/>
      <c r="G44" s="366"/>
      <c r="H44" s="400">
        <f>(H4*(D22/B4))/D26</f>
        <v>5.2930355166103558E-3</v>
      </c>
      <c r="I44" s="366"/>
    </row>
    <row r="45" spans="1:9">
      <c r="A45" s="399" t="s">
        <v>204</v>
      </c>
      <c r="B45" s="366"/>
      <c r="C45" s="366"/>
      <c r="D45" s="366"/>
      <c r="E45" s="366"/>
      <c r="F45" s="366"/>
      <c r="G45" s="366"/>
      <c r="H45" s="400">
        <f>(((B29*D4)-D8)*(1-B33))/B26</f>
        <v>-3.2411143103115304E-2</v>
      </c>
      <c r="I45" s="366"/>
    </row>
    <row r="46" spans="1:9">
      <c r="A46" s="399" t="s">
        <v>157</v>
      </c>
      <c r="B46" s="366"/>
      <c r="C46" s="366"/>
      <c r="D46" s="366"/>
      <c r="E46" s="366"/>
      <c r="F46" s="366"/>
      <c r="G46" s="366"/>
      <c r="H46" s="400">
        <f>-(((B30*D4)-D9)*(1-B33))/B26</f>
        <v>4.8664025118616304E-2</v>
      </c>
      <c r="I46" s="366"/>
    </row>
    <row r="47" spans="1:9">
      <c r="A47" s="399" t="s">
        <v>191</v>
      </c>
      <c r="B47" s="366"/>
      <c r="C47" s="366"/>
      <c r="D47" s="366"/>
      <c r="E47" s="366"/>
      <c r="F47" s="366"/>
      <c r="G47" s="366"/>
      <c r="H47" s="400">
        <f>SUM(H44:H46)</f>
        <v>2.1545917532111356E-2</v>
      </c>
      <c r="I47" s="366"/>
    </row>
    <row r="48" spans="1:9">
      <c r="A48" s="399" t="s">
        <v>594</v>
      </c>
      <c r="B48" s="366"/>
      <c r="C48" s="366"/>
      <c r="D48" s="366"/>
      <c r="E48" s="366"/>
      <c r="F48" s="366"/>
      <c r="G48" s="366"/>
      <c r="H48" s="400">
        <f>-(H16*(1-B33))/B26</f>
        <v>9.6138690743393599E-3</v>
      </c>
      <c r="I48" s="366"/>
    </row>
    <row r="49" spans="1:9">
      <c r="A49" s="399" t="s">
        <v>208</v>
      </c>
      <c r="B49" s="366"/>
      <c r="C49" s="366"/>
      <c r="D49" s="366"/>
      <c r="E49" s="366"/>
      <c r="F49" s="366"/>
      <c r="G49" s="366"/>
      <c r="H49" s="400">
        <f>H25-H50-H48-H47-H44</f>
        <v>5.9052755621322325E-2</v>
      </c>
      <c r="I49" s="366"/>
    </row>
    <row r="50" spans="1:9">
      <c r="A50" s="399" t="s">
        <v>603</v>
      </c>
      <c r="B50" s="366"/>
      <c r="C50" s="366"/>
      <c r="D50" s="366"/>
      <c r="E50" s="366"/>
      <c r="F50" s="366"/>
      <c r="G50" s="366"/>
      <c r="H50" s="400">
        <f>B25-(B22+B23)/D26</f>
        <v>1.0458440355031851E-2</v>
      </c>
      <c r="I50" s="366"/>
    </row>
    <row r="51" spans="1:9">
      <c r="A51" s="401" t="s">
        <v>604</v>
      </c>
      <c r="B51" s="366"/>
      <c r="C51" s="366"/>
      <c r="D51" s="366"/>
      <c r="E51" s="366"/>
      <c r="F51" s="366"/>
      <c r="G51" s="366"/>
      <c r="H51" s="386">
        <f>SUM(H44,H47:H50)</f>
        <v>0.10596401809941525</v>
      </c>
      <c r="I51" s="366"/>
    </row>
    <row r="52" spans="1:9">
      <c r="A52" s="401"/>
      <c r="B52" s="366"/>
      <c r="C52" s="366"/>
      <c r="D52" s="366"/>
      <c r="E52" s="366"/>
      <c r="F52" s="366"/>
      <c r="G52" s="366"/>
      <c r="H52" s="386"/>
      <c r="I52" s="366"/>
    </row>
    <row r="53" spans="1:9">
      <c r="A53" s="398"/>
      <c r="B53" s="402" t="str">
        <f>B3</f>
        <v>4Q16A</v>
      </c>
      <c r="C53" s="402" t="str">
        <f>C3</f>
        <v>4Q15A</v>
      </c>
      <c r="D53" s="402" t="s">
        <v>625</v>
      </c>
      <c r="E53" s="366"/>
      <c r="F53" s="366"/>
      <c r="G53" s="366"/>
      <c r="H53" s="366"/>
      <c r="I53" s="366"/>
    </row>
    <row r="54" spans="1:9">
      <c r="A54" s="403" t="s">
        <v>607</v>
      </c>
      <c r="B54" s="404">
        <f>turn!N102</f>
        <v>16.207126070655864</v>
      </c>
      <c r="C54" s="404">
        <f>turn!N95</f>
        <v>-2.6940990265655995</v>
      </c>
      <c r="D54" s="404">
        <f>turn!N98</f>
        <v>9.5275656158866795</v>
      </c>
      <c r="E54" s="366"/>
      <c r="F54" s="366"/>
      <c r="G54" s="366"/>
      <c r="H54" s="366"/>
      <c r="I54" s="366"/>
    </row>
    <row r="55" spans="1:9">
      <c r="A55" s="405" t="s">
        <v>608</v>
      </c>
      <c r="B55" s="406">
        <f>turn!L102</f>
        <v>4.8561114415090589</v>
      </c>
      <c r="C55" s="406">
        <f>turn!L95</f>
        <v>5.9394174551325118</v>
      </c>
      <c r="D55" s="406">
        <f>turn!L98</f>
        <v>11.32336089132917</v>
      </c>
      <c r="E55" s="366"/>
      <c r="F55" s="366"/>
      <c r="G55" s="366"/>
      <c r="H55" s="400"/>
      <c r="I55" s="366"/>
    </row>
    <row r="56" spans="1:9">
      <c r="A56" s="403" t="s">
        <v>59</v>
      </c>
      <c r="B56" s="404">
        <f>B55-B54</f>
        <v>-11.351014629146805</v>
      </c>
      <c r="C56" s="404">
        <f>C55-C54</f>
        <v>8.6335164816981109</v>
      </c>
      <c r="D56" s="404">
        <v>1.4370359582362546</v>
      </c>
      <c r="E56" s="366"/>
      <c r="F56" s="366"/>
      <c r="G56" s="366"/>
      <c r="H56" s="400"/>
      <c r="I56" s="366"/>
    </row>
  </sheetData>
  <phoneticPr fontId="11"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1:IR89"/>
  <sheetViews>
    <sheetView zoomScale="85" zoomScaleNormal="85" workbookViewId="0">
      <pane xSplit="1" topLeftCell="B1" activePane="topRight" state="frozen"/>
      <selection activeCell="BC64" sqref="BC64"/>
      <selection pane="topRight" activeCell="A47" sqref="A47"/>
    </sheetView>
  </sheetViews>
  <sheetFormatPr defaultRowHeight="12.75" outlineLevelRow="2" outlineLevelCol="3"/>
  <cols>
    <col min="1" max="1" width="24.85546875" style="17" customWidth="1"/>
    <col min="2" max="2" width="1" style="17" customWidth="1"/>
    <col min="3" max="6" width="7" style="17" hidden="1" customWidth="1" outlineLevel="3"/>
    <col min="7" max="7" width="1" style="17" hidden="1" customWidth="1" outlineLevel="3"/>
    <col min="8" max="11" width="7" style="17" hidden="1" customWidth="1" outlineLevel="3"/>
    <col min="12" max="12" width="1" style="17" hidden="1" customWidth="1" outlineLevel="3"/>
    <col min="13" max="16" width="7" style="17" hidden="1" customWidth="1" outlineLevel="3"/>
    <col min="17" max="17" width="1" style="17" hidden="1" customWidth="1" outlineLevel="3"/>
    <col min="18" max="21" width="7" style="17" hidden="1" customWidth="1" outlineLevel="3"/>
    <col min="22" max="22" width="1.85546875" style="17" hidden="1" customWidth="1" outlineLevel="1" collapsed="1"/>
    <col min="23" max="25" width="7" style="17" hidden="1" customWidth="1" outlineLevel="1"/>
    <col min="26" max="26" width="8.140625" style="17" hidden="1" customWidth="1" outlineLevel="1"/>
    <col min="27" max="27" width="1" style="17" hidden="1" customWidth="1" outlineLevel="1"/>
    <col min="28" max="28" width="8.140625" style="17" hidden="1" customWidth="1" outlineLevel="1" collapsed="1"/>
    <col min="29" max="30" width="8.140625" style="17" hidden="1" customWidth="1" outlineLevel="1"/>
    <col min="31" max="31" width="9.5703125" style="17" hidden="1" customWidth="1" outlineLevel="1"/>
    <col min="32" max="32" width="1" style="17" hidden="1" customWidth="1" outlineLevel="1"/>
    <col min="33" max="33" width="8.140625" style="17" hidden="1" customWidth="1" outlineLevel="1" collapsed="1"/>
    <col min="34" max="36" width="8.140625" style="17" hidden="1" customWidth="1" outlineLevel="1"/>
    <col min="37" max="37" width="1" style="17" hidden="1" customWidth="1" outlineLevel="1"/>
    <col min="38" max="38" width="7.7109375" style="17" hidden="1" customWidth="1" outlineLevel="1"/>
    <col min="39" max="40" width="8.140625" style="17" hidden="1" customWidth="1" outlineLevel="1"/>
    <col min="41" max="41" width="9.5703125" style="17" hidden="1" customWidth="1" outlineLevel="1"/>
    <col min="42" max="42" width="1.140625" style="17" hidden="1" customWidth="1" outlineLevel="1"/>
    <col min="43" max="43" width="9.5703125" style="17" hidden="1" customWidth="1" outlineLevel="1"/>
    <col min="44" max="44" width="8" style="17" hidden="1" customWidth="1" outlineLevel="1"/>
    <col min="45" max="46" width="9.5703125" style="17" hidden="1" customWidth="1" outlineLevel="1"/>
    <col min="47" max="47" width="1" style="17" hidden="1" customWidth="1" outlineLevel="1"/>
    <col min="48" max="48" width="9.28515625" style="17" bestFit="1" customWidth="1" collapsed="1"/>
    <col min="49" max="51" width="9.28515625" style="17" bestFit="1" customWidth="1"/>
    <col min="52" max="52" width="1" style="17" customWidth="1"/>
    <col min="53" max="53" width="9.28515625" style="17" bestFit="1" customWidth="1"/>
    <col min="54" max="54" width="10.140625" style="17" customWidth="1"/>
    <col min="55" max="56" width="9.28515625" style="17" bestFit="1" customWidth="1"/>
    <col min="57" max="59" width="8.140625" style="17" hidden="1" customWidth="1" outlineLevel="2"/>
    <col min="60" max="60" width="8.140625" style="17" hidden="1" customWidth="1" outlineLevel="2" collapsed="1"/>
    <col min="61" max="62" width="8.140625" style="17" hidden="1" customWidth="1" outlineLevel="2"/>
    <col min="63" max="63" width="1.5703125" style="17" hidden="1" customWidth="1" outlineLevel="1" collapsed="1"/>
    <col min="64" max="66" width="9.28515625" style="17" hidden="1" customWidth="1" outlineLevel="3"/>
    <col min="67" max="67" width="9.28515625" style="17" bestFit="1" customWidth="1" collapsed="1"/>
    <col min="68" max="73" width="9.28515625" style="17" bestFit="1" customWidth="1"/>
    <col min="74" max="74" width="8.140625" style="17" customWidth="1"/>
    <col min="75" max="75" width="9.140625" style="17"/>
    <col min="76" max="76" width="27.28515625" customWidth="1" outlineLevel="1"/>
    <col min="77" max="81" width="9.140625" customWidth="1" outlineLevel="1"/>
    <col min="82" max="16384" width="9.140625" style="17"/>
  </cols>
  <sheetData>
    <row r="1" spans="1:81">
      <c r="A1" s="34" t="s">
        <v>441</v>
      </c>
    </row>
    <row r="2" spans="1:81" s="18" customFormat="1">
      <c r="A2" s="2" t="s">
        <v>586</v>
      </c>
      <c r="BX2"/>
      <c r="BY2"/>
      <c r="BZ2"/>
      <c r="CA2"/>
      <c r="CB2"/>
      <c r="CC2"/>
    </row>
    <row r="3" spans="1:81">
      <c r="A3" s="418" t="s">
        <v>92</v>
      </c>
    </row>
    <row r="4" spans="1:81">
      <c r="AQ4" s="17">
        <f>10/8-1</f>
        <v>0.25</v>
      </c>
      <c r="BB4" s="1194">
        <f>SUM(BA10:BB10)</f>
        <v>2327.277</v>
      </c>
      <c r="BC4" s="1194">
        <f>SUM(AV10:AW10)</f>
        <v>2171.85</v>
      </c>
      <c r="BD4" s="1195">
        <f>BB4-BC4</f>
        <v>155.42700000000013</v>
      </c>
      <c r="BE4" s="1196"/>
      <c r="BF4" s="1196"/>
      <c r="BG4" s="1196"/>
      <c r="BH4" s="1196"/>
      <c r="BI4" s="1196"/>
      <c r="BJ4" s="1196"/>
      <c r="BK4" s="1196"/>
      <c r="BL4" s="1196"/>
      <c r="BM4" s="1196"/>
      <c r="BN4" s="1196"/>
      <c r="BO4" s="1196">
        <f>BD5/BD4</f>
        <v>0.17056238620059777</v>
      </c>
      <c r="BP4" s="1194">
        <f>SUM(BC10:BD10)</f>
        <v>2771.6549999999997</v>
      </c>
      <c r="BQ4" s="1194">
        <f>SUM(AX10:AY10)</f>
        <v>2642.654</v>
      </c>
      <c r="BR4" s="1195">
        <f>BP4-BQ4</f>
        <v>129.00099999999975</v>
      </c>
      <c r="BS4" s="1196">
        <f>BR5/BR4</f>
        <v>7.9254047643039047E-2</v>
      </c>
      <c r="BT4" s="1196"/>
    </row>
    <row r="5" spans="1:81">
      <c r="W5" s="419" t="s">
        <v>212</v>
      </c>
      <c r="X5" s="420"/>
      <c r="Y5" s="420"/>
      <c r="Z5" s="420"/>
      <c r="AA5" s="420"/>
      <c r="AB5" s="420"/>
      <c r="AC5" s="420"/>
      <c r="AD5" s="420"/>
      <c r="AE5" s="420"/>
      <c r="AF5" s="420"/>
      <c r="AG5" s="420"/>
      <c r="AH5" s="420"/>
      <c r="AI5" s="420"/>
      <c r="AJ5" s="420"/>
      <c r="AK5" s="420"/>
      <c r="AL5" s="420"/>
      <c r="AM5" s="420"/>
      <c r="AN5" s="420"/>
      <c r="AO5" s="420"/>
      <c r="BB5" s="1194">
        <f>SUM(BA38:BB38)</f>
        <v>176.82300000000015</v>
      </c>
      <c r="BC5" s="1194">
        <f>SUM(AV38:AW38)</f>
        <v>150.31299999999982</v>
      </c>
      <c r="BD5" s="1195">
        <f>BB5-BC5</f>
        <v>26.510000000000332</v>
      </c>
      <c r="BE5" s="1196"/>
      <c r="BF5" s="1196"/>
      <c r="BG5" s="1196"/>
      <c r="BH5" s="1196"/>
      <c r="BI5" s="1196"/>
      <c r="BJ5" s="1196"/>
      <c r="BK5" s="1196"/>
      <c r="BL5" s="1196"/>
      <c r="BM5" s="1196"/>
      <c r="BN5" s="1196"/>
      <c r="BO5" s="1196"/>
      <c r="BP5" s="1194">
        <f>SUM(BC38:BD38)</f>
        <v>307.83085139999957</v>
      </c>
      <c r="BQ5" s="1194">
        <f>SUM(AX38:AY38)</f>
        <v>297.60699999999991</v>
      </c>
      <c r="BR5" s="1195">
        <f>BP5-BQ5</f>
        <v>10.22385139999966</v>
      </c>
      <c r="BS5" s="1196"/>
      <c r="BT5" s="1196"/>
    </row>
    <row r="6" spans="1:81">
      <c r="W6" s="419"/>
      <c r="X6" s="420"/>
      <c r="Y6" s="420"/>
      <c r="Z6" s="420"/>
      <c r="AA6" s="420"/>
      <c r="AB6" s="420"/>
      <c r="AC6" s="420"/>
      <c r="AD6" s="420"/>
      <c r="AE6" s="420"/>
      <c r="AF6" s="420"/>
      <c r="AG6" s="420"/>
      <c r="AH6" s="420"/>
      <c r="AI6" s="420"/>
      <c r="AJ6" s="420"/>
      <c r="AK6" s="420"/>
      <c r="AL6" s="420"/>
      <c r="AM6" s="420"/>
      <c r="AN6" s="420"/>
      <c r="AO6" s="420"/>
      <c r="BB6" s="535"/>
      <c r="BE6" s="419" t="s">
        <v>309</v>
      </c>
      <c r="BF6" s="419"/>
      <c r="BG6" s="419"/>
      <c r="BH6" s="419"/>
      <c r="BI6" s="419"/>
      <c r="BJ6" s="419"/>
      <c r="BK6" s="421"/>
      <c r="BL6" s="419" t="s">
        <v>308</v>
      </c>
      <c r="BM6" s="420"/>
      <c r="BN6" s="420"/>
      <c r="BO6" s="420"/>
      <c r="BP6" s="420"/>
      <c r="BQ6" s="420"/>
      <c r="BR6" s="420"/>
      <c r="BS6" s="420"/>
      <c r="BT6" s="420"/>
      <c r="BU6" s="420"/>
      <c r="BV6" s="420"/>
    </row>
    <row r="7" spans="1:81">
      <c r="A7" s="697"/>
      <c r="B7" s="514"/>
      <c r="C7" s="422" t="s">
        <v>96</v>
      </c>
      <c r="D7" s="422"/>
      <c r="E7" s="422"/>
      <c r="F7" s="422"/>
      <c r="G7" s="514"/>
      <c r="H7" s="422" t="s">
        <v>95</v>
      </c>
      <c r="I7" s="422"/>
      <c r="J7" s="422"/>
      <c r="K7" s="422"/>
      <c r="L7" s="514"/>
      <c r="M7" s="422" t="s">
        <v>94</v>
      </c>
      <c r="N7" s="422"/>
      <c r="O7" s="422"/>
      <c r="P7" s="422"/>
      <c r="Q7" s="514"/>
      <c r="R7" s="422" t="s">
        <v>93</v>
      </c>
      <c r="S7" s="422"/>
      <c r="T7" s="422"/>
      <c r="U7" s="422"/>
      <c r="V7" s="514"/>
      <c r="W7" s="422" t="s">
        <v>261</v>
      </c>
      <c r="X7" s="422"/>
      <c r="Y7" s="422"/>
      <c r="Z7" s="422"/>
      <c r="AA7" s="514"/>
      <c r="AB7" s="422" t="s">
        <v>84</v>
      </c>
      <c r="AC7" s="422"/>
      <c r="AD7" s="422"/>
      <c r="AE7" s="422"/>
      <c r="AF7" s="514"/>
      <c r="AG7" s="422" t="s">
        <v>242</v>
      </c>
      <c r="AH7" s="422"/>
      <c r="AI7" s="422"/>
      <c r="AJ7" s="422"/>
      <c r="AK7" s="514"/>
      <c r="AL7" s="422" t="s">
        <v>393</v>
      </c>
      <c r="AM7" s="422"/>
      <c r="AN7" s="422"/>
      <c r="AO7" s="422"/>
      <c r="AP7" s="514"/>
      <c r="AQ7" s="422" t="s">
        <v>611</v>
      </c>
      <c r="AR7" s="422"/>
      <c r="AS7" s="422"/>
      <c r="AT7" s="422"/>
      <c r="AU7" s="514"/>
      <c r="AV7" s="422" t="s">
        <v>626</v>
      </c>
      <c r="AW7" s="422"/>
      <c r="AX7" s="422"/>
      <c r="AY7" s="422"/>
      <c r="AZ7" s="514"/>
      <c r="BA7" s="423" t="s">
        <v>38</v>
      </c>
      <c r="BB7" s="422"/>
      <c r="BC7" s="422"/>
      <c r="BD7" s="1224"/>
      <c r="BE7" s="424" t="s">
        <v>166</v>
      </c>
      <c r="BF7" s="424" t="s">
        <v>96</v>
      </c>
      <c r="BG7" s="424" t="s">
        <v>95</v>
      </c>
      <c r="BH7" s="424" t="s">
        <v>94</v>
      </c>
      <c r="BI7" s="424" t="s">
        <v>93</v>
      </c>
      <c r="BJ7" s="424" t="s">
        <v>83</v>
      </c>
      <c r="BK7" s="97"/>
      <c r="BL7" s="425" t="s">
        <v>261</v>
      </c>
      <c r="BM7" s="426" t="s">
        <v>84</v>
      </c>
      <c r="BN7" s="426" t="s">
        <v>242</v>
      </c>
      <c r="BO7" s="426" t="s">
        <v>393</v>
      </c>
      <c r="BP7" s="426" t="s">
        <v>611</v>
      </c>
      <c r="BQ7" s="426" t="s">
        <v>626</v>
      </c>
      <c r="BR7" s="427" t="s">
        <v>38</v>
      </c>
      <c r="BS7" s="427" t="s">
        <v>244</v>
      </c>
      <c r="BT7" s="427" t="s">
        <v>245</v>
      </c>
      <c r="BU7" s="428" t="s">
        <v>341</v>
      </c>
      <c r="BV7" s="98"/>
    </row>
    <row r="8" spans="1:81">
      <c r="A8" s="1233" t="s">
        <v>185</v>
      </c>
      <c r="B8" s="421"/>
      <c r="C8" s="430" t="s">
        <v>79</v>
      </c>
      <c r="D8" s="430" t="s">
        <v>80</v>
      </c>
      <c r="E8" s="430" t="s">
        <v>81</v>
      </c>
      <c r="F8" s="430" t="s">
        <v>82</v>
      </c>
      <c r="G8" s="421"/>
      <c r="H8" s="430" t="s">
        <v>79</v>
      </c>
      <c r="I8" s="430" t="s">
        <v>80</v>
      </c>
      <c r="J8" s="430" t="s">
        <v>81</v>
      </c>
      <c r="K8" s="430" t="s">
        <v>82</v>
      </c>
      <c r="L8" s="421"/>
      <c r="M8" s="430" t="s">
        <v>79</v>
      </c>
      <c r="N8" s="430" t="s">
        <v>80</v>
      </c>
      <c r="O8" s="430" t="s">
        <v>81</v>
      </c>
      <c r="P8" s="430" t="s">
        <v>82</v>
      </c>
      <c r="Q8" s="421"/>
      <c r="R8" s="430" t="s">
        <v>79</v>
      </c>
      <c r="S8" s="430" t="s">
        <v>80</v>
      </c>
      <c r="T8" s="430" t="s">
        <v>81</v>
      </c>
      <c r="U8" s="430" t="s">
        <v>82</v>
      </c>
      <c r="V8" s="421"/>
      <c r="W8" s="430" t="s">
        <v>79</v>
      </c>
      <c r="X8" s="430" t="s">
        <v>80</v>
      </c>
      <c r="Y8" s="430" t="s">
        <v>81</v>
      </c>
      <c r="Z8" s="430" t="s">
        <v>82</v>
      </c>
      <c r="AA8" s="421"/>
      <c r="AB8" s="430" t="s">
        <v>79</v>
      </c>
      <c r="AC8" s="430" t="s">
        <v>80</v>
      </c>
      <c r="AD8" s="430" t="s">
        <v>81</v>
      </c>
      <c r="AE8" s="430" t="s">
        <v>82</v>
      </c>
      <c r="AF8" s="421"/>
      <c r="AG8" s="430" t="s">
        <v>79</v>
      </c>
      <c r="AH8" s="430" t="s">
        <v>80</v>
      </c>
      <c r="AI8" s="430" t="s">
        <v>81</v>
      </c>
      <c r="AJ8" s="430" t="s">
        <v>82</v>
      </c>
      <c r="AK8" s="421"/>
      <c r="AL8" s="430" t="s">
        <v>79</v>
      </c>
      <c r="AM8" s="430" t="s">
        <v>80</v>
      </c>
      <c r="AN8" s="430" t="s">
        <v>81</v>
      </c>
      <c r="AO8" s="430" t="s">
        <v>82</v>
      </c>
      <c r="AP8" s="421"/>
      <c r="AQ8" s="430" t="s">
        <v>79</v>
      </c>
      <c r="AR8" s="430" t="s">
        <v>80</v>
      </c>
      <c r="AS8" s="430" t="s">
        <v>81</v>
      </c>
      <c r="AT8" s="430" t="s">
        <v>82</v>
      </c>
      <c r="AU8" s="421"/>
      <c r="AV8" s="430" t="s">
        <v>79</v>
      </c>
      <c r="AW8" s="430" t="s">
        <v>80</v>
      </c>
      <c r="AX8" s="430" t="s">
        <v>81</v>
      </c>
      <c r="AY8" s="430" t="s">
        <v>82</v>
      </c>
      <c r="AZ8" s="421"/>
      <c r="BA8" s="430" t="s">
        <v>79</v>
      </c>
      <c r="BB8" s="430" t="s">
        <v>80</v>
      </c>
      <c r="BC8" s="1234" t="s">
        <v>81</v>
      </c>
      <c r="BD8" s="1225" t="s">
        <v>82</v>
      </c>
      <c r="BE8" s="429" t="s">
        <v>82</v>
      </c>
      <c r="BF8" s="429" t="s">
        <v>82</v>
      </c>
      <c r="BG8" s="429" t="s">
        <v>82</v>
      </c>
      <c r="BH8" s="429" t="s">
        <v>82</v>
      </c>
      <c r="BI8" s="429" t="s">
        <v>82</v>
      </c>
      <c r="BJ8" s="429" t="s">
        <v>82</v>
      </c>
      <c r="BK8" s="430"/>
      <c r="BL8" s="431" t="s">
        <v>82</v>
      </c>
      <c r="BM8" s="430" t="s">
        <v>82</v>
      </c>
      <c r="BN8" s="430" t="s">
        <v>82</v>
      </c>
      <c r="BO8" s="430" t="s">
        <v>82</v>
      </c>
      <c r="BP8" s="430" t="s">
        <v>82</v>
      </c>
      <c r="BQ8" s="430" t="s">
        <v>82</v>
      </c>
      <c r="BR8" s="430" t="s">
        <v>82</v>
      </c>
      <c r="BS8" s="430" t="s">
        <v>82</v>
      </c>
      <c r="BT8" s="430" t="s">
        <v>82</v>
      </c>
      <c r="BU8" s="432" t="s">
        <v>82</v>
      </c>
      <c r="BV8" s="430"/>
    </row>
    <row r="9" spans="1:81">
      <c r="A9" s="434"/>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1"/>
      <c r="BC9" s="421"/>
      <c r="BD9" s="435"/>
      <c r="BE9" s="433"/>
      <c r="BF9" s="433"/>
      <c r="BG9" s="433"/>
      <c r="BH9" s="433"/>
      <c r="BI9" s="433"/>
      <c r="BJ9" s="433"/>
      <c r="BK9" s="421"/>
      <c r="BL9" s="434"/>
      <c r="BM9" s="421"/>
      <c r="BN9" s="421"/>
      <c r="BO9" s="421"/>
      <c r="BP9" s="421"/>
      <c r="BQ9" s="421"/>
      <c r="BR9" s="421"/>
      <c r="BS9" s="421"/>
      <c r="BT9" s="421"/>
      <c r="BU9" s="435"/>
      <c r="BV9" s="421"/>
    </row>
    <row r="10" spans="1:81" ht="11.25" customHeight="1">
      <c r="A10" s="434" t="s">
        <v>186</v>
      </c>
      <c r="B10" s="421"/>
      <c r="C10" s="438"/>
      <c r="D10" s="438"/>
      <c r="E10" s="438"/>
      <c r="F10" s="438"/>
      <c r="G10" s="438"/>
      <c r="H10" s="438"/>
      <c r="I10" s="438"/>
      <c r="J10" s="438"/>
      <c r="K10" s="438"/>
      <c r="L10" s="438"/>
      <c r="M10" s="438"/>
      <c r="N10" s="438"/>
      <c r="O10" s="438"/>
      <c r="P10" s="438"/>
      <c r="Q10" s="438"/>
      <c r="R10" s="438"/>
      <c r="S10" s="438"/>
      <c r="T10" s="438"/>
      <c r="U10" s="438"/>
      <c r="V10" s="438"/>
      <c r="W10" s="438">
        <f>'qtrP&amp;L'!AI11</f>
        <v>830.04300000000001</v>
      </c>
      <c r="X10" s="438">
        <f>'qtrP&amp;L'!AI12</f>
        <v>700.97799999999995</v>
      </c>
      <c r="Y10" s="438">
        <f>'qtrP&amp;L'!AI13</f>
        <v>872.37399999999991</v>
      </c>
      <c r="Z10" s="438">
        <f>'qtrP&amp;L'!AI14</f>
        <v>1119.5189999999998</v>
      </c>
      <c r="AA10" s="438"/>
      <c r="AB10" s="438">
        <f>'qtrP&amp;L'!AM11</f>
        <v>894.678</v>
      </c>
      <c r="AC10" s="438">
        <f>'qtrP&amp;L'!AM12</f>
        <v>728.75</v>
      </c>
      <c r="AD10" s="438">
        <f>'qtrP&amp;L'!AM13</f>
        <v>858.18599999999992</v>
      </c>
      <c r="AE10" s="438">
        <f>'qtrP&amp;L'!AM14</f>
        <v>1187.9880000000003</v>
      </c>
      <c r="AF10" s="438"/>
      <c r="AG10" s="438">
        <f>'qtrP&amp;L'!AQ11</f>
        <v>929.08100000000002</v>
      </c>
      <c r="AH10" s="438">
        <f>'qtrP&amp;L'!AQ12</f>
        <v>793.34899999999993</v>
      </c>
      <c r="AI10" s="438">
        <f>'qtrP&amp;L'!AQ13</f>
        <v>898.66300000000001</v>
      </c>
      <c r="AJ10" s="438">
        <f>'qtrP&amp;L'!AQ14</f>
        <v>1233.0410000000002</v>
      </c>
      <c r="AK10" s="438"/>
      <c r="AL10" s="438">
        <f>'qtrP&amp;L'!AU11</f>
        <v>982.42179069000099</v>
      </c>
      <c r="AM10" s="438">
        <f>'qtrP&amp;L'!AU12</f>
        <v>864.18122197000105</v>
      </c>
      <c r="AN10" s="438">
        <f>'qtrP&amp;L'!AU13</f>
        <v>967.89383003000194</v>
      </c>
      <c r="AO10" s="438">
        <f>'qtrP&amp;L'!AU14</f>
        <v>1262.5373283800009</v>
      </c>
      <c r="AP10" s="421"/>
      <c r="AQ10" s="438">
        <f>'qtrP&amp;L'!AY11</f>
        <v>1065.013407760001</v>
      </c>
      <c r="AR10" s="438">
        <f>'qtrP&amp;L'!AY12</f>
        <v>963.57063096291608</v>
      </c>
      <c r="AS10" s="438">
        <f>'qtrP&amp;L'!AY13</f>
        <v>1064.502</v>
      </c>
      <c r="AT10" s="438">
        <f>'qtrP&amp;L'!AY14</f>
        <v>1334.277</v>
      </c>
      <c r="AU10" s="421"/>
      <c r="AV10" s="438">
        <f>'qtrP&amp;L'!BC11</f>
        <v>1128.269</v>
      </c>
      <c r="AW10" s="438">
        <f>'qtrP&amp;L'!BC12</f>
        <v>1043.5809999999999</v>
      </c>
      <c r="AX10" s="438">
        <f>'qtrP&amp;L'!BC13</f>
        <v>1157.2919999999999</v>
      </c>
      <c r="AY10" s="438">
        <f>'qtrP&amp;L'!BC14</f>
        <v>1485.3620000000001</v>
      </c>
      <c r="AZ10" s="421"/>
      <c r="BA10" s="438">
        <f>'qtrP&amp;L'!BG11</f>
        <v>1183.059</v>
      </c>
      <c r="BB10" s="438">
        <f>'qtrP&amp;L'!BG12</f>
        <v>1144.2180000000001</v>
      </c>
      <c r="BC10" s="438">
        <f>'qtrP&amp;L'!BG13</f>
        <v>1230.886</v>
      </c>
      <c r="BD10" s="1226">
        <f>'qtrP&amp;L'!BG14</f>
        <v>1540.769</v>
      </c>
      <c r="BE10" s="437">
        <f>'yrP&amp;L'!F8</f>
        <v>2859.96</v>
      </c>
      <c r="BF10" s="437">
        <f>'yrP&amp;L'!G8</f>
        <v>3199.84</v>
      </c>
      <c r="BG10" s="437">
        <f>'yrP&amp;L'!H8</f>
        <v>3470.5540000000001</v>
      </c>
      <c r="BH10" s="437">
        <f>'yrP&amp;L'!I8</f>
        <v>3441.645</v>
      </c>
      <c r="BI10" s="437">
        <f>'yrP&amp;L'!J8</f>
        <v>3423.973</v>
      </c>
      <c r="BJ10" s="437">
        <f>'yrP&amp;L'!K8</f>
        <v>3571.3670000000002</v>
      </c>
      <c r="BK10" s="438"/>
      <c r="BL10" s="439">
        <f>'yrP&amp;L'!L8</f>
        <v>3522.9139999999998</v>
      </c>
      <c r="BM10" s="438">
        <f>'yrP&amp;L'!M8</f>
        <v>3669.6019999999999</v>
      </c>
      <c r="BN10" s="438">
        <f>'yrP&amp;L'!N8</f>
        <v>3854.134</v>
      </c>
      <c r="BO10" s="438">
        <f>'yrP&amp;L'!P8</f>
        <v>4077.034171070005</v>
      </c>
      <c r="BP10" s="438">
        <f>'yrP&amp;L'!Q8</f>
        <v>4427.5029999999997</v>
      </c>
      <c r="BQ10" s="438">
        <f>'yrP&amp;L'!R8</f>
        <v>4814.5039999999999</v>
      </c>
      <c r="BR10" s="438">
        <f>'yrP&amp;L'!S8</f>
        <v>5098.9319999999998</v>
      </c>
      <c r="BS10" s="438">
        <f>'yrP&amp;L'!T8</f>
        <v>5566.0379999999996</v>
      </c>
      <c r="BT10" s="438">
        <f>'yrP&amp;L'!U8</f>
        <v>6084.7659999999996</v>
      </c>
      <c r="BU10" s="440">
        <f>'yrP&amp;L'!V8</f>
        <v>6587.3821933692661</v>
      </c>
      <c r="BV10" s="438"/>
    </row>
    <row r="11" spans="1:81">
      <c r="A11" s="434"/>
      <c r="B11" s="421"/>
      <c r="C11" s="421"/>
      <c r="D11" s="421"/>
      <c r="E11" s="421"/>
      <c r="F11" s="421"/>
      <c r="G11" s="421"/>
      <c r="H11" s="421"/>
      <c r="I11" s="421"/>
      <c r="J11" s="421"/>
      <c r="K11" s="421"/>
      <c r="L11" s="421"/>
      <c r="M11" s="421"/>
      <c r="N11" s="421"/>
      <c r="O11" s="421"/>
      <c r="P11" s="421"/>
      <c r="Q11" s="421"/>
      <c r="R11" s="421"/>
      <c r="S11" s="421"/>
      <c r="T11" s="421"/>
      <c r="U11" s="421"/>
      <c r="V11" s="421"/>
      <c r="W11" s="421"/>
      <c r="X11" s="421"/>
      <c r="Y11" s="421"/>
      <c r="Z11" s="421"/>
      <c r="AA11" s="421"/>
      <c r="AB11" s="421"/>
      <c r="AC11" s="421"/>
      <c r="AD11" s="421"/>
      <c r="AE11" s="421"/>
      <c r="AF11" s="421"/>
      <c r="AG11" s="421"/>
      <c r="AH11" s="421"/>
      <c r="AI11" s="421"/>
      <c r="AJ11" s="421"/>
      <c r="AK11" s="421"/>
      <c r="AL11" s="421"/>
      <c r="AM11" s="421"/>
      <c r="AN11" s="421"/>
      <c r="AO11" s="421"/>
      <c r="AP11" s="421"/>
      <c r="AQ11" s="421"/>
      <c r="AR11" s="421"/>
      <c r="AS11" s="421"/>
      <c r="AT11" s="421"/>
      <c r="AU11" s="421"/>
      <c r="AV11" s="421"/>
      <c r="AW11" s="421"/>
      <c r="AX11" s="421"/>
      <c r="AY11" s="421"/>
      <c r="AZ11" s="421"/>
      <c r="BA11" s="421"/>
      <c r="BB11" s="421"/>
      <c r="BC11" s="421"/>
      <c r="BD11" s="435"/>
      <c r="BE11" s="433"/>
      <c r="BF11" s="433"/>
      <c r="BG11" s="433"/>
      <c r="BH11" s="433"/>
      <c r="BI11" s="433"/>
      <c r="BJ11" s="433"/>
      <c r="BK11" s="421"/>
      <c r="BL11" s="441"/>
      <c r="BM11" s="421"/>
      <c r="BN11" s="421"/>
      <c r="BO11" s="421"/>
      <c r="BP11" s="421"/>
      <c r="BQ11" s="421"/>
      <c r="BR11" s="421"/>
      <c r="BS11" s="421"/>
      <c r="BT11" s="421"/>
      <c r="BU11" s="442"/>
      <c r="BV11" s="421"/>
    </row>
    <row r="12" spans="1:81">
      <c r="A12" s="1235" t="s">
        <v>187</v>
      </c>
      <c r="B12" s="421"/>
      <c r="C12" s="438"/>
      <c r="D12" s="438"/>
      <c r="E12" s="438"/>
      <c r="F12" s="438"/>
      <c r="G12" s="438"/>
      <c r="H12" s="438"/>
      <c r="I12" s="438"/>
      <c r="J12" s="438"/>
      <c r="K12" s="438"/>
      <c r="L12" s="438"/>
      <c r="M12" s="438"/>
      <c r="N12" s="438"/>
      <c r="O12" s="438"/>
      <c r="P12" s="438"/>
      <c r="Q12" s="438"/>
      <c r="R12" s="438"/>
      <c r="S12" s="438"/>
      <c r="T12" s="438"/>
      <c r="U12" s="438"/>
      <c r="V12" s="438"/>
      <c r="W12" s="438">
        <f>'qtrP&amp;L'!AI21</f>
        <v>554.21100000000001</v>
      </c>
      <c r="X12" s="438">
        <f>'qtrP&amp;L'!AI22</f>
        <v>424.24900000000002</v>
      </c>
      <c r="Y12" s="438">
        <f>'qtrP&amp;L'!AI23</f>
        <v>523.46500000000003</v>
      </c>
      <c r="Z12" s="438">
        <f>'qtrP&amp;L'!AI24</f>
        <v>679.7819999999997</v>
      </c>
      <c r="AA12" s="438"/>
      <c r="AB12" s="438">
        <f>'qtrP&amp;L'!AM21</f>
        <v>552.35299999999995</v>
      </c>
      <c r="AC12" s="438">
        <f>'qtrP&amp;L'!AM22</f>
        <v>469.38799999999998</v>
      </c>
      <c r="AD12" s="438">
        <f>'qtrP&amp;L'!AM23</f>
        <v>527.30100000000004</v>
      </c>
      <c r="AE12" s="438">
        <f>'qtrP&amp;L'!AM24</f>
        <v>703.30400000000009</v>
      </c>
      <c r="AF12" s="438"/>
      <c r="AG12" s="438">
        <f>'qtrP&amp;L'!AQ21</f>
        <v>577.303</v>
      </c>
      <c r="AH12" s="438">
        <f>'qtrP&amp;L'!AQ22</f>
        <v>507.053</v>
      </c>
      <c r="AI12" s="438">
        <f>'qtrP&amp;L'!AQ23</f>
        <v>540.80700000000002</v>
      </c>
      <c r="AJ12" s="438">
        <f>'qtrP&amp;L'!AQ24</f>
        <v>738.30099999999993</v>
      </c>
      <c r="AK12" s="438"/>
      <c r="AL12" s="438">
        <f>'qtrP&amp;L'!AU21</f>
        <v>619.88492152000094</v>
      </c>
      <c r="AM12" s="438">
        <f>'qtrP&amp;L'!AU22</f>
        <v>543.54917563000106</v>
      </c>
      <c r="AN12" s="438">
        <f>'qtrP&amp;L'!AU23</f>
        <v>594.37901896000199</v>
      </c>
      <c r="AO12" s="438">
        <f>'qtrP&amp;L'!AU24</f>
        <v>740.15963972000623</v>
      </c>
      <c r="AP12" s="421"/>
      <c r="AQ12" s="438">
        <f>'qtrP&amp;L'!AY21</f>
        <v>667.6529641300001</v>
      </c>
      <c r="AR12" s="438">
        <f>'qtrP&amp;L'!AY22</f>
        <v>598.52772144564096</v>
      </c>
      <c r="AS12" s="438">
        <f>'qtrP&amp;L'!AY23</f>
        <v>649.63699999999994</v>
      </c>
      <c r="AT12" s="438">
        <f>'qtrP&amp;L'!AY24</f>
        <v>778.34799999999996</v>
      </c>
      <c r="AU12" s="421"/>
      <c r="AV12" s="438">
        <f>'qtrP&amp;L'!BC21</f>
        <v>698.46100000000001</v>
      </c>
      <c r="AW12" s="438">
        <f>'qtrP&amp;L'!BC22</f>
        <v>645.02700000000004</v>
      </c>
      <c r="AX12" s="438">
        <f>'qtrP&amp;L'!BC23</f>
        <v>698.59</v>
      </c>
      <c r="AY12" s="438">
        <f>'qtrP&amp;L'!BC24</f>
        <v>858.74099999999999</v>
      </c>
      <c r="AZ12" s="421"/>
      <c r="BA12" s="438">
        <f>'qtrP&amp;L'!BG21</f>
        <v>712.93</v>
      </c>
      <c r="BB12" s="438">
        <f>'qtrP&amp;L'!BG22</f>
        <v>695.91499999999996</v>
      </c>
      <c r="BC12" s="438">
        <f>'qtrP&amp;L'!BG23</f>
        <v>739.76248599999997</v>
      </c>
      <c r="BD12" s="1226">
        <f>'qtrP&amp;L'!BG24</f>
        <v>887.48294400000009</v>
      </c>
      <c r="BE12" s="437">
        <f>'yrP&amp;L'!F11</f>
        <v>1765.4780000000001</v>
      </c>
      <c r="BF12" s="437">
        <f>'yrP&amp;L'!G11</f>
        <v>1987.1590000000001</v>
      </c>
      <c r="BG12" s="437">
        <f>'yrP&amp;L'!H11</f>
        <v>2183.2629999999999</v>
      </c>
      <c r="BH12" s="437">
        <f>'yrP&amp;L'!I11</f>
        <v>2125.16</v>
      </c>
      <c r="BI12" s="437">
        <f>'yrP&amp;L'!J11</f>
        <v>2095.364</v>
      </c>
      <c r="BJ12" s="437">
        <f>'yrP&amp;L'!K11</f>
        <v>2199.7660000000001</v>
      </c>
      <c r="BK12" s="438"/>
      <c r="BL12" s="439">
        <f>'yrP&amp;L'!L11</f>
        <v>2181.7069999999999</v>
      </c>
      <c r="BM12" s="438">
        <f>'yrP&amp;L'!M11</f>
        <v>2252.346</v>
      </c>
      <c r="BN12" s="438">
        <f>'yrP&amp;L'!N11</f>
        <v>2363.4639999999999</v>
      </c>
      <c r="BO12" s="438">
        <f>'yrP&amp;L'!P11</f>
        <v>2497.9727558300101</v>
      </c>
      <c r="BP12" s="438">
        <f>'yrP&amp;L'!Q11</f>
        <v>2695.9569999999999</v>
      </c>
      <c r="BQ12" s="438">
        <f>'yrP&amp;L'!R11</f>
        <v>2900.819</v>
      </c>
      <c r="BR12" s="438">
        <f>'yrP&amp;L'!S11</f>
        <v>3036.0904300000002</v>
      </c>
      <c r="BS12" s="438">
        <f>'yrP&amp;L'!T11</f>
        <v>3300.6605339999996</v>
      </c>
      <c r="BT12" s="438">
        <f>'yrP&amp;L'!U11</f>
        <v>3602.8507962600002</v>
      </c>
      <c r="BU12" s="440">
        <f>'yrP&amp;L'!V11</f>
        <v>3900.3889966939428</v>
      </c>
      <c r="BV12" s="438"/>
    </row>
    <row r="13" spans="1:81">
      <c r="A13" s="434"/>
      <c r="B13" s="421"/>
      <c r="C13" s="421"/>
      <c r="D13" s="421"/>
      <c r="E13" s="421"/>
      <c r="F13" s="421"/>
      <c r="G13" s="421"/>
      <c r="H13" s="421"/>
      <c r="I13" s="421"/>
      <c r="J13" s="421"/>
      <c r="K13" s="421"/>
      <c r="L13" s="421"/>
      <c r="M13" s="421"/>
      <c r="N13" s="421"/>
      <c r="O13" s="421"/>
      <c r="P13" s="421"/>
      <c r="Q13" s="421"/>
      <c r="R13" s="421"/>
      <c r="S13" s="421"/>
      <c r="T13" s="421"/>
      <c r="U13" s="421"/>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35"/>
      <c r="BE13" s="433"/>
      <c r="BF13" s="433"/>
      <c r="BG13" s="433"/>
      <c r="BH13" s="433"/>
      <c r="BI13" s="433"/>
      <c r="BJ13" s="433"/>
      <c r="BK13" s="421"/>
      <c r="BL13" s="441"/>
      <c r="BM13" s="421"/>
      <c r="BN13" s="421"/>
      <c r="BO13" s="421"/>
      <c r="BP13" s="421"/>
      <c r="BQ13" s="421"/>
      <c r="BR13" s="421"/>
      <c r="BS13" s="421"/>
      <c r="BT13" s="421"/>
      <c r="BU13" s="442"/>
      <c r="BV13" s="421"/>
    </row>
    <row r="14" spans="1:81">
      <c r="A14" s="434" t="s">
        <v>188</v>
      </c>
      <c r="B14" s="421"/>
      <c r="C14" s="438"/>
      <c r="D14" s="438"/>
      <c r="E14" s="438"/>
      <c r="F14" s="438"/>
      <c r="G14" s="438"/>
      <c r="H14" s="438"/>
      <c r="I14" s="438"/>
      <c r="J14" s="438"/>
      <c r="K14" s="438"/>
      <c r="L14" s="438"/>
      <c r="M14" s="438"/>
      <c r="N14" s="438"/>
      <c r="O14" s="438"/>
      <c r="P14" s="438"/>
      <c r="Q14" s="438"/>
      <c r="R14" s="438"/>
      <c r="S14" s="438"/>
      <c r="T14" s="438"/>
      <c r="U14" s="438"/>
      <c r="V14" s="438"/>
      <c r="W14" s="438">
        <f>W10-W12</f>
        <v>275.83199999999999</v>
      </c>
      <c r="X14" s="438">
        <f>X10-X12</f>
        <v>276.72899999999993</v>
      </c>
      <c r="Y14" s="438">
        <f>Y10-Y12</f>
        <v>348.90899999999988</v>
      </c>
      <c r="Z14" s="438">
        <f>Z10-Z12</f>
        <v>439.73700000000008</v>
      </c>
      <c r="AA14" s="438"/>
      <c r="AB14" s="438">
        <f>AB10-AB12</f>
        <v>342.32500000000005</v>
      </c>
      <c r="AC14" s="438">
        <f>AC10-AC12</f>
        <v>259.36200000000002</v>
      </c>
      <c r="AD14" s="438">
        <f>AD10-AD12</f>
        <v>330.88499999999988</v>
      </c>
      <c r="AE14" s="438">
        <f>AE10-AE12</f>
        <v>484.6840000000002</v>
      </c>
      <c r="AF14" s="438"/>
      <c r="AG14" s="438">
        <f>AG10-AG12</f>
        <v>351.77800000000002</v>
      </c>
      <c r="AH14" s="438">
        <f>AH10-AH12</f>
        <v>286.29599999999994</v>
      </c>
      <c r="AI14" s="438">
        <f>AI10-AI12</f>
        <v>357.85599999999999</v>
      </c>
      <c r="AJ14" s="438">
        <f>AJ10-AJ12</f>
        <v>494.74000000000024</v>
      </c>
      <c r="AK14" s="438"/>
      <c r="AL14" s="438">
        <f>AL10-AL12</f>
        <v>362.53686917000005</v>
      </c>
      <c r="AM14" s="438">
        <f>AM10-AM12</f>
        <v>320.63204633999999</v>
      </c>
      <c r="AN14" s="438">
        <f>AN10-AN12</f>
        <v>373.51481106999995</v>
      </c>
      <c r="AO14" s="438">
        <f>AO10-AO12</f>
        <v>522.37768865999465</v>
      </c>
      <c r="AP14" s="421"/>
      <c r="AQ14" s="438">
        <f>AQ10-AQ12</f>
        <v>397.36044363000087</v>
      </c>
      <c r="AR14" s="438">
        <f>AR10-AR12</f>
        <v>365.04290951727512</v>
      </c>
      <c r="AS14" s="438">
        <f>AS10-AS12</f>
        <v>414.86500000000001</v>
      </c>
      <c r="AT14" s="438">
        <f>AT10-AT12</f>
        <v>555.92900000000009</v>
      </c>
      <c r="AU14" s="421"/>
      <c r="AV14" s="438">
        <f>AV10-AV12</f>
        <v>429.80799999999999</v>
      </c>
      <c r="AW14" s="438">
        <f>AW10-AW12</f>
        <v>398.55399999999986</v>
      </c>
      <c r="AX14" s="438">
        <f>AX10-AX12</f>
        <v>458.70199999999988</v>
      </c>
      <c r="AY14" s="438">
        <f>AY10-AY12</f>
        <v>626.62100000000009</v>
      </c>
      <c r="AZ14" s="421"/>
      <c r="BA14" s="438">
        <f t="shared" ref="BA14:BJ14" si="0">BA10-BA12</f>
        <v>470.12900000000002</v>
      </c>
      <c r="BB14" s="438">
        <f t="shared" si="0"/>
        <v>448.30300000000011</v>
      </c>
      <c r="BC14" s="438">
        <f t="shared" si="0"/>
        <v>491.123514</v>
      </c>
      <c r="BD14" s="1226">
        <f t="shared" si="0"/>
        <v>653.28605599999992</v>
      </c>
      <c r="BE14" s="437">
        <f t="shared" si="0"/>
        <v>1094.482</v>
      </c>
      <c r="BF14" s="437">
        <f t="shared" si="0"/>
        <v>1212.681</v>
      </c>
      <c r="BG14" s="437">
        <f t="shared" si="0"/>
        <v>1287.2910000000002</v>
      </c>
      <c r="BH14" s="437">
        <f t="shared" si="0"/>
        <v>1316.4850000000001</v>
      </c>
      <c r="BI14" s="437">
        <f t="shared" si="0"/>
        <v>1328.6089999999999</v>
      </c>
      <c r="BJ14" s="437">
        <f t="shared" si="0"/>
        <v>1371.6010000000001</v>
      </c>
      <c r="BK14" s="438"/>
      <c r="BL14" s="439">
        <f>BL10-BL12</f>
        <v>1341.2069999999999</v>
      </c>
      <c r="BM14" s="438">
        <f>BM10-BM12</f>
        <v>1417.2559999999999</v>
      </c>
      <c r="BN14" s="438">
        <f>BN10-BN12</f>
        <v>1490.67</v>
      </c>
      <c r="BO14" s="438">
        <f>BO10-BO12</f>
        <v>1579.0614152399949</v>
      </c>
      <c r="BP14" s="438">
        <f t="shared" ref="BP14:BU14" si="1">BP10-BP12</f>
        <v>1731.5459999999998</v>
      </c>
      <c r="BQ14" s="438">
        <f t="shared" si="1"/>
        <v>1913.6849999999999</v>
      </c>
      <c r="BR14" s="438">
        <f t="shared" si="1"/>
        <v>2062.8415699999996</v>
      </c>
      <c r="BS14" s="438">
        <f t="shared" si="1"/>
        <v>2265.3774659999999</v>
      </c>
      <c r="BT14" s="438">
        <f t="shared" si="1"/>
        <v>2481.9152037399995</v>
      </c>
      <c r="BU14" s="440">
        <f t="shared" si="1"/>
        <v>2686.9931966753234</v>
      </c>
      <c r="BV14" s="438"/>
    </row>
    <row r="15" spans="1:81">
      <c r="A15" s="434" t="s">
        <v>189</v>
      </c>
      <c r="B15" s="421"/>
      <c r="C15" s="445"/>
      <c r="D15" s="445"/>
      <c r="E15" s="445"/>
      <c r="F15" s="445"/>
      <c r="G15" s="445"/>
      <c r="H15" s="445"/>
      <c r="I15" s="445"/>
      <c r="J15" s="445"/>
      <c r="K15" s="445"/>
      <c r="L15" s="445"/>
      <c r="M15" s="445"/>
      <c r="N15" s="445"/>
      <c r="O15" s="445"/>
      <c r="P15" s="445"/>
      <c r="Q15" s="445"/>
      <c r="R15" s="445"/>
      <c r="S15" s="445"/>
      <c r="T15" s="445"/>
      <c r="U15" s="445"/>
      <c r="V15" s="445"/>
      <c r="W15" s="445">
        <f>'qtrP&amp;L'!AI31</f>
        <v>262.108</v>
      </c>
      <c r="X15" s="445">
        <f>'qtrP&amp;L'!AI32</f>
        <v>266.541</v>
      </c>
      <c r="Y15" s="445">
        <f>'qtrP&amp;L'!AI33</f>
        <v>281.56900000000002</v>
      </c>
      <c r="Z15" s="445">
        <f>'qtrP&amp;L'!AI34</f>
        <v>303.74199999999996</v>
      </c>
      <c r="AA15" s="445"/>
      <c r="AB15" s="445">
        <f>'qtrP&amp;L'!AM31</f>
        <v>278.52800000000002</v>
      </c>
      <c r="AC15" s="445">
        <f>'qtrP&amp;L'!AM32</f>
        <v>271.779</v>
      </c>
      <c r="AD15" s="445">
        <f>'qtrP&amp;L'!AM33</f>
        <v>285.61799999999999</v>
      </c>
      <c r="AE15" s="445">
        <f>'qtrP&amp;L'!AM34</f>
        <v>315.5590000000002</v>
      </c>
      <c r="AF15" s="445"/>
      <c r="AG15" s="445">
        <f>'qtrP&amp;L'!AQ31</f>
        <v>288.82799999999997</v>
      </c>
      <c r="AH15" s="445">
        <f>'qtrP&amp;L'!AQ32</f>
        <v>276.70499999999998</v>
      </c>
      <c r="AI15" s="445">
        <f>'qtrP&amp;L'!AQ33</f>
        <v>317.13400000000001</v>
      </c>
      <c r="AJ15" s="445">
        <f>'qtrP&amp;L'!AQ34</f>
        <v>336.26</v>
      </c>
      <c r="AK15" s="445"/>
      <c r="AL15" s="445">
        <f>'qtrP&amp;L'!AU31</f>
        <v>307.61028961</v>
      </c>
      <c r="AM15" s="445">
        <f>'qtrP&amp;L'!AU32</f>
        <v>302.37329693999999</v>
      </c>
      <c r="AN15" s="445">
        <f>'qtrP&amp;L'!AU33</f>
        <v>334.60977902000002</v>
      </c>
      <c r="AO15" s="445">
        <f>'qtrP&amp;L'!AU34</f>
        <v>344.58080431300016</v>
      </c>
      <c r="AP15" s="421"/>
      <c r="AQ15" s="445">
        <f>'qtrP&amp;L'!AY31</f>
        <v>328.22728481000001</v>
      </c>
      <c r="AR15" s="445">
        <f>'qtrP&amp;L'!AY32</f>
        <v>330.83467360942802</v>
      </c>
      <c r="AS15" s="445">
        <f>'qtrP&amp;L'!AY33</f>
        <v>362.44900000000001</v>
      </c>
      <c r="AT15" s="445">
        <f>'qtrP&amp;L'!AY34</f>
        <v>374.178</v>
      </c>
      <c r="AU15" s="421"/>
      <c r="AV15" s="445">
        <f>'qtrP&amp;L'!BC31</f>
        <v>347.02100000000002</v>
      </c>
      <c r="AW15" s="445">
        <f>'qtrP&amp;L'!BC32</f>
        <v>350.02600000000001</v>
      </c>
      <c r="AX15" s="445">
        <f>'qtrP&amp;L'!BC33</f>
        <v>396.71300000000002</v>
      </c>
      <c r="AY15" s="445">
        <f>'qtrP&amp;L'!BC34</f>
        <v>417.88800000000003</v>
      </c>
      <c r="AZ15" s="421"/>
      <c r="BA15" s="445">
        <f>'qtrP&amp;L'!BG31</f>
        <v>377.67899999999997</v>
      </c>
      <c r="BB15" s="445">
        <f>'qtrP&amp;L'!BG32</f>
        <v>381.60599999999999</v>
      </c>
      <c r="BC15" s="445">
        <f>'qtrP&amp;L'!BG33</f>
        <v>423.42478399999999</v>
      </c>
      <c r="BD15" s="473">
        <f>'qtrP&amp;L'!BG34</f>
        <v>436.65393460000001</v>
      </c>
      <c r="BE15" s="444">
        <f>'yrP&amp;L'!F14</f>
        <v>900.05899999999997</v>
      </c>
      <c r="BF15" s="444">
        <f>'yrP&amp;L'!G14</f>
        <v>957.75900000000001</v>
      </c>
      <c r="BG15" s="444">
        <f>'yrP&amp;L'!H14</f>
        <v>1051.922</v>
      </c>
      <c r="BH15" s="444">
        <f>'yrP&amp;L'!I14</f>
        <v>1062.4680000000001</v>
      </c>
      <c r="BI15" s="444">
        <f>'yrP&amp;L'!J14</f>
        <v>1090.829</v>
      </c>
      <c r="BJ15" s="444">
        <f>'yrP&amp;L'!K14</f>
        <v>1115.248</v>
      </c>
      <c r="BK15" s="445"/>
      <c r="BL15" s="446">
        <f>'yrP&amp;L'!L14</f>
        <v>1113.96</v>
      </c>
      <c r="BM15" s="445">
        <f>'yrP&amp;L'!M14</f>
        <v>1151.4840000000002</v>
      </c>
      <c r="BN15" s="445">
        <f>'yrP&amp;L'!N14</f>
        <v>1218.9269999999999</v>
      </c>
      <c r="BO15" s="445">
        <f>'yrP&amp;L'!P14</f>
        <v>1289.1741698830001</v>
      </c>
      <c r="BP15" s="445">
        <f>'yrP&amp;L'!Q14</f>
        <v>1391.788</v>
      </c>
      <c r="BQ15" s="445">
        <f>'yrP&amp;L'!R14</f>
        <v>1511.6480000000001</v>
      </c>
      <c r="BR15" s="445">
        <f>'yrP&amp;L'!S14</f>
        <v>1619.3637185999999</v>
      </c>
      <c r="BS15" s="445">
        <f>'yrP&amp;L'!T14</f>
        <v>1784.4717827999998</v>
      </c>
      <c r="BT15" s="445">
        <f>'yrP&amp;L'!U14</f>
        <v>1950.1675029999999</v>
      </c>
      <c r="BU15" s="447">
        <f>'yrP&amp;L'!V14</f>
        <v>2105.9860872201543</v>
      </c>
      <c r="BV15" s="445"/>
    </row>
    <row r="16" spans="1:81">
      <c r="A16" s="434" t="s">
        <v>380</v>
      </c>
      <c r="B16" s="421"/>
      <c r="C16" s="421"/>
      <c r="D16" s="421"/>
      <c r="E16" s="421"/>
      <c r="F16" s="421"/>
      <c r="G16" s="421"/>
      <c r="H16" s="421"/>
      <c r="I16" s="421"/>
      <c r="J16" s="421"/>
      <c r="K16" s="421"/>
      <c r="L16" s="421"/>
      <c r="M16" s="421"/>
      <c r="N16" s="421"/>
      <c r="O16" s="421"/>
      <c r="P16" s="421"/>
      <c r="Q16" s="421"/>
      <c r="R16" s="421"/>
      <c r="S16" s="421"/>
      <c r="T16" s="421"/>
      <c r="U16" s="421"/>
      <c r="V16" s="421"/>
      <c r="W16" s="445">
        <f>'qtrP&amp;L'!AI$53</f>
        <v>-9.9809999999999999</v>
      </c>
      <c r="X16" s="445">
        <f>'qtrP&amp;L'!AI$54</f>
        <v>-15.991</v>
      </c>
      <c r="Y16" s="445">
        <f>'qtrP&amp;L'!AI$55</f>
        <v>-10.545999999999999</v>
      </c>
      <c r="Z16" s="445">
        <f>'qtrP&amp;L'!AI$56</f>
        <v>-10.957000000000001</v>
      </c>
      <c r="AA16" s="445"/>
      <c r="AB16" s="445">
        <f>'qtrP&amp;L'!AM$53</f>
        <v>-10.246</v>
      </c>
      <c r="AC16" s="445">
        <f>'qtrP&amp;L'!AM$54</f>
        <v>-10.273</v>
      </c>
      <c r="AD16" s="445">
        <f>'qtrP&amp;L'!AM$55</f>
        <v>-11.44</v>
      </c>
      <c r="AE16" s="445">
        <f>'qtrP&amp;L'!AM$56</f>
        <v>-10.874000000000002</v>
      </c>
      <c r="AF16" s="445"/>
      <c r="AG16" s="445">
        <f>'qtrP&amp;L'!AQ$53</f>
        <v>-10.059000000000001</v>
      </c>
      <c r="AH16" s="445">
        <f>'qtrP&amp;L'!AQ$54</f>
        <v>-9.4059999999999988</v>
      </c>
      <c r="AI16" s="445">
        <f>'qtrP&amp;L'!AQ$55</f>
        <v>-10.037000000000001</v>
      </c>
      <c r="AJ16" s="445">
        <f>'qtrP&amp;L'!AQ$56</f>
        <v>-13.836999999999996</v>
      </c>
      <c r="AK16" s="445"/>
      <c r="AL16" s="445">
        <f>'qtrP&amp;L'!AU$53</f>
        <v>-9.8000000000000007</v>
      </c>
      <c r="AM16" s="445">
        <f>'qtrP&amp;L'!AU$54</f>
        <v>-9.6999999999999993</v>
      </c>
      <c r="AN16" s="445">
        <f>'qtrP&amp;L'!AU$55</f>
        <v>-9.8000000000000007</v>
      </c>
      <c r="AO16" s="445">
        <f>'qtrP&amp;L'!AU$56</f>
        <v>-12.3</v>
      </c>
      <c r="AP16" s="421"/>
      <c r="AQ16" s="445">
        <f>'qtrP&amp;L'!AY$53</f>
        <v>-10.5</v>
      </c>
      <c r="AR16" s="445">
        <f>'qtrP&amp;L'!AY$54</f>
        <v>-9.6999999999999993</v>
      </c>
      <c r="AS16" s="445">
        <f>'qtrP&amp;L'!AY$55</f>
        <v>-10.055999999999999</v>
      </c>
      <c r="AT16" s="445">
        <f>'qtrP&amp;L'!AY$56</f>
        <v>-13.016999999999999</v>
      </c>
      <c r="AU16" s="421"/>
      <c r="AV16" s="445">
        <f>'qtrP&amp;L'!BC$53</f>
        <v>-9.4849999999999994</v>
      </c>
      <c r="AW16" s="445">
        <f>'qtrP&amp;L'!BC$54</f>
        <v>-9.5129999999999999</v>
      </c>
      <c r="AX16" s="445">
        <f>'qtrP&amp;L'!BC$55</f>
        <v>-10.521000000000001</v>
      </c>
      <c r="AY16" s="445">
        <f>'qtrP&amp;L'!BC$56</f>
        <v>-16.364000000000001</v>
      </c>
      <c r="AZ16" s="421"/>
      <c r="BA16" s="445">
        <f>'qtrP&amp;L'!BG$53</f>
        <v>-8.9320000000000004</v>
      </c>
      <c r="BB16" s="445">
        <f>'qtrP&amp;L'!BG$54</f>
        <v>-8.7439999999999998</v>
      </c>
      <c r="BC16" s="445">
        <f>'qtrP&amp;L'!BG$55</f>
        <v>-10.5</v>
      </c>
      <c r="BD16" s="473">
        <f>'qtrP&amp;L'!BG$56</f>
        <v>-13</v>
      </c>
      <c r="BE16" s="444">
        <f>'yrP&amp;L'!F20</f>
        <v>-10.335000000000001</v>
      </c>
      <c r="BF16" s="444">
        <f>'yrP&amp;L'!G20</f>
        <v>-14.619</v>
      </c>
      <c r="BG16" s="444">
        <f>'yrP&amp;L'!H20</f>
        <v>-8.4480000000000004</v>
      </c>
      <c r="BH16" s="444">
        <f>'yrP&amp;L'!I20</f>
        <v>-6.18</v>
      </c>
      <c r="BI16" s="444">
        <f>'yrP&amp;L'!J20</f>
        <v>-12.861000000000001</v>
      </c>
      <c r="BJ16" s="444">
        <f>'yrP&amp;L'!K20</f>
        <v>-5.9980000000000002</v>
      </c>
      <c r="BK16" s="445"/>
      <c r="BL16" s="446">
        <f>'yrP&amp;L'!L20</f>
        <v>-47.475000000000001</v>
      </c>
      <c r="BM16" s="445">
        <f>'yrP&amp;L'!M20</f>
        <v>-42.832999999999998</v>
      </c>
      <c r="BN16" s="445">
        <f>'yrP&amp;L'!N20</f>
        <v>-43.338999999999999</v>
      </c>
      <c r="BO16" s="445">
        <f>'yrP&amp;L'!P20</f>
        <v>-41.6</v>
      </c>
      <c r="BP16" s="445">
        <f>'yrP&amp;L'!Q20</f>
        <v>-43.423000000000002</v>
      </c>
      <c r="BQ16" s="445">
        <f>'yrP&amp;L'!R20</f>
        <v>-45.882999999999996</v>
      </c>
      <c r="BR16" s="445">
        <f>'yrP&amp;L'!S20</f>
        <v>-41.176000000000002</v>
      </c>
      <c r="BS16" s="445">
        <f>'yrP&amp;L'!T20</f>
        <v>-44.948075535818091</v>
      </c>
      <c r="BT16" s="445">
        <f>'yrP&amp;L'!U20</f>
        <v>-49.137020226196391</v>
      </c>
      <c r="BU16" s="447">
        <f>'yrP&amp;L'!V20</f>
        <v>-53.195855366216485</v>
      </c>
      <c r="BV16" s="445"/>
    </row>
    <row r="17" spans="1:252">
      <c r="A17" s="434" t="s">
        <v>190</v>
      </c>
      <c r="B17" s="421"/>
      <c r="C17" s="445"/>
      <c r="D17" s="445"/>
      <c r="E17" s="445"/>
      <c r="F17" s="445"/>
      <c r="G17" s="445"/>
      <c r="H17" s="445"/>
      <c r="I17" s="445"/>
      <c r="J17" s="445"/>
      <c r="K17" s="445"/>
      <c r="L17" s="445"/>
      <c r="M17" s="445"/>
      <c r="N17" s="445"/>
      <c r="O17" s="445"/>
      <c r="P17" s="445"/>
      <c r="Q17" s="445"/>
      <c r="R17" s="445"/>
      <c r="S17" s="445"/>
      <c r="T17" s="445"/>
      <c r="U17" s="445"/>
      <c r="V17" s="445"/>
      <c r="W17" s="445">
        <f>'qtrP&amp;L'!AI73</f>
        <v>39.679000000000002</v>
      </c>
      <c r="X17" s="445">
        <f>'qtrP&amp;L'!AI74</f>
        <v>37.665999999999997</v>
      </c>
      <c r="Y17" s="445">
        <f>'qtrP&amp;L'!AI75</f>
        <v>36.21</v>
      </c>
      <c r="Z17" s="445">
        <f>'qtrP&amp;L'!AI76</f>
        <v>42.832999999999998</v>
      </c>
      <c r="AA17" s="445"/>
      <c r="AB17" s="445">
        <f>'qtrP&amp;L'!AM73</f>
        <v>36.728999999999999</v>
      </c>
      <c r="AC17" s="445">
        <f>'qtrP&amp;L'!AM74</f>
        <v>35.506</v>
      </c>
      <c r="AD17" s="445">
        <f>'qtrP&amp;L'!AM75</f>
        <v>36.96</v>
      </c>
      <c r="AE17" s="445">
        <f>'qtrP&amp;L'!AM76</f>
        <v>37.563999999999993</v>
      </c>
      <c r="AF17" s="445"/>
      <c r="AG17" s="445">
        <f>'qtrP&amp;L'!AQ73</f>
        <v>36.619999999999997</v>
      </c>
      <c r="AH17" s="445">
        <f>'qtrP&amp;L'!AQ74</f>
        <v>37.366999999999997</v>
      </c>
      <c r="AI17" s="445">
        <f>'qtrP&amp;L'!AQ75</f>
        <v>39.188000000000002</v>
      </c>
      <c r="AJ17" s="445">
        <f>'qtrP&amp;L'!AQ76</f>
        <v>39.894999999999996</v>
      </c>
      <c r="AK17" s="445"/>
      <c r="AL17" s="445">
        <f>'qtrP&amp;L'!AU73</f>
        <v>39.937748829999997</v>
      </c>
      <c r="AM17" s="445">
        <f>'qtrP&amp;L'!AU74</f>
        <v>39.953803649999998</v>
      </c>
      <c r="AN17" s="445">
        <f>'qtrP&amp;L'!AU75</f>
        <v>40.865600929999999</v>
      </c>
      <c r="AO17" s="445">
        <f>'qtrP&amp;L'!AU76</f>
        <v>43.052031691999986</v>
      </c>
      <c r="AP17" s="421"/>
      <c r="AQ17" s="445">
        <f>'qtrP&amp;L'!AY73</f>
        <v>43.94290831</v>
      </c>
      <c r="AR17" s="445">
        <f>'qtrP&amp;L'!AY74</f>
        <v>40.700461669999996</v>
      </c>
      <c r="AS17" s="445">
        <f>'qtrP&amp;L'!AY75</f>
        <v>41.070999999999998</v>
      </c>
      <c r="AT17" s="445">
        <f>'qtrP&amp;L'!AY76</f>
        <v>41.884</v>
      </c>
      <c r="AU17" s="421"/>
      <c r="AV17" s="445">
        <f>'qtrP&amp;L'!BC73</f>
        <v>41.207999999999998</v>
      </c>
      <c r="AW17" s="445">
        <f>'qtrP&amp;L'!BC74</f>
        <v>40.548999999999999</v>
      </c>
      <c r="AX17" s="445">
        <f>'qtrP&amp;L'!BC75</f>
        <v>42.584000000000003</v>
      </c>
      <c r="AY17" s="445">
        <f>'qtrP&amp;L'!BC76</f>
        <v>43.238999999999997</v>
      </c>
      <c r="AZ17" s="421"/>
      <c r="BA17" s="445">
        <f>'qtrP&amp;L'!BG73</f>
        <v>42.155000000000001</v>
      </c>
      <c r="BB17" s="445">
        <f>'qtrP&amp;L'!BG74</f>
        <v>41.746000000000002</v>
      </c>
      <c r="BC17" s="445">
        <f>'qtrP&amp;L'!BG75</f>
        <v>38</v>
      </c>
      <c r="BD17" s="473">
        <f>'qtrP&amp;L'!BG76</f>
        <v>37</v>
      </c>
      <c r="BE17" s="444">
        <f>'yrP&amp;L'!F26</f>
        <v>83.915000000000006</v>
      </c>
      <c r="BF17" s="444">
        <f>'yrP&amp;L'!G26</f>
        <v>89.093000000000004</v>
      </c>
      <c r="BG17" s="444">
        <f>'yrP&amp;L'!H26</f>
        <v>107.15299999999999</v>
      </c>
      <c r="BH17" s="444">
        <f>'yrP&amp;L'!I26</f>
        <v>174.08699999999999</v>
      </c>
      <c r="BI17" s="444">
        <f>'yrP&amp;L'!J26</f>
        <v>166.666</v>
      </c>
      <c r="BJ17" s="444">
        <f>'yrP&amp;L'!K26</f>
        <v>159.607</v>
      </c>
      <c r="BK17" s="445"/>
      <c r="BL17" s="446">
        <f>'yrP&amp;L'!L26</f>
        <v>156.38800000000001</v>
      </c>
      <c r="BM17" s="445">
        <f>'yrP&amp;L'!M26</f>
        <v>146.75899999999999</v>
      </c>
      <c r="BN17" s="445">
        <f>'yrP&amp;L'!N26</f>
        <v>153.07</v>
      </c>
      <c r="BO17" s="445">
        <f>'yrP&amp;L'!P26</f>
        <v>163.80918510199999</v>
      </c>
      <c r="BP17" s="445">
        <f>'yrP&amp;L'!Q26</f>
        <v>168.19499999999999</v>
      </c>
      <c r="BQ17" s="445">
        <f>'yrP&amp;L'!R26</f>
        <v>167.58</v>
      </c>
      <c r="BR17" s="445">
        <f>'yrP&amp;L'!S26</f>
        <v>158.90100000000001</v>
      </c>
      <c r="BS17" s="445">
        <f>'yrP&amp;L'!T26</f>
        <v>164.75472479999999</v>
      </c>
      <c r="BT17" s="445">
        <f>'yrP&amp;L'!U26</f>
        <v>179.50059699999997</v>
      </c>
      <c r="BU17" s="447">
        <f>'yrP&amp;L'!V26</f>
        <v>187.08165429168716</v>
      </c>
      <c r="BV17" s="445"/>
    </row>
    <row r="18" spans="1:252">
      <c r="A18" s="434" t="s">
        <v>838</v>
      </c>
      <c r="B18" s="421"/>
      <c r="C18" s="445"/>
      <c r="D18" s="445"/>
      <c r="E18" s="445"/>
      <c r="F18" s="445"/>
      <c r="G18" s="445"/>
      <c r="H18" s="445"/>
      <c r="I18" s="445"/>
      <c r="J18" s="445"/>
      <c r="K18" s="445"/>
      <c r="L18" s="445"/>
      <c r="M18" s="445"/>
      <c r="N18" s="445"/>
      <c r="O18" s="445"/>
      <c r="P18" s="445"/>
      <c r="Q18" s="445"/>
      <c r="R18" s="445"/>
      <c r="S18" s="445"/>
      <c r="T18" s="445"/>
      <c r="U18" s="445"/>
      <c r="V18" s="445"/>
      <c r="W18" s="445">
        <f>'qtrP&amp;L'!AI83</f>
        <v>29.658999999999999</v>
      </c>
      <c r="X18" s="445">
        <f>'qtrP&amp;L'!AI84</f>
        <v>0.123</v>
      </c>
      <c r="Y18" s="445">
        <f>'qtrP&amp;L'!AI85</f>
        <v>7.6270000000000007</v>
      </c>
      <c r="Z18" s="445">
        <f>'qtrP&amp;L'!AI86</f>
        <v>41.43399999999999</v>
      </c>
      <c r="AA18" s="445"/>
      <c r="AB18" s="445">
        <f>'qtrP&amp;L'!AM83</f>
        <v>1.1479999999999999</v>
      </c>
      <c r="AC18" s="445">
        <f>'qtrP&amp;L'!AM84</f>
        <v>1.2629999999999999</v>
      </c>
      <c r="AD18" s="445">
        <f>'qtrP&amp;L'!AM85</f>
        <v>0.252</v>
      </c>
      <c r="AE18" s="445">
        <f>'qtrP&amp;L'!AM86</f>
        <v>6.7459999999999996</v>
      </c>
      <c r="AF18" s="445"/>
      <c r="AG18" s="445">
        <f>'qtrP&amp;L'!AQ83</f>
        <v>37.773000000000003</v>
      </c>
      <c r="AH18" s="445">
        <f>'qtrP&amp;L'!AQ84</f>
        <v>5.2150000000000007</v>
      </c>
      <c r="AI18" s="445">
        <f>'qtrP&amp;L'!AQ85</f>
        <v>0.43099999999999999</v>
      </c>
      <c r="AJ18" s="445">
        <f>'qtrP&amp;L'!AQ86</f>
        <v>-0.10799999999999699</v>
      </c>
      <c r="AK18" s="445"/>
      <c r="AL18" s="445">
        <f>'qtrP&amp;L'!AU83</f>
        <v>1</v>
      </c>
      <c r="AM18" s="445">
        <f>'qtrP&amp;L'!AU84</f>
        <v>7.6999999999999993</v>
      </c>
      <c r="AN18" s="445">
        <f>'qtrP&amp;L'!AU85</f>
        <v>2.1</v>
      </c>
      <c r="AO18" s="445">
        <f>'qtrP&amp;L'!AU86</f>
        <v>11.4</v>
      </c>
      <c r="AP18" s="421"/>
      <c r="AQ18" s="445">
        <f>'qtrP&amp;L'!AY83</f>
        <v>10.1</v>
      </c>
      <c r="AR18" s="445">
        <f>'qtrP&amp;L'!AY84</f>
        <v>11.299999999999999</v>
      </c>
      <c r="AS18" s="445">
        <f>'qtrP&amp;L'!AY85</f>
        <v>13.217000000000001</v>
      </c>
      <c r="AT18" s="445">
        <f>'qtrP&amp;L'!AY86</f>
        <v>20.716999999999999</v>
      </c>
      <c r="AU18" s="421"/>
      <c r="AV18" s="445">
        <f>'qtrP&amp;L'!BC83</f>
        <v>4.952</v>
      </c>
      <c r="AW18" s="445">
        <f>'qtrP&amp;L'!BC84</f>
        <v>2.7089999999999996</v>
      </c>
      <c r="AX18" s="445">
        <f>'qtrP&amp;L'!BC85</f>
        <v>71.525000000000006</v>
      </c>
      <c r="AY18" s="445">
        <f>'qtrP&amp;L'!BC86</f>
        <v>3.093</v>
      </c>
      <c r="AZ18" s="421"/>
      <c r="BA18" s="445">
        <f>'qtrP&amp;L'!BG83</f>
        <v>3.0830000000000002</v>
      </c>
      <c r="BB18" s="445">
        <f>'qtrP&amp;L'!BG84</f>
        <v>0.46300000000000002</v>
      </c>
      <c r="BC18" s="445">
        <f>'qtrP&amp;L'!BG85</f>
        <v>3</v>
      </c>
      <c r="BD18" s="473">
        <f>'qtrP&amp;L'!BG86</f>
        <v>3</v>
      </c>
      <c r="BE18" s="444"/>
      <c r="BF18" s="444"/>
      <c r="BG18" s="444"/>
      <c r="BH18" s="444"/>
      <c r="BI18" s="444"/>
      <c r="BJ18" s="444"/>
      <c r="BK18" s="445"/>
      <c r="BL18" s="446">
        <f>'yrP&amp;L'!L29</f>
        <v>78.842999999999989</v>
      </c>
      <c r="BM18" s="445">
        <f>'yrP&amp;L'!M29</f>
        <v>9.4089999999999989</v>
      </c>
      <c r="BN18" s="445">
        <f>'yrP&amp;L'!N29</f>
        <v>43.311000000000007</v>
      </c>
      <c r="BO18" s="445">
        <f>'yrP&amp;L'!P29</f>
        <v>22.2</v>
      </c>
      <c r="BP18" s="445">
        <f>'yrP&amp;L'!Q29</f>
        <v>54.889000000000003</v>
      </c>
      <c r="BQ18" s="445">
        <f>'yrP&amp;L'!R29</f>
        <v>82.279000000000011</v>
      </c>
      <c r="BR18" s="445">
        <f>'yrP&amp;L'!S29</f>
        <v>9.5459999999999994</v>
      </c>
      <c r="BS18" s="445">
        <f>'yrP&amp;L'!T29</f>
        <v>0</v>
      </c>
      <c r="BT18" s="445">
        <f>'yrP&amp;L'!U29</f>
        <v>0</v>
      </c>
      <c r="BU18" s="447">
        <f>'yrP&amp;L'!V29</f>
        <v>0</v>
      </c>
      <c r="BV18" s="445"/>
    </row>
    <row r="19" spans="1:252">
      <c r="A19" s="1235" t="s">
        <v>191</v>
      </c>
      <c r="B19" s="421"/>
      <c r="C19" s="438"/>
      <c r="D19" s="438"/>
      <c r="E19" s="438"/>
      <c r="F19" s="438"/>
      <c r="G19" s="438"/>
      <c r="H19" s="438"/>
      <c r="I19" s="438"/>
      <c r="J19" s="438"/>
      <c r="K19" s="438"/>
      <c r="L19" s="438"/>
      <c r="M19" s="438"/>
      <c r="N19" s="438"/>
      <c r="O19" s="438"/>
      <c r="P19" s="438"/>
      <c r="Q19" s="438"/>
      <c r="R19" s="438"/>
      <c r="S19" s="438"/>
      <c r="T19" s="438"/>
      <c r="U19" s="438"/>
      <c r="V19" s="438"/>
      <c r="W19" s="438">
        <f>'qtrP&amp;L'!AI93</f>
        <v>-45.63300000000001</v>
      </c>
      <c r="X19" s="438">
        <f>'qtrP&amp;L'!AI94</f>
        <v>-11.610000000000065</v>
      </c>
      <c r="Y19" s="438">
        <f>'qtrP&amp;L'!AI95</f>
        <v>34.04899999999985</v>
      </c>
      <c r="Z19" s="438">
        <f>'qtrP&amp;L'!AI96</f>
        <v>62.685000000000095</v>
      </c>
      <c r="AA19" s="438"/>
      <c r="AB19" s="438">
        <f>'qtrP&amp;L'!AM93</f>
        <v>36.166000000000018</v>
      </c>
      <c r="AC19" s="438">
        <f>'qtrP&amp;L'!AM94</f>
        <v>-38.912999999999975</v>
      </c>
      <c r="AD19" s="438">
        <f>'qtrP&amp;L'!AM95</f>
        <v>19.49499999999988</v>
      </c>
      <c r="AE19" s="438">
        <f>'qtrP&amp;L'!AM96</f>
        <v>135.68899999999974</v>
      </c>
      <c r="AF19" s="438"/>
      <c r="AG19" s="438">
        <f>'qtrP&amp;L'!AQ93</f>
        <v>-1.3839999999999577</v>
      </c>
      <c r="AH19" s="438">
        <f>'qtrP&amp;L'!AQ94</f>
        <v>-23.585000000000047</v>
      </c>
      <c r="AI19" s="438">
        <f>'qtrP&amp;L'!AQ95</f>
        <v>11.139999999999977</v>
      </c>
      <c r="AJ19" s="438">
        <f>'qtrP&amp;L'!AQ96</f>
        <v>132.5300000000002</v>
      </c>
      <c r="AK19" s="438"/>
      <c r="AL19" s="438">
        <f>'qtrP&amp;L'!AU93</f>
        <v>23.788830730000051</v>
      </c>
      <c r="AM19" s="438">
        <f>'qtrP&amp;L'!AU94</f>
        <v>-19.695054249999998</v>
      </c>
      <c r="AN19" s="438">
        <f>'qtrP&amp;L'!AU95</f>
        <v>5.7394311199999297</v>
      </c>
      <c r="AO19" s="438">
        <f>'qtrP&amp;L'!AU96</f>
        <v>135.64485265499479</v>
      </c>
      <c r="AP19" s="421"/>
      <c r="AQ19" s="438">
        <f>'qtrP&amp;L'!AY93</f>
        <v>25.590250510000857</v>
      </c>
      <c r="AR19" s="438">
        <f>'qtrP&amp;L'!AY94</f>
        <v>-8.0922257621528946</v>
      </c>
      <c r="AS19" s="438">
        <f>'qtrP&amp;L'!AY95</f>
        <v>8.1839999999999957</v>
      </c>
      <c r="AT19" s="438">
        <f>'qtrP&amp;L'!AY96</f>
        <v>132.16700000000009</v>
      </c>
      <c r="AU19" s="421"/>
      <c r="AV19" s="438">
        <f>'qtrP&amp;L'!BC93</f>
        <v>46.111999999999981</v>
      </c>
      <c r="AW19" s="438">
        <f>'qtrP&amp;L'!BC94</f>
        <v>14.782999999999848</v>
      </c>
      <c r="AX19" s="438">
        <f>'qtrP&amp;L'!BC95</f>
        <v>-41.599000000000146</v>
      </c>
      <c r="AY19" s="438">
        <f>'qtrP&amp;L'!BC96</f>
        <v>178.76500000000007</v>
      </c>
      <c r="AZ19" s="421"/>
      <c r="BA19" s="438">
        <f>'qtrP&amp;L'!BG93</f>
        <v>56.144000000000048</v>
      </c>
      <c r="BB19" s="438">
        <f>'qtrP&amp;L'!BG94</f>
        <v>33.232000000000113</v>
      </c>
      <c r="BC19" s="438">
        <f>'qtrP&amp;L'!BG95</f>
        <v>37.198730000000012</v>
      </c>
      <c r="BD19" s="1226">
        <f>'qtrP&amp;L'!BG96</f>
        <v>189.63212139999956</v>
      </c>
      <c r="BE19" s="437">
        <f t="shared" ref="BE19:BJ19" si="2">BE14-BE15-BE17</f>
        <v>110.508</v>
      </c>
      <c r="BF19" s="437">
        <f t="shared" si="2"/>
        <v>165.82900000000001</v>
      </c>
      <c r="BG19" s="437">
        <f t="shared" si="2"/>
        <v>128.21600000000015</v>
      </c>
      <c r="BH19" s="437">
        <f t="shared" si="2"/>
        <v>79.930000000000064</v>
      </c>
      <c r="BI19" s="437">
        <f t="shared" si="2"/>
        <v>71.113999999999976</v>
      </c>
      <c r="BJ19" s="437">
        <f t="shared" si="2"/>
        <v>96.746000000000066</v>
      </c>
      <c r="BK19" s="438"/>
      <c r="BL19" s="439">
        <f>BL14-BL15-BL16-BL17-BL18</f>
        <v>39.490999999999872</v>
      </c>
      <c r="BM19" s="438">
        <f t="shared" ref="BM19:BU19" si="3">BM14-BM15-BM16-BM17-BM18</f>
        <v>152.4369999999997</v>
      </c>
      <c r="BN19" s="438">
        <f t="shared" si="3"/>
        <v>118.70100000000016</v>
      </c>
      <c r="BO19" s="438">
        <f t="shared" si="3"/>
        <v>145.4780602549948</v>
      </c>
      <c r="BP19" s="438">
        <f t="shared" si="3"/>
        <v>160.09699999999981</v>
      </c>
      <c r="BQ19" s="438">
        <f t="shared" si="3"/>
        <v>198.06099999999981</v>
      </c>
      <c r="BR19" s="438">
        <f>BR14-BR15-BR16-BR17-BR18</f>
        <v>316.20685139999972</v>
      </c>
      <c r="BS19" s="438">
        <f t="shared" si="3"/>
        <v>361.09903393581828</v>
      </c>
      <c r="BT19" s="438">
        <f t="shared" si="3"/>
        <v>401.38412396619594</v>
      </c>
      <c r="BU19" s="440">
        <f t="shared" si="3"/>
        <v>447.12131052969835</v>
      </c>
      <c r="BV19" s="438"/>
    </row>
    <row r="20" spans="1:252">
      <c r="A20" s="434"/>
      <c r="B20" s="421"/>
      <c r="C20" s="421"/>
      <c r="D20" s="421"/>
      <c r="E20" s="421"/>
      <c r="F20" s="421"/>
      <c r="G20" s="421"/>
      <c r="H20" s="421"/>
      <c r="I20" s="421"/>
      <c r="J20" s="421"/>
      <c r="K20" s="421"/>
      <c r="L20" s="421"/>
      <c r="M20" s="421"/>
      <c r="N20" s="421"/>
      <c r="O20" s="421"/>
      <c r="P20" s="421"/>
      <c r="Q20" s="421"/>
      <c r="R20" s="421"/>
      <c r="S20" s="421"/>
      <c r="T20" s="421"/>
      <c r="U20" s="421"/>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1236"/>
      <c r="AZ20" s="421"/>
      <c r="BA20" s="421"/>
      <c r="BB20" s="421"/>
      <c r="BC20" s="421"/>
      <c r="BD20" s="435"/>
      <c r="BE20" s="433"/>
      <c r="BF20" s="433"/>
      <c r="BG20" s="433"/>
      <c r="BH20" s="433"/>
      <c r="BI20" s="433"/>
      <c r="BJ20" s="433"/>
      <c r="BK20" s="421"/>
      <c r="BL20" s="448"/>
      <c r="BM20" s="421"/>
      <c r="BN20" s="421"/>
      <c r="BO20" s="421"/>
      <c r="BP20" s="421"/>
      <c r="BQ20" s="421"/>
      <c r="BR20" s="421"/>
      <c r="BS20" s="421"/>
      <c r="BT20" s="421"/>
      <c r="BU20" s="442"/>
      <c r="BV20" s="421"/>
    </row>
    <row r="21" spans="1:252">
      <c r="A21" s="434" t="s">
        <v>311</v>
      </c>
      <c r="B21" s="421"/>
      <c r="C21" s="445"/>
      <c r="D21" s="445"/>
      <c r="E21" s="445"/>
      <c r="F21" s="445"/>
      <c r="G21" s="445"/>
      <c r="H21" s="445"/>
      <c r="I21" s="445"/>
      <c r="J21" s="445"/>
      <c r="K21" s="445"/>
      <c r="L21" s="445"/>
      <c r="M21" s="445"/>
      <c r="N21" s="445"/>
      <c r="O21" s="445"/>
      <c r="P21" s="445"/>
      <c r="Q21" s="445"/>
      <c r="R21" s="445"/>
      <c r="S21" s="445"/>
      <c r="T21" s="445"/>
      <c r="U21" s="445"/>
      <c r="V21" s="445"/>
      <c r="W21" s="445">
        <f>'qtrP&amp;L'!AI$113</f>
        <v>20.917999999999999</v>
      </c>
      <c r="X21" s="445">
        <f>'qtrP&amp;L'!AI$114</f>
        <v>16.765999999999998</v>
      </c>
      <c r="Y21" s="445">
        <f>'qtrP&amp;L'!AI$115</f>
        <v>20.587</v>
      </c>
      <c r="Z21" s="445">
        <f>'qtrP&amp;L'!AI$116</f>
        <v>26.152000000000001</v>
      </c>
      <c r="AA21" s="445"/>
      <c r="AB21" s="445">
        <f>'qtrP&amp;L'!AM$113</f>
        <v>27.364999999999998</v>
      </c>
      <c r="AC21" s="445">
        <f>'qtrP&amp;L'!AM$114</f>
        <v>26.056999999999999</v>
      </c>
      <c r="AD21" s="445">
        <f>'qtrP&amp;L'!AM$115</f>
        <v>24.928000000000001</v>
      </c>
      <c r="AE21" s="445">
        <f>'qtrP&amp;L'!AM$116</f>
        <v>20.959000000000003</v>
      </c>
      <c r="AF21" s="445"/>
      <c r="AG21" s="445">
        <f>'qtrP&amp;L'!AQ$113</f>
        <v>30.853999999999999</v>
      </c>
      <c r="AH21" s="445">
        <f>'qtrP&amp;L'!AQ$114</f>
        <v>32.31</v>
      </c>
      <c r="AI21" s="445">
        <f>'qtrP&amp;L'!AQ$115</f>
        <v>34.811999999999998</v>
      </c>
      <c r="AJ21" s="445">
        <f>'qtrP&amp;L'!AQ$116</f>
        <v>31.14500000000001</v>
      </c>
      <c r="AK21" s="445"/>
      <c r="AL21" s="445">
        <f>'qtrP&amp;L'!AU$113</f>
        <v>29.457967570000005</v>
      </c>
      <c r="AM21" s="445">
        <f>'qtrP&amp;L'!AU$114</f>
        <v>27.634452080000003</v>
      </c>
      <c r="AN21" s="445">
        <f>'qtrP&amp;L'!AU$115</f>
        <v>27.3366984</v>
      </c>
      <c r="AO21" s="445">
        <f>'qtrP&amp;L'!AU$116</f>
        <v>27.257206503999996</v>
      </c>
      <c r="AP21" s="421"/>
      <c r="AQ21" s="445">
        <f>'qtrP&amp;L'!AY$113</f>
        <v>34.228103110000006</v>
      </c>
      <c r="AR21" s="445">
        <f>'qtrP&amp;L'!AY$114</f>
        <v>33.046364505555552</v>
      </c>
      <c r="AS21" s="445">
        <f>'qtrP&amp;L'!AY$115</f>
        <v>32.719000000000001</v>
      </c>
      <c r="AT21" s="445">
        <f>'qtrP&amp;L'!AY$116</f>
        <v>27.39</v>
      </c>
      <c r="AU21" s="421"/>
      <c r="AV21" s="445">
        <f>'qtrP&amp;L'!BC$113</f>
        <v>26.552</v>
      </c>
      <c r="AW21" s="445">
        <f>'qtrP&amp;L'!BC$114</f>
        <v>25.545999999999999</v>
      </c>
      <c r="AX21" s="445">
        <f>'qtrP&amp;L'!BC$115</f>
        <v>16.623999999999999</v>
      </c>
      <c r="AY21" s="445">
        <f>'qtrP&amp;L'!BC$116</f>
        <v>15.023</v>
      </c>
      <c r="AZ21" s="421"/>
      <c r="BA21" s="445">
        <f>'qtrP&amp;L'!BG$113</f>
        <v>14.803000000000001</v>
      </c>
      <c r="BB21" s="445">
        <f>'qtrP&amp;L'!BG$114</f>
        <v>14.598000000000001</v>
      </c>
      <c r="BC21" s="445">
        <f>'qtrP&amp;L'!BG$115</f>
        <v>15</v>
      </c>
      <c r="BD21" s="473">
        <f>'qtrP&amp;L'!BG$116</f>
        <v>17</v>
      </c>
      <c r="BE21" s="444">
        <f>'yrP&amp;L'!F35</f>
        <v>5.8630000000000004</v>
      </c>
      <c r="BF21" s="444">
        <f>'yrP&amp;L'!G35</f>
        <v>7.3339999999999996</v>
      </c>
      <c r="BG21" s="444">
        <f>'yrP&amp;L'!H35</f>
        <v>22.702000000000002</v>
      </c>
      <c r="BH21" s="444">
        <f>'yrP&amp;L'!I35</f>
        <v>134.31299999999999</v>
      </c>
      <c r="BI21" s="444">
        <f>'yrP&amp;L'!J35</f>
        <v>132.99299999999999</v>
      </c>
      <c r="BJ21" s="444">
        <f>'yrP&amp;L'!K35</f>
        <v>102.71599999999999</v>
      </c>
      <c r="BK21" s="445"/>
      <c r="BL21" s="446">
        <f>'yrP&amp;L'!L35</f>
        <v>84.423000000000002</v>
      </c>
      <c r="BM21" s="445">
        <f>'yrP&amp;L'!M35</f>
        <v>99.308999999999997</v>
      </c>
      <c r="BN21" s="445">
        <f>'yrP&amp;L'!N35</f>
        <v>129.12100000000001</v>
      </c>
      <c r="BO21" s="445">
        <f>'yrP&amp;L'!P35</f>
        <v>111.68632455400001</v>
      </c>
      <c r="BP21" s="445">
        <f>'yrP&amp;L'!Q35</f>
        <v>127.739</v>
      </c>
      <c r="BQ21" s="445">
        <f>'yrP&amp;L'!R35</f>
        <v>83.74499999999999</v>
      </c>
      <c r="BR21" s="445">
        <f>'yrP&amp;L'!S35</f>
        <v>61.401000000000003</v>
      </c>
      <c r="BS21" s="445">
        <f>'yrP&amp;L'!T35</f>
        <v>51.424647500000006</v>
      </c>
      <c r="BT21" s="445">
        <f>'yrP&amp;L'!U35</f>
        <v>46.843397500000009</v>
      </c>
      <c r="BU21" s="447">
        <f>'yrP&amp;L'!V35</f>
        <v>40.3840225</v>
      </c>
      <c r="BV21" s="445"/>
    </row>
    <row r="22" spans="1:252">
      <c r="A22" s="1235" t="s">
        <v>192</v>
      </c>
      <c r="B22" s="421"/>
      <c r="C22" s="438"/>
      <c r="D22" s="438"/>
      <c r="E22" s="438"/>
      <c r="F22" s="438"/>
      <c r="G22" s="438"/>
      <c r="H22" s="438"/>
      <c r="I22" s="438"/>
      <c r="J22" s="438"/>
      <c r="K22" s="438"/>
      <c r="L22" s="438"/>
      <c r="M22" s="438"/>
      <c r="N22" s="438"/>
      <c r="O22" s="438"/>
      <c r="P22" s="438"/>
      <c r="Q22" s="438"/>
      <c r="R22" s="438"/>
      <c r="S22" s="438"/>
      <c r="T22" s="438"/>
      <c r="U22" s="438"/>
      <c r="V22" s="438"/>
      <c r="W22" s="438">
        <f>W19-W21</f>
        <v>-66.551000000000016</v>
      </c>
      <c r="X22" s="438">
        <f>X19-X21</f>
        <v>-28.376000000000062</v>
      </c>
      <c r="Y22" s="438">
        <f>Y19-Y21</f>
        <v>13.461999999999851</v>
      </c>
      <c r="Z22" s="438">
        <f>Z19-Z21</f>
        <v>36.533000000000094</v>
      </c>
      <c r="AA22" s="438"/>
      <c r="AB22" s="438">
        <f>AB19-AB21</f>
        <v>8.8010000000000197</v>
      </c>
      <c r="AC22" s="438">
        <f>AC19-AC21</f>
        <v>-64.96999999999997</v>
      </c>
      <c r="AD22" s="438">
        <f>AD19-AD21</f>
        <v>-5.4330000000001206</v>
      </c>
      <c r="AE22" s="438">
        <f>AE19-AE21</f>
        <v>114.72999999999973</v>
      </c>
      <c r="AF22" s="438"/>
      <c r="AG22" s="438">
        <f>AG19-AG21</f>
        <v>-32.237999999999957</v>
      </c>
      <c r="AH22" s="438">
        <f>AH19-AH21</f>
        <v>-55.895000000000053</v>
      </c>
      <c r="AI22" s="438">
        <f>AI19-AI21</f>
        <v>-23.672000000000018</v>
      </c>
      <c r="AJ22" s="438">
        <f>AJ19-AJ21</f>
        <v>101.38500000000019</v>
      </c>
      <c r="AK22" s="438"/>
      <c r="AL22" s="438">
        <f>AL19-AL21</f>
        <v>-5.669136839999954</v>
      </c>
      <c r="AM22" s="438">
        <f>AM19-AM21</f>
        <v>-47.329506330000001</v>
      </c>
      <c r="AN22" s="438">
        <f>AN19-AN21</f>
        <v>-21.597267280000068</v>
      </c>
      <c r="AO22" s="438">
        <f>AO19-AO21</f>
        <v>108.3876461509948</v>
      </c>
      <c r="AP22" s="421"/>
      <c r="AQ22" s="438">
        <f>AQ19-AQ21</f>
        <v>-8.6378525999991496</v>
      </c>
      <c r="AR22" s="438">
        <f>AR19-AR21</f>
        <v>-41.138590267708445</v>
      </c>
      <c r="AS22" s="438">
        <f>AS19-AS21</f>
        <v>-24.535000000000004</v>
      </c>
      <c r="AT22" s="438">
        <f>AT19-AT21</f>
        <v>104.77700000000009</v>
      </c>
      <c r="AU22" s="421"/>
      <c r="AV22" s="438">
        <f>AV19-AV21</f>
        <v>19.559999999999981</v>
      </c>
      <c r="AW22" s="438">
        <f>AW19-AW21</f>
        <v>-10.763000000000151</v>
      </c>
      <c r="AX22" s="438">
        <f>AX19-AX21</f>
        <v>-58.223000000000141</v>
      </c>
      <c r="AY22" s="438">
        <f>AY19-AY21</f>
        <v>163.74200000000008</v>
      </c>
      <c r="AZ22" s="421"/>
      <c r="BA22" s="438">
        <f>BA19-BA21</f>
        <v>41.341000000000051</v>
      </c>
      <c r="BB22" s="438">
        <f>BB19-BB21</f>
        <v>18.634000000000114</v>
      </c>
      <c r="BC22" s="438">
        <f>BC19-BC21</f>
        <v>22.198730000000012</v>
      </c>
      <c r="BD22" s="1226">
        <f>BD19-BD21</f>
        <v>172.63212139999956</v>
      </c>
      <c r="BE22" s="437">
        <f t="shared" ref="BE22:BJ22" si="4">BE19-BE21-BE16</f>
        <v>114.97999999999999</v>
      </c>
      <c r="BF22" s="437">
        <f t="shared" si="4"/>
        <v>173.114</v>
      </c>
      <c r="BG22" s="437">
        <f t="shared" si="4"/>
        <v>113.96200000000016</v>
      </c>
      <c r="BH22" s="437">
        <f t="shared" si="4"/>
        <v>-48.202999999999925</v>
      </c>
      <c r="BI22" s="437">
        <f t="shared" si="4"/>
        <v>-49.018000000000015</v>
      </c>
      <c r="BJ22" s="437">
        <f t="shared" si="4"/>
        <v>2.8000000000072411E-2</v>
      </c>
      <c r="BK22" s="438"/>
      <c r="BL22" s="449">
        <f>BL19-BL21</f>
        <v>-44.93200000000013</v>
      </c>
      <c r="BM22" s="438">
        <f t="shared" ref="BM22:BU22" si="5">BM19-BM21</f>
        <v>53.127999999999702</v>
      </c>
      <c r="BN22" s="438">
        <f t="shared" si="5"/>
        <v>-10.419999999999845</v>
      </c>
      <c r="BO22" s="438">
        <f t="shared" si="5"/>
        <v>33.791735700994792</v>
      </c>
      <c r="BP22" s="438">
        <f t="shared" si="5"/>
        <v>32.357999999999805</v>
      </c>
      <c r="BQ22" s="438">
        <f t="shared" si="5"/>
        <v>114.31599999999982</v>
      </c>
      <c r="BR22" s="438">
        <f t="shared" si="5"/>
        <v>254.80585139999971</v>
      </c>
      <c r="BS22" s="438">
        <f t="shared" si="5"/>
        <v>309.67438643581829</v>
      </c>
      <c r="BT22" s="438">
        <f t="shared" si="5"/>
        <v>354.54072646619591</v>
      </c>
      <c r="BU22" s="440">
        <f t="shared" si="5"/>
        <v>406.73728802969833</v>
      </c>
      <c r="BV22" s="438"/>
    </row>
    <row r="23" spans="1:252">
      <c r="A23" s="434"/>
      <c r="B23" s="421"/>
      <c r="C23" s="421"/>
      <c r="D23" s="421"/>
      <c r="E23" s="421"/>
      <c r="F23" s="421"/>
      <c r="G23" s="421"/>
      <c r="H23" s="421"/>
      <c r="I23" s="421"/>
      <c r="J23" s="421"/>
      <c r="K23" s="421"/>
      <c r="L23" s="421"/>
      <c r="M23" s="421"/>
      <c r="N23" s="421"/>
      <c r="O23" s="421"/>
      <c r="P23" s="421"/>
      <c r="Q23" s="421"/>
      <c r="R23" s="421"/>
      <c r="S23" s="421"/>
      <c r="T23" s="421"/>
      <c r="U23" s="421"/>
      <c r="V23" s="421"/>
      <c r="W23" s="421"/>
      <c r="X23" s="421"/>
      <c r="Y23" s="421"/>
      <c r="Z23" s="421"/>
      <c r="AA23" s="421"/>
      <c r="AB23" s="421"/>
      <c r="AC23" s="421"/>
      <c r="AD23" s="421"/>
      <c r="AE23" s="421"/>
      <c r="AF23" s="421"/>
      <c r="AG23" s="421"/>
      <c r="AH23" s="421"/>
      <c r="AI23" s="421"/>
      <c r="AJ23" s="421"/>
      <c r="AK23" s="421"/>
      <c r="AL23" s="421"/>
      <c r="AM23" s="421"/>
      <c r="AN23" s="421"/>
      <c r="AO23" s="421"/>
      <c r="AP23" s="421"/>
      <c r="AQ23" s="421"/>
      <c r="AR23" s="421"/>
      <c r="AS23" s="421"/>
      <c r="AT23" s="421"/>
      <c r="AU23" s="421"/>
      <c r="AV23" s="421"/>
      <c r="AW23" s="421"/>
      <c r="AX23" s="421"/>
      <c r="AY23" s="421"/>
      <c r="AZ23" s="421"/>
      <c r="BA23" s="421"/>
      <c r="BB23" s="421"/>
      <c r="BC23" s="421"/>
      <c r="BD23" s="435"/>
      <c r="BE23" s="433"/>
      <c r="BF23" s="433"/>
      <c r="BG23" s="433"/>
      <c r="BH23" s="433"/>
      <c r="BI23" s="433"/>
      <c r="BJ23" s="433"/>
      <c r="BK23" s="421"/>
      <c r="BL23" s="450"/>
      <c r="BM23" s="421"/>
      <c r="BN23" s="421"/>
      <c r="BO23" s="421"/>
      <c r="BP23" s="421"/>
      <c r="BQ23" s="421"/>
      <c r="BR23" s="421"/>
      <c r="BS23" s="421"/>
      <c r="BT23" s="421"/>
      <c r="BU23" s="442"/>
      <c r="BV23" s="421"/>
    </row>
    <row r="24" spans="1:252">
      <c r="A24" s="434" t="s">
        <v>193</v>
      </c>
      <c r="B24" s="421"/>
      <c r="C24" s="445"/>
      <c r="D24" s="445"/>
      <c r="E24" s="445"/>
      <c r="F24" s="445"/>
      <c r="G24" s="445"/>
      <c r="H24" s="445"/>
      <c r="I24" s="445"/>
      <c r="J24" s="445"/>
      <c r="K24" s="445"/>
      <c r="L24" s="445"/>
      <c r="M24" s="445"/>
      <c r="N24" s="445"/>
      <c r="O24" s="445"/>
      <c r="P24" s="445"/>
      <c r="Q24" s="445"/>
      <c r="R24" s="445"/>
      <c r="S24" s="445"/>
      <c r="T24" s="445"/>
      <c r="U24" s="445"/>
      <c r="V24" s="445"/>
      <c r="W24" s="1237">
        <f>'qtrP&amp;L'!AI133</f>
        <v>-35.476999999999997</v>
      </c>
      <c r="X24" s="1237">
        <f>'qtrP&amp;L'!AI134</f>
        <v>-15.856</v>
      </c>
      <c r="Y24" s="1237">
        <f>'qtrP&amp;L'!AI135</f>
        <v>5.9509999999999996</v>
      </c>
      <c r="Z24" s="1237">
        <f>'qtrP&amp;L'!AI136</f>
        <v>15.628999999999998</v>
      </c>
      <c r="AA24" s="445"/>
      <c r="AB24" s="1237">
        <f>'qtrP&amp;L'!AM133</f>
        <v>3.5880000000000001</v>
      </c>
      <c r="AC24" s="1237">
        <f>'qtrP&amp;L'!AM134</f>
        <v>-24.491</v>
      </c>
      <c r="AD24" s="1237">
        <f>'qtrP&amp;L'!AM135</f>
        <v>-2.6379999999999999</v>
      </c>
      <c r="AE24" s="1237">
        <f>'qtrP&amp;L'!AM136</f>
        <v>45.670999999999992</v>
      </c>
      <c r="AF24" s="445"/>
      <c r="AG24" s="1237">
        <f>'qtrP&amp;L'!AQ133</f>
        <v>-11.180999999999999</v>
      </c>
      <c r="AH24" s="1237">
        <f>'qtrP&amp;L'!AQ134</f>
        <v>-23.132000000000001</v>
      </c>
      <c r="AI24" s="1237">
        <f>'qtrP&amp;L'!AQ135</f>
        <v>-13.395</v>
      </c>
      <c r="AJ24" s="1237">
        <f>'qtrP&amp;L'!AQ136</f>
        <v>43.56</v>
      </c>
      <c r="AK24" s="445"/>
      <c r="AL24" s="1237">
        <f>'qtrP&amp;L'!AU133</f>
        <v>-1.7172039999999993</v>
      </c>
      <c r="AM24" s="1237">
        <f>'qtrP&amp;L'!AU134</f>
        <v>-16.04417188</v>
      </c>
      <c r="AN24" s="1237">
        <f>'qtrP&amp;L'!AU135</f>
        <v>-14.20327412</v>
      </c>
      <c r="AO24" s="1237">
        <f>'qtrP&amp;L'!AU136</f>
        <v>37.499505870995534</v>
      </c>
      <c r="AP24" s="421"/>
      <c r="AQ24" s="1237">
        <f>'qtrP&amp;L'!AY133</f>
        <v>-3.0838910000000004</v>
      </c>
      <c r="AR24" s="1237">
        <f>'qtrP&amp;L'!AY134</f>
        <v>-14.176720155696387</v>
      </c>
      <c r="AS24" s="1237">
        <f>'qtrP&amp;L'!AY135</f>
        <v>-7.6779999999999999</v>
      </c>
      <c r="AT24" s="1237">
        <f>'qtrP&amp;L'!AY136</f>
        <v>41.192999999999998</v>
      </c>
      <c r="AU24" s="421"/>
      <c r="AV24" s="1237">
        <f>'qtrP&amp;L'!BC133</f>
        <v>7.7859999999999996</v>
      </c>
      <c r="AW24" s="1237">
        <f>'qtrP&amp;L'!BC134</f>
        <v>-4.2930000000000001</v>
      </c>
      <c r="AX24" s="1237">
        <f>'qtrP&amp;L'!BC135</f>
        <v>-24.009</v>
      </c>
      <c r="AY24" s="1237">
        <f>'qtrP&amp;L'!BC136</f>
        <v>59.597000000000001</v>
      </c>
      <c r="AZ24" s="421"/>
      <c r="BA24" s="1237">
        <f>'qtrP&amp;L'!BG133</f>
        <v>15.646000000000001</v>
      </c>
      <c r="BB24" s="1237">
        <f>'qtrP&amp;L'!BG134</f>
        <v>7.6859999999999999</v>
      </c>
      <c r="BC24" s="1237">
        <f>'qtrP&amp;L'!BG135</f>
        <v>8.657504700000004</v>
      </c>
      <c r="BD24" s="1227">
        <f>'qtrP&amp;L'!BG136</f>
        <v>67.671791588799834</v>
      </c>
      <c r="BE24" s="444">
        <f>'yrP&amp;L'!F41</f>
        <v>42.640999999999998</v>
      </c>
      <c r="BF24" s="444">
        <f>'yrP&amp;L'!G41</f>
        <v>66.506049999999988</v>
      </c>
      <c r="BG24" s="444">
        <f>'yrP&amp;L'!H41</f>
        <v>46.789000000000001</v>
      </c>
      <c r="BH24" s="444">
        <f>'yrP&amp;L'!I41</f>
        <v>-16.389230000000001</v>
      </c>
      <c r="BI24" s="444">
        <f>'yrP&amp;L'!J41</f>
        <v>-16.464399999999998</v>
      </c>
      <c r="BJ24" s="444">
        <f>'yrP&amp;L'!K41</f>
        <v>-28.739000000000019</v>
      </c>
      <c r="BK24" s="445"/>
      <c r="BL24" s="446">
        <f>'yrP&amp;L'!L41</f>
        <v>-29.753</v>
      </c>
      <c r="BM24" s="445">
        <f>'yrP&amp;L'!M41</f>
        <v>22.13</v>
      </c>
      <c r="BN24" s="445">
        <f>'yrP&amp;L'!N41</f>
        <v>-4.1479999999999997</v>
      </c>
      <c r="BO24" s="445">
        <f>'yrP&amp;L'!P41</f>
        <v>5.4798558709955358</v>
      </c>
      <c r="BP24" s="445">
        <f>'yrP&amp;L'!Q41</f>
        <v>16.207999999999998</v>
      </c>
      <c r="BQ24" s="445">
        <f>'yrP&amp;L'!R41</f>
        <v>39.081000000000003</v>
      </c>
      <c r="BR24" s="445">
        <f>'yrP&amp;L'!S41</f>
        <v>99.661296288799832</v>
      </c>
      <c r="BS24" s="445">
        <f>'yrP&amp;L'!T41</f>
        <v>121.12182907127861</v>
      </c>
      <c r="BT24" s="445">
        <f>'yrP&amp;L'!U41</f>
        <v>138.62542404828261</v>
      </c>
      <c r="BU24" s="447">
        <f>'yrP&amp;L'!V41</f>
        <v>159.44101690764174</v>
      </c>
      <c r="BV24" s="445"/>
    </row>
    <row r="25" spans="1:252" outlineLevel="1">
      <c r="A25" s="434"/>
      <c r="B25" s="421"/>
      <c r="C25" s="421"/>
      <c r="D25" s="421"/>
      <c r="E25" s="421"/>
      <c r="F25" s="421"/>
      <c r="G25" s="421"/>
      <c r="H25" s="421"/>
      <c r="I25" s="421"/>
      <c r="J25" s="421"/>
      <c r="K25" s="421"/>
      <c r="L25" s="421"/>
      <c r="M25" s="421"/>
      <c r="N25" s="421"/>
      <c r="O25" s="421"/>
      <c r="P25" s="421"/>
      <c r="Q25" s="421"/>
      <c r="R25" s="421"/>
      <c r="S25" s="421"/>
      <c r="T25" s="421"/>
      <c r="U25" s="421"/>
      <c r="V25" s="421"/>
      <c r="W25" s="421"/>
      <c r="X25" s="421"/>
      <c r="Y25" s="421"/>
      <c r="Z25" s="421"/>
      <c r="AA25" s="421"/>
      <c r="AB25" s="421"/>
      <c r="AC25" s="421"/>
      <c r="AD25" s="421"/>
      <c r="AE25" s="421"/>
      <c r="AF25" s="421"/>
      <c r="AG25" s="421"/>
      <c r="AH25" s="421"/>
      <c r="AI25" s="421"/>
      <c r="AJ25" s="421"/>
      <c r="AK25" s="421"/>
      <c r="AL25" s="421"/>
      <c r="AM25" s="421"/>
      <c r="AN25" s="421"/>
      <c r="AO25" s="421"/>
      <c r="AP25" s="421"/>
      <c r="AQ25" s="421"/>
      <c r="AR25" s="421"/>
      <c r="AS25" s="421"/>
      <c r="AT25" s="421"/>
      <c r="AU25" s="421"/>
      <c r="AV25" s="421"/>
      <c r="AW25" s="421"/>
      <c r="AX25" s="421"/>
      <c r="AY25" s="421"/>
      <c r="AZ25" s="421"/>
      <c r="BA25" s="421"/>
      <c r="BB25" s="421"/>
      <c r="BC25" s="421"/>
      <c r="BD25" s="435"/>
      <c r="BE25" s="433"/>
      <c r="BF25" s="433"/>
      <c r="BG25" s="433"/>
      <c r="BH25" s="433"/>
      <c r="BI25" s="433"/>
      <c r="BJ25" s="433"/>
      <c r="BK25" s="421"/>
      <c r="BL25" s="441"/>
      <c r="BM25" s="421"/>
      <c r="BN25" s="421"/>
      <c r="BO25" s="421"/>
      <c r="BP25" s="421"/>
      <c r="BQ25" s="421"/>
      <c r="BR25" s="421"/>
      <c r="BS25" s="421"/>
      <c r="BT25" s="421"/>
      <c r="BU25" s="442"/>
      <c r="BV25" s="421"/>
    </row>
    <row r="26" spans="1:252" outlineLevel="2">
      <c r="A26" s="434" t="s">
        <v>360</v>
      </c>
      <c r="B26" s="421"/>
      <c r="C26" s="453"/>
      <c r="D26" s="453"/>
      <c r="E26" s="453"/>
      <c r="F26" s="453"/>
      <c r="G26" s="453"/>
      <c r="H26" s="453"/>
      <c r="I26" s="453"/>
      <c r="J26" s="453"/>
      <c r="K26" s="453"/>
      <c r="L26" s="453"/>
      <c r="M26" s="453"/>
      <c r="N26" s="453"/>
      <c r="O26" s="453"/>
      <c r="P26" s="453"/>
      <c r="Q26" s="453"/>
      <c r="R26" s="453"/>
      <c r="S26" s="453"/>
      <c r="T26" s="453"/>
      <c r="U26" s="453"/>
      <c r="V26" s="453"/>
      <c r="W26" s="453">
        <f>W22-W24</f>
        <v>-31.074000000000019</v>
      </c>
      <c r="X26" s="453">
        <f>X22-X24</f>
        <v>-12.520000000000062</v>
      </c>
      <c r="Y26" s="453">
        <f>Y22-Y24</f>
        <v>7.5109999999998509</v>
      </c>
      <c r="Z26" s="453">
        <f>Z22-Z24</f>
        <v>20.904000000000096</v>
      </c>
      <c r="AA26" s="453"/>
      <c r="AB26" s="453">
        <f>AB22-AB24</f>
        <v>5.2130000000000196</v>
      </c>
      <c r="AC26" s="453">
        <f>AC22-AC24</f>
        <v>-40.478999999999971</v>
      </c>
      <c r="AD26" s="453">
        <f>AD22-AD24</f>
        <v>-2.7950000000001207</v>
      </c>
      <c r="AE26" s="453">
        <f>AE22-AE24</f>
        <v>69.058999999999742</v>
      </c>
      <c r="AF26" s="453"/>
      <c r="AG26" s="453">
        <f>AG22-AG24</f>
        <v>-21.05699999999996</v>
      </c>
      <c r="AH26" s="453">
        <f>AH22-AH24</f>
        <v>-32.763000000000048</v>
      </c>
      <c r="AI26" s="453">
        <f>AI22-AI24</f>
        <v>-10.277000000000019</v>
      </c>
      <c r="AJ26" s="453">
        <f>AJ22-AJ24</f>
        <v>57.825000000000188</v>
      </c>
      <c r="AK26" s="453"/>
      <c r="AL26" s="453">
        <f>AL22-AL24</f>
        <v>-3.9519328399999547</v>
      </c>
      <c r="AM26" s="453">
        <f>AM22-AM24</f>
        <v>-31.285334450000001</v>
      </c>
      <c r="AN26" s="453">
        <f>AN22-AN24</f>
        <v>-7.3939931600000683</v>
      </c>
      <c r="AO26" s="453">
        <f>AO22-AO24</f>
        <v>70.888140279999263</v>
      </c>
      <c r="AP26" s="421"/>
      <c r="AQ26" s="453">
        <f>AQ22-AQ24</f>
        <v>-5.5539615999991492</v>
      </c>
      <c r="AR26" s="453">
        <f>AR22-AR24</f>
        <v>-26.961870112012058</v>
      </c>
      <c r="AS26" s="453">
        <f>AS22-AS24</f>
        <v>-16.857000000000003</v>
      </c>
      <c r="AT26" s="453">
        <f>AT22-AT24</f>
        <v>63.584000000000088</v>
      </c>
      <c r="AU26" s="421"/>
      <c r="AV26" s="453">
        <f>AV22-AV24</f>
        <v>11.773999999999981</v>
      </c>
      <c r="AW26" s="453">
        <f>AW22-AW24</f>
        <v>-6.4700000000001507</v>
      </c>
      <c r="AX26" s="453">
        <f>AX22-AX24</f>
        <v>-34.214000000000141</v>
      </c>
      <c r="AY26" s="453">
        <f>AY22-AY24</f>
        <v>104.14500000000007</v>
      </c>
      <c r="AZ26" s="421"/>
      <c r="BA26" s="453">
        <f>BA22-BA24</f>
        <v>25.69500000000005</v>
      </c>
      <c r="BB26" s="453">
        <f>BB22-BB24</f>
        <v>10.948000000000114</v>
      </c>
      <c r="BC26" s="453">
        <f>BC22-BC24</f>
        <v>13.541225300000008</v>
      </c>
      <c r="BD26" s="495">
        <f>BD22-BD24</f>
        <v>104.96032981119973</v>
      </c>
      <c r="BE26" s="454">
        <f t="shared" ref="BE26:BJ26" si="6">BE22-BE24</f>
        <v>72.338999999999999</v>
      </c>
      <c r="BF26" s="454">
        <f t="shared" si="6"/>
        <v>106.60795000000002</v>
      </c>
      <c r="BG26" s="454">
        <f t="shared" si="6"/>
        <v>67.173000000000158</v>
      </c>
      <c r="BH26" s="454">
        <f t="shared" si="6"/>
        <v>-31.813769999999923</v>
      </c>
      <c r="BI26" s="454">
        <f t="shared" si="6"/>
        <v>-32.553600000000017</v>
      </c>
      <c r="BJ26" s="454">
        <f t="shared" si="6"/>
        <v>28.767000000000092</v>
      </c>
      <c r="BK26" s="453"/>
      <c r="BL26" s="450">
        <f t="shared" ref="BL26:BT26" si="7">BL22-BL24</f>
        <v>-15.17900000000013</v>
      </c>
      <c r="BM26" s="453">
        <f t="shared" si="7"/>
        <v>30.997999999999703</v>
      </c>
      <c r="BN26" s="453">
        <f t="shared" si="7"/>
        <v>-6.2719999999998457</v>
      </c>
      <c r="BO26" s="453">
        <f t="shared" si="7"/>
        <v>28.311879829999256</v>
      </c>
      <c r="BP26" s="453">
        <f t="shared" si="7"/>
        <v>16.149999999999807</v>
      </c>
      <c r="BQ26" s="453">
        <f t="shared" si="7"/>
        <v>75.234999999999815</v>
      </c>
      <c r="BR26" s="453">
        <f t="shared" si="7"/>
        <v>155.14455511119988</v>
      </c>
      <c r="BS26" s="453">
        <f t="shared" si="7"/>
        <v>188.55255736453967</v>
      </c>
      <c r="BT26" s="453">
        <f t="shared" si="7"/>
        <v>215.9153024179133</v>
      </c>
      <c r="BU26" s="455">
        <f>BU22-BU24</f>
        <v>247.2962711220566</v>
      </c>
      <c r="BV26" s="453"/>
    </row>
    <row r="27" spans="1:252" s="57" customFormat="1" outlineLevel="2">
      <c r="A27" s="441"/>
      <c r="B27" s="537"/>
      <c r="C27" s="537"/>
      <c r="D27" s="537"/>
      <c r="E27" s="537"/>
      <c r="F27" s="537"/>
      <c r="G27" s="537"/>
      <c r="H27" s="537"/>
      <c r="I27" s="537"/>
      <c r="J27" s="537"/>
      <c r="K27" s="537"/>
      <c r="L27" s="537"/>
      <c r="M27" s="537"/>
      <c r="N27" s="537"/>
      <c r="O27" s="537"/>
      <c r="P27" s="537"/>
      <c r="Q27" s="537"/>
      <c r="R27" s="537"/>
      <c r="S27" s="537"/>
      <c r="T27" s="537"/>
      <c r="U27" s="537"/>
      <c r="V27" s="537"/>
      <c r="W27" s="462"/>
      <c r="X27" s="462"/>
      <c r="Y27" s="462"/>
      <c r="Z27" s="462"/>
      <c r="AA27" s="1238"/>
      <c r="AB27" s="462"/>
      <c r="AC27" s="462"/>
      <c r="AD27" s="462"/>
      <c r="AE27" s="462"/>
      <c r="AF27" s="1238"/>
      <c r="AG27" s="462"/>
      <c r="AH27" s="462"/>
      <c r="AI27" s="462"/>
      <c r="AJ27" s="462"/>
      <c r="AK27" s="1238"/>
      <c r="AL27" s="462"/>
      <c r="AM27" s="462"/>
      <c r="AN27" s="462"/>
      <c r="AO27" s="462"/>
      <c r="AP27" s="1238"/>
      <c r="AQ27" s="462"/>
      <c r="AR27" s="462"/>
      <c r="AS27" s="462"/>
      <c r="AT27" s="462"/>
      <c r="AU27" s="457"/>
      <c r="AV27" s="462"/>
      <c r="AW27" s="462"/>
      <c r="AX27" s="462"/>
      <c r="AY27" s="461"/>
      <c r="AZ27" s="457"/>
      <c r="BA27" s="462"/>
      <c r="BB27" s="462"/>
      <c r="BC27" s="462"/>
      <c r="BD27" s="1228"/>
      <c r="BE27" s="417"/>
      <c r="BF27" s="458"/>
      <c r="BG27" s="458"/>
      <c r="BH27" s="458"/>
      <c r="BI27" s="458"/>
      <c r="BJ27" s="459"/>
      <c r="BK27" s="456"/>
      <c r="BL27" s="460"/>
      <c r="BM27" s="461"/>
      <c r="BN27" s="461"/>
      <c r="BO27" s="461"/>
      <c r="BP27" s="462"/>
      <c r="BQ27" s="462"/>
      <c r="BR27" s="461"/>
      <c r="BS27" s="462"/>
      <c r="BT27" s="462"/>
      <c r="BU27" s="463"/>
      <c r="BV27" s="462"/>
      <c r="BW27" s="464"/>
      <c r="BX27"/>
      <c r="BY27"/>
      <c r="BZ27"/>
      <c r="CA27"/>
      <c r="CB27"/>
      <c r="CC27"/>
      <c r="CD27" s="464"/>
      <c r="CE27" s="464"/>
      <c r="CF27" s="464"/>
      <c r="CG27" s="464"/>
      <c r="CH27" s="464"/>
      <c r="CI27" s="464"/>
      <c r="CJ27" s="464"/>
      <c r="CK27" s="464"/>
      <c r="CL27" s="464"/>
      <c r="CM27" s="464"/>
      <c r="CN27" s="464"/>
      <c r="CO27" s="464"/>
      <c r="CP27" s="464"/>
      <c r="CQ27" s="464"/>
      <c r="CR27" s="464"/>
      <c r="CS27" s="464"/>
      <c r="CT27" s="464"/>
      <c r="CU27" s="464"/>
      <c r="CV27" s="464"/>
      <c r="CW27" s="464"/>
      <c r="CX27" s="464"/>
      <c r="CY27" s="464"/>
      <c r="CZ27" s="464"/>
      <c r="DA27" s="464"/>
      <c r="DB27" s="464"/>
      <c r="DC27" s="464"/>
      <c r="DD27" s="464"/>
      <c r="DE27" s="464"/>
      <c r="DF27" s="464"/>
      <c r="DG27" s="464"/>
      <c r="DH27" s="464"/>
      <c r="DI27" s="464"/>
      <c r="DJ27" s="464"/>
      <c r="DK27" s="464"/>
      <c r="DL27" s="464"/>
      <c r="DM27" s="464"/>
      <c r="DN27" s="464"/>
      <c r="DO27" s="464"/>
      <c r="DP27" s="464"/>
      <c r="DQ27" s="464"/>
      <c r="DR27" s="464"/>
      <c r="DS27" s="464"/>
      <c r="DT27" s="464"/>
      <c r="DU27" s="464"/>
      <c r="DV27" s="464"/>
      <c r="DW27" s="464"/>
      <c r="DX27" s="464"/>
      <c r="DY27" s="464"/>
      <c r="DZ27" s="464"/>
      <c r="EA27" s="464"/>
      <c r="EB27" s="464"/>
      <c r="EC27" s="464"/>
      <c r="ED27" s="464"/>
      <c r="EE27" s="464"/>
      <c r="EF27" s="464"/>
      <c r="EG27" s="464"/>
      <c r="EH27" s="464"/>
      <c r="EI27" s="464"/>
      <c r="EJ27" s="464"/>
      <c r="EK27" s="464"/>
      <c r="EL27" s="464"/>
      <c r="EM27" s="464"/>
      <c r="EN27" s="464"/>
      <c r="EO27" s="464"/>
      <c r="EP27" s="464"/>
      <c r="EQ27" s="464"/>
      <c r="ER27" s="464"/>
      <c r="ES27" s="464"/>
      <c r="ET27" s="464"/>
      <c r="EU27" s="464"/>
      <c r="EV27" s="464"/>
      <c r="EW27" s="464"/>
      <c r="EX27" s="464"/>
      <c r="EY27" s="464"/>
      <c r="EZ27" s="464"/>
      <c r="FA27" s="464"/>
      <c r="FB27" s="464"/>
      <c r="FC27" s="464"/>
      <c r="FD27" s="464"/>
      <c r="FE27" s="464"/>
      <c r="FF27" s="464"/>
      <c r="FG27" s="464"/>
      <c r="FH27" s="464"/>
      <c r="FI27" s="464"/>
      <c r="FJ27" s="464"/>
      <c r="FK27" s="464"/>
      <c r="FL27" s="464"/>
      <c r="FM27" s="464"/>
      <c r="FN27" s="464"/>
      <c r="FO27" s="464"/>
      <c r="FP27" s="464"/>
      <c r="FQ27" s="464"/>
      <c r="FR27" s="464"/>
      <c r="FS27" s="464"/>
      <c r="FT27" s="464"/>
      <c r="FU27" s="464"/>
      <c r="FV27" s="464"/>
      <c r="FW27" s="464"/>
      <c r="FX27" s="464"/>
      <c r="FY27" s="464"/>
      <c r="FZ27" s="464"/>
      <c r="GA27" s="464"/>
      <c r="GB27" s="464"/>
      <c r="GC27" s="464"/>
      <c r="GD27" s="464"/>
      <c r="GE27" s="464"/>
      <c r="GF27" s="464"/>
      <c r="GG27" s="464"/>
      <c r="GH27" s="464"/>
      <c r="GI27" s="464"/>
      <c r="GJ27" s="464"/>
      <c r="GK27" s="464"/>
      <c r="GL27" s="464"/>
      <c r="GM27" s="464"/>
      <c r="GN27" s="464"/>
      <c r="GO27" s="464"/>
      <c r="GP27" s="464"/>
      <c r="GQ27" s="464"/>
      <c r="GR27" s="464"/>
      <c r="GS27" s="464"/>
      <c r="GT27" s="464"/>
      <c r="GU27" s="464"/>
      <c r="GV27" s="464"/>
      <c r="GW27" s="464"/>
      <c r="GX27" s="464"/>
      <c r="GY27" s="464"/>
      <c r="GZ27" s="464"/>
      <c r="HA27" s="464"/>
      <c r="HB27" s="464"/>
      <c r="HC27" s="464"/>
      <c r="HD27" s="464"/>
      <c r="HE27" s="464"/>
      <c r="HF27" s="464"/>
      <c r="HG27" s="464"/>
      <c r="HH27" s="464"/>
      <c r="HI27" s="464"/>
      <c r="HJ27" s="464"/>
      <c r="HK27" s="464"/>
      <c r="HL27" s="464"/>
      <c r="HM27" s="464"/>
      <c r="HN27" s="464"/>
      <c r="HO27" s="464"/>
      <c r="HP27" s="464"/>
      <c r="HQ27" s="464"/>
      <c r="HR27" s="464"/>
      <c r="HS27" s="464"/>
      <c r="HT27" s="464"/>
      <c r="HU27" s="464"/>
      <c r="HV27" s="464"/>
      <c r="HW27" s="464"/>
      <c r="HX27" s="464"/>
      <c r="HY27" s="464"/>
      <c r="HZ27" s="464"/>
      <c r="IA27" s="464"/>
      <c r="IB27" s="464"/>
      <c r="IC27" s="464"/>
      <c r="ID27" s="464"/>
      <c r="IE27" s="464"/>
      <c r="IF27" s="464"/>
      <c r="IG27" s="464"/>
      <c r="IH27" s="464"/>
      <c r="II27" s="464"/>
      <c r="IJ27" s="464"/>
      <c r="IK27" s="464"/>
      <c r="IL27" s="464"/>
      <c r="IM27" s="464"/>
      <c r="IN27" s="464"/>
      <c r="IO27" s="464"/>
      <c r="IP27" s="464"/>
      <c r="IQ27" s="464"/>
      <c r="IR27" s="464"/>
    </row>
    <row r="28" spans="1:252" s="421" customFormat="1" outlineLevel="2">
      <c r="A28" s="697" t="s">
        <v>365</v>
      </c>
      <c r="B28" s="465"/>
      <c r="C28" s="466"/>
      <c r="D28" s="466"/>
      <c r="E28" s="466"/>
      <c r="F28" s="466"/>
      <c r="G28" s="465"/>
      <c r="H28" s="467"/>
      <c r="I28" s="467"/>
      <c r="J28" s="467"/>
      <c r="K28" s="467"/>
      <c r="L28" s="467"/>
      <c r="M28" s="467"/>
      <c r="N28" s="467"/>
      <c r="O28" s="467"/>
      <c r="P28" s="467"/>
      <c r="Q28" s="467"/>
      <c r="R28" s="467"/>
      <c r="S28" s="467"/>
      <c r="T28" s="467"/>
      <c r="U28" s="467"/>
      <c r="V28" s="467"/>
      <c r="W28" s="467">
        <f>IF(ISERROR(W26/W34),"NA",W26/W34)</f>
        <v>-0.43455262538715084</v>
      </c>
      <c r="X28" s="467">
        <f>IF(ISERROR(X26/X34),"NA",X26/X34)</f>
        <v>-0.17508524392891653</v>
      </c>
      <c r="Y28" s="467">
        <f>IF(ISERROR(Y26/Y34),"NA",Y26/Y34)</f>
        <v>0.10503716191294404</v>
      </c>
      <c r="Z28" s="467">
        <f>IF(ISERROR(Z26/Z34),"NA",Z26/Z34)</f>
        <v>0.29233082580591613</v>
      </c>
      <c r="AA28" s="467"/>
      <c r="AB28" s="467">
        <f>IF(ISERROR(AB26/AB34),"NA",AB26/AB34)</f>
        <v>7.2900908674236486E-2</v>
      </c>
      <c r="AC28" s="467">
        <f>IF(ISERROR(AC26/AC34),"NA",AC26/AC34)</f>
        <v>-0.56607632499988592</v>
      </c>
      <c r="AD28" s="467">
        <f>IF(ISERROR(AD26/AD34),"NA",AD26/AD34)</f>
        <v>-3.9086522107135813E-2</v>
      </c>
      <c r="AE28" s="467">
        <f>IF(ISERROR(AE26/AE34),"NA",AE26/AE34)</f>
        <v>0.96575174604528291</v>
      </c>
      <c r="AF28" s="467"/>
      <c r="AG28" s="467">
        <f>IF(ISERROR(AG26/AG34),"NA",AG26/AG34)</f>
        <v>-0.29447044579961423</v>
      </c>
      <c r="AH28" s="467">
        <f>IF(ISERROR(AH26/AH34),"NA",AH26/AH34)</f>
        <v>-0.45817235198427092</v>
      </c>
      <c r="AI28" s="467">
        <f>IF(ISERROR(AI26/AI34),"NA",AI26/AI34)</f>
        <v>-0.14371813513238574</v>
      </c>
      <c r="AJ28" s="467">
        <f>IF(ISERROR(AJ26/AJ34),"NA",AJ26/AJ34)</f>
        <v>0.80865049761897612</v>
      </c>
      <c r="AK28" s="467"/>
      <c r="AL28" s="467">
        <f>IF(ISERROR(AL26/AL34),"NA",AL26/AL34)</f>
        <v>-5.595021365713778E-2</v>
      </c>
      <c r="AM28" s="467">
        <f>IF(ISERROR(AM26/AM34),"NA",AM26/AM34)</f>
        <v>-0.43981448068601048</v>
      </c>
      <c r="AN28" s="467">
        <f>IF(ISERROR(AN26/AN34),"NA",AN26/AN34)</f>
        <v>-0.10322045118156141</v>
      </c>
      <c r="AO28" s="467">
        <f>IF(ISERROR(AO26/AO34),"NA",AO26/AO34)</f>
        <v>0.97597670315946861</v>
      </c>
      <c r="AP28" s="465"/>
      <c r="AQ28" s="467">
        <f>IF(ISERROR(AQ26/AQ34),"NA",AQ26/AQ34)</f>
        <v>-7.6712176795568354E-2</v>
      </c>
      <c r="AR28" s="467">
        <f>IF(ISERROR(AR26/AR34),"NA",AR26/AR34)</f>
        <v>-0.36583270165552317</v>
      </c>
      <c r="AS28" s="467">
        <f>IF(ISERROR(AS26/AS34),"NA",AS26/AS34)</f>
        <v>-0.22914425678337419</v>
      </c>
      <c r="AT28" s="467">
        <f>IF(ISERROR(AT26/AT34),"NA",AT26/AT34)</f>
        <v>0.84274411288551143</v>
      </c>
      <c r="AU28" s="18"/>
      <c r="AV28" s="467">
        <f>IF(ISERROR(AV26/AV34),"NA",AV26/AV34)</f>
        <v>0.15594701986754941</v>
      </c>
      <c r="AW28" s="467">
        <f>IF(ISERROR(AW26/AW34),"NA",AW26/AW34)</f>
        <v>-8.5695364238412591E-2</v>
      </c>
      <c r="AX28" s="467">
        <f>IF(ISERROR(AX26/AX34),"NA",AX26/AX34)</f>
        <v>-0.45316556291390914</v>
      </c>
      <c r="AY28" s="467">
        <f>IF(ISERROR(AY26/AY34),"NA",AY26/AY34)</f>
        <v>1.3652988987939181</v>
      </c>
      <c r="AZ28" s="18"/>
      <c r="BA28" s="467">
        <f>IF(ISERROR(BA26/BA34),"NA",BA26/BA34)</f>
        <v>0.33588235294117713</v>
      </c>
      <c r="BB28" s="467">
        <f>IF(ISERROR(BB26/BB34),"NA",BB26/BB34)</f>
        <v>0.14309053600136079</v>
      </c>
      <c r="BC28" s="467">
        <f>IF(ISERROR(BC26/BC34),"NA",BC26/BC34)</f>
        <v>0.1774478816946444</v>
      </c>
      <c r="BD28" s="1229">
        <f>IF(ISERROR(BD26/BD34),"NA",BD26/BD34)</f>
        <v>1.3754285726985591</v>
      </c>
      <c r="BE28" s="1221">
        <f t="shared" ref="BE28:BJ28" si="8">IF(ISERROR(BE26/BE34),"NA",BE26/BE34)</f>
        <v>1.6194712838967034</v>
      </c>
      <c r="BF28" s="468">
        <f t="shared" si="8"/>
        <v>2.3849653243847877</v>
      </c>
      <c r="BG28" s="468">
        <f t="shared" si="8"/>
        <v>1.5027516778523524</v>
      </c>
      <c r="BH28" s="468">
        <f t="shared" si="8"/>
        <v>-0.71171744966442774</v>
      </c>
      <c r="BI28" s="468">
        <f t="shared" si="8"/>
        <v>-0.72826845637583926</v>
      </c>
      <c r="BJ28" s="468">
        <f t="shared" si="8"/>
        <v>0.64355704697986782</v>
      </c>
      <c r="BK28" s="467"/>
      <c r="BL28" s="469">
        <f>IF(ISERROR(BL26/BL34),"NA",BL26/BL34)</f>
        <v>-0.21226988159720717</v>
      </c>
      <c r="BM28" s="470">
        <f t="shared" ref="BM28:BU28" si="9">IF(ISERROR(BM26/BM34),"NA",BM26/BM34)</f>
        <v>0.43348980761249806</v>
      </c>
      <c r="BN28" s="470">
        <f t="shared" si="9"/>
        <v>-8.7710435297294886E-2</v>
      </c>
      <c r="BO28" s="470">
        <f t="shared" si="9"/>
        <v>0.39592590943462996</v>
      </c>
      <c r="BP28" s="470">
        <f t="shared" si="9"/>
        <v>0.21748289365743403</v>
      </c>
      <c r="BQ28" s="470">
        <f t="shared" si="9"/>
        <v>0.99169577539049392</v>
      </c>
      <c r="BR28" s="470">
        <f t="shared" si="9"/>
        <v>2.0304686354052066</v>
      </c>
      <c r="BS28" s="470">
        <f t="shared" si="9"/>
        <v>2.4708437494534166</v>
      </c>
      <c r="BT28" s="470">
        <f t="shared" si="9"/>
        <v>2.8331251711421355</v>
      </c>
      <c r="BU28" s="471">
        <f t="shared" si="9"/>
        <v>3.2491528310238542</v>
      </c>
      <c r="BV28" s="472"/>
      <c r="BX28"/>
      <c r="BY28"/>
      <c r="BZ28"/>
      <c r="CA28"/>
      <c r="CB28"/>
      <c r="CC28"/>
    </row>
    <row r="29" spans="1:252" outlineLevel="2">
      <c r="A29" s="434"/>
      <c r="B29" s="421"/>
      <c r="C29" s="421"/>
      <c r="D29" s="421"/>
      <c r="E29" s="421"/>
      <c r="F29" s="421"/>
      <c r="G29" s="421"/>
      <c r="H29" s="421"/>
      <c r="I29" s="421"/>
      <c r="J29" s="421"/>
      <c r="K29" s="421"/>
      <c r="L29" s="421"/>
      <c r="M29" s="421"/>
      <c r="N29" s="421"/>
      <c r="O29" s="421"/>
      <c r="P29" s="421"/>
      <c r="Q29" s="421"/>
      <c r="R29" s="421"/>
      <c r="S29" s="421"/>
      <c r="T29" s="421"/>
      <c r="U29" s="421"/>
      <c r="V29" s="421"/>
      <c r="W29" s="421"/>
      <c r="X29" s="421"/>
      <c r="Y29" s="421"/>
      <c r="Z29" s="421"/>
      <c r="AA29" s="421"/>
      <c r="AB29" s="421"/>
      <c r="AC29" s="421"/>
      <c r="AD29" s="421"/>
      <c r="AE29" s="421"/>
      <c r="AF29" s="421"/>
      <c r="AG29" s="421"/>
      <c r="AH29" s="421"/>
      <c r="AI29" s="421"/>
      <c r="AJ29" s="421"/>
      <c r="AK29" s="421"/>
      <c r="AL29" s="421"/>
      <c r="AM29" s="421"/>
      <c r="AN29" s="421"/>
      <c r="AO29" s="421"/>
      <c r="AP29" s="421"/>
      <c r="AQ29" s="421"/>
      <c r="AR29" s="421"/>
      <c r="AS29" s="421"/>
      <c r="AT29" s="421"/>
      <c r="AU29" s="421"/>
      <c r="AV29" s="421"/>
      <c r="AW29" s="421"/>
      <c r="AX29" s="421"/>
      <c r="AY29" s="421"/>
      <c r="AZ29" s="421"/>
      <c r="BA29" s="421"/>
      <c r="BB29" s="421"/>
      <c r="BC29" s="421"/>
      <c r="BD29" s="435"/>
      <c r="BE29" s="433"/>
      <c r="BF29" s="433"/>
      <c r="BG29" s="433"/>
      <c r="BH29" s="433"/>
      <c r="BI29" s="433"/>
      <c r="BJ29" s="433"/>
      <c r="BK29" s="421"/>
      <c r="BL29" s="441"/>
      <c r="BM29" s="421"/>
      <c r="BN29" s="421"/>
      <c r="BO29" s="421"/>
      <c r="BP29" s="421"/>
      <c r="BQ29" s="421"/>
      <c r="BR29" s="421"/>
      <c r="BS29" s="421"/>
      <c r="BT29" s="421"/>
      <c r="BU29" s="435"/>
      <c r="BV29" s="421"/>
    </row>
    <row r="30" spans="1:252" outlineLevel="2">
      <c r="A30" s="434" t="s">
        <v>195</v>
      </c>
      <c r="B30" s="421"/>
      <c r="C30" s="445"/>
      <c r="D30" s="445"/>
      <c r="E30" s="445"/>
      <c r="F30" s="445"/>
      <c r="G30" s="445"/>
      <c r="H30" s="445"/>
      <c r="I30" s="445"/>
      <c r="J30" s="445"/>
      <c r="K30" s="445"/>
      <c r="L30" s="445"/>
      <c r="M30" s="445"/>
      <c r="N30" s="445"/>
      <c r="O30" s="445"/>
      <c r="P30" s="445"/>
      <c r="Q30" s="445"/>
      <c r="R30" s="445"/>
      <c r="S30" s="445"/>
      <c r="T30" s="445"/>
      <c r="U30" s="445"/>
      <c r="V30" s="445"/>
      <c r="W30" s="445">
        <f>'qtrP&amp;L'!AI163</f>
        <v>19.27835</v>
      </c>
      <c r="X30" s="445">
        <f>'qtrP&amp;L'!AI164</f>
        <v>7.9950000000000007E-2</v>
      </c>
      <c r="Y30" s="445">
        <f>'qtrP&amp;L'!AI165</f>
        <v>4.9575500000000003</v>
      </c>
      <c r="Z30" s="445">
        <f>'qtrP&amp;L'!AI166</f>
        <v>26.932099999999995</v>
      </c>
      <c r="AA30" s="445"/>
      <c r="AB30" s="445">
        <f>'qtrP&amp;L'!AM163</f>
        <v>0.74619999999999997</v>
      </c>
      <c r="AC30" s="445">
        <f>'qtrP&amp;L'!AM164</f>
        <v>0.82094999999999996</v>
      </c>
      <c r="AD30" s="445">
        <f>'qtrP&amp;L'!AM165</f>
        <v>0.1638</v>
      </c>
      <c r="AE30" s="445">
        <f>'qtrP&amp;L'!AM166</f>
        <v>23.352050000000002</v>
      </c>
      <c r="AF30" s="445"/>
      <c r="AG30" s="445">
        <f>'qtrP&amp;L'!AQ163</f>
        <v>24.552450000000004</v>
      </c>
      <c r="AH30" s="445">
        <f>'qtrP&amp;L'!AQ164</f>
        <v>3.3897500000000007</v>
      </c>
      <c r="AI30" s="445">
        <f>'qtrP&amp;L'!AQ165</f>
        <v>0.28015000000000001</v>
      </c>
      <c r="AJ30" s="445">
        <f>'qtrP&amp;L'!AQ166</f>
        <v>15.399650000000012</v>
      </c>
      <c r="AK30" s="445"/>
      <c r="AL30" s="445">
        <f>'qtrP&amp;L'!AU163</f>
        <v>4.7999999999999989</v>
      </c>
      <c r="AM30" s="445">
        <f>'qtrP&amp;L'!AU164</f>
        <v>9.5</v>
      </c>
      <c r="AN30" s="445">
        <f>'qtrP&amp;L'!AU165</f>
        <v>5.6999999999999993</v>
      </c>
      <c r="AO30" s="445">
        <f>'qtrP&amp;L'!AU166</f>
        <v>13.899999999999999</v>
      </c>
      <c r="AP30" s="421"/>
      <c r="AQ30" s="445">
        <f>'qtrP&amp;L'!AY163</f>
        <v>11.7</v>
      </c>
      <c r="AR30" s="445">
        <f>'qtrP&amp;L'!AY164</f>
        <v>13.000000000000004</v>
      </c>
      <c r="AS30" s="445">
        <f>'qtrP&amp;L'!AY165</f>
        <v>13.524000000000001</v>
      </c>
      <c r="AT30" s="445">
        <f>'qtrP&amp;L'!AY166</f>
        <v>17.433999999999997</v>
      </c>
      <c r="AU30" s="421"/>
      <c r="AV30" s="445">
        <f>'qtrP&amp;L'!BC163</f>
        <v>6.8380000000000019</v>
      </c>
      <c r="AW30" s="445">
        <f>'qtrP&amp;L'!BC164</f>
        <v>5.593</v>
      </c>
      <c r="AX30" s="445">
        <f>'qtrP&amp;L'!BC165</f>
        <v>46.125000000000007</v>
      </c>
      <c r="AY30" s="445">
        <f>'qtrP&amp;L'!BC166</f>
        <v>4.7860000000000014</v>
      </c>
      <c r="AZ30" s="421"/>
      <c r="BA30" s="445">
        <f>'qtrP&amp;L'!BG163</f>
        <v>5.7120000000000015</v>
      </c>
      <c r="BB30" s="445">
        <f>'qtrP&amp;L'!BG164</f>
        <v>3.9570000000000003</v>
      </c>
      <c r="BC30" s="445">
        <f>'qtrP&amp;L'!BG165</f>
        <v>3.66</v>
      </c>
      <c r="BD30" s="473">
        <f>'qtrP&amp;L'!BG166</f>
        <v>3.6479999999999997</v>
      </c>
      <c r="BE30" s="444">
        <f>'yrP&amp;L'!F50</f>
        <v>4.3630000000000004</v>
      </c>
      <c r="BF30" s="444">
        <f>'yrP&amp;L'!G50</f>
        <v>1.5729500000000001</v>
      </c>
      <c r="BG30" s="444">
        <f>'yrP&amp;L'!H50</f>
        <v>4.0000000000000001E-3</v>
      </c>
      <c r="BH30" s="444">
        <f>'yrP&amp;L'!I50</f>
        <v>15.38523</v>
      </c>
      <c r="BI30" s="444">
        <f>'yrP&amp;L'!J50</f>
        <v>16.416399999999999</v>
      </c>
      <c r="BJ30" s="444">
        <f>'yrP&amp;L'!K50</f>
        <v>220.35</v>
      </c>
      <c r="BK30" s="445"/>
      <c r="BL30" s="446">
        <f>'yrP&amp;L'!L50</f>
        <v>51.247949999999996</v>
      </c>
      <c r="BM30" s="445">
        <f>'yrP&amp;L'!M50</f>
        <v>25.083000000000002</v>
      </c>
      <c r="BN30" s="445">
        <f>'yrP&amp;L'!N50</f>
        <v>43.622000000000014</v>
      </c>
      <c r="BO30" s="445">
        <f>'yrP&amp;L'!P50</f>
        <v>33.9</v>
      </c>
      <c r="BP30" s="445">
        <f>'yrP&amp;L'!Q50</f>
        <v>54.089000000000013</v>
      </c>
      <c r="BQ30" s="445">
        <f>'yrP&amp;L'!R50</f>
        <v>63.342000000000013</v>
      </c>
      <c r="BR30" s="445">
        <f>'yrP&amp;L'!S50</f>
        <v>16.977000000000004</v>
      </c>
      <c r="BS30" s="445">
        <f>'yrP&amp;L'!T50</f>
        <v>14.612966312235956</v>
      </c>
      <c r="BT30" s="445">
        <f>'yrP&amp;L'!U50</f>
        <v>14.616</v>
      </c>
      <c r="BU30" s="473">
        <f>'yrP&amp;L'!V50</f>
        <v>14.591999999999999</v>
      </c>
      <c r="BV30" s="445"/>
    </row>
    <row r="31" spans="1:252" s="57" customFormat="1" outlineLevel="1">
      <c r="A31" s="441"/>
      <c r="B31" s="537"/>
      <c r="C31" s="537"/>
      <c r="D31" s="537"/>
      <c r="E31" s="537"/>
      <c r="F31" s="537"/>
      <c r="G31" s="537"/>
      <c r="H31" s="537"/>
      <c r="I31" s="537"/>
      <c r="J31" s="537"/>
      <c r="K31" s="537"/>
      <c r="L31" s="537"/>
      <c r="M31" s="537"/>
      <c r="N31" s="537"/>
      <c r="O31" s="537"/>
      <c r="P31" s="537"/>
      <c r="Q31" s="537"/>
      <c r="R31" s="537"/>
      <c r="S31" s="537"/>
      <c r="T31" s="537"/>
      <c r="U31" s="537"/>
      <c r="V31" s="537"/>
      <c r="W31" s="462"/>
      <c r="X31" s="462"/>
      <c r="Y31" s="462"/>
      <c r="Z31" s="462"/>
      <c r="AA31" s="1238"/>
      <c r="AB31" s="462"/>
      <c r="AC31" s="462"/>
      <c r="AD31" s="462"/>
      <c r="AE31" s="462"/>
      <c r="AF31" s="1238"/>
      <c r="AG31" s="462"/>
      <c r="AH31" s="462"/>
      <c r="AI31" s="462"/>
      <c r="AJ31" s="462"/>
      <c r="AK31" s="1238"/>
      <c r="AL31" s="462"/>
      <c r="AM31" s="462"/>
      <c r="AN31" s="462"/>
      <c r="AO31" s="462"/>
      <c r="AP31" s="1238"/>
      <c r="AQ31" s="462"/>
      <c r="AR31" s="462"/>
      <c r="AS31" s="462"/>
      <c r="AT31" s="462"/>
      <c r="AU31" s="537"/>
      <c r="AV31" s="462"/>
      <c r="AW31" s="462"/>
      <c r="AX31" s="462"/>
      <c r="AY31" s="462"/>
      <c r="AZ31" s="537"/>
      <c r="BA31" s="462"/>
      <c r="BB31" s="462"/>
      <c r="BC31" s="462"/>
      <c r="BD31" s="463"/>
      <c r="BE31" s="458"/>
      <c r="BF31" s="458"/>
      <c r="BG31" s="458"/>
      <c r="BH31" s="458"/>
      <c r="BI31" s="458"/>
      <c r="BJ31" s="459"/>
      <c r="BK31" s="456"/>
      <c r="BL31" s="474"/>
      <c r="BM31" s="462"/>
      <c r="BN31" s="462"/>
      <c r="BO31" s="462"/>
      <c r="BP31" s="462"/>
      <c r="BQ31" s="462"/>
      <c r="BR31" s="462"/>
      <c r="BS31" s="462"/>
      <c r="BT31" s="462"/>
      <c r="BU31" s="463"/>
      <c r="BV31" s="462"/>
      <c r="BX31"/>
      <c r="BY31"/>
      <c r="BZ31"/>
      <c r="CA31"/>
      <c r="CB31"/>
      <c r="CC31"/>
    </row>
    <row r="32" spans="1:252">
      <c r="A32" s="434" t="s">
        <v>361</v>
      </c>
      <c r="B32" s="421"/>
      <c r="C32" s="453"/>
      <c r="D32" s="453"/>
      <c r="E32" s="453"/>
      <c r="F32" s="453"/>
      <c r="G32" s="421"/>
      <c r="H32" s="453"/>
      <c r="I32" s="453"/>
      <c r="J32" s="453"/>
      <c r="K32" s="453"/>
      <c r="L32" s="421"/>
      <c r="M32" s="453"/>
      <c r="N32" s="453"/>
      <c r="O32" s="453"/>
      <c r="P32" s="453"/>
      <c r="Q32" s="421"/>
      <c r="R32" s="453"/>
      <c r="S32" s="453"/>
      <c r="T32" s="453"/>
      <c r="U32" s="453"/>
      <c r="V32" s="421"/>
      <c r="W32" s="453">
        <f>W26+W30</f>
        <v>-11.79565000000002</v>
      </c>
      <c r="X32" s="453">
        <f>X26+X30</f>
        <v>-12.440050000000062</v>
      </c>
      <c r="Y32" s="453">
        <f>Y26+Y30</f>
        <v>12.468549999999851</v>
      </c>
      <c r="Z32" s="453">
        <f>Z26+Z30</f>
        <v>47.836100000000087</v>
      </c>
      <c r="AA32" s="421"/>
      <c r="AB32" s="453">
        <f>AB26+AB30</f>
        <v>5.9592000000000196</v>
      </c>
      <c r="AC32" s="453">
        <f>AC26+AC30</f>
        <v>-39.658049999999967</v>
      </c>
      <c r="AD32" s="453">
        <f>AD26+AD30</f>
        <v>-2.6312000000001206</v>
      </c>
      <c r="AE32" s="453">
        <f>AE26+AE30</f>
        <v>92.411049999999747</v>
      </c>
      <c r="AF32" s="421"/>
      <c r="AG32" s="453">
        <f>AG26+AG30</f>
        <v>3.4954500000000444</v>
      </c>
      <c r="AH32" s="453">
        <f>AH26+AH30</f>
        <v>-29.373250000000048</v>
      </c>
      <c r="AI32" s="453">
        <f>AI26+AI30</f>
        <v>-9.996850000000018</v>
      </c>
      <c r="AJ32" s="453">
        <f>AJ26+AJ30</f>
        <v>73.224650000000196</v>
      </c>
      <c r="AK32" s="421"/>
      <c r="AL32" s="453">
        <f>AL26+AL30</f>
        <v>0.84806716000004423</v>
      </c>
      <c r="AM32" s="453">
        <f>AM26+AM30</f>
        <v>-21.785334450000001</v>
      </c>
      <c r="AN32" s="453">
        <f>AN26+AN30</f>
        <v>-1.6939931600000691</v>
      </c>
      <c r="AO32" s="453">
        <f>AO26+AO30</f>
        <v>84.788140279999254</v>
      </c>
      <c r="AP32" s="421"/>
      <c r="AQ32" s="453">
        <f>AQ26+AQ30</f>
        <v>6.1460384000008501</v>
      </c>
      <c r="AR32" s="453">
        <f>AR26+AR30</f>
        <v>-13.961870112012054</v>
      </c>
      <c r="AS32" s="453">
        <f>AS26+AS30</f>
        <v>-3.333000000000002</v>
      </c>
      <c r="AT32" s="453">
        <f>AT26+AT30</f>
        <v>81.018000000000086</v>
      </c>
      <c r="AU32" s="421"/>
      <c r="AV32" s="453">
        <f>AV26+AV30</f>
        <v>18.611999999999984</v>
      </c>
      <c r="AW32" s="453">
        <f>AW26+AW30</f>
        <v>-0.87700000000015077</v>
      </c>
      <c r="AX32" s="453">
        <f>AX26+AX30</f>
        <v>11.910999999999866</v>
      </c>
      <c r="AY32" s="453">
        <f>AY26+AY30</f>
        <v>108.93100000000007</v>
      </c>
      <c r="AZ32" s="421"/>
      <c r="BA32" s="453">
        <f>BA26+BA30</f>
        <v>31.407000000000053</v>
      </c>
      <c r="BB32" s="453">
        <f>BB26+BB30</f>
        <v>14.905000000000115</v>
      </c>
      <c r="BC32" s="453">
        <f>BC26+BC30</f>
        <v>17.201225300000008</v>
      </c>
      <c r="BD32" s="495">
        <f>BD26+BD30</f>
        <v>108.60832981119972</v>
      </c>
      <c r="BE32" s="454">
        <f t="shared" ref="BE32:BJ32" si="10">BE26-BE30</f>
        <v>67.975999999999999</v>
      </c>
      <c r="BF32" s="475">
        <f t="shared" si="10"/>
        <v>105.03500000000001</v>
      </c>
      <c r="BG32" s="475">
        <f t="shared" si="10"/>
        <v>67.169000000000153</v>
      </c>
      <c r="BH32" s="454">
        <f t="shared" si="10"/>
        <v>-47.198999999999927</v>
      </c>
      <c r="BI32" s="454">
        <f t="shared" si="10"/>
        <v>-48.970000000000013</v>
      </c>
      <c r="BJ32" s="475">
        <f t="shared" si="10"/>
        <v>-191.58299999999991</v>
      </c>
      <c r="BK32" s="452"/>
      <c r="BL32" s="450">
        <f>BL26+BL30</f>
        <v>36.068949999999866</v>
      </c>
      <c r="BM32" s="476">
        <f t="shared" ref="BM32:BU32" si="11">BM26+BM30</f>
        <v>56.080999999999705</v>
      </c>
      <c r="BN32" s="476">
        <f t="shared" si="11"/>
        <v>37.350000000000165</v>
      </c>
      <c r="BO32" s="476">
        <f t="shared" si="11"/>
        <v>62.211879829999255</v>
      </c>
      <c r="BP32" s="476">
        <f t="shared" si="11"/>
        <v>70.23899999999982</v>
      </c>
      <c r="BQ32" s="476">
        <f t="shared" si="11"/>
        <v>138.57699999999983</v>
      </c>
      <c r="BR32" s="476">
        <f t="shared" si="11"/>
        <v>172.12155511119988</v>
      </c>
      <c r="BS32" s="476">
        <f t="shared" si="11"/>
        <v>203.16552367677562</v>
      </c>
      <c r="BT32" s="476">
        <f t="shared" si="11"/>
        <v>230.53130241791331</v>
      </c>
      <c r="BU32" s="455">
        <f t="shared" si="11"/>
        <v>261.88827112205661</v>
      </c>
      <c r="BV32" s="476"/>
    </row>
    <row r="33" spans="1:81" s="1" customFormat="1">
      <c r="A33" s="1239" t="s">
        <v>366</v>
      </c>
      <c r="B33" s="477"/>
      <c r="C33" s="478"/>
      <c r="D33" s="478"/>
      <c r="E33" s="478"/>
      <c r="F33" s="478"/>
      <c r="G33" s="477"/>
      <c r="H33" s="479"/>
      <c r="I33" s="479"/>
      <c r="J33" s="479"/>
      <c r="K33" s="479"/>
      <c r="L33" s="479"/>
      <c r="M33" s="479"/>
      <c r="N33" s="479"/>
      <c r="O33" s="479"/>
      <c r="P33" s="479"/>
      <c r="Q33" s="479"/>
      <c r="R33" s="479"/>
      <c r="S33" s="479"/>
      <c r="T33" s="479"/>
      <c r="U33" s="479"/>
      <c r="V33" s="479"/>
      <c r="W33" s="479">
        <f>IF(ISERROR(W32/W34),"NA",W32/W34)</f>
        <v>-0.16495561162540875</v>
      </c>
      <c r="X33" s="479">
        <f>IF(ISERROR(X32/X34),"NA",X32/X34)</f>
        <v>-0.17396718759887525</v>
      </c>
      <c r="Y33" s="479">
        <f>IF(ISERROR(Y32/Y34),"NA",Y32/Y34)</f>
        <v>0.17436574426436544</v>
      </c>
      <c r="Z33" s="479">
        <f>IF(ISERROR(Z32/Z34),"NA",Z32/Z34)</f>
        <v>0.66896128091917073</v>
      </c>
      <c r="AA33" s="477"/>
      <c r="AB33" s="479">
        <f>IF(ISERROR(AB32/AB34),"NA",AB32/AB34)</f>
        <v>8.3336101087955083E-2</v>
      </c>
      <c r="AC33" s="479">
        <f>IF(ISERROR(AC32/AC34),"NA",AC32/AC34)</f>
        <v>-0.55459579536702297</v>
      </c>
      <c r="AD33" s="479">
        <f>IF(ISERROR(AD32/AD34),"NA",AD32/AD34)</f>
        <v>-3.6795870113880511E-2</v>
      </c>
      <c r="AE33" s="479">
        <f>IF(ISERROR(AE32/AE34),"NA",AE32/AE34)</f>
        <v>1.2923171909726181</v>
      </c>
      <c r="AF33" s="477"/>
      <c r="AG33" s="479">
        <f>IF(ISERROR(AG32/AG34),"NA",AG32/AG34)</f>
        <v>4.8881926189403832E-2</v>
      </c>
      <c r="AH33" s="479">
        <f>IF(ISERROR(AH32/AH34),"NA",AH32/AH34)</f>
        <v>-0.41076858156829316</v>
      </c>
      <c r="AI33" s="479">
        <f>IF(ISERROR(AI32/AI34),"NA",AI32/AI34)</f>
        <v>-0.13980039303281019</v>
      </c>
      <c r="AJ33" s="479">
        <f>IF(ISERROR(AJ32/AJ34),"NA",AJ32/AJ34)</f>
        <v>1.0240060468737626</v>
      </c>
      <c r="AK33" s="477"/>
      <c r="AL33" s="479">
        <f>IF(ISERROR(AL32/AL34),"NA",AL32/AL34)</f>
        <v>1.2006666286769456E-2</v>
      </c>
      <c r="AM33" s="479">
        <f>IF(ISERROR(AM32/AM34),"NA",AM32/AM34)</f>
        <v>-0.30626188679590105</v>
      </c>
      <c r="AN33" s="479">
        <f>IF(ISERROR(AN32/AN34),"NA",AN32/AN34)</f>
        <v>-2.3648214772447052E-2</v>
      </c>
      <c r="AO33" s="479">
        <f>IF(ISERROR(AO32/AO34),"NA",AO32/AO34)</f>
        <v>1.1673497046281529</v>
      </c>
      <c r="AP33" s="477"/>
      <c r="AQ33" s="479">
        <f>IF(ISERROR(AQ32/AQ34),"NA",AQ32/AQ34)</f>
        <v>8.4890033149183003E-2</v>
      </c>
      <c r="AR33" s="479">
        <f>IF(ISERROR(AR32/AR34),"NA",AR32/AR34)</f>
        <v>-0.18944192824982434</v>
      </c>
      <c r="AS33" s="479">
        <f>IF(ISERROR(AS32/AS34),"NA",AS32/AS34)</f>
        <v>-4.5306864083703297E-2</v>
      </c>
      <c r="AT33" s="479">
        <f>IF(ISERROR(AT32/AT34),"NA",AT32/AT34)</f>
        <v>1.0738148360870399</v>
      </c>
      <c r="AU33" s="477"/>
      <c r="AV33" s="479">
        <f>IF(ISERROR(AV32/AV34),"NA",AV32/AV34)</f>
        <v>0.24651655629139052</v>
      </c>
      <c r="AW33" s="479">
        <f>IF(ISERROR(AW32/AW34),"NA",AW32/AW34)</f>
        <v>-1.1615894039737095E-2</v>
      </c>
      <c r="AX33" s="479">
        <f>IF(ISERROR(AX32/AX34),"NA",AX32/AX34)</f>
        <v>0.15776158940397175</v>
      </c>
      <c r="AY33" s="479">
        <f>IF(ISERROR(AY32/AY34),"NA",AY32/AY34)</f>
        <v>1.4280414263240702</v>
      </c>
      <c r="AZ33" s="477"/>
      <c r="BA33" s="479">
        <f>IF(ISERROR(BA32/BA34),"NA",BA32/BA34)</f>
        <v>0.41054901960784385</v>
      </c>
      <c r="BB33" s="479">
        <f>IF(ISERROR(BB32/BB34),"NA",BB32/BB34)</f>
        <v>0.19480858961456674</v>
      </c>
      <c r="BC33" s="479">
        <f>IF(ISERROR(BC32/BC34),"NA",BC32/BC34)</f>
        <v>0.22540951239008805</v>
      </c>
      <c r="BD33" s="482">
        <f>IF(ISERROR(BD32/BD34),"NA",BD32/BD34)</f>
        <v>1.4232329521458209</v>
      </c>
      <c r="BE33" s="480"/>
      <c r="BF33" s="480"/>
      <c r="BG33" s="480"/>
      <c r="BH33" s="480"/>
      <c r="BI33" s="480"/>
      <c r="BJ33" s="480"/>
      <c r="BK33" s="479"/>
      <c r="BL33" s="481">
        <f t="shared" ref="BL33:BU33" si="12">IF(ISERROR(BL32/BL34),"NA",BL32/BL34)</f>
        <v>0.50440422595925227</v>
      </c>
      <c r="BM33" s="479">
        <f t="shared" si="12"/>
        <v>0.78426162657966991</v>
      </c>
      <c r="BN33" s="479">
        <f t="shared" si="12"/>
        <v>0.52231899846206298</v>
      </c>
      <c r="BO33" s="479">
        <f t="shared" si="12"/>
        <v>0.86999857470541597</v>
      </c>
      <c r="BP33" s="479">
        <f t="shared" si="12"/>
        <v>0.9458687905637555</v>
      </c>
      <c r="BQ33" s="479">
        <f>'qtrP&amp;L'!BC187</f>
        <v>1.83</v>
      </c>
      <c r="BR33" s="479">
        <f t="shared" si="12"/>
        <v>2.2526566844705891</v>
      </c>
      <c r="BS33" s="479">
        <f t="shared" si="12"/>
        <v>2.6623360154732034</v>
      </c>
      <c r="BT33" s="479">
        <f t="shared" si="12"/>
        <v>3.0249085095053641</v>
      </c>
      <c r="BU33" s="482">
        <f t="shared" si="12"/>
        <v>3.4408728189362456</v>
      </c>
      <c r="BV33" s="483"/>
      <c r="BW33" s="536"/>
      <c r="BX33"/>
      <c r="BY33"/>
      <c r="BZ33"/>
      <c r="CA33"/>
      <c r="CB33"/>
      <c r="CC33"/>
    </row>
    <row r="34" spans="1:81">
      <c r="A34" s="434" t="s">
        <v>197</v>
      </c>
      <c r="B34" s="421"/>
      <c r="C34" s="1240"/>
      <c r="D34" s="1240"/>
      <c r="E34" s="1240"/>
      <c r="F34" s="1240"/>
      <c r="G34" s="445"/>
      <c r="H34" s="445"/>
      <c r="I34" s="445"/>
      <c r="J34" s="445"/>
      <c r="K34" s="445"/>
      <c r="L34" s="445"/>
      <c r="M34" s="445"/>
      <c r="N34" s="445"/>
      <c r="O34" s="445"/>
      <c r="P34" s="445"/>
      <c r="Q34" s="445"/>
      <c r="R34" s="445"/>
      <c r="S34" s="445"/>
      <c r="T34" s="445"/>
      <c r="U34" s="445"/>
      <c r="V34" s="445"/>
      <c r="W34" s="763">
        <f>'yrP&amp;L'!L58</f>
        <v>71.508025000000004</v>
      </c>
      <c r="X34" s="763">
        <f>W34</f>
        <v>71.508025000000004</v>
      </c>
      <c r="Y34" s="763">
        <f>X34</f>
        <v>71.508025000000004</v>
      </c>
      <c r="Z34" s="763">
        <f>Y34</f>
        <v>71.508025000000004</v>
      </c>
      <c r="AA34" s="486"/>
      <c r="AB34" s="763">
        <f>'yrP&amp;L'!M58</f>
        <v>71.508025000000004</v>
      </c>
      <c r="AC34" s="763">
        <f>AB34</f>
        <v>71.508025000000004</v>
      </c>
      <c r="AD34" s="763">
        <f>AC34</f>
        <v>71.508025000000004</v>
      </c>
      <c r="AE34" s="763">
        <f>AD34</f>
        <v>71.508025000000004</v>
      </c>
      <c r="AF34" s="486"/>
      <c r="AG34" s="763">
        <f>'yrP&amp;L'!N58</f>
        <v>71.508025000000004</v>
      </c>
      <c r="AH34" s="763">
        <f>AG34</f>
        <v>71.508025000000004</v>
      </c>
      <c r="AI34" s="763">
        <f>AH34</f>
        <v>71.508025000000004</v>
      </c>
      <c r="AJ34" s="763">
        <f>AI34</f>
        <v>71.508025000000004</v>
      </c>
      <c r="AK34" s="486"/>
      <c r="AL34" s="763">
        <f>'qtrP&amp;L'!AU213</f>
        <v>70.633025000000004</v>
      </c>
      <c r="AM34" s="763">
        <f>'qtrP&amp;L'!AU214</f>
        <v>71.133025000000004</v>
      </c>
      <c r="AN34" s="763">
        <f>'qtrP&amp;L'!AU215</f>
        <v>71.633025000000004</v>
      </c>
      <c r="AO34" s="763">
        <f>'qtrP&amp;L'!AU216</f>
        <v>72.633025000000004</v>
      </c>
      <c r="AP34" s="486"/>
      <c r="AQ34" s="763">
        <f>'qtrP&amp;L'!AY213</f>
        <v>72.400000000000006</v>
      </c>
      <c r="AR34" s="763">
        <f>'qtrP&amp;L'!AY214</f>
        <v>73.7</v>
      </c>
      <c r="AS34" s="764">
        <f>'qtrP&amp;L'!AY215</f>
        <v>73.565011999999996</v>
      </c>
      <c r="AT34" s="764">
        <f>'qtrP&amp;L'!AY216</f>
        <v>75.448762000000002</v>
      </c>
      <c r="AU34" s="764"/>
      <c r="AV34" s="765">
        <f>'qtrP&amp;L'!BC213</f>
        <v>75.5</v>
      </c>
      <c r="AW34" s="765">
        <f>'qtrP&amp;L'!BC214</f>
        <v>75.5</v>
      </c>
      <c r="AX34" s="765">
        <f>'qtrP&amp;L'!BC215</f>
        <v>75.5</v>
      </c>
      <c r="AY34" s="765">
        <f>'qtrP&amp;L'!BC216</f>
        <v>76.28</v>
      </c>
      <c r="AZ34" s="765"/>
      <c r="BA34" s="765">
        <f>'qtrP&amp;L'!BG213</f>
        <v>76.5</v>
      </c>
      <c r="BB34" s="765">
        <f>'qtrP&amp;L'!BG214</f>
        <v>76.510999999999996</v>
      </c>
      <c r="BC34" s="764">
        <f>'qtrP&amp;L'!BG215</f>
        <v>76.310999999999993</v>
      </c>
      <c r="BD34" s="1230">
        <f>'qtrP&amp;L'!BG216</f>
        <v>76.310999999999993</v>
      </c>
      <c r="BE34" s="763">
        <f>'yrP&amp;L'!F58</f>
        <v>44.668281999999998</v>
      </c>
      <c r="BF34" s="487">
        <v>44.7</v>
      </c>
      <c r="BG34" s="487">
        <v>44.7</v>
      </c>
      <c r="BH34" s="487">
        <v>44.7</v>
      </c>
      <c r="BI34" s="487">
        <v>44.7</v>
      </c>
      <c r="BJ34" s="487">
        <v>44.7</v>
      </c>
      <c r="BK34" s="486"/>
      <c r="BL34" s="488">
        <f>'yrP&amp;L'!L58</f>
        <v>71.508025000000004</v>
      </c>
      <c r="BM34" s="487">
        <f>'yrP&amp;L'!M58</f>
        <v>71.508025000000004</v>
      </c>
      <c r="BN34" s="487">
        <f>'yrP&amp;L'!N58</f>
        <v>71.508025000000004</v>
      </c>
      <c r="BO34" s="489">
        <f>'yrP&amp;L'!O58</f>
        <v>71.508025000000004</v>
      </c>
      <c r="BP34" s="489">
        <f>'yrP&amp;L'!Q58</f>
        <v>74.258713999999998</v>
      </c>
      <c r="BQ34" s="489">
        <f>'yrP&amp;L'!R58</f>
        <v>75.864999999999995</v>
      </c>
      <c r="BR34" s="489">
        <f>'yrP&amp;L'!S58</f>
        <v>76.408249999999995</v>
      </c>
      <c r="BS34" s="489">
        <f>'yrP&amp;L'!T58</f>
        <v>76.310999999999993</v>
      </c>
      <c r="BT34" s="489">
        <f>'yrP&amp;L'!U58</f>
        <v>76.210999999999999</v>
      </c>
      <c r="BU34" s="490">
        <f>'yrP&amp;L'!V58</f>
        <v>76.111000000000004</v>
      </c>
      <c r="BV34" s="489"/>
    </row>
    <row r="35" spans="1:81" outlineLevel="1">
      <c r="A35" s="434" t="s">
        <v>198</v>
      </c>
      <c r="B35" s="421"/>
      <c r="C35" s="1240"/>
      <c r="D35" s="1240"/>
      <c r="E35" s="1240"/>
      <c r="F35" s="1240"/>
      <c r="G35" s="445"/>
      <c r="H35" s="445"/>
      <c r="I35" s="445"/>
      <c r="J35" s="445"/>
      <c r="K35" s="445"/>
      <c r="L35" s="445"/>
      <c r="M35" s="445"/>
      <c r="N35" s="445"/>
      <c r="O35" s="445"/>
      <c r="P35" s="445"/>
      <c r="Q35" s="445"/>
      <c r="R35" s="445"/>
      <c r="S35" s="445"/>
      <c r="T35" s="445"/>
      <c r="U35" s="445"/>
      <c r="V35" s="445"/>
      <c r="W35" s="445"/>
      <c r="X35" s="445"/>
      <c r="Y35" s="445"/>
      <c r="Z35" s="445"/>
      <c r="AA35" s="445"/>
      <c r="AB35" s="445"/>
      <c r="AC35" s="445"/>
      <c r="AD35" s="445"/>
      <c r="AE35" s="445"/>
      <c r="AF35" s="445"/>
      <c r="AG35" s="445"/>
      <c r="AH35" s="445"/>
      <c r="AI35" s="445"/>
      <c r="AJ35" s="445"/>
      <c r="AK35" s="445"/>
      <c r="AL35" s="763">
        <f>AL34</f>
        <v>70.633025000000004</v>
      </c>
      <c r="AM35" s="763">
        <f t="shared" ref="AM35:AO36" si="13">AM34</f>
        <v>71.133025000000004</v>
      </c>
      <c r="AN35" s="763">
        <f t="shared" si="13"/>
        <v>71.633025000000004</v>
      </c>
      <c r="AO35" s="763">
        <f t="shared" si="13"/>
        <v>72.633025000000004</v>
      </c>
      <c r="AP35" s="421"/>
      <c r="AQ35" s="763">
        <f t="shared" ref="AQ35:AT36" si="14">AQ34</f>
        <v>72.400000000000006</v>
      </c>
      <c r="AR35" s="763">
        <f t="shared" si="14"/>
        <v>73.7</v>
      </c>
      <c r="AS35" s="491">
        <f t="shared" si="14"/>
        <v>73.565011999999996</v>
      </c>
      <c r="AT35" s="491">
        <f t="shared" si="14"/>
        <v>75.448762000000002</v>
      </c>
      <c r="AU35" s="421"/>
      <c r="AV35" s="491">
        <f t="shared" ref="AV35:AY36" si="15">AV34</f>
        <v>75.5</v>
      </c>
      <c r="AW35" s="491">
        <f t="shared" si="15"/>
        <v>75.5</v>
      </c>
      <c r="AX35" s="491">
        <f t="shared" si="15"/>
        <v>75.5</v>
      </c>
      <c r="AY35" s="491">
        <f t="shared" si="15"/>
        <v>76.28</v>
      </c>
      <c r="AZ35" s="421"/>
      <c r="BA35" s="491">
        <f t="shared" ref="BA35:BD36" si="16">BA34</f>
        <v>76.5</v>
      </c>
      <c r="BB35" s="491">
        <f t="shared" si="16"/>
        <v>76.510999999999996</v>
      </c>
      <c r="BC35" s="491">
        <f t="shared" si="16"/>
        <v>76.310999999999993</v>
      </c>
      <c r="BD35" s="492">
        <f t="shared" si="16"/>
        <v>76.310999999999993</v>
      </c>
      <c r="BE35" s="1222">
        <v>40</v>
      </c>
      <c r="BF35" s="444">
        <v>40</v>
      </c>
      <c r="BG35" s="444">
        <v>40</v>
      </c>
      <c r="BH35" s="444">
        <v>40</v>
      </c>
      <c r="BI35" s="444">
        <v>40</v>
      </c>
      <c r="BJ35" s="444">
        <v>40</v>
      </c>
      <c r="BK35" s="445"/>
      <c r="BL35" s="488">
        <f t="shared" ref="BL35:BN36" si="17">BM35</f>
        <v>71.508025000000004</v>
      </c>
      <c r="BM35" s="487">
        <f t="shared" si="17"/>
        <v>71.508025000000004</v>
      </c>
      <c r="BN35" s="487">
        <f t="shared" si="17"/>
        <v>71.508025000000004</v>
      </c>
      <c r="BO35" s="491">
        <f t="shared" ref="BO35:BU36" si="18">BO34</f>
        <v>71.508025000000004</v>
      </c>
      <c r="BP35" s="491">
        <f t="shared" si="18"/>
        <v>74.258713999999998</v>
      </c>
      <c r="BQ35" s="491">
        <f t="shared" si="18"/>
        <v>75.864999999999995</v>
      </c>
      <c r="BR35" s="491">
        <f t="shared" si="18"/>
        <v>76.408249999999995</v>
      </c>
      <c r="BS35" s="491">
        <f t="shared" si="18"/>
        <v>76.310999999999993</v>
      </c>
      <c r="BT35" s="491">
        <f t="shared" si="18"/>
        <v>76.210999999999999</v>
      </c>
      <c r="BU35" s="492">
        <f t="shared" si="18"/>
        <v>76.111000000000004</v>
      </c>
      <c r="BV35" s="493"/>
    </row>
    <row r="36" spans="1:81" outlineLevel="1">
      <c r="A36" s="434" t="s">
        <v>201</v>
      </c>
      <c r="B36" s="421"/>
      <c r="C36" s="1240"/>
      <c r="D36" s="1240"/>
      <c r="E36" s="1240"/>
      <c r="F36" s="1240"/>
      <c r="G36" s="445"/>
      <c r="H36" s="1240"/>
      <c r="I36" s="445"/>
      <c r="J36" s="445"/>
      <c r="K36" s="445"/>
      <c r="L36" s="445"/>
      <c r="M36" s="445"/>
      <c r="N36" s="445"/>
      <c r="O36" s="445"/>
      <c r="P36" s="445"/>
      <c r="Q36" s="445"/>
      <c r="R36" s="445"/>
      <c r="S36" s="445"/>
      <c r="T36" s="445"/>
      <c r="U36" s="445"/>
      <c r="V36" s="445"/>
      <c r="W36" s="445"/>
      <c r="X36" s="445"/>
      <c r="Y36" s="445"/>
      <c r="Z36" s="445"/>
      <c r="AA36" s="445"/>
      <c r="AB36" s="445"/>
      <c r="AC36" s="445"/>
      <c r="AD36" s="445"/>
      <c r="AE36" s="445"/>
      <c r="AF36" s="445"/>
      <c r="AG36" s="445"/>
      <c r="AH36" s="445"/>
      <c r="AI36" s="445"/>
      <c r="AJ36" s="445"/>
      <c r="AK36" s="445"/>
      <c r="AL36" s="763">
        <f>AL35</f>
        <v>70.633025000000004</v>
      </c>
      <c r="AM36" s="763">
        <f t="shared" si="13"/>
        <v>71.133025000000004</v>
      </c>
      <c r="AN36" s="763">
        <f t="shared" si="13"/>
        <v>71.633025000000004</v>
      </c>
      <c r="AO36" s="763">
        <f t="shared" si="13"/>
        <v>72.633025000000004</v>
      </c>
      <c r="AP36" s="421"/>
      <c r="AQ36" s="763">
        <f t="shared" si="14"/>
        <v>72.400000000000006</v>
      </c>
      <c r="AR36" s="763">
        <f t="shared" si="14"/>
        <v>73.7</v>
      </c>
      <c r="AS36" s="491">
        <f t="shared" si="14"/>
        <v>73.565011999999996</v>
      </c>
      <c r="AT36" s="491">
        <f t="shared" si="14"/>
        <v>75.448762000000002</v>
      </c>
      <c r="AU36" s="421"/>
      <c r="AV36" s="491">
        <f t="shared" si="15"/>
        <v>75.5</v>
      </c>
      <c r="AW36" s="491">
        <f t="shared" si="15"/>
        <v>75.5</v>
      </c>
      <c r="AX36" s="491">
        <f t="shared" si="15"/>
        <v>75.5</v>
      </c>
      <c r="AY36" s="491">
        <f t="shared" si="15"/>
        <v>76.28</v>
      </c>
      <c r="AZ36" s="421"/>
      <c r="BA36" s="491">
        <f t="shared" si="16"/>
        <v>76.5</v>
      </c>
      <c r="BB36" s="491">
        <f t="shared" si="16"/>
        <v>76.510999999999996</v>
      </c>
      <c r="BC36" s="491">
        <f t="shared" si="16"/>
        <v>76.310999999999993</v>
      </c>
      <c r="BD36" s="492">
        <f t="shared" si="16"/>
        <v>76.310999999999993</v>
      </c>
      <c r="BE36" s="1222">
        <v>40</v>
      </c>
      <c r="BF36" s="444">
        <v>40</v>
      </c>
      <c r="BG36" s="444">
        <v>40</v>
      </c>
      <c r="BH36" s="444">
        <v>40</v>
      </c>
      <c r="BI36" s="444">
        <v>40</v>
      </c>
      <c r="BJ36" s="444">
        <v>40</v>
      </c>
      <c r="BK36" s="445"/>
      <c r="BL36" s="488">
        <f t="shared" si="17"/>
        <v>71.508025000000004</v>
      </c>
      <c r="BM36" s="487">
        <f t="shared" si="17"/>
        <v>71.508025000000004</v>
      </c>
      <c r="BN36" s="487">
        <f t="shared" si="17"/>
        <v>71.508025000000004</v>
      </c>
      <c r="BO36" s="491">
        <f t="shared" si="18"/>
        <v>71.508025000000004</v>
      </c>
      <c r="BP36" s="491">
        <f t="shared" si="18"/>
        <v>74.258713999999998</v>
      </c>
      <c r="BQ36" s="491">
        <f t="shared" si="18"/>
        <v>75.864999999999995</v>
      </c>
      <c r="BR36" s="491">
        <f t="shared" si="18"/>
        <v>76.408249999999995</v>
      </c>
      <c r="BS36" s="491">
        <f t="shared" si="18"/>
        <v>76.310999999999993</v>
      </c>
      <c r="BT36" s="491">
        <f t="shared" si="18"/>
        <v>76.210999999999999</v>
      </c>
      <c r="BU36" s="492">
        <f t="shared" si="18"/>
        <v>76.111000000000004</v>
      </c>
      <c r="BV36" s="493"/>
    </row>
    <row r="37" spans="1:81">
      <c r="A37" s="434"/>
      <c r="B37" s="421"/>
      <c r="C37" s="421"/>
      <c r="D37" s="421"/>
      <c r="E37" s="421"/>
      <c r="F37" s="421"/>
      <c r="G37" s="421"/>
      <c r="H37" s="421"/>
      <c r="I37" s="421"/>
      <c r="J37" s="421"/>
      <c r="K37" s="421"/>
      <c r="L37" s="421"/>
      <c r="M37" s="421"/>
      <c r="N37" s="421"/>
      <c r="O37" s="421"/>
      <c r="P37" s="421"/>
      <c r="Q37" s="421"/>
      <c r="R37" s="421"/>
      <c r="S37" s="421"/>
      <c r="T37" s="421"/>
      <c r="U37" s="421"/>
      <c r="V37" s="421"/>
      <c r="W37" s="421"/>
      <c r="X37" s="421"/>
      <c r="Y37" s="421"/>
      <c r="Z37" s="421"/>
      <c r="AA37" s="421"/>
      <c r="AB37" s="421"/>
      <c r="AC37" s="421"/>
      <c r="AD37" s="421"/>
      <c r="AE37" s="421"/>
      <c r="AF37" s="421"/>
      <c r="AG37" s="421"/>
      <c r="AH37" s="421"/>
      <c r="AI37" s="421"/>
      <c r="AJ37" s="421"/>
      <c r="AK37" s="421"/>
      <c r="AL37" s="421"/>
      <c r="AM37" s="421"/>
      <c r="AN37" s="421"/>
      <c r="AO37" s="421"/>
      <c r="AP37" s="421"/>
      <c r="AQ37" s="421"/>
      <c r="AR37" s="421"/>
      <c r="AS37" s="421"/>
      <c r="AT37" s="421"/>
      <c r="AU37" s="421"/>
      <c r="AV37" s="421"/>
      <c r="AW37" s="421"/>
      <c r="AX37" s="421"/>
      <c r="AY37" s="421"/>
      <c r="AZ37" s="421"/>
      <c r="BA37" s="421"/>
      <c r="BB37" s="421"/>
      <c r="BC37" s="421"/>
      <c r="BD37" s="435"/>
      <c r="BE37" s="433"/>
      <c r="BF37" s="433"/>
      <c r="BG37" s="433"/>
      <c r="BH37" s="433"/>
      <c r="BI37" s="433"/>
      <c r="BJ37" s="433"/>
      <c r="BK37" s="421"/>
      <c r="BL37" s="434"/>
      <c r="BM37" s="421"/>
      <c r="BN37" s="421"/>
      <c r="BO37" s="421"/>
      <c r="BP37" s="421"/>
      <c r="BQ37" s="421"/>
      <c r="BR37" s="421"/>
      <c r="BS37" s="421"/>
      <c r="BT37" s="421"/>
      <c r="BU37" s="435"/>
      <c r="BV37" s="421"/>
    </row>
    <row r="38" spans="1:81">
      <c r="A38" s="434" t="s">
        <v>340</v>
      </c>
      <c r="B38" s="421"/>
      <c r="C38" s="453"/>
      <c r="D38" s="453"/>
      <c r="E38" s="453"/>
      <c r="F38" s="453"/>
      <c r="G38" s="453"/>
      <c r="H38" s="453"/>
      <c r="I38" s="453"/>
      <c r="J38" s="453"/>
      <c r="K38" s="453"/>
      <c r="L38" s="453"/>
      <c r="M38" s="453"/>
      <c r="N38" s="453"/>
      <c r="O38" s="453"/>
      <c r="P38" s="453"/>
      <c r="Q38" s="453"/>
      <c r="R38" s="453"/>
      <c r="S38" s="453"/>
      <c r="T38" s="453"/>
      <c r="U38" s="453"/>
      <c r="V38" s="453"/>
      <c r="W38" s="453">
        <f>W19+W17+W18</f>
        <v>23.704999999999991</v>
      </c>
      <c r="X38" s="453">
        <f>X19+X17+X18</f>
        <v>26.178999999999935</v>
      </c>
      <c r="Y38" s="453">
        <f>Y19+Y17+Y18</f>
        <v>77.885999999999839</v>
      </c>
      <c r="Z38" s="453">
        <f>Z19+Z17+Z18</f>
        <v>146.95200000000008</v>
      </c>
      <c r="AA38" s="453"/>
      <c r="AB38" s="453">
        <f>AB19+AB17+AB18</f>
        <v>74.043000000000006</v>
      </c>
      <c r="AC38" s="453">
        <f>AC19+AC17+AC18</f>
        <v>-2.1439999999999753</v>
      </c>
      <c r="AD38" s="453">
        <f>AD19+AD17+AD18</f>
        <v>56.706999999999887</v>
      </c>
      <c r="AE38" s="453">
        <f>AE19+AE17+AE18</f>
        <v>179.99899999999974</v>
      </c>
      <c r="AF38" s="453"/>
      <c r="AG38" s="453">
        <f>AG19+AG17+AG18</f>
        <v>73.009000000000043</v>
      </c>
      <c r="AH38" s="453">
        <f>AH19+AH17+AH18</f>
        <v>18.99699999999995</v>
      </c>
      <c r="AI38" s="453">
        <f>AI19+AI17+AI18</f>
        <v>50.758999999999979</v>
      </c>
      <c r="AJ38" s="453">
        <f>AJ19+AJ17+AJ18</f>
        <v>172.31700000000018</v>
      </c>
      <c r="AK38" s="453"/>
      <c r="AL38" s="453">
        <f>AL19+AL17+AL18</f>
        <v>64.726579560000047</v>
      </c>
      <c r="AM38" s="453">
        <f>AM19+AM17+AM18</f>
        <v>27.958749399999999</v>
      </c>
      <c r="AN38" s="453">
        <f>AN19+AN17+AN18</f>
        <v>48.705032049999929</v>
      </c>
      <c r="AO38" s="453">
        <f>AO19+AO17+AO18</f>
        <v>190.09688434699478</v>
      </c>
      <c r="AP38" s="453"/>
      <c r="AQ38" s="453">
        <f>AQ19+AQ17+AQ18</f>
        <v>79.633158820000858</v>
      </c>
      <c r="AR38" s="453">
        <f>AR19+AR17+AR18</f>
        <v>43.9082359078471</v>
      </c>
      <c r="AS38" s="453">
        <f>AS19+AS17+AS18</f>
        <v>62.471999999999994</v>
      </c>
      <c r="AT38" s="453">
        <f>AT19+AT17+AT18</f>
        <v>194.76800000000009</v>
      </c>
      <c r="AU38" s="453"/>
      <c r="AV38" s="453">
        <f>AV19+AV17+AV18</f>
        <v>92.271999999999977</v>
      </c>
      <c r="AW38" s="453">
        <f>AW19+AW17+AW18</f>
        <v>58.040999999999855</v>
      </c>
      <c r="AX38" s="453">
        <f>AX19+AX17+AX18</f>
        <v>72.509999999999863</v>
      </c>
      <c r="AY38" s="453">
        <f>AY19+AY17+AY18</f>
        <v>225.09700000000007</v>
      </c>
      <c r="AZ38" s="453"/>
      <c r="BA38" s="453">
        <f>BA19+BA17+BA18</f>
        <v>101.38200000000005</v>
      </c>
      <c r="BB38" s="453">
        <f>BB19+BB17+BB18</f>
        <v>75.441000000000116</v>
      </c>
      <c r="BC38" s="453">
        <f>BC19+BC17+BC18</f>
        <v>78.198730000000012</v>
      </c>
      <c r="BD38" s="495">
        <f>BD19+BD17+BD18</f>
        <v>229.63212139999956</v>
      </c>
      <c r="BE38" s="454">
        <f t="shared" ref="BE38:BK38" si="19">+BE26+BE21+BE17+BE24</f>
        <v>204.75800000000001</v>
      </c>
      <c r="BF38" s="454">
        <f t="shared" si="19"/>
        <v>269.54100000000005</v>
      </c>
      <c r="BG38" s="454">
        <f t="shared" si="19"/>
        <v>243.81700000000012</v>
      </c>
      <c r="BH38" s="454">
        <f t="shared" si="19"/>
        <v>260.19700000000006</v>
      </c>
      <c r="BI38" s="454">
        <f t="shared" si="19"/>
        <v>250.64099999999996</v>
      </c>
      <c r="BJ38" s="475">
        <f t="shared" si="19"/>
        <v>262.35100000000006</v>
      </c>
      <c r="BK38" s="452">
        <f t="shared" si="19"/>
        <v>0</v>
      </c>
      <c r="BL38" s="494">
        <f>+BL26+BL21+BL17+BL24+BL18</f>
        <v>274.72199999999987</v>
      </c>
      <c r="BM38" s="453">
        <f t="shared" ref="BM38:BU38" si="20">+BM26+BM21+BM17+BM24+BM18</f>
        <v>308.60499999999968</v>
      </c>
      <c r="BN38" s="453">
        <f>+BN26+BN21+BN17+BN24+BN18</f>
        <v>315.08200000000011</v>
      </c>
      <c r="BO38" s="453">
        <f t="shared" si="20"/>
        <v>331.48724535699478</v>
      </c>
      <c r="BP38" s="453">
        <f t="shared" si="20"/>
        <v>383.18099999999981</v>
      </c>
      <c r="BQ38" s="453">
        <f t="shared" si="20"/>
        <v>447.91999999999985</v>
      </c>
      <c r="BR38" s="453">
        <f t="shared" si="20"/>
        <v>484.65385139999972</v>
      </c>
      <c r="BS38" s="453">
        <f t="shared" si="20"/>
        <v>525.85375873581825</v>
      </c>
      <c r="BT38" s="453">
        <f t="shared" si="20"/>
        <v>580.88472096619591</v>
      </c>
      <c r="BU38" s="495">
        <f t="shared" si="20"/>
        <v>634.20296482138542</v>
      </c>
      <c r="BV38" s="453"/>
    </row>
    <row r="39" spans="1:81">
      <c r="A39" s="434"/>
      <c r="B39" s="421"/>
      <c r="C39" s="421"/>
      <c r="D39" s="421"/>
      <c r="E39" s="421"/>
      <c r="F39" s="421"/>
      <c r="G39" s="421"/>
      <c r="H39" s="421"/>
      <c r="I39" s="421"/>
      <c r="J39" s="421"/>
      <c r="K39" s="421"/>
      <c r="L39" s="421"/>
      <c r="M39" s="421"/>
      <c r="N39" s="421"/>
      <c r="O39" s="421"/>
      <c r="P39" s="421"/>
      <c r="Q39" s="421"/>
      <c r="R39" s="421"/>
      <c r="S39" s="421"/>
      <c r="T39" s="421"/>
      <c r="U39" s="421"/>
      <c r="V39" s="421"/>
      <c r="W39" s="421"/>
      <c r="X39" s="421"/>
      <c r="Y39" s="421"/>
      <c r="Z39" s="421"/>
      <c r="AA39" s="421"/>
      <c r="AB39" s="421"/>
      <c r="AC39" s="421"/>
      <c r="AD39" s="421"/>
      <c r="AE39" s="421"/>
      <c r="AF39" s="421"/>
      <c r="AG39" s="421"/>
      <c r="AH39" s="421"/>
      <c r="AI39" s="421"/>
      <c r="AJ39" s="421"/>
      <c r="AK39" s="421"/>
      <c r="AL39" s="421"/>
      <c r="AM39" s="421"/>
      <c r="AN39" s="421"/>
      <c r="AO39" s="421"/>
      <c r="AP39" s="421"/>
      <c r="AQ39" s="421"/>
      <c r="AR39" s="421"/>
      <c r="AS39" s="421"/>
      <c r="AT39" s="421"/>
      <c r="AU39" s="421"/>
      <c r="AV39" s="421"/>
      <c r="AW39" s="421"/>
      <c r="AX39" s="421"/>
      <c r="AY39" s="421"/>
      <c r="AZ39" s="421"/>
      <c r="BA39" s="421"/>
      <c r="BB39" s="421"/>
      <c r="BC39" s="421"/>
      <c r="BD39" s="435"/>
      <c r="BE39" s="433"/>
      <c r="BF39" s="433"/>
      <c r="BG39" s="433"/>
      <c r="BH39" s="433"/>
      <c r="BI39" s="433"/>
      <c r="BJ39" s="433"/>
      <c r="BK39" s="421"/>
      <c r="BL39" s="434"/>
      <c r="BM39" s="421"/>
      <c r="BN39" s="421"/>
      <c r="BO39" s="421"/>
      <c r="BP39" s="421"/>
      <c r="BQ39" s="421"/>
      <c r="BR39" s="421"/>
      <c r="BS39" s="421"/>
      <c r="BT39" s="421"/>
      <c r="BU39" s="435"/>
      <c r="BV39" s="421"/>
    </row>
    <row r="40" spans="1:81">
      <c r="A40" s="1233" t="s">
        <v>203</v>
      </c>
      <c r="B40" s="421"/>
      <c r="C40" s="421"/>
      <c r="D40" s="421"/>
      <c r="E40" s="421"/>
      <c r="F40" s="421"/>
      <c r="G40" s="421"/>
      <c r="H40" s="421"/>
      <c r="I40" s="421"/>
      <c r="J40" s="421"/>
      <c r="K40" s="421"/>
      <c r="L40" s="421"/>
      <c r="M40" s="421"/>
      <c r="N40" s="421"/>
      <c r="O40" s="421"/>
      <c r="P40" s="421"/>
      <c r="Q40" s="421"/>
      <c r="R40" s="421"/>
      <c r="S40" s="421"/>
      <c r="T40" s="421"/>
      <c r="U40" s="421"/>
      <c r="V40" s="421"/>
      <c r="W40" s="421"/>
      <c r="X40" s="421"/>
      <c r="Y40" s="421"/>
      <c r="Z40" s="421"/>
      <c r="AA40" s="421"/>
      <c r="AB40" s="421"/>
      <c r="AC40" s="421"/>
      <c r="AD40" s="421"/>
      <c r="AE40" s="421"/>
      <c r="AF40" s="421"/>
      <c r="AG40" s="421"/>
      <c r="AH40" s="421"/>
      <c r="AI40" s="421"/>
      <c r="AJ40" s="421"/>
      <c r="AK40" s="421"/>
      <c r="AL40" s="421"/>
      <c r="AM40" s="421"/>
      <c r="AN40" s="421"/>
      <c r="AO40" s="421"/>
      <c r="AP40" s="421"/>
      <c r="AQ40" s="421"/>
      <c r="AR40" s="421"/>
      <c r="AS40" s="421"/>
      <c r="AT40" s="421"/>
      <c r="AU40" s="421"/>
      <c r="AV40" s="502"/>
      <c r="AW40" s="502"/>
      <c r="AX40" s="502"/>
      <c r="AY40" s="502"/>
      <c r="AZ40" s="421"/>
      <c r="BA40" s="502"/>
      <c r="BB40" s="502"/>
      <c r="BC40" s="502"/>
      <c r="BD40" s="1231"/>
      <c r="BE40" s="433"/>
      <c r="BF40" s="433"/>
      <c r="BG40" s="433"/>
      <c r="BH40" s="433"/>
      <c r="BI40" s="433"/>
      <c r="BJ40" s="433"/>
      <c r="BK40" s="421"/>
      <c r="BL40" s="434"/>
      <c r="BM40" s="421"/>
      <c r="BN40" s="421"/>
      <c r="BO40" s="421"/>
      <c r="BP40" s="421"/>
      <c r="BQ40" s="421"/>
      <c r="BR40" s="421"/>
      <c r="BS40" s="421"/>
      <c r="BT40" s="421"/>
      <c r="BU40" s="435"/>
      <c r="BV40" s="421"/>
    </row>
    <row r="41" spans="1:81">
      <c r="A41" s="434" t="s">
        <v>204</v>
      </c>
      <c r="B41" s="421"/>
      <c r="C41" s="498"/>
      <c r="D41" s="498"/>
      <c r="E41" s="498"/>
      <c r="F41" s="498"/>
      <c r="G41" s="498"/>
      <c r="H41" s="498"/>
      <c r="I41" s="498"/>
      <c r="J41" s="498"/>
      <c r="K41" s="498"/>
      <c r="L41" s="498"/>
      <c r="M41" s="498"/>
      <c r="N41" s="498"/>
      <c r="O41" s="498"/>
      <c r="P41" s="498"/>
      <c r="Q41" s="498"/>
      <c r="R41" s="498"/>
      <c r="S41" s="498"/>
      <c r="T41" s="498"/>
      <c r="U41" s="498"/>
      <c r="V41" s="498"/>
      <c r="W41" s="498">
        <f>W14/W10</f>
        <v>0.33231049475750052</v>
      </c>
      <c r="X41" s="498">
        <f>X14/X10</f>
        <v>0.39477558496842974</v>
      </c>
      <c r="Y41" s="498">
        <f>Y14/Y10</f>
        <v>0.39995346032779511</v>
      </c>
      <c r="Z41" s="498">
        <f>Z14/Z10</f>
        <v>0.39279101113960563</v>
      </c>
      <c r="AA41" s="498"/>
      <c r="AB41" s="498">
        <f>AB14/AB10</f>
        <v>0.38262369254636869</v>
      </c>
      <c r="AC41" s="498">
        <f>AC14/AC10</f>
        <v>0.35589982847341339</v>
      </c>
      <c r="AD41" s="498">
        <f>AD14/AD10</f>
        <v>0.38556326950101716</v>
      </c>
      <c r="AE41" s="498">
        <f>AE14/AE10</f>
        <v>0.40798728606686269</v>
      </c>
      <c r="AF41" s="498"/>
      <c r="AG41" s="498">
        <f>AG14/AG10</f>
        <v>0.3786300656239876</v>
      </c>
      <c r="AH41" s="498">
        <f>AH14/AH10</f>
        <v>0.36087018449635655</v>
      </c>
      <c r="AI41" s="498">
        <f>AI14/AI10</f>
        <v>0.39820933987490303</v>
      </c>
      <c r="AJ41" s="498">
        <f>AJ14/AJ10</f>
        <v>0.40123564423243036</v>
      </c>
      <c r="AK41" s="498"/>
      <c r="AL41" s="498">
        <f>AL14/AL10</f>
        <v>0.36902364402501026</v>
      </c>
      <c r="AM41" s="498">
        <f>AM14/AM10</f>
        <v>0.37102408405621468</v>
      </c>
      <c r="AN41" s="498">
        <f>AN14/AN10</f>
        <v>0.38590473405375675</v>
      </c>
      <c r="AO41" s="498">
        <f>AO14/AO10</f>
        <v>0.4137522724419348</v>
      </c>
      <c r="AP41" s="421"/>
      <c r="AQ41" s="498">
        <f>AQ14/AQ10</f>
        <v>0.37310370060575371</v>
      </c>
      <c r="AR41" s="498">
        <f>AR14/AR10</f>
        <v>0.37884395579022595</v>
      </c>
      <c r="AS41" s="498">
        <f>AS14/AS10</f>
        <v>0.38972683940471697</v>
      </c>
      <c r="AT41" s="498">
        <f>AT14/AT10</f>
        <v>0.41665186464279913</v>
      </c>
      <c r="AU41" s="421"/>
      <c r="AV41" s="498">
        <f>AV14/AV10</f>
        <v>0.38094461515826455</v>
      </c>
      <c r="AW41" s="498">
        <f>AW14/AW10</f>
        <v>0.38190998111310948</v>
      </c>
      <c r="AX41" s="498">
        <f>AX14/AX10</f>
        <v>0.39635804965384702</v>
      </c>
      <c r="AY41" s="498">
        <f>AY14/AY10</f>
        <v>0.42186416509914759</v>
      </c>
      <c r="AZ41" s="421"/>
      <c r="BA41" s="498">
        <f>BA14/BA10</f>
        <v>0.39738423865589123</v>
      </c>
      <c r="BB41" s="498">
        <f>BB14/BB10</f>
        <v>0.39179859082797164</v>
      </c>
      <c r="BC41" s="498">
        <f>BC14/BC10</f>
        <v>0.39900000000000002</v>
      </c>
      <c r="BD41" s="500">
        <f>BD14/BD10</f>
        <v>0.42399999999999993</v>
      </c>
      <c r="BE41" s="497">
        <f t="shared" ref="BE41:BT41" si="21">BE14/BE10</f>
        <v>0.38269136631281553</v>
      </c>
      <c r="BF41" s="497">
        <f t="shared" si="21"/>
        <v>0.37898176158807939</v>
      </c>
      <c r="BG41" s="497">
        <f t="shared" si="21"/>
        <v>0.37091801481838349</v>
      </c>
      <c r="BH41" s="497">
        <f t="shared" si="21"/>
        <v>0.38251620954514487</v>
      </c>
      <c r="BI41" s="497">
        <f t="shared" si="21"/>
        <v>0.38803138926621206</v>
      </c>
      <c r="BJ41" s="497">
        <f>BJ14/BJ10</f>
        <v>0.38405490110649509</v>
      </c>
      <c r="BK41" s="498"/>
      <c r="BL41" s="499">
        <f t="shared" si="21"/>
        <v>0.380709548969972</v>
      </c>
      <c r="BM41" s="498">
        <f t="shared" si="21"/>
        <v>0.38621518082887463</v>
      </c>
      <c r="BN41" s="498">
        <f t="shared" si="21"/>
        <v>0.38677171058401189</v>
      </c>
      <c r="BO41" s="498">
        <f t="shared" si="21"/>
        <v>0.38730639699926162</v>
      </c>
      <c r="BP41" s="498">
        <f t="shared" si="21"/>
        <v>0.39108861134594375</v>
      </c>
      <c r="BQ41" s="498">
        <f t="shared" si="21"/>
        <v>0.39748331292278499</v>
      </c>
      <c r="BR41" s="498">
        <f t="shared" si="21"/>
        <v>0.40456345956368894</v>
      </c>
      <c r="BS41" s="498">
        <f t="shared" si="21"/>
        <v>0.40700000000000003</v>
      </c>
      <c r="BT41" s="498">
        <f t="shared" si="21"/>
        <v>0.40788999999999992</v>
      </c>
      <c r="BU41" s="500">
        <f>BU14/BU10</f>
        <v>0.40789999999999993</v>
      </c>
      <c r="BV41" s="498"/>
    </row>
    <row r="42" spans="1:81">
      <c r="A42" s="434" t="s">
        <v>205</v>
      </c>
      <c r="B42" s="421"/>
      <c r="C42" s="498"/>
      <c r="D42" s="498"/>
      <c r="E42" s="498"/>
      <c r="F42" s="498"/>
      <c r="G42" s="498"/>
      <c r="H42" s="498"/>
      <c r="I42" s="498"/>
      <c r="J42" s="498"/>
      <c r="K42" s="498"/>
      <c r="L42" s="498"/>
      <c r="M42" s="498"/>
      <c r="N42" s="498"/>
      <c r="O42" s="498"/>
      <c r="P42" s="498"/>
      <c r="Q42" s="498"/>
      <c r="R42" s="498"/>
      <c r="S42" s="498"/>
      <c r="T42" s="498"/>
      <c r="U42" s="498"/>
      <c r="V42" s="498"/>
      <c r="W42" s="498">
        <f>W15/W$10</f>
        <v>0.31577641158349629</v>
      </c>
      <c r="X42" s="498">
        <f>X15/X10</f>
        <v>0.38024160530002371</v>
      </c>
      <c r="Y42" s="498">
        <f>Y15/Y10</f>
        <v>0.32276179711912556</v>
      </c>
      <c r="Z42" s="498">
        <f>Z15/Z10</f>
        <v>0.27131473427427316</v>
      </c>
      <c r="AA42" s="498"/>
      <c r="AB42" s="498">
        <f>AB15/AB10</f>
        <v>0.31131647363632503</v>
      </c>
      <c r="AC42" s="498">
        <f>AC15/AC10</f>
        <v>0.37293859348198971</v>
      </c>
      <c r="AD42" s="498">
        <f>AD15/AD10</f>
        <v>0.33281596297306182</v>
      </c>
      <c r="AE42" s="498">
        <f>AE15/AE10</f>
        <v>0.265624736950205</v>
      </c>
      <c r="AF42" s="498"/>
      <c r="AG42" s="498">
        <f>AG15/AG10</f>
        <v>0.31087493985992609</v>
      </c>
      <c r="AH42" s="498">
        <f>AH15/AH10</f>
        <v>0.34878092743546663</v>
      </c>
      <c r="AI42" s="498">
        <f>AI15/AI10</f>
        <v>0.35289535676888889</v>
      </c>
      <c r="AJ42" s="498">
        <f>AJ15/AJ10</f>
        <v>0.27270788238185101</v>
      </c>
      <c r="AK42" s="498"/>
      <c r="AL42" s="498">
        <f>AL15/AL10</f>
        <v>0.31311427792532048</v>
      </c>
      <c r="AM42" s="498">
        <f>AM15/AM10</f>
        <v>0.34989570387875946</v>
      </c>
      <c r="AN42" s="498">
        <f>AN15/AN10</f>
        <v>0.34570917660424394</v>
      </c>
      <c r="AO42" s="498">
        <f>AO15/AO10</f>
        <v>0.27292722089662252</v>
      </c>
      <c r="AP42" s="421"/>
      <c r="AQ42" s="498">
        <f>AQ15/AQ10</f>
        <v>0.30819075367355891</v>
      </c>
      <c r="AR42" s="498">
        <f>AR15/AR10</f>
        <v>0.34334242138411597</v>
      </c>
      <c r="AS42" s="498">
        <f>AS15/AS10</f>
        <v>0.34048691312933188</v>
      </c>
      <c r="AT42" s="498">
        <f>AT15/AT10</f>
        <v>0.28043502211309945</v>
      </c>
      <c r="AU42" s="421"/>
      <c r="AV42" s="498">
        <f>AV15/AV10</f>
        <v>0.30756938283334917</v>
      </c>
      <c r="AW42" s="498">
        <f>AW15/AW10</f>
        <v>0.33540855956557281</v>
      </c>
      <c r="AX42" s="498">
        <f>AX15/AX10</f>
        <v>0.34279421269653643</v>
      </c>
      <c r="AY42" s="498">
        <f>AY15/AY10</f>
        <v>0.28133747867523201</v>
      </c>
      <c r="AZ42" s="421"/>
      <c r="BA42" s="498">
        <f>BA15/BA10</f>
        <v>0.31923936168863937</v>
      </c>
      <c r="BB42" s="498">
        <f>BB15/BB10</f>
        <v>0.33350812519991818</v>
      </c>
      <c r="BC42" s="498">
        <f>BC15/BC10</f>
        <v>0.34399999999999997</v>
      </c>
      <c r="BD42" s="500">
        <f>BD15/BD10</f>
        <v>0.28339999999999999</v>
      </c>
      <c r="BE42" s="497">
        <f t="shared" ref="BE42:BT42" si="22">BE15/BE10</f>
        <v>0.31471034559923916</v>
      </c>
      <c r="BF42" s="497">
        <f t="shared" si="22"/>
        <v>0.2993146532326616</v>
      </c>
      <c r="BG42" s="497">
        <f t="shared" si="22"/>
        <v>0.30309915938492815</v>
      </c>
      <c r="BH42" s="497">
        <f t="shared" si="22"/>
        <v>0.30870935264967775</v>
      </c>
      <c r="BI42" s="497">
        <f t="shared" si="22"/>
        <v>0.31858574819369195</v>
      </c>
      <c r="BJ42" s="497">
        <f>BJ15/BJ10</f>
        <v>0.31227482361795916</v>
      </c>
      <c r="BK42" s="498"/>
      <c r="BL42" s="499">
        <f>BL15/BL$10</f>
        <v>0.31620414236623434</v>
      </c>
      <c r="BM42" s="498">
        <f t="shared" si="22"/>
        <v>0.31378988784069778</v>
      </c>
      <c r="BN42" s="498">
        <f t="shared" si="22"/>
        <v>0.31626482109859178</v>
      </c>
      <c r="BO42" s="498">
        <f t="shared" si="22"/>
        <v>0.31620391583440183</v>
      </c>
      <c r="BP42" s="498">
        <f t="shared" si="22"/>
        <v>0.31435054928251888</v>
      </c>
      <c r="BQ42" s="498">
        <f>BQ15/BQ10</f>
        <v>0.31397793002145186</v>
      </c>
      <c r="BR42" s="498">
        <f>BR15/BR10</f>
        <v>0.31758880459672728</v>
      </c>
      <c r="BS42" s="498">
        <f>BS15/BS10</f>
        <v>0.3206</v>
      </c>
      <c r="BT42" s="498">
        <f t="shared" si="22"/>
        <v>0.32050000000000001</v>
      </c>
      <c r="BU42" s="500">
        <f>BU15/BU10</f>
        <v>0.31969999999999998</v>
      </c>
      <c r="BV42" s="498"/>
    </row>
    <row r="43" spans="1:81">
      <c r="A43" s="434" t="s">
        <v>380</v>
      </c>
      <c r="B43" s="421"/>
      <c r="C43" s="498"/>
      <c r="D43" s="498"/>
      <c r="E43" s="498"/>
      <c r="F43" s="498"/>
      <c r="G43" s="498"/>
      <c r="H43" s="498"/>
      <c r="I43" s="498"/>
      <c r="J43" s="498"/>
      <c r="K43" s="498"/>
      <c r="L43" s="498"/>
      <c r="M43" s="498"/>
      <c r="N43" s="498"/>
      <c r="O43" s="498"/>
      <c r="P43" s="498"/>
      <c r="Q43" s="498"/>
      <c r="R43" s="498"/>
      <c r="S43" s="498"/>
      <c r="T43" s="498"/>
      <c r="U43" s="498"/>
      <c r="V43" s="498"/>
      <c r="W43" s="498">
        <f t="shared" ref="W43:Z45" si="23">W16/W$10</f>
        <v>-1.2024678239561083E-2</v>
      </c>
      <c r="X43" s="498">
        <f t="shared" si="23"/>
        <v>-2.2812413513690875E-2</v>
      </c>
      <c r="Y43" s="498">
        <f t="shared" si="23"/>
        <v>-1.2088851799801462E-2</v>
      </c>
      <c r="Z43" s="498">
        <f t="shared" si="23"/>
        <v>-9.7872389838850465E-3</v>
      </c>
      <c r="AA43" s="498"/>
      <c r="AB43" s="498">
        <f t="shared" ref="AB43:AE45" si="24">AB16/AB$10</f>
        <v>-1.14521649129631E-2</v>
      </c>
      <c r="AC43" s="498">
        <f t="shared" si="24"/>
        <v>-1.4096740994854202E-2</v>
      </c>
      <c r="AD43" s="498">
        <f t="shared" si="24"/>
        <v>-1.3330443516906591E-2</v>
      </c>
      <c r="AE43" s="498">
        <f t="shared" si="24"/>
        <v>-9.1532911106846186E-3</v>
      </c>
      <c r="AF43" s="498"/>
      <c r="AG43" s="498">
        <f t="shared" ref="AG43:AJ45" si="25">AG16/AG$10</f>
        <v>-1.0826827800805313E-2</v>
      </c>
      <c r="AH43" s="498">
        <f t="shared" si="25"/>
        <v>-1.1856068388565436E-2</v>
      </c>
      <c r="AI43" s="498">
        <f t="shared" si="25"/>
        <v>-1.1168814116081335E-2</v>
      </c>
      <c r="AJ43" s="498">
        <f t="shared" si="25"/>
        <v>-1.1221849070712161E-2</v>
      </c>
      <c r="AK43" s="498"/>
      <c r="AL43" s="498">
        <f t="shared" ref="AL43:AO45" si="26">AL16/AL$10</f>
        <v>-9.9753487685945979E-3</v>
      </c>
      <c r="AM43" s="498">
        <f t="shared" si="26"/>
        <v>-1.1224497539865224E-2</v>
      </c>
      <c r="AN43" s="498">
        <f t="shared" si="26"/>
        <v>-1.012507745782017E-2</v>
      </c>
      <c r="AO43" s="498">
        <f t="shared" si="26"/>
        <v>-9.7422862069214983E-3</v>
      </c>
      <c r="AP43" s="421"/>
      <c r="AQ43" s="498">
        <f t="shared" ref="AQ43:AT45" si="27">AQ16/AQ$10</f>
        <v>-9.8590308098413706E-3</v>
      </c>
      <c r="AR43" s="498">
        <f t="shared" si="27"/>
        <v>-1.006672441884887E-2</v>
      </c>
      <c r="AS43" s="498">
        <f t="shared" si="27"/>
        <v>-9.446670837631118E-3</v>
      </c>
      <c r="AT43" s="498">
        <f t="shared" si="27"/>
        <v>-9.7558453004885793E-3</v>
      </c>
      <c r="AU43" s="421"/>
      <c r="AV43" s="498">
        <f t="shared" ref="AV43:AY45" si="28">AV16/AV$10</f>
        <v>-8.4066831580057594E-3</v>
      </c>
      <c r="AW43" s="498">
        <f t="shared" si="28"/>
        <v>-9.1157274806651332E-3</v>
      </c>
      <c r="AX43" s="498">
        <f t="shared" si="28"/>
        <v>-9.0910504868261435E-3</v>
      </c>
      <c r="AY43" s="498">
        <f t="shared" si="28"/>
        <v>-1.1016843032203598E-2</v>
      </c>
      <c r="AZ43" s="421"/>
      <c r="BA43" s="498">
        <f t="shared" ref="BA43:BD45" si="29">BA16/BA$10</f>
        <v>-7.5499193193238889E-3</v>
      </c>
      <c r="BB43" s="498">
        <f t="shared" si="29"/>
        <v>-7.6419004070902566E-3</v>
      </c>
      <c r="BC43" s="498">
        <f t="shared" si="29"/>
        <v>-8.530440674441012E-3</v>
      </c>
      <c r="BD43" s="500">
        <f t="shared" si="29"/>
        <v>-8.4373452477301911E-3</v>
      </c>
      <c r="BE43" s="497"/>
      <c r="BF43" s="497"/>
      <c r="BG43" s="497"/>
      <c r="BH43" s="497"/>
      <c r="BI43" s="497"/>
      <c r="BJ43" s="497"/>
      <c r="BK43" s="498"/>
      <c r="BL43" s="499">
        <f t="shared" ref="BL43:BU45" si="30">BL16/BL$10</f>
        <v>-1.3476059875432669E-2</v>
      </c>
      <c r="BM43" s="498">
        <f t="shared" si="30"/>
        <v>-1.1672382999573251E-2</v>
      </c>
      <c r="BN43" s="498">
        <f t="shared" si="30"/>
        <v>-1.1244808820866113E-2</v>
      </c>
      <c r="BO43" s="498">
        <f t="shared" si="30"/>
        <v>-1.0203495544674871E-2</v>
      </c>
      <c r="BP43" s="498">
        <f t="shared" si="30"/>
        <v>-9.8075597012582498E-3</v>
      </c>
      <c r="BQ43" s="498">
        <f t="shared" si="30"/>
        <v>-9.5301613624165643E-3</v>
      </c>
      <c r="BR43" s="498">
        <f t="shared" si="30"/>
        <v>-8.0754165774322949E-3</v>
      </c>
      <c r="BS43" s="498">
        <f t="shared" si="30"/>
        <v>-8.0754165774322949E-3</v>
      </c>
      <c r="BT43" s="498">
        <f t="shared" si="30"/>
        <v>-8.0754165774322949E-3</v>
      </c>
      <c r="BU43" s="500">
        <f t="shared" si="30"/>
        <v>-8.0754165774322949E-3</v>
      </c>
      <c r="BV43" s="498"/>
    </row>
    <row r="44" spans="1:81">
      <c r="A44" s="434" t="s">
        <v>190</v>
      </c>
      <c r="B44" s="421"/>
      <c r="C44" s="498"/>
      <c r="D44" s="498"/>
      <c r="E44" s="498"/>
      <c r="F44" s="498"/>
      <c r="G44" s="498"/>
      <c r="H44" s="498"/>
      <c r="I44" s="498"/>
      <c r="J44" s="498"/>
      <c r="K44" s="498"/>
      <c r="L44" s="498"/>
      <c r="M44" s="498"/>
      <c r="N44" s="498"/>
      <c r="O44" s="498"/>
      <c r="P44" s="498"/>
      <c r="Q44" s="498"/>
      <c r="R44" s="498"/>
      <c r="S44" s="498"/>
      <c r="T44" s="498"/>
      <c r="U44" s="498"/>
      <c r="V44" s="498"/>
      <c r="W44" s="498">
        <f t="shared" si="23"/>
        <v>4.7803547527055831E-2</v>
      </c>
      <c r="X44" s="498">
        <f t="shared" si="23"/>
        <v>5.3733498055573786E-2</v>
      </c>
      <c r="Y44" s="498">
        <f t="shared" si="23"/>
        <v>4.1507426860497909E-2</v>
      </c>
      <c r="Z44" s="498">
        <f t="shared" si="23"/>
        <v>3.8260181381468299E-2</v>
      </c>
      <c r="AA44" s="498"/>
      <c r="AB44" s="498">
        <f t="shared" si="24"/>
        <v>4.1052758646127431E-2</v>
      </c>
      <c r="AC44" s="498">
        <f t="shared" si="24"/>
        <v>4.8721783876500856E-2</v>
      </c>
      <c r="AD44" s="498">
        <f t="shared" si="24"/>
        <v>4.3067586746928996E-2</v>
      </c>
      <c r="AE44" s="498">
        <f t="shared" si="24"/>
        <v>3.1619848011932766E-2</v>
      </c>
      <c r="AF44" s="498"/>
      <c r="AG44" s="498">
        <f t="shared" si="25"/>
        <v>3.9415293176805893E-2</v>
      </c>
      <c r="AH44" s="498">
        <f t="shared" si="25"/>
        <v>4.7100330371627114E-2</v>
      </c>
      <c r="AI44" s="498">
        <f t="shared" si="25"/>
        <v>4.3607002847563546E-2</v>
      </c>
      <c r="AJ44" s="498">
        <f t="shared" si="25"/>
        <v>3.2354966298768648E-2</v>
      </c>
      <c r="AK44" s="498"/>
      <c r="AL44" s="498">
        <f t="shared" si="26"/>
        <v>4.0652344246100078E-2</v>
      </c>
      <c r="AM44" s="498">
        <f t="shared" si="26"/>
        <v>4.6233131008008577E-2</v>
      </c>
      <c r="AN44" s="498">
        <f t="shared" si="26"/>
        <v>4.2221160691491628E-2</v>
      </c>
      <c r="AO44" s="498">
        <f t="shared" si="26"/>
        <v>3.4099610937635659E-2</v>
      </c>
      <c r="AP44" s="421"/>
      <c r="AQ44" s="498">
        <f t="shared" si="27"/>
        <v>4.1260427324030895E-2</v>
      </c>
      <c r="AR44" s="498">
        <f t="shared" si="27"/>
        <v>4.2239209417712517E-2</v>
      </c>
      <c r="AS44" s="498">
        <f t="shared" si="27"/>
        <v>3.8582360577997972E-2</v>
      </c>
      <c r="AT44" s="498">
        <f t="shared" si="27"/>
        <v>3.1390783173209161E-2</v>
      </c>
      <c r="AU44" s="421"/>
      <c r="AV44" s="498">
        <f t="shared" si="28"/>
        <v>3.6523205015825122E-2</v>
      </c>
      <c r="AW44" s="498">
        <f t="shared" si="28"/>
        <v>3.8855632672499793E-2</v>
      </c>
      <c r="AX44" s="498">
        <f t="shared" si="28"/>
        <v>3.6796245027184156E-2</v>
      </c>
      <c r="AY44" s="498">
        <f t="shared" si="28"/>
        <v>2.9110075523677052E-2</v>
      </c>
      <c r="AZ44" s="421"/>
      <c r="BA44" s="498">
        <f t="shared" si="29"/>
        <v>3.56322043110276E-2</v>
      </c>
      <c r="BB44" s="498">
        <f t="shared" si="29"/>
        <v>3.6484306312258678E-2</v>
      </c>
      <c r="BC44" s="498">
        <f t="shared" si="29"/>
        <v>3.0872071012262713E-2</v>
      </c>
      <c r="BD44" s="500">
        <f t="shared" si="29"/>
        <v>2.4013982628155163E-2</v>
      </c>
      <c r="BE44" s="497"/>
      <c r="BF44" s="497"/>
      <c r="BG44" s="497"/>
      <c r="BH44" s="497"/>
      <c r="BI44" s="497"/>
      <c r="BJ44" s="497"/>
      <c r="BK44" s="498"/>
      <c r="BL44" s="499">
        <f t="shared" si="30"/>
        <v>4.4391659858855487E-2</v>
      </c>
      <c r="BM44" s="498">
        <f t="shared" si="30"/>
        <v>3.9993165471350844E-2</v>
      </c>
      <c r="BN44" s="498">
        <f t="shared" si="30"/>
        <v>3.9715796077666211E-2</v>
      </c>
      <c r="BO44" s="498">
        <f t="shared" si="30"/>
        <v>4.0178516595314379E-2</v>
      </c>
      <c r="BP44" s="498">
        <f t="shared" si="30"/>
        <v>3.7988681204733234E-2</v>
      </c>
      <c r="BQ44" s="498">
        <f t="shared" si="30"/>
        <v>3.4807323869707037E-2</v>
      </c>
      <c r="BR44" s="498">
        <f t="shared" si="30"/>
        <v>3.1163584844826332E-2</v>
      </c>
      <c r="BS44" s="498">
        <f t="shared" si="30"/>
        <v>2.9600000000000001E-2</v>
      </c>
      <c r="BT44" s="498">
        <f t="shared" si="30"/>
        <v>2.9499999999999998E-2</v>
      </c>
      <c r="BU44" s="500">
        <f t="shared" si="30"/>
        <v>2.8400000000000002E-2</v>
      </c>
      <c r="BV44" s="498"/>
    </row>
    <row r="45" spans="1:81">
      <c r="A45" s="434" t="s">
        <v>368</v>
      </c>
      <c r="B45" s="421"/>
      <c r="C45" s="498"/>
      <c r="D45" s="498"/>
      <c r="E45" s="498"/>
      <c r="F45" s="498"/>
      <c r="G45" s="498"/>
      <c r="H45" s="498"/>
      <c r="I45" s="498"/>
      <c r="J45" s="498"/>
      <c r="K45" s="498"/>
      <c r="L45" s="498"/>
      <c r="M45" s="498"/>
      <c r="N45" s="498"/>
      <c r="O45" s="498"/>
      <c r="P45" s="498"/>
      <c r="Q45" s="498"/>
      <c r="R45" s="498"/>
      <c r="S45" s="498"/>
      <c r="T45" s="498"/>
      <c r="U45" s="498"/>
      <c r="V45" s="498"/>
      <c r="W45" s="498">
        <f t="shared" si="23"/>
        <v>3.5731883769876981E-2</v>
      </c>
      <c r="X45" s="498">
        <f t="shared" si="23"/>
        <v>1.7546913027227675E-4</v>
      </c>
      <c r="Y45" s="498">
        <f t="shared" si="23"/>
        <v>8.7428098499038268E-3</v>
      </c>
      <c r="Z45" s="498">
        <f t="shared" si="23"/>
        <v>3.701053756122049E-2</v>
      </c>
      <c r="AA45" s="498"/>
      <c r="AB45" s="498">
        <f t="shared" si="24"/>
        <v>1.2831432090651608E-3</v>
      </c>
      <c r="AC45" s="498">
        <f t="shared" si="24"/>
        <v>1.7331046312178387E-3</v>
      </c>
      <c r="AD45" s="498">
        <f t="shared" si="24"/>
        <v>2.936426369108795E-4</v>
      </c>
      <c r="AE45" s="498">
        <f t="shared" si="24"/>
        <v>5.6785085371232691E-3</v>
      </c>
      <c r="AF45" s="498"/>
      <c r="AG45" s="498">
        <f t="shared" si="25"/>
        <v>4.0656304455693314E-2</v>
      </c>
      <c r="AH45" s="498">
        <f t="shared" si="25"/>
        <v>6.5733996009322516E-3</v>
      </c>
      <c r="AI45" s="498">
        <f t="shared" si="25"/>
        <v>4.796013633586784E-4</v>
      </c>
      <c r="AJ45" s="498">
        <f t="shared" si="25"/>
        <v>-8.7588328368640603E-5</v>
      </c>
      <c r="AK45" s="498"/>
      <c r="AL45" s="498">
        <f t="shared" si="26"/>
        <v>1.0178927314892447E-3</v>
      </c>
      <c r="AM45" s="498">
        <f t="shared" si="26"/>
        <v>8.9101681502022911E-3</v>
      </c>
      <c r="AN45" s="498">
        <f t="shared" si="26"/>
        <v>2.1696594552471794E-3</v>
      </c>
      <c r="AO45" s="498">
        <f t="shared" si="26"/>
        <v>9.0294359966589487E-3</v>
      </c>
      <c r="AP45" s="421"/>
      <c r="AQ45" s="498">
        <f t="shared" si="27"/>
        <v>9.4834486837521749E-3</v>
      </c>
      <c r="AR45" s="498">
        <f t="shared" si="27"/>
        <v>1.1727215044638372E-2</v>
      </c>
      <c r="AS45" s="498">
        <f t="shared" si="27"/>
        <v>1.2416134492936604E-2</v>
      </c>
      <c r="AT45" s="498">
        <f t="shared" si="27"/>
        <v>1.5526760934948289E-2</v>
      </c>
      <c r="AU45" s="421"/>
      <c r="AV45" s="498">
        <f t="shared" si="28"/>
        <v>4.3890242486499228E-3</v>
      </c>
      <c r="AW45" s="498">
        <f t="shared" si="28"/>
        <v>2.5958694150238458E-3</v>
      </c>
      <c r="AX45" s="498">
        <f t="shared" si="28"/>
        <v>6.1803762576774064E-2</v>
      </c>
      <c r="AY45" s="498">
        <f t="shared" si="28"/>
        <v>2.0823206733442757E-3</v>
      </c>
      <c r="AZ45" s="421"/>
      <c r="BA45" s="498">
        <f t="shared" si="29"/>
        <v>2.6059562540836933E-3</v>
      </c>
      <c r="BB45" s="498">
        <f t="shared" si="29"/>
        <v>4.0464317114396033E-4</v>
      </c>
      <c r="BC45" s="498">
        <f t="shared" si="29"/>
        <v>2.4372687641260036E-3</v>
      </c>
      <c r="BD45" s="500">
        <f t="shared" si="29"/>
        <v>1.9470796725531213E-3</v>
      </c>
      <c r="BE45" s="497"/>
      <c r="BF45" s="497"/>
      <c r="BG45" s="497"/>
      <c r="BH45" s="497"/>
      <c r="BI45" s="497"/>
      <c r="BJ45" s="497"/>
      <c r="BK45" s="498"/>
      <c r="BL45" s="499">
        <f t="shared" si="30"/>
        <v>2.2380052422511589E-2</v>
      </c>
      <c r="BM45" s="498">
        <f t="shared" si="30"/>
        <v>2.5640382799006537E-3</v>
      </c>
      <c r="BN45" s="498">
        <f t="shared" si="30"/>
        <v>1.1237543894426091E-2</v>
      </c>
      <c r="BO45" s="498">
        <f t="shared" si="30"/>
        <v>5.445134641629378E-3</v>
      </c>
      <c r="BP45" s="498">
        <f t="shared" si="30"/>
        <v>1.2397281266664305E-2</v>
      </c>
      <c r="BQ45" s="498">
        <f t="shared" si="30"/>
        <v>1.7089818598135968E-2</v>
      </c>
      <c r="BR45" s="498">
        <f t="shared" si="30"/>
        <v>1.8721567575327538E-3</v>
      </c>
      <c r="BS45" s="498">
        <f t="shared" si="30"/>
        <v>0</v>
      </c>
      <c r="BT45" s="498">
        <f t="shared" si="30"/>
        <v>0</v>
      </c>
      <c r="BU45" s="500">
        <f t="shared" si="30"/>
        <v>0</v>
      </c>
      <c r="BV45" s="498"/>
    </row>
    <row r="46" spans="1:81">
      <c r="A46" s="434" t="s">
        <v>206</v>
      </c>
      <c r="B46" s="421"/>
      <c r="C46" s="498"/>
      <c r="D46" s="498"/>
      <c r="E46" s="498"/>
      <c r="F46" s="498"/>
      <c r="G46" s="498"/>
      <c r="H46" s="498"/>
      <c r="I46" s="498"/>
      <c r="J46" s="498"/>
      <c r="K46" s="498"/>
      <c r="L46" s="498"/>
      <c r="M46" s="498"/>
      <c r="N46" s="498"/>
      <c r="O46" s="498"/>
      <c r="P46" s="498"/>
      <c r="Q46" s="498"/>
      <c r="R46" s="498"/>
      <c r="S46" s="498"/>
      <c r="T46" s="498"/>
      <c r="U46" s="498"/>
      <c r="V46" s="498"/>
      <c r="W46" s="498">
        <f>W19/W10</f>
        <v>-5.4976669883367503E-2</v>
      </c>
      <c r="X46" s="498">
        <f>X19/X10</f>
        <v>-1.6562574003749143E-2</v>
      </c>
      <c r="Y46" s="498">
        <f>Y19/Y10</f>
        <v>3.9030278298069238E-2</v>
      </c>
      <c r="Z46" s="498">
        <f>Z19/Z10</f>
        <v>5.5992796906528704E-2</v>
      </c>
      <c r="AA46" s="498"/>
      <c r="AB46" s="498">
        <f>AB19/AB10</f>
        <v>4.0423481967814139E-2</v>
      </c>
      <c r="AC46" s="498">
        <f>AC19/AC10</f>
        <v>-5.3396912521440791E-2</v>
      </c>
      <c r="AD46" s="498">
        <f>AD19/AD10</f>
        <v>2.2716520661022064E-2</v>
      </c>
      <c r="AE46" s="498">
        <f>AE19/AE10</f>
        <v>0.11421748367828606</v>
      </c>
      <c r="AF46" s="498"/>
      <c r="AG46" s="498">
        <f>AG19/AG10</f>
        <v>-1.4896440676323783E-3</v>
      </c>
      <c r="AH46" s="498">
        <f>AH19/AH10</f>
        <v>-2.9728404523104018E-2</v>
      </c>
      <c r="AI46" s="498">
        <f>AI19/AI10</f>
        <v>1.2396193011173239E-2</v>
      </c>
      <c r="AJ46" s="498">
        <f>AJ19/AJ10</f>
        <v>0.10748223295089147</v>
      </c>
      <c r="AK46" s="498"/>
      <c r="AL46" s="498">
        <f>AL19/AL10</f>
        <v>2.421447789069503E-2</v>
      </c>
      <c r="AM46" s="498">
        <f>AM19/AM10</f>
        <v>-2.2790421440890423E-2</v>
      </c>
      <c r="AN46" s="498">
        <f>AN19/AN10</f>
        <v>5.9298147605941695E-3</v>
      </c>
      <c r="AO46" s="498">
        <f>AO19/AO10</f>
        <v>0.1074382908179394</v>
      </c>
      <c r="AP46" s="421"/>
      <c r="AQ46" s="498">
        <f>AQ19/AQ10</f>
        <v>2.4028101734253075E-2</v>
      </c>
      <c r="AR46" s="498">
        <f>AR19/AR10</f>
        <v>-8.3981656373920046E-3</v>
      </c>
      <c r="AS46" s="498">
        <f>AS19/AS10</f>
        <v>7.6881020420816459E-3</v>
      </c>
      <c r="AT46" s="498">
        <f>AT19/AT10</f>
        <v>9.9055143722030795E-2</v>
      </c>
      <c r="AU46" s="421"/>
      <c r="AV46" s="498">
        <f>AV19/AV10</f>
        <v>4.0869686218446118E-2</v>
      </c>
      <c r="AW46" s="498">
        <f>AW19/AW10</f>
        <v>1.4165646940678156E-2</v>
      </c>
      <c r="AX46" s="498">
        <f>AX19/AX10</f>
        <v>-3.5945120159821507E-2</v>
      </c>
      <c r="AY46" s="498">
        <f>AY19/AY10</f>
        <v>0.12035113325909783</v>
      </c>
      <c r="AZ46" s="421"/>
      <c r="BA46" s="498">
        <f>BA19/BA10</f>
        <v>4.7456635721464482E-2</v>
      </c>
      <c r="BB46" s="498">
        <f>BB19/BB10</f>
        <v>2.904341655174111E-2</v>
      </c>
      <c r="BC46" s="498">
        <f>BC19/BC10</f>
        <v>3.0221100898052307E-2</v>
      </c>
      <c r="BD46" s="500">
        <f>BD19/BD10</f>
        <v>0.12307628294702162</v>
      </c>
      <c r="BE46" s="497">
        <f t="shared" ref="BE46:BT46" si="31">BE19/BE10</f>
        <v>3.8639701254563001E-2</v>
      </c>
      <c r="BF46" s="497">
        <f t="shared" si="31"/>
        <v>5.1824153707685387E-2</v>
      </c>
      <c r="BG46" s="497">
        <f t="shared" si="31"/>
        <v>3.6943957650565344E-2</v>
      </c>
      <c r="BH46" s="497">
        <f t="shared" si="31"/>
        <v>2.3224359281680727E-2</v>
      </c>
      <c r="BI46" s="497">
        <f t="shared" si="31"/>
        <v>2.0769439478640742E-2</v>
      </c>
      <c r="BJ46" s="497">
        <f>BJ19/BJ10</f>
        <v>2.7089347020342647E-2</v>
      </c>
      <c r="BK46" s="498"/>
      <c r="BL46" s="499">
        <f t="shared" si="31"/>
        <v>1.120975419780326E-2</v>
      </c>
      <c r="BM46" s="498">
        <f t="shared" si="31"/>
        <v>4.1540472236498593E-2</v>
      </c>
      <c r="BN46" s="498">
        <f t="shared" si="31"/>
        <v>3.0798358334193924E-2</v>
      </c>
      <c r="BO46" s="498">
        <f t="shared" si="31"/>
        <v>3.5682325472590912E-2</v>
      </c>
      <c r="BP46" s="498">
        <f t="shared" si="31"/>
        <v>3.6159659293285587E-2</v>
      </c>
      <c r="BQ46" s="498">
        <f t="shared" si="31"/>
        <v>4.1138401795906665E-2</v>
      </c>
      <c r="BR46" s="498">
        <f t="shared" si="31"/>
        <v>6.2014329942034867E-2</v>
      </c>
      <c r="BS46" s="498">
        <f t="shared" si="31"/>
        <v>6.4875416577432329E-2</v>
      </c>
      <c r="BT46" s="498">
        <f t="shared" si="31"/>
        <v>6.5965416577432226E-2</v>
      </c>
      <c r="BU46" s="500">
        <f>BU19/BU10</f>
        <v>6.7875416577432263E-2</v>
      </c>
      <c r="BV46" s="498"/>
    </row>
    <row r="47" spans="1:81">
      <c r="A47" s="434" t="s">
        <v>207</v>
      </c>
      <c r="B47" s="421"/>
      <c r="C47" s="498"/>
      <c r="D47" s="498"/>
      <c r="E47" s="498"/>
      <c r="F47" s="498"/>
      <c r="G47" s="498"/>
      <c r="H47" s="498"/>
      <c r="I47" s="498"/>
      <c r="J47" s="498"/>
      <c r="K47" s="498"/>
      <c r="L47" s="498"/>
      <c r="M47" s="498"/>
      <c r="N47" s="498"/>
      <c r="O47" s="498"/>
      <c r="P47" s="498"/>
      <c r="Q47" s="498"/>
      <c r="R47" s="498"/>
      <c r="S47" s="498"/>
      <c r="T47" s="498"/>
      <c r="U47" s="498"/>
      <c r="V47" s="498"/>
      <c r="W47" s="498">
        <f>W22/W10</f>
        <v>-8.0177773922555845E-2</v>
      </c>
      <c r="X47" s="498">
        <f>X22/X10</f>
        <v>-4.0480585695984846E-2</v>
      </c>
      <c r="Y47" s="498">
        <f>Y22/Y10</f>
        <v>1.543145485766409E-2</v>
      </c>
      <c r="Z47" s="498">
        <f>Z22/Z10</f>
        <v>3.2632764606942893E-2</v>
      </c>
      <c r="AA47" s="498"/>
      <c r="AB47" s="498">
        <f>AB22/AB10</f>
        <v>9.837058695977792E-3</v>
      </c>
      <c r="AC47" s="498">
        <f>AC22/AC10</f>
        <v>-8.9152658662092585E-2</v>
      </c>
      <c r="AD47" s="498">
        <f>AD22/AD10</f>
        <v>-6.3307954219716019E-3</v>
      </c>
      <c r="AE47" s="498">
        <f>AE22/AE10</f>
        <v>9.6575049579625136E-2</v>
      </c>
      <c r="AF47" s="498"/>
      <c r="AG47" s="498">
        <f>AG22/AG10</f>
        <v>-3.4698804517582379E-2</v>
      </c>
      <c r="AH47" s="498">
        <f>AH22/AH10</f>
        <v>-7.0454491024757149E-2</v>
      </c>
      <c r="AI47" s="498">
        <f>AI22/AI10</f>
        <v>-2.6341353766651147E-2</v>
      </c>
      <c r="AJ47" s="498">
        <f>AJ22/AJ10</f>
        <v>8.2223543256063805E-2</v>
      </c>
      <c r="AK47" s="498"/>
      <c r="AL47" s="498">
        <f>AL22/AL10</f>
        <v>-5.7705731832538576E-3</v>
      </c>
      <c r="AM47" s="498">
        <f>AM22/AM10</f>
        <v>-5.4768033748878411E-2</v>
      </c>
      <c r="AN47" s="498">
        <f>AN22/AN10</f>
        <v>-2.2313673886453656E-2</v>
      </c>
      <c r="AO47" s="498">
        <f>AO22/AO10</f>
        <v>8.5849062609554841E-2</v>
      </c>
      <c r="AP47" s="421"/>
      <c r="AQ47" s="498">
        <f>AQ22/AQ10</f>
        <v>-8.110557610881905E-3</v>
      </c>
      <c r="AR47" s="498">
        <f>AR22/AR10</f>
        <v>-4.2693902186078256E-2</v>
      </c>
      <c r="AS47" s="498">
        <f>AS22/AS10</f>
        <v>-2.3048336217311009E-2</v>
      </c>
      <c r="AT47" s="498">
        <f>AT22/AT10</f>
        <v>7.8527172393738395E-2</v>
      </c>
      <c r="AU47" s="421"/>
      <c r="AV47" s="498">
        <f>AV22/AV10</f>
        <v>1.7336291256783605E-2</v>
      </c>
      <c r="AW47" s="498">
        <f>AW22/AW10</f>
        <v>-1.0313526214064986E-2</v>
      </c>
      <c r="AX47" s="498">
        <f>AX22/AX10</f>
        <v>-5.0309688479657812E-2</v>
      </c>
      <c r="AY47" s="498">
        <f>AY22/AY10</f>
        <v>0.11023710045093389</v>
      </c>
      <c r="AZ47" s="421"/>
      <c r="BA47" s="498">
        <f>BA22/BA10</f>
        <v>3.4944157476507975E-2</v>
      </c>
      <c r="BB47" s="498">
        <f>BB22/BB10</f>
        <v>1.6285358209711883E-2</v>
      </c>
      <c r="BC47" s="498">
        <f>BC22/BC10</f>
        <v>1.8034757077422289E-2</v>
      </c>
      <c r="BD47" s="500">
        <f>BD22/BD10</f>
        <v>0.1120428314692206</v>
      </c>
      <c r="BE47" s="497">
        <f t="shared" ref="BE47:BJ47" si="32">BE22/BE10</f>
        <v>4.0203359487545276E-2</v>
      </c>
      <c r="BF47" s="497">
        <f t="shared" si="32"/>
        <v>5.4100830041502075E-2</v>
      </c>
      <c r="BG47" s="497">
        <f t="shared" si="32"/>
        <v>3.2836832390448371E-2</v>
      </c>
      <c r="BH47" s="497">
        <f t="shared" si="32"/>
        <v>-1.4005802457836275E-2</v>
      </c>
      <c r="BI47" s="497">
        <f t="shared" si="32"/>
        <v>-1.4316117562842935E-2</v>
      </c>
      <c r="BJ47" s="497">
        <f t="shared" si="32"/>
        <v>7.8401351639505017E-6</v>
      </c>
      <c r="BK47" s="498"/>
      <c r="BL47" s="499">
        <f t="shared" ref="BL47:BU47" si="33">BL22/BL10</f>
        <v>-1.2754214266939281E-2</v>
      </c>
      <c r="BM47" s="498">
        <f t="shared" si="33"/>
        <v>1.4477864356951982E-2</v>
      </c>
      <c r="BN47" s="498">
        <f t="shared" si="33"/>
        <v>-2.7035904823236156E-3</v>
      </c>
      <c r="BO47" s="498">
        <f t="shared" si="33"/>
        <v>8.2883130930752683E-3</v>
      </c>
      <c r="BP47" s="498">
        <f t="shared" si="33"/>
        <v>7.3084083737492232E-3</v>
      </c>
      <c r="BQ47" s="498">
        <f t="shared" si="33"/>
        <v>2.3744086618268427E-2</v>
      </c>
      <c r="BR47" s="498">
        <f t="shared" si="33"/>
        <v>4.9972396454786946E-2</v>
      </c>
      <c r="BS47" s="498">
        <f t="shared" si="33"/>
        <v>5.5636412549791847E-2</v>
      </c>
      <c r="BT47" s="498">
        <f t="shared" si="33"/>
        <v>5.8266945099646549E-2</v>
      </c>
      <c r="BU47" s="500">
        <f t="shared" si="33"/>
        <v>6.174490504575738E-2</v>
      </c>
      <c r="BV47" s="498"/>
    </row>
    <row r="48" spans="1:81">
      <c r="A48" s="434" t="s">
        <v>208</v>
      </c>
      <c r="B48" s="421"/>
      <c r="C48" s="498"/>
      <c r="D48" s="498"/>
      <c r="E48" s="498"/>
      <c r="F48" s="498"/>
      <c r="G48" s="498"/>
      <c r="H48" s="498"/>
      <c r="I48" s="498"/>
      <c r="J48" s="498"/>
      <c r="K48" s="498"/>
      <c r="L48" s="498"/>
      <c r="M48" s="498"/>
      <c r="N48" s="498"/>
      <c r="O48" s="498"/>
      <c r="P48" s="498"/>
      <c r="Q48" s="498"/>
      <c r="R48" s="498"/>
      <c r="S48" s="498"/>
      <c r="T48" s="498"/>
      <c r="U48" s="498"/>
      <c r="V48" s="498"/>
      <c r="W48" s="498">
        <f>W24/W22</f>
        <v>0.53307989361542263</v>
      </c>
      <c r="X48" s="498">
        <f>X24/X22</f>
        <v>0.55878206935438279</v>
      </c>
      <c r="Y48" s="498">
        <f>Y24/Y22</f>
        <v>0.44205912940128256</v>
      </c>
      <c r="Z48" s="498">
        <f>Z24/Z22</f>
        <v>0.42780499822078555</v>
      </c>
      <c r="AA48" s="498"/>
      <c r="AB48" s="498">
        <f>AB24/AB22</f>
        <v>0.40768094534711874</v>
      </c>
      <c r="AC48" s="498">
        <f>AC24/AC22</f>
        <v>0.37695859627520412</v>
      </c>
      <c r="AD48" s="498">
        <f>AD24/AD22</f>
        <v>0.48555126081353606</v>
      </c>
      <c r="AE48" s="498">
        <f>AE24/AE22</f>
        <v>0.39807373834219556</v>
      </c>
      <c r="AF48" s="498"/>
      <c r="AG48" s="498">
        <f>AG24/AG22</f>
        <v>0.34682672622371158</v>
      </c>
      <c r="AH48" s="498">
        <f>AH24/AH22</f>
        <v>0.41384739243223867</v>
      </c>
      <c r="AI48" s="498">
        <f>AI24/AI22</f>
        <v>0.5658583981074683</v>
      </c>
      <c r="AJ48" s="498">
        <f>AJ24/AJ22</f>
        <v>0.42964935641366986</v>
      </c>
      <c r="AK48" s="498"/>
      <c r="AL48" s="498">
        <f>AL24/AL22</f>
        <v>0.30290396024379845</v>
      </c>
      <c r="AM48" s="498">
        <f>AM24/AM22</f>
        <v>0.33898878572985108</v>
      </c>
      <c r="AN48" s="498">
        <f>AN24/AN22</f>
        <v>0.65764218851672951</v>
      </c>
      <c r="AO48" s="498">
        <f>AO24/AO22</f>
        <v>0.34597583029670176</v>
      </c>
      <c r="AP48" s="421"/>
      <c r="AQ48" s="498">
        <f>AQ24/AQ22</f>
        <v>0.35702056318954828</v>
      </c>
      <c r="AR48" s="498">
        <f>AR24/AR22</f>
        <v>0.34460879829478119</v>
      </c>
      <c r="AS48" s="498">
        <f>AS24/AS22</f>
        <v>0.31294069696352145</v>
      </c>
      <c r="AT48" s="498">
        <f>AT24/AT22</f>
        <v>0.39314925985664756</v>
      </c>
      <c r="AU48" s="421"/>
      <c r="AV48" s="498">
        <f>AV24/AV22</f>
        <v>0.39805725971370182</v>
      </c>
      <c r="AW48" s="498">
        <f>AW24/AW22</f>
        <v>0.39886648703892408</v>
      </c>
      <c r="AX48" s="498">
        <f>AX24/AX22</f>
        <v>0.41236281194716767</v>
      </c>
      <c r="AY48" s="498">
        <f>AY24/AY22</f>
        <v>0.36396892672619102</v>
      </c>
      <c r="AZ48" s="421"/>
      <c r="BA48" s="498">
        <f>BA24/BA22</f>
        <v>0.37846205945671324</v>
      </c>
      <c r="BB48" s="498">
        <f>BB24/BB22</f>
        <v>0.41247182569496366</v>
      </c>
      <c r="BC48" s="498">
        <f>BC24/BC22</f>
        <v>0.38999999999999996</v>
      </c>
      <c r="BD48" s="500">
        <f>BD24/BD22</f>
        <v>0.39200000000000002</v>
      </c>
      <c r="BE48" s="497">
        <f t="shared" ref="BE48:BT48" si="34">BE24/BE22</f>
        <v>0.37085580100887111</v>
      </c>
      <c r="BF48" s="497">
        <f t="shared" si="34"/>
        <v>0.38417487898148034</v>
      </c>
      <c r="BG48" s="497">
        <f t="shared" si="34"/>
        <v>0.41056668012144343</v>
      </c>
      <c r="BH48" s="497">
        <f t="shared" si="34"/>
        <v>0.34000435657531747</v>
      </c>
      <c r="BI48" s="497">
        <f t="shared" si="34"/>
        <v>0.33588477702068614</v>
      </c>
      <c r="BJ48" s="501" t="s">
        <v>312</v>
      </c>
      <c r="BK48" s="498"/>
      <c r="BL48" s="499">
        <f t="shared" si="34"/>
        <v>0.66217840291996599</v>
      </c>
      <c r="BM48" s="498">
        <f t="shared" si="34"/>
        <v>0.41654118355669562</v>
      </c>
      <c r="BN48" s="498">
        <f t="shared" si="34"/>
        <v>0.39808061420346075</v>
      </c>
      <c r="BO48" s="498">
        <f t="shared" si="34"/>
        <v>0.16216556377819369</v>
      </c>
      <c r="BP48" s="498">
        <f t="shared" si="34"/>
        <v>0.50089622349960117</v>
      </c>
      <c r="BQ48" s="498">
        <f t="shared" si="34"/>
        <v>0.34186815493894174</v>
      </c>
      <c r="BR48" s="498">
        <f t="shared" si="34"/>
        <v>0.3911264036568351</v>
      </c>
      <c r="BS48" s="498">
        <f t="shared" si="34"/>
        <v>0.3911264036568351</v>
      </c>
      <c r="BT48" s="498">
        <f t="shared" si="34"/>
        <v>0.39100000000000001</v>
      </c>
      <c r="BU48" s="500">
        <f>BU24/BU22</f>
        <v>0.39199999999999996</v>
      </c>
      <c r="BV48" s="498"/>
    </row>
    <row r="49" spans="1:74">
      <c r="A49" s="434" t="s">
        <v>209</v>
      </c>
      <c r="B49" s="421"/>
      <c r="C49" s="498"/>
      <c r="D49" s="498"/>
      <c r="E49" s="498"/>
      <c r="F49" s="498"/>
      <c r="G49" s="498"/>
      <c r="H49" s="498"/>
      <c r="I49" s="498"/>
      <c r="J49" s="498"/>
      <c r="K49" s="498"/>
      <c r="L49" s="498"/>
      <c r="M49" s="498"/>
      <c r="N49" s="498"/>
      <c r="O49" s="498"/>
      <c r="P49" s="498"/>
      <c r="Q49" s="498"/>
      <c r="R49" s="498"/>
      <c r="S49" s="498"/>
      <c r="T49" s="498"/>
      <c r="U49" s="498"/>
      <c r="V49" s="498"/>
      <c r="W49" s="498">
        <f>W26/W10</f>
        <v>-3.7436614729598368E-2</v>
      </c>
      <c r="X49" s="498">
        <f>X26/X10</f>
        <v>-1.7860760252105007E-2</v>
      </c>
      <c r="Y49" s="498">
        <f>Y26/Y10</f>
        <v>8.6098393578899098E-3</v>
      </c>
      <c r="Z49" s="498">
        <f>Z26/Z10</f>
        <v>1.8672304802330376E-2</v>
      </c>
      <c r="AA49" s="498"/>
      <c r="AB49" s="498">
        <f>AB26/AB10</f>
        <v>5.8266773073664714E-3</v>
      </c>
      <c r="AC49" s="498">
        <f>AC26/AC10</f>
        <v>-5.5545797598627746E-2</v>
      </c>
      <c r="AD49" s="498">
        <f>AD26/AD10</f>
        <v>-3.2568697228807287E-3</v>
      </c>
      <c r="AE49" s="498">
        <f>AE26/AE10</f>
        <v>5.8131058562880873E-2</v>
      </c>
      <c r="AF49" s="498"/>
      <c r="AG49" s="498">
        <f>AG26/AG10</f>
        <v>-2.2664331742872752E-2</v>
      </c>
      <c r="AH49" s="498">
        <f>AH26/AH10</f>
        <v>-4.1297083629020834E-2</v>
      </c>
      <c r="AI49" s="498">
        <f>AI26/AI10</f>
        <v>-1.1435877520271802E-2</v>
      </c>
      <c r="AJ49" s="498">
        <f>AJ26/AJ10</f>
        <v>4.689625081404445E-2</v>
      </c>
      <c r="AK49" s="498"/>
      <c r="AL49" s="498">
        <f>AL26/AL10</f>
        <v>-4.0226437131696017E-3</v>
      </c>
      <c r="AM49" s="498">
        <f>AM26/AM10</f>
        <v>-3.6202284491534613E-2</v>
      </c>
      <c r="AN49" s="498">
        <f>AN26/AN10</f>
        <v>-7.6392605579176757E-3</v>
      </c>
      <c r="AO49" s="498">
        <f>AO26/AO10</f>
        <v>5.6147361893020574E-2</v>
      </c>
      <c r="AP49" s="421"/>
      <c r="AQ49" s="498">
        <f>AQ26/AQ10</f>
        <v>-5.21492176486357E-3</v>
      </c>
      <c r="AR49" s="498">
        <f>AR26/AR10</f>
        <v>-2.7981207859218895E-2</v>
      </c>
      <c r="AS49" s="498">
        <f>AS26/AS10</f>
        <v>-1.583557381761613E-2</v>
      </c>
      <c r="AT49" s="498">
        <f>AT26/AT10</f>
        <v>4.7654272688504778E-2</v>
      </c>
      <c r="AU49" s="421"/>
      <c r="AV49" s="498">
        <f>AV26/AV10</f>
        <v>1.0435454665509715E-2</v>
      </c>
      <c r="AW49" s="498">
        <f>AW26/AW10</f>
        <v>-6.1998062440770307E-3</v>
      </c>
      <c r="AX49" s="498">
        <f>AX26/AX10</f>
        <v>-2.9563843870000089E-2</v>
      </c>
      <c r="AY49" s="498">
        <f>AY26/AY10</f>
        <v>7.0114221314400163E-2</v>
      </c>
      <c r="AZ49" s="421"/>
      <c r="BA49" s="498">
        <f>BA26/BA10</f>
        <v>2.1719119671969066E-2</v>
      </c>
      <c r="BB49" s="498">
        <f>BB26/BB10</f>
        <v>9.5681067768555589E-3</v>
      </c>
      <c r="BC49" s="498">
        <f>BC26/BC10</f>
        <v>1.1001201817227597E-2</v>
      </c>
      <c r="BD49" s="500">
        <f>BD26/BD10</f>
        <v>6.8122041533286118E-2</v>
      </c>
      <c r="BE49" s="497">
        <f t="shared" ref="BE49:BJ49" si="35">BE26/BE10</f>
        <v>2.5293710401544076E-2</v>
      </c>
      <c r="BF49" s="497">
        <f t="shared" si="35"/>
        <v>3.331665020751038E-2</v>
      </c>
      <c r="BG49" s="497">
        <f t="shared" si="35"/>
        <v>1.9355123130197702E-2</v>
      </c>
      <c r="BH49" s="497">
        <f t="shared" si="35"/>
        <v>-9.2437686048386526E-3</v>
      </c>
      <c r="BI49" s="497">
        <f t="shared" si="35"/>
        <v>-9.5075516074455083E-3</v>
      </c>
      <c r="BJ49" s="497">
        <f t="shared" si="35"/>
        <v>8.0548988664564825E-3</v>
      </c>
      <c r="BK49" s="498"/>
      <c r="BL49" s="499">
        <f t="shared" ref="BL49:BU49" si="36">BL26/BL10</f>
        <v>-4.3086490331583826E-3</v>
      </c>
      <c r="BM49" s="498">
        <f t="shared" si="36"/>
        <v>8.4472376023339048E-3</v>
      </c>
      <c r="BN49" s="498">
        <f t="shared" si="36"/>
        <v>-1.6273435225655998E-3</v>
      </c>
      <c r="BO49" s="498">
        <f t="shared" si="36"/>
        <v>6.9442341275665325E-3</v>
      </c>
      <c r="BP49" s="498">
        <f t="shared" si="36"/>
        <v>3.6476542195453751E-3</v>
      </c>
      <c r="BQ49" s="498">
        <f t="shared" si="36"/>
        <v>1.5626739535370585E-2</v>
      </c>
      <c r="BR49" s="498">
        <f t="shared" si="36"/>
        <v>3.0426872747312553E-2</v>
      </c>
      <c r="BS49" s="498">
        <f t="shared" si="36"/>
        <v>3.3875542596823752E-2</v>
      </c>
      <c r="BT49" s="498">
        <f t="shared" si="36"/>
        <v>3.5484569565684743E-2</v>
      </c>
      <c r="BU49" s="500">
        <f t="shared" si="36"/>
        <v>3.7540902267820489E-2</v>
      </c>
      <c r="BV49" s="498"/>
    </row>
    <row r="50" spans="1:74">
      <c r="A50" s="434" t="s">
        <v>379</v>
      </c>
      <c r="B50" s="421"/>
      <c r="C50" s="498"/>
      <c r="D50" s="498"/>
      <c r="E50" s="498"/>
      <c r="F50" s="498"/>
      <c r="G50" s="498"/>
      <c r="H50" s="498"/>
      <c r="I50" s="498"/>
      <c r="J50" s="498"/>
      <c r="K50" s="498"/>
      <c r="L50" s="498"/>
      <c r="M50" s="498"/>
      <c r="N50" s="498"/>
      <c r="O50" s="498"/>
      <c r="P50" s="498"/>
      <c r="Q50" s="498"/>
      <c r="R50" s="498"/>
      <c r="S50" s="498"/>
      <c r="T50" s="498"/>
      <c r="U50" s="498"/>
      <c r="V50" s="498"/>
      <c r="W50" s="498">
        <f>W38/W10</f>
        <v>2.8558761413565309E-2</v>
      </c>
      <c r="X50" s="498">
        <f>X38/X10</f>
        <v>3.7346393182096919E-2</v>
      </c>
      <c r="Y50" s="498">
        <f>Y38/Y10</f>
        <v>8.9280515008470965E-2</v>
      </c>
      <c r="Z50" s="498">
        <f>Z38/Z10</f>
        <v>0.1312635158492175</v>
      </c>
      <c r="AA50" s="498"/>
      <c r="AB50" s="498">
        <f>AB38/AB10</f>
        <v>8.2759383823006724E-2</v>
      </c>
      <c r="AC50" s="498">
        <f>AC38/AC10</f>
        <v>-2.942024013722093E-3</v>
      </c>
      <c r="AD50" s="498">
        <f>AD38/AD10</f>
        <v>6.6077750044861938E-2</v>
      </c>
      <c r="AE50" s="498">
        <f>AE38/AE10</f>
        <v>0.1515158402273421</v>
      </c>
      <c r="AF50" s="498"/>
      <c r="AG50" s="498">
        <f>AG38/AG10</f>
        <v>7.858195356486683E-2</v>
      </c>
      <c r="AH50" s="498">
        <f>AH38/AH10</f>
        <v>2.3945325449455348E-2</v>
      </c>
      <c r="AI50" s="498">
        <f>AI38/AI10</f>
        <v>5.6482797222095468E-2</v>
      </c>
      <c r="AJ50" s="498">
        <f>AJ38/AJ10</f>
        <v>0.13974961092129146</v>
      </c>
      <c r="AK50" s="498"/>
      <c r="AL50" s="498">
        <f>AL38/AL10</f>
        <v>6.5884714868284358E-2</v>
      </c>
      <c r="AM50" s="498">
        <f>AM38/AM10</f>
        <v>3.2352877717320441E-2</v>
      </c>
      <c r="AN50" s="498">
        <f>AN38/AN10</f>
        <v>5.0320634907332983E-2</v>
      </c>
      <c r="AO50" s="498">
        <f>AO38/AO10</f>
        <v>0.15056733775223402</v>
      </c>
      <c r="AP50" s="421"/>
      <c r="AQ50" s="498">
        <f>AQ38/AQ10</f>
        <v>7.4771977742036144E-2</v>
      </c>
      <c r="AR50" s="498">
        <f>AR38/AR10</f>
        <v>4.5568258824958886E-2</v>
      </c>
      <c r="AS50" s="498">
        <f>AS38/AS10</f>
        <v>5.8686597113016221E-2</v>
      </c>
      <c r="AT50" s="498">
        <f>AT38/AT10</f>
        <v>0.14597268783018824</v>
      </c>
      <c r="AU50" s="421"/>
      <c r="AV50" s="498">
        <f>AV38/AV10</f>
        <v>8.1781915482921158E-2</v>
      </c>
      <c r="AW50" s="498">
        <f>AW38/AW10</f>
        <v>5.56171490282018E-2</v>
      </c>
      <c r="AX50" s="498">
        <f>AX38/AX10</f>
        <v>6.265488744413672E-2</v>
      </c>
      <c r="AY50" s="498">
        <f>AY38/AY10</f>
        <v>0.15154352945611915</v>
      </c>
      <c r="AZ50" s="421"/>
      <c r="BA50" s="498">
        <f>BA38/BA10</f>
        <v>8.5694796286575781E-2</v>
      </c>
      <c r="BB50" s="498">
        <f>BB38/BB10</f>
        <v>6.5932366035143755E-2</v>
      </c>
      <c r="BC50" s="498">
        <f>BC38/BC10</f>
        <v>6.3530440674441024E-2</v>
      </c>
      <c r="BD50" s="500">
        <f>BD38/BD10</f>
        <v>0.14903734524772991</v>
      </c>
      <c r="BE50" s="497">
        <f t="shared" ref="BE50:BJ50" si="37">BE38/BE10</f>
        <v>7.1594707618288372E-2</v>
      </c>
      <c r="BF50" s="497">
        <f t="shared" si="37"/>
        <v>8.4235774288714454E-2</v>
      </c>
      <c r="BG50" s="497">
        <f t="shared" si="37"/>
        <v>7.0253048936855647E-2</v>
      </c>
      <c r="BH50" s="497">
        <f t="shared" si="37"/>
        <v>7.560250984630898E-2</v>
      </c>
      <c r="BI50" s="497">
        <f t="shared" si="37"/>
        <v>7.3201803869364618E-2</v>
      </c>
      <c r="BJ50" s="497">
        <f t="shared" si="37"/>
        <v>7.3459546442580681E-2</v>
      </c>
      <c r="BK50" s="498"/>
      <c r="BL50" s="499">
        <f t="shared" ref="BL50:BU50" si="38">BL38/BL10</f>
        <v>7.7981466479170342E-2</v>
      </c>
      <c r="BM50" s="498">
        <f t="shared" si="38"/>
        <v>8.4097675987750087E-2</v>
      </c>
      <c r="BN50" s="498">
        <f t="shared" si="38"/>
        <v>8.1751698306286216E-2</v>
      </c>
      <c r="BO50" s="498">
        <f t="shared" si="38"/>
        <v>8.1305976709534655E-2</v>
      </c>
      <c r="BP50" s="498">
        <f t="shared" si="38"/>
        <v>8.6545621764683126E-2</v>
      </c>
      <c r="BQ50" s="498">
        <f t="shared" si="38"/>
        <v>9.3035544263749673E-2</v>
      </c>
      <c r="BR50" s="498">
        <f t="shared" si="38"/>
        <v>9.5050071544393946E-2</v>
      </c>
      <c r="BS50" s="498">
        <f t="shared" si="38"/>
        <v>9.4475416577432331E-2</v>
      </c>
      <c r="BT50" s="498">
        <f t="shared" si="38"/>
        <v>9.5465416577432224E-2</v>
      </c>
      <c r="BU50" s="500">
        <f t="shared" si="38"/>
        <v>9.6275416577432243E-2</v>
      </c>
      <c r="BV50" s="498"/>
    </row>
    <row r="51" spans="1:74">
      <c r="A51" s="434"/>
      <c r="B51" s="421"/>
      <c r="C51" s="421"/>
      <c r="D51" s="421"/>
      <c r="E51" s="421"/>
      <c r="F51" s="421"/>
      <c r="G51" s="421"/>
      <c r="H51" s="421"/>
      <c r="I51" s="421"/>
      <c r="J51" s="421"/>
      <c r="K51" s="421"/>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1"/>
      <c r="AI51" s="421"/>
      <c r="AJ51" s="421"/>
      <c r="AK51" s="421"/>
      <c r="AL51" s="421"/>
      <c r="AM51" s="421"/>
      <c r="AN51" s="421"/>
      <c r="AO51" s="421"/>
      <c r="AP51" s="421"/>
      <c r="AQ51" s="421"/>
      <c r="AR51" s="421"/>
      <c r="AS51" s="421"/>
      <c r="AT51" s="421"/>
      <c r="AU51" s="421"/>
      <c r="AV51" s="421"/>
      <c r="AW51" s="421"/>
      <c r="AX51" s="421"/>
      <c r="AY51" s="421"/>
      <c r="AZ51" s="421"/>
      <c r="BA51" s="421"/>
      <c r="BB51" s="421"/>
      <c r="BC51" s="421"/>
      <c r="BD51" s="435"/>
      <c r="BE51" s="433"/>
      <c r="BF51" s="433"/>
      <c r="BG51" s="433"/>
      <c r="BH51" s="433"/>
      <c r="BI51" s="433"/>
      <c r="BJ51" s="433"/>
      <c r="BK51" s="421"/>
      <c r="BL51" s="434"/>
      <c r="BM51" s="421"/>
      <c r="BN51" s="421"/>
      <c r="BO51" s="421"/>
      <c r="BP51" s="421"/>
      <c r="BQ51" s="421"/>
      <c r="BR51" s="421"/>
      <c r="BS51" s="502"/>
      <c r="BT51" s="421"/>
      <c r="BU51" s="435"/>
      <c r="BV51" s="421"/>
    </row>
    <row r="52" spans="1:74">
      <c r="A52" s="1233" t="s">
        <v>210</v>
      </c>
      <c r="B52" s="421"/>
      <c r="C52" s="421"/>
      <c r="D52" s="421"/>
      <c r="E52" s="421"/>
      <c r="F52" s="421"/>
      <c r="G52" s="421"/>
      <c r="H52" s="421"/>
      <c r="I52" s="421"/>
      <c r="J52" s="421"/>
      <c r="K52" s="421"/>
      <c r="L52" s="421"/>
      <c r="M52" s="421"/>
      <c r="N52" s="421"/>
      <c r="O52" s="421"/>
      <c r="P52" s="421"/>
      <c r="Q52" s="421"/>
      <c r="R52" s="421"/>
      <c r="S52" s="421"/>
      <c r="T52" s="421"/>
      <c r="U52" s="421"/>
      <c r="V52" s="421"/>
      <c r="W52" s="421"/>
      <c r="X52" s="421"/>
      <c r="Y52" s="421"/>
      <c r="Z52" s="421"/>
      <c r="AA52" s="421"/>
      <c r="AB52" s="421"/>
      <c r="AC52" s="421"/>
      <c r="AD52" s="421"/>
      <c r="AE52" s="421"/>
      <c r="AF52" s="421"/>
      <c r="AG52" s="421"/>
      <c r="AH52" s="421"/>
      <c r="AI52" s="421"/>
      <c r="AJ52" s="421"/>
      <c r="AK52" s="421"/>
      <c r="AL52" s="421"/>
      <c r="AM52" s="421"/>
      <c r="AN52" s="421"/>
      <c r="AO52" s="421"/>
      <c r="AP52" s="421"/>
      <c r="AQ52" s="421"/>
      <c r="AR52" s="421"/>
      <c r="AS52" s="421"/>
      <c r="AT52" s="421"/>
      <c r="AU52" s="502">
        <f>AU54+AP54</f>
        <v>0</v>
      </c>
      <c r="AV52" s="502"/>
      <c r="AW52" s="502"/>
      <c r="AX52" s="502"/>
      <c r="AY52" s="502"/>
      <c r="AZ52" s="421"/>
      <c r="BA52" s="502"/>
      <c r="BB52" s="502"/>
      <c r="BC52" s="421"/>
      <c r="BD52" s="435"/>
      <c r="BE52" s="433"/>
      <c r="BF52" s="433"/>
      <c r="BG52" s="433"/>
      <c r="BH52" s="433"/>
      <c r="BI52" s="433"/>
      <c r="BJ52" s="433"/>
      <c r="BK52" s="421"/>
      <c r="BL52" s="434"/>
      <c r="BM52" s="421"/>
      <c r="BN52" s="421"/>
      <c r="BO52" s="421"/>
      <c r="BP52" s="421"/>
      <c r="BQ52" s="421"/>
      <c r="BR52" s="421"/>
      <c r="BS52" s="421"/>
      <c r="BT52" s="421"/>
      <c r="BU52" s="435"/>
      <c r="BV52" s="421"/>
    </row>
    <row r="53" spans="1:74">
      <c r="A53" s="434" t="s">
        <v>98</v>
      </c>
      <c r="B53" s="421"/>
      <c r="C53" s="1241"/>
      <c r="D53" s="1241"/>
      <c r="E53" s="1241"/>
      <c r="F53" s="1241"/>
      <c r="G53" s="421"/>
      <c r="H53" s="498"/>
      <c r="I53" s="498"/>
      <c r="J53" s="498"/>
      <c r="K53" s="498"/>
      <c r="L53" s="498"/>
      <c r="M53" s="498"/>
      <c r="N53" s="498"/>
      <c r="O53" s="498"/>
      <c r="P53" s="498"/>
      <c r="Q53" s="498"/>
      <c r="R53" s="498"/>
      <c r="S53" s="498"/>
      <c r="T53" s="498"/>
      <c r="U53" s="498"/>
      <c r="V53" s="498"/>
      <c r="W53" s="505" t="s">
        <v>313</v>
      </c>
      <c r="X53" s="505" t="s">
        <v>313</v>
      </c>
      <c r="Y53" s="505" t="s">
        <v>313</v>
      </c>
      <c r="Z53" s="505" t="s">
        <v>313</v>
      </c>
      <c r="AA53" s="498"/>
      <c r="AB53" s="498">
        <f>((AB10/W10)-1)</f>
        <v>7.7869459774975391E-2</v>
      </c>
      <c r="AC53" s="498">
        <f>((AC10/X10)-1)</f>
        <v>3.9618932405867335E-2</v>
      </c>
      <c r="AD53" s="498">
        <f>((AD10/Y10)-1)</f>
        <v>-1.6263666730095161E-2</v>
      </c>
      <c r="AE53" s="498">
        <f>((AE10/Z10)-1)</f>
        <v>6.115930144999826E-2</v>
      </c>
      <c r="AF53" s="498"/>
      <c r="AG53" s="498">
        <f>((AG10/AB10)-1)</f>
        <v>3.8452940611035435E-2</v>
      </c>
      <c r="AH53" s="498">
        <f>((AH10/AC10)-1)</f>
        <v>8.8643567753001529E-2</v>
      </c>
      <c r="AI53" s="498">
        <f>((AI10/AD10)-1)</f>
        <v>4.716576592953059E-2</v>
      </c>
      <c r="AJ53" s="498">
        <f>((AJ10/AE10)-1)</f>
        <v>3.7923783741923289E-2</v>
      </c>
      <c r="AK53" s="498"/>
      <c r="AL53" s="498">
        <f>((AL10/AG10)-1)</f>
        <v>5.7412422264582874E-2</v>
      </c>
      <c r="AM53" s="498">
        <f>((AM10/AH10)-1)</f>
        <v>8.928255026476517E-2</v>
      </c>
      <c r="AN53" s="498">
        <f>((AN10/AI10)-1)</f>
        <v>7.7037588094760689E-2</v>
      </c>
      <c r="AO53" s="498">
        <f>((AO10/AJ10)-1)</f>
        <v>2.3921611998303893E-2</v>
      </c>
      <c r="AP53" s="421"/>
      <c r="AQ53" s="498">
        <f>((AQ10/AL10)-1)</f>
        <v>8.4069406697496074E-2</v>
      </c>
      <c r="AR53" s="498">
        <f>((AR10/AM10)-1)</f>
        <v>0.11500991512676628</v>
      </c>
      <c r="AS53" s="498">
        <f>((AS10/AN10)-1)</f>
        <v>9.9812775918825203E-2</v>
      </c>
      <c r="AT53" s="498">
        <f>((AT10/AO10)-1)</f>
        <v>5.6821822220536333E-2</v>
      </c>
      <c r="AU53" s="421"/>
      <c r="AV53" s="498">
        <f>((AV10/AQ10)-1)</f>
        <v>5.9394174551325118E-2</v>
      </c>
      <c r="AW53" s="498">
        <f>((AW10/AR10)-1)</f>
        <v>8.3035292345022826E-2</v>
      </c>
      <c r="AX53" s="498">
        <f>((AX10/AS10)-1)</f>
        <v>8.7167520587091429E-2</v>
      </c>
      <c r="AY53" s="498">
        <f>((AY10/AT10)-1)</f>
        <v>0.11323360891329171</v>
      </c>
      <c r="AZ53" s="421"/>
      <c r="BA53" s="498">
        <f>((BA10/AV10)-1)</f>
        <v>4.8561114415090589E-2</v>
      </c>
      <c r="BB53" s="498">
        <f>((BB10/AW10)-1)</f>
        <v>9.6434296906517281E-2</v>
      </c>
      <c r="BC53" s="498">
        <f>((BC10/AX10)-1)</f>
        <v>6.3591556841315899E-2</v>
      </c>
      <c r="BD53" s="500">
        <f>((BD10/AY10)-1)</f>
        <v>3.7302017959258471E-2</v>
      </c>
      <c r="BE53" s="504" t="s">
        <v>90</v>
      </c>
      <c r="BF53" s="497">
        <f>((BF10/BE10)-1)</f>
        <v>0.11884082294857268</v>
      </c>
      <c r="BG53" s="497">
        <f t="shared" ref="BG53:BQ53" si="39">((BG10/BF10)-1)</f>
        <v>8.4602355117755934E-2</v>
      </c>
      <c r="BH53" s="497">
        <f t="shared" si="39"/>
        <v>-8.3297940328835862E-3</v>
      </c>
      <c r="BI53" s="497">
        <f t="shared" si="39"/>
        <v>-5.134753874963871E-3</v>
      </c>
      <c r="BJ53" s="497">
        <f t="shared" si="39"/>
        <v>4.3047652536979841E-2</v>
      </c>
      <c r="BK53" s="498"/>
      <c r="BL53" s="503" t="s">
        <v>313</v>
      </c>
      <c r="BM53" s="498">
        <f t="shared" si="39"/>
        <v>4.1638257419851943E-2</v>
      </c>
      <c r="BN53" s="498">
        <f t="shared" si="39"/>
        <v>5.0286652339954108E-2</v>
      </c>
      <c r="BO53" s="498">
        <f t="shared" si="39"/>
        <v>5.7834048081879086E-2</v>
      </c>
      <c r="BP53" s="498">
        <f t="shared" si="39"/>
        <v>8.596170996477448E-2</v>
      </c>
      <c r="BQ53" s="498">
        <f t="shared" si="39"/>
        <v>8.7408410564600469E-2</v>
      </c>
      <c r="BR53" s="498">
        <f>((BR10/BQ10)-1)</f>
        <v>5.9077321360621937E-2</v>
      </c>
      <c r="BS53" s="498">
        <f>((BS10/BR10)-1)</f>
        <v>9.1608595682389993E-2</v>
      </c>
      <c r="BT53" s="498">
        <f>((BT10/BS10)-1)</f>
        <v>9.3195195577177259E-2</v>
      </c>
      <c r="BU53" s="500">
        <f>((BU10/BT10)-1)</f>
        <v>8.2602386578097819E-2</v>
      </c>
      <c r="BV53" s="498"/>
    </row>
    <row r="54" spans="1:74">
      <c r="A54" s="434" t="s">
        <v>211</v>
      </c>
      <c r="B54" s="421"/>
      <c r="C54" s="1241"/>
      <c r="D54" s="1241"/>
      <c r="E54" s="1241"/>
      <c r="F54" s="1241"/>
      <c r="G54" s="421"/>
      <c r="H54" s="1241"/>
      <c r="I54" s="1241"/>
      <c r="J54" s="1241"/>
      <c r="K54" s="1241"/>
      <c r="L54" s="421"/>
      <c r="M54" s="498"/>
      <c r="N54" s="498"/>
      <c r="O54" s="498"/>
      <c r="P54" s="498"/>
      <c r="Q54" s="498"/>
      <c r="R54" s="498"/>
      <c r="S54" s="498"/>
      <c r="T54" s="498"/>
      <c r="U54" s="498"/>
      <c r="V54" s="498"/>
      <c r="W54" s="498">
        <f>'qtrP&amp;L'!AK11/100</f>
        <v>-0.02</v>
      </c>
      <c r="X54" s="498">
        <f>'qtrP&amp;L'!AK12/100</f>
        <v>-7.0000000000000007E-2</v>
      </c>
      <c r="Y54" s="498">
        <f>'qtrP&amp;L'!AK13/100</f>
        <v>0</v>
      </c>
      <c r="Z54" s="498">
        <f>'qtrP&amp;L'!AK14/100</f>
        <v>-7.0000000000000007E-2</v>
      </c>
      <c r="AA54" s="498"/>
      <c r="AB54" s="498">
        <f>'qtrP&amp;L'!AO11/100</f>
        <v>3.3000000000000002E-2</v>
      </c>
      <c r="AC54" s="498">
        <f>'qtrP&amp;L'!AO12/100</f>
        <v>3.0000000000000001E-3</v>
      </c>
      <c r="AD54" s="498">
        <f>'qtrP&amp;L'!AO13/100</f>
        <v>-5.5999999999999994E-2</v>
      </c>
      <c r="AE54" s="498">
        <f>'qtrP&amp;L'!AO14/100</f>
        <v>1.2E-2</v>
      </c>
      <c r="AF54" s="498"/>
      <c r="AG54" s="498">
        <f>'qtrP&amp;L'!AS11/100</f>
        <v>5.0000000000000001E-3</v>
      </c>
      <c r="AH54" s="498">
        <f>'qtrP&amp;L'!AS12/100</f>
        <v>0.04</v>
      </c>
      <c r="AI54" s="498">
        <f>'qtrP&amp;L'!AS13/100</f>
        <v>1.4999999999999999E-2</v>
      </c>
      <c r="AJ54" s="498">
        <f>'qtrP&amp;L'!AS14/100</f>
        <v>-1.7000000000000001E-2</v>
      </c>
      <c r="AK54" s="498"/>
      <c r="AL54" s="498">
        <f>'qtrP&amp;L'!AW11/100</f>
        <v>6.0000000000000001E-3</v>
      </c>
      <c r="AM54" s="498">
        <f>'qtrP&amp;L'!AW12/100</f>
        <v>2.8999999999999998E-2</v>
      </c>
      <c r="AN54" s="498">
        <f>'qtrP&amp;L'!AW13/100</f>
        <v>2.1000000000000001E-2</v>
      </c>
      <c r="AO54" s="498">
        <f>'qtrP&amp;L'!AW14/100</f>
        <v>-3.0000000000000001E-3</v>
      </c>
      <c r="AP54" s="421"/>
      <c r="AQ54" s="498">
        <f>'qtrP&amp;L'!BA11/100</f>
        <v>3.4000000000000002E-2</v>
      </c>
      <c r="AR54" s="498">
        <f>'qtrP&amp;L'!BA12/100</f>
        <v>7.8E-2</v>
      </c>
      <c r="AS54" s="498">
        <f>'qtrP&amp;L'!BA13/100</f>
        <v>3.9E-2</v>
      </c>
      <c r="AT54" s="498">
        <f>'qtrP&amp;L'!BA14/100</f>
        <v>0.04</v>
      </c>
      <c r="AU54" s="421"/>
      <c r="AV54" s="498">
        <f>'qtrP&amp;L'!BE11/100</f>
        <v>2.7000000000000003E-2</v>
      </c>
      <c r="AW54" s="498">
        <f>'qtrP&amp;L'!BE12/100</f>
        <v>4.7E-2</v>
      </c>
      <c r="AX54" s="498">
        <f>'qtrP&amp;L'!BE13/100</f>
        <v>5.2000000000000005E-2</v>
      </c>
      <c r="AY54" s="498">
        <f>'qtrP&amp;L'!BE14/100</f>
        <v>6.7000000000000004E-2</v>
      </c>
      <c r="AZ54" s="421"/>
      <c r="BA54" s="498">
        <f>'qtrP&amp;L'!BJ11/100</f>
        <v>8.0000000000000002E-3</v>
      </c>
      <c r="BB54" s="498">
        <f>'qtrP&amp;L'!BJ12/100</f>
        <v>5.5999999999999994E-2</v>
      </c>
      <c r="BC54" s="498">
        <f>'qtrP&amp;L'!BJ13/100</f>
        <v>2.7999999999999997E-2</v>
      </c>
      <c r="BD54" s="500">
        <f>'qtrP&amp;L'!BJ14/100</f>
        <v>1E-3</v>
      </c>
      <c r="BE54" s="504" t="s">
        <v>90</v>
      </c>
      <c r="BF54" s="504" t="s">
        <v>90</v>
      </c>
      <c r="BG54" s="497">
        <f>yrSales!H40</f>
        <v>4.2999999999999997E-2</v>
      </c>
      <c r="BH54" s="497">
        <f>yrSales!I40</f>
        <v>-2.1999999999999999E-2</v>
      </c>
      <c r="BI54" s="497">
        <f>yrSales!J40</f>
        <v>-5.1999999999999998E-2</v>
      </c>
      <c r="BJ54" s="497">
        <f>yrSales!K40</f>
        <v>-2.5000000000000001E-2</v>
      </c>
      <c r="BK54" s="498"/>
      <c r="BL54" s="503" t="s">
        <v>313</v>
      </c>
      <c r="BM54" s="498">
        <f>yrSales!M40</f>
        <v>-2E-3</v>
      </c>
      <c r="BN54" s="498">
        <f>yrSales!N40</f>
        <v>6.9999999999999993E-3</v>
      </c>
      <c r="BO54" s="498">
        <f>yrSales!P40</f>
        <v>1.2E-2</v>
      </c>
      <c r="BP54" s="498">
        <f>yrSales!Q40</f>
        <v>4.7E-2</v>
      </c>
      <c r="BQ54" s="498">
        <f>yrSales!R40</f>
        <v>4.9000000000000002E-2</v>
      </c>
      <c r="BR54" s="498">
        <f>yrSales!S40</f>
        <v>2.1484157270581374E-2</v>
      </c>
      <c r="BS54" s="498">
        <f>yrSales!T40</f>
        <v>4.494161951463501E-2</v>
      </c>
      <c r="BT54" s="498">
        <f>yrSales!U40</f>
        <v>3.4000000000000002E-2</v>
      </c>
      <c r="BU54" s="500">
        <f>yrSales!V40</f>
        <v>2.9999999999999995E-2</v>
      </c>
      <c r="BV54" s="498"/>
    </row>
    <row r="55" spans="1:74">
      <c r="A55" s="434" t="s">
        <v>189</v>
      </c>
      <c r="B55" s="421"/>
      <c r="C55" s="1241"/>
      <c r="D55" s="1241"/>
      <c r="E55" s="1241"/>
      <c r="F55" s="1241"/>
      <c r="G55" s="421"/>
      <c r="H55" s="498"/>
      <c r="I55" s="498"/>
      <c r="J55" s="498"/>
      <c r="K55" s="498"/>
      <c r="L55" s="498"/>
      <c r="M55" s="498"/>
      <c r="N55" s="498"/>
      <c r="O55" s="498"/>
      <c r="P55" s="498"/>
      <c r="Q55" s="498"/>
      <c r="R55" s="498"/>
      <c r="S55" s="498"/>
      <c r="T55" s="498"/>
      <c r="U55" s="498"/>
      <c r="V55" s="498"/>
      <c r="W55" s="505" t="s">
        <v>313</v>
      </c>
      <c r="X55" s="505" t="s">
        <v>313</v>
      </c>
      <c r="Y55" s="505" t="s">
        <v>313</v>
      </c>
      <c r="Z55" s="505" t="s">
        <v>313</v>
      </c>
      <c r="AA55" s="498"/>
      <c r="AB55" s="498">
        <f>((AB15/W15)-1)</f>
        <v>6.2645932211149669E-2</v>
      </c>
      <c r="AC55" s="498">
        <f>((AC15/X15)-1)</f>
        <v>1.9651760892320569E-2</v>
      </c>
      <c r="AD55" s="498">
        <f>((AD15/Y15)-1)</f>
        <v>1.4380134176702697E-2</v>
      </c>
      <c r="AE55" s="498">
        <f>((AE15/Z15)-1)</f>
        <v>3.8904728354986151E-2</v>
      </c>
      <c r="AF55" s="498"/>
      <c r="AG55" s="498">
        <f>((AG15/AB15)-1)</f>
        <v>3.6980124080882248E-2</v>
      </c>
      <c r="AH55" s="498">
        <f>((AH15/AC15)-1)</f>
        <v>1.8125020696963201E-2</v>
      </c>
      <c r="AI55" s="498">
        <f>((AI15/AD15)-1)</f>
        <v>0.11034318565356527</v>
      </c>
      <c r="AJ55" s="498">
        <f>((AJ15/AE15)-1)</f>
        <v>6.5601044495640304E-2</v>
      </c>
      <c r="AK55" s="498"/>
      <c r="AL55" s="498">
        <f>((AL15/AG15)-1)</f>
        <v>6.5029324061379068E-2</v>
      </c>
      <c r="AM55" s="498">
        <f>((AM15/AH15)-1)</f>
        <v>9.2764124031007755E-2</v>
      </c>
      <c r="AN55" s="498">
        <f>((AN15/AI15)-1)</f>
        <v>5.5105346698871793E-2</v>
      </c>
      <c r="AO55" s="498">
        <f>((AO15/AJ15)-1)</f>
        <v>2.4745150517457182E-2</v>
      </c>
      <c r="AP55" s="421"/>
      <c r="AQ55" s="498">
        <f>((AQ15/AL15)-1)</f>
        <v>6.7023099994928836E-2</v>
      </c>
      <c r="AR55" s="498">
        <f>((AR15/AM15)-1)</f>
        <v>9.4126620827485352E-2</v>
      </c>
      <c r="AS55" s="498">
        <f>((AS15/AN15)-1)</f>
        <v>8.3199065674455452E-2</v>
      </c>
      <c r="AT55" s="498">
        <f>((AT15/AO15)-1)</f>
        <v>8.5893338562513799E-2</v>
      </c>
      <c r="AU55" s="421"/>
      <c r="AV55" s="498">
        <f>((AV15/AQ15)-1)</f>
        <v>5.7258235557348769E-2</v>
      </c>
      <c r="AW55" s="498">
        <f>((AW15/AR15)-1)</f>
        <v>5.8008812018381706E-2</v>
      </c>
      <c r="AX55" s="498">
        <f>((AX15/AS15)-1)</f>
        <v>9.4534679361786056E-2</v>
      </c>
      <c r="AY55" s="498">
        <f>((AY15/AT15)-1)</f>
        <v>0.11681606080528528</v>
      </c>
      <c r="AZ55" s="421"/>
      <c r="BA55" s="498">
        <f>((BA15/AV15)-1)</f>
        <v>8.8346238412084555E-2</v>
      </c>
      <c r="BB55" s="498">
        <f>((BB15/AW15)-1)</f>
        <v>9.0221869232571139E-2</v>
      </c>
      <c r="BC55" s="498">
        <f>((BC15/AX15)-1)</f>
        <v>6.7332767012928674E-2</v>
      </c>
      <c r="BD55" s="500">
        <f>((BD15/AY15)-1)</f>
        <v>4.4906612776629107E-2</v>
      </c>
      <c r="BE55" s="504" t="s">
        <v>90</v>
      </c>
      <c r="BF55" s="497">
        <f>((BF15/BE15)-1)</f>
        <v>6.4106908547106434E-2</v>
      </c>
      <c r="BG55" s="497">
        <f t="shared" ref="BG55:BQ55" si="40">((BG15/BF15)-1)</f>
        <v>9.8315964663344246E-2</v>
      </c>
      <c r="BH55" s="497">
        <f t="shared" si="40"/>
        <v>1.002545816134659E-2</v>
      </c>
      <c r="BI55" s="497">
        <f t="shared" si="40"/>
        <v>2.6693509828060513E-2</v>
      </c>
      <c r="BJ55" s="497">
        <f t="shared" si="40"/>
        <v>2.2385726818777263E-2</v>
      </c>
      <c r="BK55" s="498"/>
      <c r="BL55" s="503" t="s">
        <v>313</v>
      </c>
      <c r="BM55" s="498">
        <f t="shared" si="40"/>
        <v>3.3685231067542842E-2</v>
      </c>
      <c r="BN55" s="498">
        <f t="shared" si="40"/>
        <v>5.8570505538939166E-2</v>
      </c>
      <c r="BO55" s="498">
        <f t="shared" si="40"/>
        <v>5.7630333796035549E-2</v>
      </c>
      <c r="BP55" s="498">
        <f t="shared" si="40"/>
        <v>7.9596560739587874E-2</v>
      </c>
      <c r="BQ55" s="498">
        <f t="shared" si="40"/>
        <v>8.6119437730459047E-2</v>
      </c>
      <c r="BR55" s="498">
        <f>((BR15/BQ15)-1)</f>
        <v>7.1257143594275707E-2</v>
      </c>
      <c r="BS55" s="498">
        <f>((BS15/BR15)-1)</f>
        <v>0.10195860405143686</v>
      </c>
      <c r="BT55" s="498">
        <f>((BT15/BS15)-1)</f>
        <v>9.2854211423846866E-2</v>
      </c>
      <c r="BU55" s="500">
        <f>((BU15/BT15)-1)</f>
        <v>7.9900102929852945E-2</v>
      </c>
      <c r="BV55" s="498"/>
    </row>
    <row r="56" spans="1:74">
      <c r="A56" s="434" t="s">
        <v>191</v>
      </c>
      <c r="B56" s="421"/>
      <c r="C56" s="1241"/>
      <c r="D56" s="1241"/>
      <c r="E56" s="1241"/>
      <c r="F56" s="1241"/>
      <c r="G56" s="421"/>
      <c r="H56" s="498"/>
      <c r="I56" s="498"/>
      <c r="J56" s="498"/>
      <c r="K56" s="498"/>
      <c r="L56" s="498"/>
      <c r="M56" s="498"/>
      <c r="N56" s="498"/>
      <c r="O56" s="498"/>
      <c r="P56" s="498"/>
      <c r="Q56" s="498"/>
      <c r="R56" s="498"/>
      <c r="S56" s="498"/>
      <c r="T56" s="498"/>
      <c r="U56" s="498"/>
      <c r="V56" s="498"/>
      <c r="W56" s="505" t="s">
        <v>313</v>
      </c>
      <c r="X56" s="505" t="s">
        <v>313</v>
      </c>
      <c r="Y56" s="505" t="s">
        <v>313</v>
      </c>
      <c r="Z56" s="505" t="s">
        <v>313</v>
      </c>
      <c r="AA56" s="498"/>
      <c r="AB56" s="498">
        <f>((AB19/W19)-1)</f>
        <v>-1.7925404860517609</v>
      </c>
      <c r="AC56" s="498">
        <f>((AC19/X19)-1)</f>
        <v>2.3516795865632867</v>
      </c>
      <c r="AD56" s="498">
        <f>((AD19/Y19)-1)</f>
        <v>-0.42744280301917925</v>
      </c>
      <c r="AE56" s="498">
        <f>((AE19/Z19)-1)</f>
        <v>1.164616734465973</v>
      </c>
      <c r="AF56" s="498"/>
      <c r="AG56" s="498">
        <f>((AG19/AB19)-1)</f>
        <v>-1.0382679865066626</v>
      </c>
      <c r="AH56" s="498">
        <f>((AH19/AC19)-1)</f>
        <v>-0.39390435073111651</v>
      </c>
      <c r="AI56" s="498">
        <f>((AI19/AD19)-1)</f>
        <v>-0.42857142857142616</v>
      </c>
      <c r="AJ56" s="498">
        <f>((AJ19/AE19)-1)</f>
        <v>-2.3281179756646009E-2</v>
      </c>
      <c r="AK56" s="498"/>
      <c r="AL56" s="498">
        <f>((AL19/AG19)-1)</f>
        <v>-18.18846151011617</v>
      </c>
      <c r="AM56" s="498">
        <f>((AM19/AH19)-1)</f>
        <v>-0.16493304006784149</v>
      </c>
      <c r="AN56" s="498">
        <f>((AN19/AI19)-1)</f>
        <v>-0.48479074326750971</v>
      </c>
      <c r="AO56" s="498">
        <f>((AO19/AJ19)-1)</f>
        <v>2.3503000490414205E-2</v>
      </c>
      <c r="AP56" s="421"/>
      <c r="AQ56" s="498">
        <f>((AQ19/AL19)-1)</f>
        <v>7.5725444451081758E-2</v>
      </c>
      <c r="AR56" s="498">
        <f>((AR19/AM19)-1)</f>
        <v>-0.58912396688864699</v>
      </c>
      <c r="AS56" s="498">
        <f>((AS19/AN19)-1)</f>
        <v>0.42592529274923963</v>
      </c>
      <c r="AT56" s="498">
        <f>((AT19/AO19)-1)</f>
        <v>-2.5639400146207025E-2</v>
      </c>
      <c r="AU56" s="421"/>
      <c r="AV56" s="498">
        <f>((AV19/AQ19)-1)</f>
        <v>0.8019362484153516</v>
      </c>
      <c r="AW56" s="498">
        <f>((AW19/AR19)-1)</f>
        <v>-2.8268150734424031</v>
      </c>
      <c r="AX56" s="498">
        <f>((AX19/AS19)-1)</f>
        <v>-6.0829667644183978</v>
      </c>
      <c r="AY56" s="498">
        <f>((AY19/AT19)-1)</f>
        <v>0.35256909818638515</v>
      </c>
      <c r="AZ56" s="421"/>
      <c r="BA56" s="498">
        <f>((BA19/AV19)-1)</f>
        <v>0.21755725190839859</v>
      </c>
      <c r="BB56" s="498">
        <f>((BB19/AW19)-1)</f>
        <v>1.2479875532706792</v>
      </c>
      <c r="BC56" s="498">
        <f>((BC19/AX19)-1)</f>
        <v>-1.8942217360994227</v>
      </c>
      <c r="BD56" s="500">
        <f>((BD19/AY19)-1)</f>
        <v>6.0789983497885336E-2</v>
      </c>
      <c r="BE56" s="504" t="s">
        <v>90</v>
      </c>
      <c r="BF56" s="497">
        <f>((BF19/BE19)-1)</f>
        <v>0.50060629094726194</v>
      </c>
      <c r="BG56" s="497">
        <f t="shared" ref="BG56:BQ56" si="41">((BG19/BF19)-1)</f>
        <v>-0.22681798720368485</v>
      </c>
      <c r="BH56" s="497">
        <f t="shared" si="41"/>
        <v>-0.37659886441629775</v>
      </c>
      <c r="BI56" s="497">
        <f t="shared" si="41"/>
        <v>-0.11029650944576608</v>
      </c>
      <c r="BJ56" s="497">
        <f t="shared" si="41"/>
        <v>0.36043535731361054</v>
      </c>
      <c r="BK56" s="498"/>
      <c r="BL56" s="503" t="s">
        <v>313</v>
      </c>
      <c r="BM56" s="498">
        <f t="shared" si="41"/>
        <v>2.860044060672057</v>
      </c>
      <c r="BN56" s="498">
        <f t="shared" si="41"/>
        <v>-0.22131109901139223</v>
      </c>
      <c r="BO56" s="498">
        <f t="shared" si="41"/>
        <v>0.22558411685659441</v>
      </c>
      <c r="BP56" s="498">
        <f t="shared" si="41"/>
        <v>0.1004889652733949</v>
      </c>
      <c r="BQ56" s="498">
        <f t="shared" si="41"/>
        <v>0.23713123918624368</v>
      </c>
      <c r="BR56" s="498">
        <f>((BR19/BQ19)-1)</f>
        <v>0.5965124451557855</v>
      </c>
      <c r="BS56" s="498">
        <f>((BS19/BR19)-1)</f>
        <v>0.14197093559819884</v>
      </c>
      <c r="BT56" s="498">
        <f>((BT19/BS19)-1)</f>
        <v>0.11156244200181908</v>
      </c>
      <c r="BU56" s="500">
        <f>((BU19/BT19)-1)</f>
        <v>0.11394866870059439</v>
      </c>
      <c r="BV56" s="498"/>
    </row>
    <row r="57" spans="1:74">
      <c r="A57" s="434" t="s">
        <v>311</v>
      </c>
      <c r="B57" s="421"/>
      <c r="C57" s="1241"/>
      <c r="D57" s="1241"/>
      <c r="E57" s="1241"/>
      <c r="F57" s="1241"/>
      <c r="G57" s="421"/>
      <c r="H57" s="498"/>
      <c r="I57" s="498"/>
      <c r="J57" s="498"/>
      <c r="K57" s="498"/>
      <c r="L57" s="498"/>
      <c r="M57" s="498"/>
      <c r="N57" s="498"/>
      <c r="O57" s="498"/>
      <c r="P57" s="498"/>
      <c r="Q57" s="498"/>
      <c r="R57" s="498"/>
      <c r="S57" s="498"/>
      <c r="T57" s="498"/>
      <c r="U57" s="498"/>
      <c r="V57" s="498"/>
      <c r="W57" s="505"/>
      <c r="X57" s="505"/>
      <c r="Y57" s="505"/>
      <c r="Z57" s="505"/>
      <c r="AA57" s="498"/>
      <c r="AB57" s="498"/>
      <c r="AC57" s="498"/>
      <c r="AD57" s="498"/>
      <c r="AE57" s="498"/>
      <c r="AF57" s="498"/>
      <c r="AG57" s="498"/>
      <c r="AH57" s="498"/>
      <c r="AI57" s="498"/>
      <c r="AJ57" s="498"/>
      <c r="AK57" s="498"/>
      <c r="AL57" s="498"/>
      <c r="AM57" s="498"/>
      <c r="AN57" s="498"/>
      <c r="AO57" s="498"/>
      <c r="AP57" s="421"/>
      <c r="AQ57" s="498"/>
      <c r="AR57" s="498"/>
      <c r="AS57" s="498"/>
      <c r="AT57" s="498"/>
      <c r="AU57" s="421"/>
      <c r="AV57" s="498"/>
      <c r="AW57" s="498"/>
      <c r="AX57" s="498"/>
      <c r="AY57" s="498"/>
      <c r="AZ57" s="421"/>
      <c r="BA57" s="498"/>
      <c r="BB57" s="498"/>
      <c r="BC57" s="498"/>
      <c r="BD57" s="500"/>
      <c r="BE57" s="504"/>
      <c r="BF57" s="497"/>
      <c r="BG57" s="497"/>
      <c r="BH57" s="497"/>
      <c r="BI57" s="497"/>
      <c r="BJ57" s="497"/>
      <c r="BK57" s="498"/>
      <c r="BL57" s="503"/>
      <c r="BM57" s="498"/>
      <c r="BN57" s="498"/>
      <c r="BO57" s="498"/>
      <c r="BP57" s="498"/>
      <c r="BQ57" s="498"/>
      <c r="BR57" s="498"/>
      <c r="BS57" s="498"/>
      <c r="BT57" s="498"/>
      <c r="BU57" s="500"/>
      <c r="BV57" s="498"/>
    </row>
    <row r="58" spans="1:74">
      <c r="A58" s="434" t="s">
        <v>366</v>
      </c>
      <c r="B58" s="421"/>
      <c r="C58" s="1241"/>
      <c r="D58" s="1241"/>
      <c r="E58" s="1241"/>
      <c r="F58" s="1241"/>
      <c r="G58" s="421"/>
      <c r="H58" s="1241"/>
      <c r="I58" s="1241"/>
      <c r="J58" s="1241"/>
      <c r="K58" s="1241"/>
      <c r="L58" s="498"/>
      <c r="M58" s="498"/>
      <c r="N58" s="498"/>
      <c r="O58" s="498"/>
      <c r="P58" s="498"/>
      <c r="Q58" s="498"/>
      <c r="R58" s="498"/>
      <c r="S58" s="498"/>
      <c r="T58" s="498"/>
      <c r="U58" s="498"/>
      <c r="V58" s="498"/>
      <c r="W58" s="505" t="s">
        <v>313</v>
      </c>
      <c r="X58" s="505" t="s">
        <v>313</v>
      </c>
      <c r="Y58" s="505" t="s">
        <v>313</v>
      </c>
      <c r="Z58" s="505" t="s">
        <v>313</v>
      </c>
      <c r="AA58" s="498"/>
      <c r="AB58" s="1242">
        <f>IF(ISERROR(((AB33/W33)-1)),"NA",((AB33/W33)-1))</f>
        <v>-1.5052031893113147</v>
      </c>
      <c r="AC58" s="1242">
        <f>IF(ISERROR(((AC33/X33)-1)),"NA",((AC33/X33)-1))</f>
        <v>2.1879333282422313</v>
      </c>
      <c r="AD58" s="1242">
        <f>IF(ISERROR(((AD33/Y33)-1)),"NA",((AD33/Y33)-1))</f>
        <v>-1.2110269437905892</v>
      </c>
      <c r="AE58" s="1242">
        <f>IF(ISERROR(((AE33/Z33)-1)),"NA",((AE33/Z33)-1))</f>
        <v>0.93182659121457623</v>
      </c>
      <c r="AF58" s="498"/>
      <c r="AG58" s="1242">
        <f>IF(ISERROR(((AG33/AB33)-1)),"NA",((AG33/AB33)-1))</f>
        <v>-0.41343636729761835</v>
      </c>
      <c r="AH58" s="1242">
        <f>IF(ISERROR(((AH33/AC33)-1)),"NA",((AH33/AC33)-1))</f>
        <v>-0.25933700724064668</v>
      </c>
      <c r="AI58" s="1242">
        <f>IF(ISERROR(((AI33/AD33)-1)),"NA",((AI33/AD33)-1))</f>
        <v>2.7993501064151567</v>
      </c>
      <c r="AJ58" s="1242">
        <f>IF(ISERROR(((AJ33/AE33)-1)),"NA",((AJ33/AE33)-1))</f>
        <v>-0.20762019260683229</v>
      </c>
      <c r="AK58" s="498"/>
      <c r="AL58" s="1242">
        <f>IF(ISERROR(((AL33/AG33)-1)),"NA",((AL33/AG33)-1))</f>
        <v>-0.75437411692315537</v>
      </c>
      <c r="AM58" s="1242">
        <f>IF(ISERROR(((AM33/AH33)-1)),"NA",((AM33/AH33)-1))</f>
        <v>-0.25441744929320287</v>
      </c>
      <c r="AN58" s="1242">
        <f>IF(ISERROR(((AN33/AI33)-1)),"NA",((AN33/AI33)-1))</f>
        <v>-0.83084300223035157</v>
      </c>
      <c r="AO58" s="1242">
        <f>IF(ISERROR(((AO33/AJ33)-1)),"NA",((AO33/AJ33)-1))</f>
        <v>0.13998321415387238</v>
      </c>
      <c r="AP58" s="421"/>
      <c r="AQ58" s="1242">
        <f>IF(ISERROR(((AQ33/AL33)-1)),"NA",((AQ33/AL33)-1))</f>
        <v>6.0702417408507596</v>
      </c>
      <c r="AR58" s="1242">
        <f>IF(ISERROR(((AR33/AM33)-1)),"NA",((AR33/AM33)-1))</f>
        <v>-0.38143812071505923</v>
      </c>
      <c r="AS58" s="1242">
        <f>IF(ISERROR(((AS33/AN33)-1)),"NA",((AS33/AN33)-1))</f>
        <v>0.91586825981008579</v>
      </c>
      <c r="AT58" s="1242">
        <f>IF(ISERROR(((AT33/AO33)-1)),"NA",((AT33/AO33)-1))</f>
        <v>-8.0125833904166388E-2</v>
      </c>
      <c r="AU58" s="421"/>
      <c r="AV58" s="1242">
        <f>IF(ISERROR(((AV33/AQ33)-1)),"NA",((AV33/AQ33)-1))</f>
        <v>1.9039517025299104</v>
      </c>
      <c r="AW58" s="1242">
        <f>IF(ISERROR(((AW33/AR33)-1)),"NA",((AW33/AR33)-1))</f>
        <v>-0.93868361588666493</v>
      </c>
      <c r="AX58" s="1242">
        <f>IF(ISERROR(((AX33/AS33)-1)),"NA",((AX33/AS33)-1))</f>
        <v>-4.4820681721098854</v>
      </c>
      <c r="AY58" s="1242">
        <f>IF(ISERROR(((AY33/AT33)-1)),"NA",((AY33/AT33)-1))</f>
        <v>0.32987678911927221</v>
      </c>
      <c r="AZ58" s="421"/>
      <c r="BA58" s="1242">
        <f>IF(ISERROR(((BA33/AV33)-1)),"NA",((BA33/AV33)-1))</f>
        <v>0.66540140664045966</v>
      </c>
      <c r="BB58" s="1242">
        <f>IF(ISERROR(((BB33/AW33)-1)),"NA",((BB33/AW33)-1))</f>
        <v>-17.770864898400525</v>
      </c>
      <c r="BC58" s="1242">
        <f>IF(ISERROR(((BC33/AX33)-1)),"NA",((BC33/AX33)-1))</f>
        <v>0.42879843719686317</v>
      </c>
      <c r="BD58" s="1232">
        <f>IF(ISERROR(((BD33/AY33)-1)),"NA",((BD33/AY33)-1))</f>
        <v>-3.367181154279808E-3</v>
      </c>
      <c r="BE58" s="504" t="s">
        <v>90</v>
      </c>
      <c r="BF58" s="501" t="s">
        <v>90</v>
      </c>
      <c r="BG58" s="501" t="s">
        <v>90</v>
      </c>
      <c r="BH58" s="501" t="s">
        <v>90</v>
      </c>
      <c r="BI58" s="501" t="s">
        <v>90</v>
      </c>
      <c r="BJ58" s="501" t="s">
        <v>90</v>
      </c>
      <c r="BK58" s="498"/>
      <c r="BL58" s="503" t="s">
        <v>313</v>
      </c>
      <c r="BM58" s="505" t="s">
        <v>313</v>
      </c>
      <c r="BN58" s="505" t="s">
        <v>313</v>
      </c>
      <c r="BO58" s="505" t="s">
        <v>313</v>
      </c>
      <c r="BP58" s="505">
        <f t="shared" ref="BP58:BU58" si="42">+BP33/BO33-1</f>
        <v>8.7207287533809463E-2</v>
      </c>
      <c r="BQ58" s="505">
        <f t="shared" si="42"/>
        <v>0.9347292333319146</v>
      </c>
      <c r="BR58" s="505">
        <f t="shared" si="42"/>
        <v>0.23095993686917438</v>
      </c>
      <c r="BS58" s="505">
        <f t="shared" si="42"/>
        <v>0.18186496585426015</v>
      </c>
      <c r="BT58" s="505">
        <f t="shared" si="42"/>
        <v>0.13618585029272379</v>
      </c>
      <c r="BU58" s="506">
        <f t="shared" si="42"/>
        <v>0.137513021674464</v>
      </c>
      <c r="BV58" s="505"/>
    </row>
    <row r="59" spans="1:74">
      <c r="A59" s="525" t="s">
        <v>340</v>
      </c>
      <c r="B59" s="18"/>
      <c r="C59" s="1219"/>
      <c r="D59" s="1219"/>
      <c r="E59" s="1219"/>
      <c r="F59" s="1219"/>
      <c r="G59" s="18"/>
      <c r="H59" s="509"/>
      <c r="I59" s="509"/>
      <c r="J59" s="509"/>
      <c r="K59" s="509"/>
      <c r="L59" s="509"/>
      <c r="M59" s="509"/>
      <c r="N59" s="509"/>
      <c r="O59" s="509"/>
      <c r="P59" s="509"/>
      <c r="Q59" s="509"/>
      <c r="R59" s="509"/>
      <c r="S59" s="509"/>
      <c r="T59" s="509"/>
      <c r="U59" s="509"/>
      <c r="V59" s="509"/>
      <c r="W59" s="1220" t="s">
        <v>313</v>
      </c>
      <c r="X59" s="1220" t="s">
        <v>313</v>
      </c>
      <c r="Y59" s="1220" t="s">
        <v>313</v>
      </c>
      <c r="Z59" s="1220" t="s">
        <v>313</v>
      </c>
      <c r="AA59" s="509"/>
      <c r="AB59" s="509">
        <f>((AB38/W38)-1)</f>
        <v>2.1235182450959726</v>
      </c>
      <c r="AC59" s="509">
        <f>((AC38/X38)-1)</f>
        <v>-1.0818977042667779</v>
      </c>
      <c r="AD59" s="509">
        <f>((AD38/Y38)-1)</f>
        <v>-0.27192306704670921</v>
      </c>
      <c r="AE59" s="509">
        <f>((AE38/Z38)-1)</f>
        <v>0.22488295497849387</v>
      </c>
      <c r="AF59" s="509"/>
      <c r="AG59" s="509">
        <f>((AG38/AB38)-1)</f>
        <v>-1.3964858258038726E-2</v>
      </c>
      <c r="AH59" s="509">
        <f>((AH38/AC38)-1)</f>
        <v>-9.8605410447761983</v>
      </c>
      <c r="AI59" s="509">
        <f>((AI38/AD38)-1)</f>
        <v>-0.10489004884758357</v>
      </c>
      <c r="AJ59" s="509">
        <f>((AJ38/AE38)-1)</f>
        <v>-4.267801487785805E-2</v>
      </c>
      <c r="AK59" s="509"/>
      <c r="AL59" s="509">
        <f>((AL38/AG38)-1)</f>
        <v>-0.11344382802120279</v>
      </c>
      <c r="AM59" s="509">
        <f>((AM38/AH38)-1)</f>
        <v>0.47174550718534891</v>
      </c>
      <c r="AN59" s="509">
        <f>((AN38/AI38)-1)</f>
        <v>-4.0465098800213761E-2</v>
      </c>
      <c r="AO59" s="509">
        <f>((AO38/AJ38)-1)</f>
        <v>0.10318125516922061</v>
      </c>
      <c r="AP59" s="18"/>
      <c r="AQ59" s="509">
        <f>((AQ38/AL38)-1)</f>
        <v>0.23030074138527201</v>
      </c>
      <c r="AR59" s="509">
        <f>((AR38/AM38)-1)</f>
        <v>0.57046494747176002</v>
      </c>
      <c r="AS59" s="509">
        <f>((AS38/AN38)-1)</f>
        <v>0.2826600737243552</v>
      </c>
      <c r="AT59" s="509">
        <f>((AT38/AO38)-1)</f>
        <v>2.4572289383127721E-2</v>
      </c>
      <c r="AU59" s="18"/>
      <c r="AV59" s="509">
        <f>((AV38/AQ38)-1)</f>
        <v>0.15871329691400748</v>
      </c>
      <c r="AW59" s="509">
        <f>((AW38/AR38)-1)</f>
        <v>0.3218704600616169</v>
      </c>
      <c r="AX59" s="509">
        <f>((AX38/AS38)-1)</f>
        <v>0.1606799846331135</v>
      </c>
      <c r="AY59" s="509">
        <f>((AY38/AT38)-1)</f>
        <v>0.15571859853774739</v>
      </c>
      <c r="AZ59" s="18"/>
      <c r="BA59" s="509">
        <f>((BA38/AV38)-1)</f>
        <v>9.8729842205653728E-2</v>
      </c>
      <c r="BB59" s="509">
        <f>((BB38/AW38)-1)</f>
        <v>0.29978808083941177</v>
      </c>
      <c r="BC59" s="509">
        <f>((BC38/AX38)-1)</f>
        <v>7.8454420079991261E-2</v>
      </c>
      <c r="BD59" s="510">
        <f>((BD38/AY38)-1)</f>
        <v>2.0147409339082767E-2</v>
      </c>
      <c r="BE59" s="1223" t="s">
        <v>90</v>
      </c>
      <c r="BF59" s="507">
        <f>((BF38/BE38)-1)</f>
        <v>0.31638812647124914</v>
      </c>
      <c r="BG59" s="507">
        <f t="shared" ref="BG59:BQ59" si="43">((BG38/BF38)-1)</f>
        <v>-9.5436315810952466E-2</v>
      </c>
      <c r="BH59" s="507">
        <f t="shared" si="43"/>
        <v>6.7181533691251794E-2</v>
      </c>
      <c r="BI59" s="507">
        <f t="shared" si="43"/>
        <v>-3.6726019131658294E-2</v>
      </c>
      <c r="BJ59" s="507">
        <f t="shared" si="43"/>
        <v>4.6720209383142031E-2</v>
      </c>
      <c r="BK59" s="498"/>
      <c r="BL59" s="508" t="s">
        <v>313</v>
      </c>
      <c r="BM59" s="509">
        <f t="shared" si="43"/>
        <v>0.12333559016023399</v>
      </c>
      <c r="BN59" s="509">
        <f t="shared" si="43"/>
        <v>2.0987994361725937E-2</v>
      </c>
      <c r="BO59" s="509">
        <f t="shared" si="43"/>
        <v>5.2066590147944458E-2</v>
      </c>
      <c r="BP59" s="509">
        <f t="shared" si="43"/>
        <v>0.15594492809922</v>
      </c>
      <c r="BQ59" s="509">
        <f t="shared" si="43"/>
        <v>0.16895148767814705</v>
      </c>
      <c r="BR59" s="509">
        <f>((BR38/BQ38)-1)</f>
        <v>8.2009848633684435E-2</v>
      </c>
      <c r="BS59" s="509">
        <f>((BS38/BR38)-1)</f>
        <v>8.5008934143009585E-2</v>
      </c>
      <c r="BT59" s="509">
        <f>((BT38/BS38)-1)</f>
        <v>0.10465069673111249</v>
      </c>
      <c r="BU59" s="510">
        <f>((BU38/BT38)-1)</f>
        <v>9.1787994985484067E-2</v>
      </c>
      <c r="BV59" s="498"/>
    </row>
    <row r="60" spans="1:74">
      <c r="BP60" s="421"/>
      <c r="BQ60" s="421"/>
      <c r="BS60" s="421"/>
      <c r="BT60" s="421"/>
    </row>
    <row r="61" spans="1:74">
      <c r="BE61" s="419" t="s">
        <v>309</v>
      </c>
      <c r="BF61" s="419"/>
      <c r="BG61" s="419"/>
      <c r="BH61" s="419"/>
      <c r="BI61" s="419"/>
      <c r="BJ61" s="419"/>
      <c r="BL61" s="419" t="str">
        <f>BL6</f>
        <v>Fiscal Year Ending January 31,</v>
      </c>
      <c r="BM61" s="420"/>
      <c r="BN61" s="420"/>
      <c r="BO61" s="420"/>
      <c r="BP61" s="511"/>
      <c r="BQ61" s="511"/>
      <c r="BR61" s="420"/>
      <c r="BS61" s="511"/>
      <c r="BT61" s="511"/>
      <c r="BU61" s="512"/>
      <c r="BV61" s="511"/>
    </row>
    <row r="62" spans="1:74">
      <c r="A62" s="513" t="s">
        <v>213</v>
      </c>
      <c r="B62" s="514"/>
      <c r="C62" s="514"/>
      <c r="D62" s="514"/>
      <c r="E62" s="514"/>
      <c r="F62" s="514"/>
      <c r="G62" s="514"/>
      <c r="H62" s="514"/>
      <c r="I62" s="514"/>
      <c r="J62" s="514"/>
      <c r="K62" s="514"/>
      <c r="L62" s="514"/>
      <c r="M62" s="514"/>
      <c r="N62" s="514"/>
      <c r="O62" s="514"/>
      <c r="P62" s="514"/>
      <c r="Q62" s="514"/>
      <c r="R62" s="514"/>
      <c r="S62" s="515"/>
      <c r="T62" s="515"/>
      <c r="U62" s="515"/>
      <c r="V62" s="515"/>
      <c r="Y62" s="515"/>
      <c r="Z62" s="515"/>
      <c r="AQ62" s="515" t="s">
        <v>83</v>
      </c>
      <c r="AR62" s="515" t="s">
        <v>84</v>
      </c>
      <c r="AS62" s="515" t="s">
        <v>242</v>
      </c>
      <c r="AU62" s="515"/>
      <c r="AV62" s="515" t="s">
        <v>247</v>
      </c>
      <c r="AW62" s="515" t="s">
        <v>611</v>
      </c>
      <c r="AX62" s="515" t="s">
        <v>626</v>
      </c>
      <c r="AY62" s="516" t="s">
        <v>38</v>
      </c>
      <c r="AZ62" s="421"/>
      <c r="BA62" s="421"/>
      <c r="BB62" s="513" t="s">
        <v>213</v>
      </c>
      <c r="BC62" s="514"/>
      <c r="BD62" s="514"/>
      <c r="BE62" s="515" t="str">
        <f t="shared" ref="BE62:BJ62" si="44">BE7</f>
        <v>2004A</v>
      </c>
      <c r="BF62" s="515" t="str">
        <f t="shared" si="44"/>
        <v>2005A</v>
      </c>
      <c r="BG62" s="515" t="str">
        <f t="shared" si="44"/>
        <v>2006A</v>
      </c>
      <c r="BH62" s="515" t="str">
        <f t="shared" si="44"/>
        <v>2007A</v>
      </c>
      <c r="BI62" s="515" t="str">
        <f t="shared" si="44"/>
        <v>2008A</v>
      </c>
      <c r="BJ62" s="515" t="str">
        <f t="shared" si="44"/>
        <v>2009A</v>
      </c>
      <c r="BK62" s="515"/>
      <c r="BL62" s="515" t="str">
        <f>BL7</f>
        <v>2009R</v>
      </c>
      <c r="BM62" s="515" t="s">
        <v>84</v>
      </c>
      <c r="BN62" s="515" t="s">
        <v>242</v>
      </c>
      <c r="BO62" s="515" t="s">
        <v>247</v>
      </c>
      <c r="BP62" s="515" t="s">
        <v>611</v>
      </c>
      <c r="BQ62" s="515" t="s">
        <v>626</v>
      </c>
      <c r="BR62" s="515" t="s">
        <v>38</v>
      </c>
      <c r="BS62" s="515" t="s">
        <v>244</v>
      </c>
      <c r="BT62" s="515" t="s">
        <v>245</v>
      </c>
      <c r="BU62" s="516" t="s">
        <v>341</v>
      </c>
      <c r="BV62" s="430"/>
    </row>
    <row r="63" spans="1:74">
      <c r="A63" s="434" t="s">
        <v>231</v>
      </c>
      <c r="B63" s="421"/>
      <c r="C63" s="421"/>
      <c r="D63" s="421"/>
      <c r="E63" s="421"/>
      <c r="F63" s="421"/>
      <c r="G63" s="421"/>
      <c r="H63" s="421"/>
      <c r="I63" s="421"/>
      <c r="J63" s="421"/>
      <c r="K63" s="421"/>
      <c r="L63" s="421"/>
      <c r="M63" s="421"/>
      <c r="N63" s="421"/>
      <c r="O63" s="421"/>
      <c r="P63" s="421"/>
      <c r="Q63" s="421"/>
      <c r="R63" s="421"/>
      <c r="S63" s="421"/>
      <c r="T63" s="421"/>
      <c r="U63" s="421"/>
      <c r="V63" s="421"/>
      <c r="Y63" s="517"/>
      <c r="Z63" s="517"/>
      <c r="AQ63" s="518" t="s">
        <v>90</v>
      </c>
      <c r="AR63" s="517">
        <f>turn!R71</f>
        <v>3.1991432385603726</v>
      </c>
      <c r="AS63" s="517">
        <f>turn!R78</f>
        <v>3.1904728478323081</v>
      </c>
      <c r="AU63" s="517"/>
      <c r="AV63" s="517">
        <f>turn!R85</f>
        <v>3.5382000249716503</v>
      </c>
      <c r="AW63" s="517">
        <f>turn!R92</f>
        <v>3.5034063242950677</v>
      </c>
      <c r="AX63" s="517">
        <f>turn!$R99</f>
        <v>3.7753617223283116</v>
      </c>
      <c r="AY63" s="519">
        <f>turn!$R106</f>
        <v>3.6590008978160911</v>
      </c>
      <c r="AZ63" s="421"/>
      <c r="BA63" s="421"/>
      <c r="BB63" s="434" t="s">
        <v>214</v>
      </c>
      <c r="BC63" s="421"/>
      <c r="BD63" s="421"/>
      <c r="BE63" s="520">
        <f>yrSales!F18</f>
        <v>349</v>
      </c>
      <c r="BF63" s="520">
        <f>yrSales!G18</f>
        <v>362</v>
      </c>
      <c r="BG63" s="520">
        <f>yrSales!H18</f>
        <v>368</v>
      </c>
      <c r="BH63" s="520">
        <f>yrSales!I18</f>
        <v>379</v>
      </c>
      <c r="BI63" s="520">
        <f>yrSales!J18</f>
        <v>397</v>
      </c>
      <c r="BJ63" s="520">
        <f>yrSales!K18</f>
        <v>433</v>
      </c>
      <c r="BK63" s="520"/>
      <c r="BL63" s="520">
        <f>yrSales!L18</f>
        <v>442</v>
      </c>
      <c r="BM63" s="520">
        <f>yrSales!M18</f>
        <v>460</v>
      </c>
      <c r="BN63" s="520">
        <f>yrSales!N18</f>
        <v>477</v>
      </c>
      <c r="BO63" s="520">
        <f>yrSales!P18</f>
        <v>500</v>
      </c>
      <c r="BP63" s="520">
        <f>yrSales!Q18</f>
        <v>521</v>
      </c>
      <c r="BQ63" s="520">
        <f>yrSales!R18</f>
        <v>542</v>
      </c>
      <c r="BR63" s="520">
        <f>yrSales!S18</f>
        <v>567</v>
      </c>
      <c r="BS63" s="520">
        <f>yrSales!T18</f>
        <v>592</v>
      </c>
      <c r="BT63" s="520">
        <f>yrSales!U18</f>
        <v>629</v>
      </c>
      <c r="BU63" s="521">
        <f>yrSales!V18</f>
        <v>669</v>
      </c>
      <c r="BV63" s="520"/>
    </row>
    <row r="64" spans="1:74">
      <c r="A64" s="434" t="s">
        <v>232</v>
      </c>
      <c r="B64" s="421"/>
      <c r="C64" s="421"/>
      <c r="D64" s="421"/>
      <c r="E64" s="421"/>
      <c r="F64" s="421"/>
      <c r="G64" s="421"/>
      <c r="H64" s="421"/>
      <c r="I64" s="421"/>
      <c r="J64" s="421"/>
      <c r="K64" s="421"/>
      <c r="L64" s="421"/>
      <c r="M64" s="421"/>
      <c r="N64" s="421"/>
      <c r="O64" s="421"/>
      <c r="P64" s="421"/>
      <c r="Q64" s="421"/>
      <c r="R64" s="421"/>
      <c r="S64" s="421"/>
      <c r="T64" s="421"/>
      <c r="U64" s="421"/>
      <c r="V64" s="421"/>
      <c r="Y64" s="498"/>
      <c r="Z64" s="498"/>
      <c r="AQ64" s="498">
        <f>bal!W63</f>
        <v>0.22795229049641691</v>
      </c>
      <c r="AR64" s="498">
        <f>bal!Y63</f>
        <v>0.29564067379871728</v>
      </c>
      <c r="AS64" s="498">
        <f>bal!AA63</f>
        <v>0.4049555887784716</v>
      </c>
      <c r="AU64" s="498"/>
      <c r="AV64" s="498">
        <f>bal!AC63</f>
        <v>0.7356856172540025</v>
      </c>
      <c r="AW64" s="498">
        <f>bal!AE63</f>
        <v>0.75409414875592307</v>
      </c>
      <c r="AX64" s="498">
        <f>bal!$AG63</f>
        <v>0.78822834306232481</v>
      </c>
      <c r="AY64" s="500">
        <f>bal!$AI63</f>
        <v>0.76346856781123318</v>
      </c>
      <c r="AZ64" s="421"/>
      <c r="BA64" s="421"/>
      <c r="BB64" s="434" t="s">
        <v>215</v>
      </c>
      <c r="BC64" s="421"/>
      <c r="BD64" s="421"/>
      <c r="BE64" s="522">
        <f>yrSales!F31</f>
        <v>27.315000000000001</v>
      </c>
      <c r="BF64" s="522">
        <f>yrSales!G31</f>
        <v>29.3</v>
      </c>
      <c r="BG64" s="522">
        <f>yrSales!H31</f>
        <v>29.44</v>
      </c>
      <c r="BH64" s="522">
        <f>yrSales!I31</f>
        <v>30.32</v>
      </c>
      <c r="BI64" s="522">
        <f>yrSales!J31</f>
        <v>31.76</v>
      </c>
      <c r="BJ64" s="522">
        <f>yrSales!K31</f>
        <v>34.64</v>
      </c>
      <c r="BK64" s="522"/>
      <c r="BL64" s="522">
        <f>yrSales!L31</f>
        <v>35.36</v>
      </c>
      <c r="BM64" s="522">
        <f>yrSales!M31</f>
        <v>36.800000000000004</v>
      </c>
      <c r="BN64" s="522">
        <f>yrSales!N31</f>
        <v>38.160000000000004</v>
      </c>
      <c r="BO64" s="522">
        <f>yrSales!P31</f>
        <v>42</v>
      </c>
      <c r="BP64" s="522">
        <f>yrSales!Q31</f>
        <v>41.01</v>
      </c>
      <c r="BQ64" s="522">
        <f>yrSales!R31</f>
        <v>42.212000000000003</v>
      </c>
      <c r="BR64" s="522">
        <f>yrSales!S31</f>
        <v>43.468000000000004</v>
      </c>
      <c r="BS64" s="522">
        <f>yrSales!T31</f>
        <v>44.735999999999997</v>
      </c>
      <c r="BT64" s="522">
        <f>yrSales!U31</f>
        <v>45.692999999999998</v>
      </c>
      <c r="BU64" s="523">
        <f>yrSales!V31</f>
        <v>47.492999999999995</v>
      </c>
      <c r="BV64" s="522"/>
    </row>
    <row r="65" spans="1:74">
      <c r="A65" s="434" t="s">
        <v>233</v>
      </c>
      <c r="B65" s="421"/>
      <c r="C65" s="421"/>
      <c r="D65" s="421"/>
      <c r="E65" s="421"/>
      <c r="F65" s="421"/>
      <c r="G65" s="421"/>
      <c r="H65" s="421"/>
      <c r="I65" s="421"/>
      <c r="J65" s="421"/>
      <c r="K65" s="421"/>
      <c r="L65" s="421"/>
      <c r="M65" s="421"/>
      <c r="N65" s="421"/>
      <c r="O65" s="421"/>
      <c r="P65" s="421"/>
      <c r="Q65" s="421"/>
      <c r="R65" s="421"/>
      <c r="S65" s="421"/>
      <c r="T65" s="421"/>
      <c r="U65" s="421"/>
      <c r="V65" s="421"/>
      <c r="Y65" s="498"/>
      <c r="Z65" s="498"/>
      <c r="AQ65" s="498">
        <f>dtc!S53</f>
        <v>0.90145759838454242</v>
      </c>
      <c r="AR65" s="498">
        <f>dtc!U53</f>
        <v>0.87978435655409004</v>
      </c>
      <c r="AS65" s="498">
        <f>dtc!W53</f>
        <v>1.0738560942844322</v>
      </c>
      <c r="AV65" s="498">
        <f>dtc!Y53</f>
        <v>1.0639060481017033</v>
      </c>
      <c r="AW65" s="498">
        <f>dtc!AA53</f>
        <v>1.1177631666480137</v>
      </c>
      <c r="AX65" s="498">
        <f>dtc!$AC53</f>
        <v>1.055678721342145</v>
      </c>
      <c r="AY65" s="500">
        <f>dtc!$AE53</f>
        <v>1.0821161012971461</v>
      </c>
      <c r="AZ65" s="421"/>
      <c r="BA65" s="421"/>
      <c r="BB65" s="434" t="s">
        <v>216</v>
      </c>
      <c r="BC65" s="421"/>
      <c r="BD65" s="421"/>
      <c r="BE65" s="524" t="s">
        <v>313</v>
      </c>
      <c r="BF65" s="498">
        <f t="shared" ref="BF65:BQ65" si="45">BF64/BE64-1</f>
        <v>7.2670693758008387E-2</v>
      </c>
      <c r="BG65" s="498">
        <f t="shared" si="45"/>
        <v>4.778156996587013E-3</v>
      </c>
      <c r="BH65" s="498">
        <f t="shared" si="45"/>
        <v>2.9891304347825942E-2</v>
      </c>
      <c r="BI65" s="498">
        <f t="shared" si="45"/>
        <v>4.7493403693931402E-2</v>
      </c>
      <c r="BJ65" s="498">
        <f t="shared" si="45"/>
        <v>9.0680100755667459E-2</v>
      </c>
      <c r="BK65" s="498"/>
      <c r="BL65" s="498">
        <f>BL64/BI64-1</f>
        <v>0.11335012594458438</v>
      </c>
      <c r="BM65" s="498">
        <f t="shared" si="45"/>
        <v>4.0723981900452566E-2</v>
      </c>
      <c r="BN65" s="498">
        <f t="shared" si="45"/>
        <v>3.6956521739130332E-2</v>
      </c>
      <c r="BO65" s="498">
        <f t="shared" si="45"/>
        <v>0.10062893081761004</v>
      </c>
      <c r="BP65" s="498">
        <f t="shared" si="45"/>
        <v>-2.3571428571428577E-2</v>
      </c>
      <c r="BQ65" s="498">
        <f t="shared" si="45"/>
        <v>2.9309924408680965E-2</v>
      </c>
      <c r="BR65" s="498">
        <f>BR64/BQ64-1</f>
        <v>2.9754572159575554E-2</v>
      </c>
      <c r="BS65" s="498">
        <f>BS64/BR64-1</f>
        <v>2.9170884328701518E-2</v>
      </c>
      <c r="BT65" s="498">
        <f>BT64/BS64-1</f>
        <v>2.1392167381974359E-2</v>
      </c>
      <c r="BU65" s="500">
        <f>BU64/BT64-1</f>
        <v>3.9393342525113173E-2</v>
      </c>
      <c r="BV65" s="498"/>
    </row>
    <row r="66" spans="1:74">
      <c r="A66" s="525" t="s">
        <v>234</v>
      </c>
      <c r="B66" s="509"/>
      <c r="C66" s="18"/>
      <c r="D66" s="18"/>
      <c r="E66" s="18"/>
      <c r="F66" s="18"/>
      <c r="G66" s="18"/>
      <c r="H66" s="18"/>
      <c r="I66" s="18"/>
      <c r="J66" s="18"/>
      <c r="K66" s="18"/>
      <c r="L66" s="18"/>
      <c r="M66" s="18"/>
      <c r="N66" s="18"/>
      <c r="O66" s="18"/>
      <c r="P66" s="18"/>
      <c r="Q66" s="18"/>
      <c r="R66" s="18"/>
      <c r="S66" s="18"/>
      <c r="T66" s="18"/>
      <c r="U66" s="18"/>
      <c r="V66" s="18"/>
      <c r="Y66" s="509"/>
      <c r="Z66" s="509"/>
      <c r="AQ66" s="18" t="s">
        <v>90</v>
      </c>
      <c r="AR66" s="509">
        <f>flow!Y9/((bal!Y45+bal!W45)/2)</f>
        <v>0.18126849350315019</v>
      </c>
      <c r="AS66" s="509">
        <f>flow!AA9/((bal!AA45+bal!Y45)/2)</f>
        <v>-0.16383037078636606</v>
      </c>
      <c r="AU66" s="18"/>
      <c r="AV66" s="509">
        <f>flow!AC9/((bal!AC45+bal!AA45)/2)</f>
        <v>-0.29757186372091754</v>
      </c>
      <c r="AW66" s="509">
        <f>flow!AE9/((bal!AE45+bal!AC45)/2)</f>
        <v>-0.14055150146425771</v>
      </c>
      <c r="AX66" s="509">
        <f>flow!AG9/((bal!AG45+bal!AE45)/2)</f>
        <v>-0.60951210383561549</v>
      </c>
      <c r="AY66" s="510">
        <f>flow!AI9/((bal!AI45+bal!AG45)/2)</f>
        <v>-1.8243227679680964</v>
      </c>
      <c r="AZ66" s="421"/>
      <c r="BA66" s="421"/>
      <c r="BB66" s="434" t="s">
        <v>217</v>
      </c>
      <c r="BC66" s="421"/>
      <c r="BD66" s="421"/>
      <c r="BE66" s="520">
        <f>yrSales!F34*1000</f>
        <v>78266.475644699138</v>
      </c>
      <c r="BF66" s="520">
        <f>yrSales!G34*1000</f>
        <v>80939.226519337026</v>
      </c>
      <c r="BG66" s="520">
        <f>yrSales!H34*1000</f>
        <v>80000</v>
      </c>
      <c r="BH66" s="520">
        <f>yrSales!I34*1000</f>
        <v>80000</v>
      </c>
      <c r="BI66" s="520">
        <f>yrSales!J34*1000</f>
        <v>80000</v>
      </c>
      <c r="BJ66" s="520">
        <f>yrSales!K34*1000</f>
        <v>80000</v>
      </c>
      <c r="BK66" s="520"/>
      <c r="BL66" s="520">
        <f>yrSales!L34*1000</f>
        <v>80000</v>
      </c>
      <c r="BM66" s="520">
        <f>yrSales!M34*1000</f>
        <v>80000.000000000015</v>
      </c>
      <c r="BN66" s="520">
        <f>yrSales!N34*1000</f>
        <v>80000</v>
      </c>
      <c r="BO66" s="520">
        <f>yrSales!P34*1000</f>
        <v>84000</v>
      </c>
      <c r="BP66" s="520">
        <f>yrSales!Q34*1000</f>
        <v>78714.011516314771</v>
      </c>
      <c r="BQ66" s="520">
        <f>yrSales!R34*1000</f>
        <v>77881.918819188199</v>
      </c>
      <c r="BR66" s="520">
        <f>yrSales!S34*1000</f>
        <v>76663.139329805999</v>
      </c>
      <c r="BS66" s="520">
        <f>yrSales!T34*1000</f>
        <v>75567.567567567559</v>
      </c>
      <c r="BT66" s="520">
        <f>yrSales!U34*1000</f>
        <v>72643.87917329093</v>
      </c>
      <c r="BU66" s="521">
        <f>yrSales!V34*1000</f>
        <v>70991.031390134522</v>
      </c>
      <c r="BV66" s="520"/>
    </row>
    <row r="67" spans="1:74">
      <c r="AG67" s="421"/>
      <c r="AH67" s="421"/>
      <c r="AI67" s="421"/>
      <c r="AJ67" s="421"/>
      <c r="AM67" s="421"/>
      <c r="AN67" s="421"/>
      <c r="AO67" s="421"/>
      <c r="AP67" s="421"/>
      <c r="AQ67" s="421"/>
      <c r="AR67" s="421"/>
      <c r="AS67" s="421"/>
      <c r="AT67" s="421"/>
      <c r="AU67" s="421"/>
      <c r="AV67" s="421"/>
      <c r="AW67" s="421"/>
      <c r="AX67" s="421"/>
      <c r="AY67" s="421"/>
      <c r="AZ67" s="421"/>
      <c r="BA67" s="421"/>
      <c r="BB67" s="525" t="s">
        <v>218</v>
      </c>
      <c r="BC67" s="18"/>
      <c r="BD67" s="18"/>
      <c r="BE67" s="526">
        <f>yrSales!F37</f>
        <v>107.29845687778094</v>
      </c>
      <c r="BF67" s="526">
        <f>yrSales!G37</f>
        <v>112.02833171421001</v>
      </c>
      <c r="BG67" s="526">
        <f>yrSales!H37</f>
        <v>117.08590398365679</v>
      </c>
      <c r="BH67" s="526">
        <f>yrSales!I37</f>
        <v>113.90251004016064</v>
      </c>
      <c r="BI67" s="526">
        <f>yrSales!J37</f>
        <v>109.3240012886598</v>
      </c>
      <c r="BJ67" s="526">
        <f>yrSales!K37</f>
        <v>106.68617469879518</v>
      </c>
      <c r="BK67" s="526"/>
      <c r="BL67" s="527" t="str">
        <f>yrSales!L37</f>
        <v>NA</v>
      </c>
      <c r="BM67" s="526">
        <f>yrSales!M37</f>
        <v>101.70737250554323</v>
      </c>
      <c r="BN67" s="526">
        <f>yrSales!N37</f>
        <v>102.83175026680895</v>
      </c>
      <c r="BO67" s="526">
        <f>yrSales!P37</f>
        <v>101.72240945783446</v>
      </c>
      <c r="BP67" s="526">
        <f>yrSales!Q37</f>
        <v>106.67059483731882</v>
      </c>
      <c r="BQ67" s="526">
        <f>yrSales!R37</f>
        <v>115.70267477349738</v>
      </c>
      <c r="BR67" s="526">
        <f>yrSales!S37</f>
        <v>119.02268907563024</v>
      </c>
      <c r="BS67" s="526">
        <f>yrSales!T37</f>
        <v>126.20828987347511</v>
      </c>
      <c r="BT67" s="526">
        <f>yrSales!U37</f>
        <v>134.57554545555075</v>
      </c>
      <c r="BU67" s="528">
        <f>yrSales!V37</f>
        <v>141.38137044983725</v>
      </c>
      <c r="BV67" s="529"/>
    </row>
    <row r="68" spans="1:74">
      <c r="A68" s="544" t="s">
        <v>618</v>
      </c>
      <c r="B68" s="545"/>
      <c r="C68" s="545"/>
      <c r="D68" s="545"/>
      <c r="E68" s="545"/>
      <c r="F68" s="545"/>
      <c r="G68" s="545"/>
      <c r="H68" s="545"/>
      <c r="I68" s="545"/>
      <c r="J68" s="545"/>
      <c r="K68" s="545"/>
      <c r="L68" s="545"/>
      <c r="M68" s="545"/>
      <c r="N68" s="545"/>
      <c r="O68" s="545"/>
      <c r="P68" s="545"/>
      <c r="Q68" s="545"/>
      <c r="R68" s="545"/>
      <c r="S68" s="545"/>
      <c r="T68" s="545"/>
      <c r="U68" s="545"/>
      <c r="V68" s="545"/>
      <c r="W68" s="545"/>
      <c r="X68" s="545"/>
      <c r="Y68" s="545"/>
      <c r="Z68" s="545"/>
      <c r="AA68" s="545"/>
      <c r="AB68" s="545"/>
      <c r="AC68" s="545"/>
      <c r="AD68" s="545"/>
      <c r="AE68" s="545"/>
      <c r="AF68" s="545"/>
      <c r="AG68" s="545"/>
      <c r="AH68" s="545"/>
      <c r="AI68" s="545"/>
      <c r="AJ68" s="545"/>
      <c r="AK68" s="545"/>
      <c r="AL68" s="545"/>
      <c r="AM68" s="545"/>
      <c r="AN68" s="545"/>
      <c r="AO68" s="545"/>
      <c r="AP68" s="545"/>
      <c r="AQ68" s="545"/>
      <c r="AR68" s="545"/>
      <c r="AS68" s="545"/>
      <c r="AT68" s="545"/>
      <c r="AU68" s="545"/>
      <c r="AV68" s="545" t="s">
        <v>619</v>
      </c>
      <c r="AW68" s="545" t="s">
        <v>620</v>
      </c>
      <c r="AX68" s="545" t="s">
        <v>621</v>
      </c>
      <c r="AY68" s="546" t="s">
        <v>622</v>
      </c>
      <c r="BA68" s="421"/>
    </row>
    <row r="69" spans="1:74">
      <c r="A69" s="434" t="s">
        <v>204</v>
      </c>
      <c r="B69" s="421"/>
      <c r="C69" s="421"/>
      <c r="D69" s="421"/>
      <c r="E69" s="421"/>
      <c r="F69" s="421"/>
      <c r="G69" s="421"/>
      <c r="H69" s="421"/>
      <c r="I69" s="421"/>
      <c r="J69" s="421"/>
      <c r="K69" s="421"/>
      <c r="L69" s="421"/>
      <c r="M69" s="421"/>
      <c r="N69" s="421"/>
      <c r="O69" s="421"/>
      <c r="P69" s="421"/>
      <c r="Q69" s="421"/>
      <c r="R69" s="421"/>
      <c r="S69" s="421"/>
      <c r="T69" s="421"/>
      <c r="U69" s="421"/>
      <c r="V69" s="421"/>
      <c r="W69" s="421"/>
      <c r="X69" s="421"/>
      <c r="Y69" s="421"/>
      <c r="Z69" s="421"/>
      <c r="AA69" s="421"/>
      <c r="AB69" s="421"/>
      <c r="AC69" s="421"/>
      <c r="AD69" s="421"/>
      <c r="AE69" s="421"/>
      <c r="AF69" s="421"/>
      <c r="AG69" s="421"/>
      <c r="AH69" s="421"/>
      <c r="AI69" s="421"/>
      <c r="AJ69" s="421"/>
      <c r="AK69" s="421"/>
      <c r="AL69" s="421"/>
      <c r="AM69" s="421"/>
      <c r="AN69" s="421"/>
      <c r="AO69" s="421"/>
      <c r="AP69" s="421"/>
      <c r="AQ69" s="421"/>
      <c r="AR69" s="421"/>
      <c r="AS69" s="421"/>
      <c r="AT69" s="421"/>
      <c r="AU69" s="421"/>
      <c r="AV69" s="538">
        <f t="shared" ref="AV69:AY70" si="46">(AV41-AQ41)*10000</f>
        <v>78.409145525108471</v>
      </c>
      <c r="AW69" s="538">
        <f t="shared" si="46"/>
        <v>30.660253228835256</v>
      </c>
      <c r="AX69" s="538">
        <f t="shared" si="46"/>
        <v>66.312102491300479</v>
      </c>
      <c r="AY69" s="539">
        <f t="shared" si="46"/>
        <v>52.123004563484621</v>
      </c>
      <c r="BA69" s="421"/>
    </row>
    <row r="70" spans="1:74">
      <c r="A70" s="434" t="s">
        <v>205</v>
      </c>
      <c r="B70" s="421"/>
      <c r="C70" s="421"/>
      <c r="D70" s="421"/>
      <c r="E70" s="421"/>
      <c r="F70" s="421"/>
      <c r="G70" s="421"/>
      <c r="H70" s="421"/>
      <c r="I70" s="421"/>
      <c r="J70" s="421"/>
      <c r="K70" s="421"/>
      <c r="L70" s="421"/>
      <c r="M70" s="421"/>
      <c r="N70" s="421"/>
      <c r="O70" s="421"/>
      <c r="P70" s="421"/>
      <c r="Q70" s="421"/>
      <c r="R70" s="421"/>
      <c r="S70" s="421"/>
      <c r="T70" s="421"/>
      <c r="U70" s="421"/>
      <c r="V70" s="421"/>
      <c r="W70" s="421"/>
      <c r="X70" s="421"/>
      <c r="Y70" s="421"/>
      <c r="Z70" s="421"/>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540">
        <f t="shared" si="46"/>
        <v>-6.2137084020974509</v>
      </c>
      <c r="AW70" s="540">
        <f t="shared" si="46"/>
        <v>-79.338618185431642</v>
      </c>
      <c r="AX70" s="540">
        <f t="shared" si="46"/>
        <v>23.072995672045458</v>
      </c>
      <c r="AY70" s="541">
        <f t="shared" si="46"/>
        <v>9.0245656213255856</v>
      </c>
      <c r="BA70" s="421"/>
    </row>
    <row r="71" spans="1:74">
      <c r="A71" s="525" t="s">
        <v>206</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542">
        <f>(AV46-AQ46)*10000</f>
        <v>168.41584484193044</v>
      </c>
      <c r="AW71" s="542">
        <f>(AW46-AR46)*10000</f>
        <v>225.63812578070161</v>
      </c>
      <c r="AX71" s="542">
        <f>(AX46-AS46)*10000</f>
        <v>-436.33222201903152</v>
      </c>
      <c r="AY71" s="543">
        <f>(AY46-AT46)*10000</f>
        <v>212.95989537067032</v>
      </c>
      <c r="BA71" s="421"/>
    </row>
    <row r="72" spans="1:74">
      <c r="AM72" s="421"/>
      <c r="AN72" s="421"/>
      <c r="AO72" s="421"/>
      <c r="AP72" s="421"/>
      <c r="AQ72" s="421"/>
      <c r="AV72" s="421"/>
      <c r="BA72" s="421"/>
    </row>
    <row r="73" spans="1:74">
      <c r="AM73" s="421"/>
      <c r="AN73" s="421"/>
      <c r="AO73" s="421"/>
      <c r="AP73" s="421"/>
      <c r="AQ73" s="421"/>
      <c r="AV73" s="421"/>
      <c r="BA73" s="421"/>
    </row>
    <row r="74" spans="1:74">
      <c r="AM74" s="421"/>
      <c r="AN74" s="421"/>
      <c r="AO74" s="421"/>
      <c r="AP74" s="421"/>
      <c r="AQ74" s="421"/>
      <c r="AV74" s="421"/>
      <c r="BA74" s="421"/>
    </row>
    <row r="75" spans="1:74">
      <c r="AM75" s="421"/>
      <c r="AN75" s="421"/>
      <c r="AO75" s="421"/>
      <c r="AP75" s="421"/>
      <c r="AQ75" s="421"/>
      <c r="AV75" s="421"/>
      <c r="BA75" s="421"/>
    </row>
    <row r="76" spans="1:74">
      <c r="AM76" s="421"/>
      <c r="AN76" s="421"/>
      <c r="AO76" s="421"/>
      <c r="AP76" s="421"/>
      <c r="AQ76" s="421"/>
      <c r="AV76" s="421"/>
      <c r="BA76" s="421"/>
    </row>
    <row r="77" spans="1:74">
      <c r="AM77" s="421"/>
      <c r="AN77" s="421"/>
      <c r="AO77" s="421"/>
      <c r="AP77" s="421"/>
      <c r="AQ77" s="421"/>
      <c r="AV77" s="421"/>
      <c r="BA77" s="421"/>
    </row>
    <row r="78" spans="1:74">
      <c r="AM78" s="421"/>
      <c r="AN78" s="421"/>
      <c r="AO78" s="421"/>
      <c r="AP78" s="421"/>
      <c r="AQ78" s="421"/>
      <c r="AV78" s="421"/>
      <c r="BA78" s="421"/>
    </row>
    <row r="79" spans="1:74">
      <c r="A79" s="530" t="s">
        <v>78</v>
      </c>
      <c r="AM79" s="421"/>
      <c r="AN79" s="421"/>
      <c r="AO79" s="421"/>
      <c r="AP79" s="421"/>
      <c r="AQ79" s="421"/>
      <c r="AV79" s="421"/>
      <c r="BA79" s="421"/>
    </row>
    <row r="81" spans="1:74">
      <c r="A81" s="17" t="s">
        <v>6</v>
      </c>
      <c r="C81" s="531"/>
      <c r="D81" s="531"/>
      <c r="E81" s="531"/>
      <c r="F81" s="531"/>
      <c r="G81" s="531"/>
      <c r="H81" s="531"/>
      <c r="I81" s="531"/>
      <c r="J81" s="531"/>
      <c r="K81" s="531"/>
      <c r="L81" s="531"/>
      <c r="M81" s="531"/>
      <c r="N81" s="531"/>
      <c r="O81" s="531"/>
      <c r="P81" s="531"/>
      <c r="Q81" s="531"/>
      <c r="R81" s="531"/>
      <c r="S81" s="531"/>
      <c r="T81" s="531"/>
      <c r="U81" s="531"/>
      <c r="V81" s="531"/>
      <c r="W81" s="531">
        <f>qtrSales!Y69</f>
        <v>34.64</v>
      </c>
      <c r="X81" s="531">
        <f>qtrSales!Y70</f>
        <v>34.64</v>
      </c>
      <c r="Y81" s="531">
        <f>qtrSales!Y71</f>
        <v>35.36</v>
      </c>
      <c r="Z81" s="531">
        <f>qtrSales!Y72</f>
        <v>35.36</v>
      </c>
      <c r="AA81" s="531"/>
      <c r="AB81" s="531">
        <f>qtrSales!Y76</f>
        <v>35.92</v>
      </c>
      <c r="AC81" s="531">
        <f>qtrSales!Y77</f>
        <v>35.76</v>
      </c>
      <c r="AD81" s="531">
        <f>qtrSales!Y78</f>
        <v>36.72</v>
      </c>
      <c r="AE81" s="531">
        <f>qtrSales!Y79</f>
        <v>36.800000000000004</v>
      </c>
      <c r="AF81" s="531"/>
      <c r="AG81" s="531">
        <f>qtrSales!Y83</f>
        <v>36.96</v>
      </c>
      <c r="AH81" s="531">
        <f>qtrSales!Y84</f>
        <v>36.96</v>
      </c>
      <c r="AI81" s="531">
        <f>qtrSales!Y85</f>
        <v>37.76</v>
      </c>
      <c r="AJ81" s="531">
        <f>qtrSales!Y86</f>
        <v>38.160000000000004</v>
      </c>
      <c r="AK81" s="531"/>
      <c r="AL81" s="531">
        <f>qtrSales!Y90</f>
        <v>38.56</v>
      </c>
      <c r="AM81" s="531">
        <f>qtrSales!Y91</f>
        <v>38.56</v>
      </c>
      <c r="AN81" s="531">
        <f>qtrSales!Y92</f>
        <v>39.76</v>
      </c>
      <c r="AO81" s="531">
        <f>qtrSales!Y93</f>
        <v>40</v>
      </c>
      <c r="AP81" s="531"/>
      <c r="AQ81" s="531">
        <f>qtrSales!Y97</f>
        <v>40.24</v>
      </c>
      <c r="AR81" s="531">
        <f>qtrSales!Y98</f>
        <v>40.24</v>
      </c>
      <c r="AS81" s="531">
        <f>qtrSales!Y98</f>
        <v>40.24</v>
      </c>
      <c r="AT81" s="531">
        <f>qtrSales!Y99</f>
        <v>41.68</v>
      </c>
      <c r="AU81" s="531"/>
      <c r="AV81" s="531">
        <f>qtrSales!$Y104</f>
        <v>40.793999999999997</v>
      </c>
      <c r="AW81" s="531">
        <f>qtrSales!$Y105</f>
        <v>40.793999999999997</v>
      </c>
      <c r="AX81" s="531">
        <f>qtrSales!$Y106</f>
        <v>42.12</v>
      </c>
      <c r="AY81" s="531">
        <f>qtrSales!$Y107</f>
        <v>42.212000000000003</v>
      </c>
      <c r="AZ81" s="531"/>
      <c r="BA81" s="531">
        <f>qtrSales!$Y104</f>
        <v>40.793999999999997</v>
      </c>
      <c r="BB81" s="531">
        <f>qtrSales!$Y105</f>
        <v>40.793999999999997</v>
      </c>
      <c r="BC81" s="531">
        <f>qtrSales!$Y106</f>
        <v>42.12</v>
      </c>
      <c r="BD81" s="531">
        <f>qtrSales!$Y107</f>
        <v>42.212000000000003</v>
      </c>
      <c r="BE81" s="531">
        <f>yrSales!F31</f>
        <v>27.315000000000001</v>
      </c>
      <c r="BF81" s="531">
        <f>yrSales!G31</f>
        <v>29.3</v>
      </c>
      <c r="BG81" s="531">
        <f>yrSales!H31</f>
        <v>29.44</v>
      </c>
      <c r="BH81" s="531">
        <f>yrSales!I31</f>
        <v>30.32</v>
      </c>
      <c r="BI81" s="531">
        <f>yrSales!J31</f>
        <v>31.76</v>
      </c>
      <c r="BJ81" s="531">
        <f>yrSales!K31</f>
        <v>34.64</v>
      </c>
      <c r="BK81" s="531"/>
      <c r="BL81" s="531">
        <f>yrSales!L31</f>
        <v>35.36</v>
      </c>
      <c r="BM81" s="531">
        <f>yrSales!M31</f>
        <v>36.800000000000004</v>
      </c>
      <c r="BN81" s="531">
        <f>yrSales!N31</f>
        <v>38.160000000000004</v>
      </c>
      <c r="BO81" s="531">
        <f>yrSales!P31</f>
        <v>42</v>
      </c>
      <c r="BP81" s="531">
        <f>yrSales!Q31</f>
        <v>41.01</v>
      </c>
      <c r="BQ81" s="531">
        <f>yrSales!R31</f>
        <v>42.212000000000003</v>
      </c>
      <c r="BR81" s="531">
        <f>yrSales!S31</f>
        <v>43.468000000000004</v>
      </c>
      <c r="BS81" s="531">
        <f>yrSales!T31</f>
        <v>44.735999999999997</v>
      </c>
      <c r="BT81" s="531">
        <f>yrSales!U31</f>
        <v>45.692999999999998</v>
      </c>
      <c r="BU81" s="531">
        <f>yrSales!V31</f>
        <v>47.492999999999995</v>
      </c>
      <c r="BV81" s="531"/>
    </row>
    <row r="82" spans="1:74">
      <c r="A82" s="17" t="s">
        <v>100</v>
      </c>
      <c r="C82" s="532"/>
      <c r="D82" s="532"/>
      <c r="E82" s="532"/>
      <c r="F82" s="532"/>
      <c r="G82" s="532"/>
      <c r="H82" s="532"/>
      <c r="I82" s="532"/>
      <c r="J82" s="532"/>
      <c r="K82" s="532"/>
      <c r="L82" s="532"/>
      <c r="M82" s="532"/>
      <c r="N82" s="532"/>
      <c r="O82" s="532"/>
      <c r="P82" s="532"/>
      <c r="Q82" s="532"/>
      <c r="R82" s="532"/>
      <c r="S82" s="532"/>
      <c r="T82" s="532"/>
      <c r="U82" s="532"/>
      <c r="V82" s="532"/>
      <c r="W82" s="532">
        <f>qtrSales!I69</f>
        <v>433</v>
      </c>
      <c r="X82" s="532">
        <f>qtrSales!I70</f>
        <v>433</v>
      </c>
      <c r="Y82" s="532">
        <f>qtrSales!I71</f>
        <v>442</v>
      </c>
      <c r="Z82" s="532">
        <f>qtrSales!I72</f>
        <v>442</v>
      </c>
      <c r="AA82" s="532"/>
      <c r="AB82" s="532">
        <f>qtrSales!I76</f>
        <v>449</v>
      </c>
      <c r="AC82" s="532">
        <f>qtrSales!I77</f>
        <v>447</v>
      </c>
      <c r="AD82" s="532">
        <f>qtrSales!I78</f>
        <v>459</v>
      </c>
      <c r="AE82" s="532">
        <f>qtrSales!I79</f>
        <v>460</v>
      </c>
      <c r="AF82" s="532"/>
      <c r="AG82" s="532">
        <f>qtrSales!I83</f>
        <v>462</v>
      </c>
      <c r="AH82" s="532">
        <f>qtrSales!I84</f>
        <v>462</v>
      </c>
      <c r="AI82" s="532">
        <f>qtrSales!I85</f>
        <v>472</v>
      </c>
      <c r="AJ82" s="532">
        <f>qtrSales!I86</f>
        <v>477</v>
      </c>
      <c r="AK82" s="532"/>
      <c r="AL82" s="532">
        <f>qtrSales!I90</f>
        <v>482</v>
      </c>
      <c r="AM82" s="532">
        <f>qtrSales!I91</f>
        <v>482</v>
      </c>
      <c r="AN82" s="532">
        <f>qtrSales!I92</f>
        <v>497</v>
      </c>
      <c r="AO82" s="532">
        <f>qtrSales!I93</f>
        <v>500</v>
      </c>
      <c r="AQ82" s="532">
        <f>qtrSales!I97</f>
        <v>503</v>
      </c>
      <c r="AR82" s="532">
        <f>qtrSales!I98</f>
        <v>503</v>
      </c>
      <c r="AS82" s="532">
        <f>qtrSales!I98</f>
        <v>503</v>
      </c>
      <c r="AT82" s="532">
        <f>qtrSales!I99</f>
        <v>521</v>
      </c>
      <c r="AV82" s="532">
        <f>qtrSales!$I104</f>
        <v>523</v>
      </c>
      <c r="AW82" s="532">
        <f>qtrSales!$I105</f>
        <v>523</v>
      </c>
      <c r="AX82" s="532">
        <f>qtrSales!$I106</f>
        <v>540</v>
      </c>
      <c r="AY82" s="532">
        <f>qtrSales!$I107</f>
        <v>542</v>
      </c>
      <c r="BA82" s="532">
        <f>qtrSales!$I104</f>
        <v>523</v>
      </c>
      <c r="BB82" s="532">
        <f>qtrSales!$I105</f>
        <v>523</v>
      </c>
      <c r="BC82" s="532">
        <f>qtrSales!$I106</f>
        <v>540</v>
      </c>
      <c r="BD82" s="532">
        <f>qtrSales!$I107</f>
        <v>542</v>
      </c>
      <c r="BE82" s="532">
        <f>BE63</f>
        <v>349</v>
      </c>
      <c r="BF82" s="532">
        <f t="shared" ref="BF82:BT82" si="47">BF63</f>
        <v>362</v>
      </c>
      <c r="BG82" s="532">
        <f t="shared" si="47"/>
        <v>368</v>
      </c>
      <c r="BH82" s="532">
        <f t="shared" si="47"/>
        <v>379</v>
      </c>
      <c r="BI82" s="532">
        <f t="shared" si="47"/>
        <v>397</v>
      </c>
      <c r="BJ82" s="532">
        <f>BJ63</f>
        <v>433</v>
      </c>
      <c r="BK82" s="532"/>
      <c r="BL82" s="532">
        <f t="shared" si="47"/>
        <v>442</v>
      </c>
      <c r="BM82" s="532">
        <f t="shared" si="47"/>
        <v>460</v>
      </c>
      <c r="BN82" s="532">
        <f t="shared" si="47"/>
        <v>477</v>
      </c>
      <c r="BO82" s="532">
        <f t="shared" si="47"/>
        <v>500</v>
      </c>
      <c r="BP82" s="532">
        <f t="shared" si="47"/>
        <v>521</v>
      </c>
      <c r="BQ82" s="532">
        <f t="shared" si="47"/>
        <v>542</v>
      </c>
      <c r="BR82" s="532">
        <f t="shared" si="47"/>
        <v>567</v>
      </c>
      <c r="BS82" s="532">
        <f t="shared" si="47"/>
        <v>592</v>
      </c>
      <c r="BT82" s="532">
        <f t="shared" si="47"/>
        <v>629</v>
      </c>
      <c r="BU82" s="532">
        <f>BU63</f>
        <v>669</v>
      </c>
      <c r="BV82" s="532"/>
    </row>
    <row r="83" spans="1:74">
      <c r="A83" s="17" t="s">
        <v>7</v>
      </c>
      <c r="C83" s="496"/>
      <c r="D83" s="496"/>
      <c r="E83" s="496"/>
      <c r="F83" s="496"/>
      <c r="G83" s="496"/>
      <c r="H83" s="496"/>
      <c r="I83" s="496"/>
      <c r="J83" s="496"/>
      <c r="K83" s="496"/>
      <c r="L83" s="496"/>
      <c r="M83" s="496"/>
      <c r="N83" s="496"/>
      <c r="O83" s="496"/>
      <c r="P83" s="496"/>
      <c r="Q83" s="496"/>
      <c r="R83" s="496"/>
      <c r="S83" s="496"/>
      <c r="T83" s="496"/>
      <c r="U83" s="496"/>
      <c r="V83" s="496"/>
      <c r="W83" s="533">
        <v>0.35</v>
      </c>
      <c r="X83" s="533">
        <v>0.35</v>
      </c>
      <c r="Y83" s="533">
        <v>0.35</v>
      </c>
      <c r="Z83" s="533">
        <v>0.35</v>
      </c>
      <c r="AA83" s="533"/>
      <c r="AB83" s="533">
        <v>0.35</v>
      </c>
      <c r="AC83" s="533">
        <v>0.35</v>
      </c>
      <c r="AD83" s="533">
        <v>0.35</v>
      </c>
      <c r="AE83" s="533">
        <v>0.35</v>
      </c>
      <c r="AF83" s="533"/>
      <c r="AG83" s="533">
        <v>0.35</v>
      </c>
      <c r="AH83" s="533">
        <v>0.35</v>
      </c>
      <c r="AI83" s="533">
        <v>0.35</v>
      </c>
      <c r="AJ83" s="533">
        <v>0.35</v>
      </c>
      <c r="AK83" s="533"/>
      <c r="AL83" s="533">
        <v>0.35</v>
      </c>
      <c r="AM83" s="533">
        <v>0.35</v>
      </c>
      <c r="AN83" s="533">
        <v>0.35</v>
      </c>
      <c r="AO83" s="533">
        <v>0.35</v>
      </c>
      <c r="AP83" s="534"/>
      <c r="AQ83" s="533">
        <v>0.39</v>
      </c>
      <c r="AR83" s="533">
        <v>0.35</v>
      </c>
      <c r="AS83" s="533">
        <v>0.39</v>
      </c>
      <c r="AT83" s="533">
        <v>0.39</v>
      </c>
      <c r="AU83" s="534"/>
      <c r="AV83" s="533">
        <v>0.39</v>
      </c>
      <c r="AW83" s="533">
        <v>0.39</v>
      </c>
      <c r="AX83" s="533">
        <v>0.39</v>
      </c>
      <c r="AY83" s="533">
        <v>0.39</v>
      </c>
      <c r="AZ83" s="534"/>
      <c r="BA83" s="533">
        <v>0.39</v>
      </c>
      <c r="BB83" s="533">
        <v>0.39</v>
      </c>
      <c r="BC83" s="533">
        <v>0.39</v>
      </c>
      <c r="BD83" s="533">
        <v>0.39</v>
      </c>
      <c r="BE83" s="533">
        <v>0.35</v>
      </c>
      <c r="BF83" s="533">
        <v>0.35</v>
      </c>
      <c r="BG83" s="533">
        <v>0.35</v>
      </c>
      <c r="BH83" s="533">
        <v>0.35</v>
      </c>
      <c r="BI83" s="533">
        <v>0.35</v>
      </c>
      <c r="BJ83" s="533">
        <v>0.35</v>
      </c>
      <c r="BK83" s="496"/>
      <c r="BL83" s="533">
        <v>0.35</v>
      </c>
      <c r="BM83" s="533">
        <v>0.35</v>
      </c>
      <c r="BN83" s="533">
        <v>0.35</v>
      </c>
      <c r="BO83" s="533">
        <v>0.35</v>
      </c>
      <c r="BP83" s="533">
        <v>0.35</v>
      </c>
      <c r="BQ83" s="533">
        <v>0.39</v>
      </c>
      <c r="BR83" s="533">
        <v>0.39</v>
      </c>
      <c r="BS83" s="533">
        <v>0.39</v>
      </c>
      <c r="BT83" s="533">
        <v>0.39</v>
      </c>
      <c r="BU83" s="533">
        <v>0.39</v>
      </c>
      <c r="BV83" s="533"/>
    </row>
    <row r="85" spans="1:74" customFormat="1"/>
    <row r="89" spans="1:74">
      <c r="A89" s="1" t="s">
        <v>614</v>
      </c>
      <c r="AL89" s="535">
        <f>AL54+AG54</f>
        <v>1.0999999999999999E-2</v>
      </c>
      <c r="AM89" s="535">
        <f>AM54+AH54</f>
        <v>6.9000000000000006E-2</v>
      </c>
      <c r="AN89" s="535">
        <f>AN54+AI54</f>
        <v>3.6000000000000004E-2</v>
      </c>
      <c r="AO89" s="535">
        <f>AO54+AJ54</f>
        <v>-0.02</v>
      </c>
      <c r="AQ89" s="535">
        <f>AQ54+AL54</f>
        <v>0.04</v>
      </c>
      <c r="AR89" s="535">
        <f>AR54+AM54</f>
        <v>0.107</v>
      </c>
      <c r="AS89" s="535">
        <f>AS54+AN54</f>
        <v>0.06</v>
      </c>
      <c r="AT89" s="535">
        <f>AT54+AO54</f>
        <v>3.6999999999999998E-2</v>
      </c>
      <c r="AV89" s="535">
        <f>AV54+AQ54</f>
        <v>6.1000000000000006E-2</v>
      </c>
      <c r="AW89" s="535">
        <f>AW54+AR54</f>
        <v>0.125</v>
      </c>
      <c r="AX89" s="535">
        <f>AX54+AS54</f>
        <v>9.0999999999999998E-2</v>
      </c>
      <c r="AY89" s="535">
        <f>AY54+AT54</f>
        <v>0.10700000000000001</v>
      </c>
    </row>
  </sheetData>
  <phoneticPr fontId="11" type="noConversion"/>
  <printOptions horizontalCentered="1" verticalCentered="1"/>
  <pageMargins left="0" right="0" top="0" bottom="0" header="0" footer="0"/>
  <pageSetup scale="7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rgb="FFC00000"/>
    <pageSetUpPr fitToPage="1"/>
  </sheetPr>
  <dimension ref="A1:AU65536"/>
  <sheetViews>
    <sheetView zoomScale="85" zoomScaleNormal="85" workbookViewId="0">
      <selection activeCell="S9" sqref="S9"/>
    </sheetView>
  </sheetViews>
  <sheetFormatPr defaultRowHeight="12.75" outlineLevelRow="1" outlineLevelCol="2"/>
  <cols>
    <col min="1" max="1" width="27.42578125" style="17" customWidth="1"/>
    <col min="2" max="5" width="9.140625" style="17" hidden="1" customWidth="1" outlineLevel="1"/>
    <col min="6" max="6" width="9.140625" style="17" hidden="1" customWidth="1" outlineLevel="2"/>
    <col min="7" max="7" width="9.140625" style="17" hidden="1" customWidth="1" outlineLevel="1"/>
    <col min="8" max="8" width="10.5703125" style="17" hidden="1" customWidth="1" outlineLevel="1"/>
    <col min="9" max="11" width="9.140625" style="17" hidden="1" customWidth="1" outlineLevel="1"/>
    <col min="12" max="12" width="8.28515625" style="17" bestFit="1" customWidth="1" collapsed="1"/>
    <col min="13" max="14" width="8.28515625" style="17" bestFit="1" customWidth="1"/>
    <col min="15" max="15" width="8.28515625" style="102" bestFit="1" customWidth="1"/>
    <col min="16" max="16" width="8.28515625" style="17" bestFit="1" customWidth="1"/>
    <col min="17" max="20" width="9.28515625" style="17" bestFit="1" customWidth="1" outlineLevel="1"/>
    <col min="21" max="21" width="9.5703125" style="17" bestFit="1" customWidth="1" outlineLevel="1"/>
    <col min="22" max="22" width="9.28515625" style="17" bestFit="1" customWidth="1" outlineLevel="1"/>
    <col min="23" max="23" width="2.28515625" style="17" customWidth="1"/>
    <col min="24" max="24" width="7" style="17" bestFit="1" customWidth="1"/>
    <col min="25" max="25" width="2.42578125" style="17" customWidth="1"/>
    <col min="26" max="26" width="6.85546875" style="17" bestFit="1" customWidth="1"/>
    <col min="27" max="27" width="2.28515625" style="17" customWidth="1"/>
    <col min="28" max="28" width="2.42578125" style="17" customWidth="1"/>
    <col min="29" max="29" width="9.28515625" style="17" bestFit="1" customWidth="1"/>
    <col min="30" max="33" width="9.140625" style="17"/>
    <col min="34" max="34" width="15.140625" style="17" customWidth="1"/>
    <col min="35" max="35" width="11.42578125" style="17" bestFit="1" customWidth="1"/>
    <col min="36" max="16384" width="9.140625" style="17"/>
  </cols>
  <sheetData>
    <row r="1" spans="1:29">
      <c r="A1" s="1" t="s">
        <v>441</v>
      </c>
      <c r="F1" s="1"/>
      <c r="J1" s="17" t="s">
        <v>134</v>
      </c>
      <c r="N1" s="562"/>
      <c r="O1" s="100"/>
      <c r="P1" s="562"/>
      <c r="Q1" s="562"/>
      <c r="R1" s="717"/>
      <c r="S1" s="717"/>
      <c r="U1" s="717"/>
      <c r="V1" s="717"/>
    </row>
    <row r="2" spans="1:29" s="18" customFormat="1">
      <c r="A2" s="2" t="s">
        <v>322</v>
      </c>
      <c r="F2" s="2"/>
      <c r="N2" s="718"/>
      <c r="O2" s="101"/>
      <c r="P2" s="718"/>
      <c r="Q2" s="718"/>
    </row>
    <row r="3" spans="1:29">
      <c r="A3" s="719" t="s">
        <v>50</v>
      </c>
      <c r="F3" s="719"/>
    </row>
    <row r="4" spans="1:29">
      <c r="B4" s="696" t="s">
        <v>260</v>
      </c>
      <c r="C4" s="696"/>
      <c r="D4" s="696"/>
      <c r="E4" s="696"/>
      <c r="F4" s="696"/>
      <c r="G4" s="70" t="s">
        <v>260</v>
      </c>
      <c r="H4" s="696"/>
      <c r="I4" s="696"/>
      <c r="J4" s="696"/>
      <c r="K4" s="696"/>
      <c r="L4" s="75" t="s">
        <v>259</v>
      </c>
      <c r="M4" s="511"/>
      <c r="N4" s="511"/>
      <c r="O4" s="103"/>
      <c r="P4" s="511"/>
      <c r="Q4" s="511"/>
      <c r="R4" s="511"/>
      <c r="S4" s="511"/>
      <c r="T4" s="1217"/>
      <c r="U4" s="511"/>
      <c r="V4" s="1218"/>
    </row>
    <row r="5" spans="1:29" s="421" customFormat="1">
      <c r="B5" s="699"/>
      <c r="C5" s="699"/>
      <c r="D5" s="699"/>
      <c r="E5" s="699"/>
      <c r="F5" s="699"/>
      <c r="G5" s="74"/>
      <c r="H5" s="73" t="s">
        <v>291</v>
      </c>
      <c r="I5" s="699" t="s">
        <v>264</v>
      </c>
      <c r="J5" s="699"/>
      <c r="K5" s="699"/>
      <c r="L5" s="97" t="s">
        <v>261</v>
      </c>
      <c r="M5" s="97" t="s">
        <v>84</v>
      </c>
      <c r="N5" s="97" t="s">
        <v>242</v>
      </c>
      <c r="O5" s="104" t="s">
        <v>247</v>
      </c>
      <c r="P5" s="97" t="s">
        <v>393</v>
      </c>
      <c r="Q5" s="97" t="s">
        <v>611</v>
      </c>
      <c r="R5" s="98" t="s">
        <v>37</v>
      </c>
      <c r="S5" s="98" t="s">
        <v>38</v>
      </c>
      <c r="T5" s="98" t="s">
        <v>244</v>
      </c>
      <c r="U5" s="98" t="s">
        <v>245</v>
      </c>
      <c r="V5" s="98" t="s">
        <v>341</v>
      </c>
      <c r="X5" s="697"/>
      <c r="Y5" s="11" t="s">
        <v>42</v>
      </c>
      <c r="Z5" s="465"/>
      <c r="AA5" s="698"/>
      <c r="AB5" s="17"/>
    </row>
    <row r="6" spans="1:29">
      <c r="B6" s="71" t="s">
        <v>252</v>
      </c>
      <c r="C6" s="71" t="s">
        <v>253</v>
      </c>
      <c r="D6" s="71" t="s">
        <v>254</v>
      </c>
      <c r="E6" s="71" t="s">
        <v>255</v>
      </c>
      <c r="F6" s="71" t="s">
        <v>166</v>
      </c>
      <c r="G6" s="71" t="s">
        <v>96</v>
      </c>
      <c r="H6" s="71" t="s">
        <v>95</v>
      </c>
      <c r="I6" s="71" t="s">
        <v>94</v>
      </c>
      <c r="J6" s="71" t="s">
        <v>93</v>
      </c>
      <c r="K6" s="71" t="s">
        <v>83</v>
      </c>
      <c r="L6" s="18"/>
      <c r="M6" s="18"/>
      <c r="N6" s="18"/>
      <c r="O6" s="105" t="s">
        <v>397</v>
      </c>
      <c r="P6" s="99" t="s">
        <v>396</v>
      </c>
      <c r="Q6" s="18"/>
      <c r="R6" s="18"/>
      <c r="S6" s="18"/>
      <c r="T6" s="18"/>
      <c r="U6" s="18"/>
      <c r="V6" s="18"/>
      <c r="X6" s="12" t="s">
        <v>624</v>
      </c>
      <c r="Y6" s="11"/>
      <c r="Z6" s="13" t="s">
        <v>623</v>
      </c>
      <c r="AA6" s="698"/>
    </row>
    <row r="7" spans="1:29">
      <c r="B7" s="79"/>
      <c r="C7" s="79"/>
      <c r="D7" s="79"/>
      <c r="E7" s="79"/>
      <c r="F7" s="79"/>
      <c r="G7" s="79"/>
      <c r="H7" s="79"/>
      <c r="I7" s="79"/>
      <c r="J7" s="79"/>
      <c r="K7" s="79"/>
      <c r="X7" s="702"/>
      <c r="Y7" s="514"/>
      <c r="Z7" s="514"/>
      <c r="AA7" s="700"/>
    </row>
    <row r="8" spans="1:29">
      <c r="A8" s="17" t="s">
        <v>364</v>
      </c>
      <c r="B8" s="712">
        <f>yrSales!B12</f>
        <v>2226.183</v>
      </c>
      <c r="C8" s="712">
        <f>yrSales!C12</f>
        <v>2428.5840000000003</v>
      </c>
      <c r="D8" s="712">
        <f>yrSales!D12</f>
        <v>2553.7570000000001</v>
      </c>
      <c r="E8" s="712">
        <f>yrSales!E12</f>
        <v>2678.1280000000002</v>
      </c>
      <c r="F8" s="712">
        <f>yrSales!F12</f>
        <v>2859.96</v>
      </c>
      <c r="G8" s="712">
        <f>yrSales!G12</f>
        <v>3199.84</v>
      </c>
      <c r="H8" s="712">
        <f>yrSales!H12</f>
        <v>3470.5540000000001</v>
      </c>
      <c r="I8" s="712">
        <f>yrSales!I12</f>
        <v>3441.645</v>
      </c>
      <c r="J8" s="712">
        <f>yrSales!J12</f>
        <v>3423.973</v>
      </c>
      <c r="K8" s="712">
        <f>yrSales!K12</f>
        <v>3571.3670000000002</v>
      </c>
      <c r="L8" s="704">
        <f>'qtrP&amp;L'!AI15</f>
        <v>3522.9139999999998</v>
      </c>
      <c r="M8" s="704">
        <f>'qtrP&amp;L'!AM15</f>
        <v>3669.6019999999999</v>
      </c>
      <c r="N8" s="704">
        <f>'qtrP&amp;L'!AQ15</f>
        <v>3854.134</v>
      </c>
      <c r="O8" s="720">
        <v>4131.3789999999999</v>
      </c>
      <c r="P8" s="704">
        <f>'qtrP&amp;L'!AU15</f>
        <v>4077.034171070005</v>
      </c>
      <c r="Q8" s="436">
        <f>'qtrP&amp;L'!AY15</f>
        <v>4427.5029999999997</v>
      </c>
      <c r="R8" s="436">
        <f>'qtrP&amp;L'!BC15</f>
        <v>4814.5039999999999</v>
      </c>
      <c r="S8" s="436">
        <f>'qtrP&amp;L'!BG15</f>
        <v>5098.9319999999998</v>
      </c>
      <c r="T8" s="436">
        <f>yrSales!T8</f>
        <v>5566.0379999999996</v>
      </c>
      <c r="U8" s="436">
        <f>yrSales!U8</f>
        <v>6084.7659999999996</v>
      </c>
      <c r="V8" s="436">
        <f>yrSales!V8</f>
        <v>6587.3821933692661</v>
      </c>
      <c r="X8" s="705">
        <f>((Q8/J8)^(1/5)-1)*100</f>
        <v>5.27511064879993</v>
      </c>
      <c r="Y8" s="706" t="s">
        <v>102</v>
      </c>
      <c r="Z8" s="707">
        <f>((V8/Q8)^(1/5)-1)*100</f>
        <v>8.2706638144256051</v>
      </c>
      <c r="AA8" s="708" t="s">
        <v>102</v>
      </c>
      <c r="AC8" s="496">
        <f>(U8/R8)^(1/3)-1</f>
        <v>8.1178605318120933E-2</v>
      </c>
    </row>
    <row r="9" spans="1:29">
      <c r="A9" s="414" t="s">
        <v>31</v>
      </c>
      <c r="B9" s="709"/>
      <c r="C9" s="709">
        <f>C8/B8-1</f>
        <v>9.0918401586931763E-2</v>
      </c>
      <c r="D9" s="709">
        <f>D8/C8-1</f>
        <v>5.1541556726059312E-2</v>
      </c>
      <c r="E9" s="709">
        <f t="shared" ref="E9:N9" si="0">E8/D8-1</f>
        <v>4.8701188092680647E-2</v>
      </c>
      <c r="F9" s="709">
        <f t="shared" si="0"/>
        <v>6.7895186488472481E-2</v>
      </c>
      <c r="G9" s="709">
        <f t="shared" si="0"/>
        <v>0.11884082294857268</v>
      </c>
      <c r="H9" s="709">
        <f t="shared" si="0"/>
        <v>8.4602355117755934E-2</v>
      </c>
      <c r="I9" s="709">
        <f>I8/H8-1</f>
        <v>-8.3297940328835862E-3</v>
      </c>
      <c r="J9" s="709">
        <f>J8/I8-1</f>
        <v>-5.134753874963871E-3</v>
      </c>
      <c r="K9" s="709">
        <f>K8/J8-1</f>
        <v>4.3047652536979841E-2</v>
      </c>
      <c r="L9" s="710" t="s">
        <v>90</v>
      </c>
      <c r="M9" s="496">
        <f t="shared" si="0"/>
        <v>4.1638257419851943E-2</v>
      </c>
      <c r="N9" s="496">
        <f t="shared" si="0"/>
        <v>5.0286652339954108E-2</v>
      </c>
      <c r="O9" s="721">
        <f>O8/N8-1</f>
        <v>7.193444753088496E-2</v>
      </c>
      <c r="P9" s="496">
        <f>P8/N8-1</f>
        <v>5.7834048081879086E-2</v>
      </c>
      <c r="Q9" s="496">
        <f t="shared" ref="Q9:V9" si="1">Q8/P8-1</f>
        <v>8.596170996477448E-2</v>
      </c>
      <c r="R9" s="496">
        <f t="shared" si="1"/>
        <v>8.7408410564600469E-2</v>
      </c>
      <c r="S9" s="496">
        <f t="shared" si="1"/>
        <v>5.9077321360621937E-2</v>
      </c>
      <c r="T9" s="496">
        <f t="shared" si="1"/>
        <v>9.1608595682389993E-2</v>
      </c>
      <c r="U9" s="496">
        <f t="shared" si="1"/>
        <v>9.3195195577177259E-2</v>
      </c>
      <c r="V9" s="496">
        <f t="shared" si="1"/>
        <v>8.2602386578097819E-2</v>
      </c>
      <c r="X9" s="705"/>
      <c r="Y9" s="706"/>
      <c r="Z9" s="707"/>
      <c r="AA9" s="708"/>
    </row>
    <row r="10" spans="1:29" ht="6" customHeight="1">
      <c r="B10" s="79"/>
      <c r="C10" s="79"/>
      <c r="D10" s="79"/>
      <c r="E10" s="79"/>
      <c r="F10" s="79"/>
      <c r="G10" s="79"/>
      <c r="H10" s="79"/>
      <c r="I10" s="79"/>
      <c r="J10" s="79"/>
      <c r="K10" s="79"/>
      <c r="O10" s="722"/>
      <c r="P10" s="559"/>
      <c r="T10" s="711"/>
      <c r="U10" s="711"/>
      <c r="X10" s="705"/>
      <c r="Y10" s="706"/>
      <c r="Z10" s="707"/>
      <c r="AA10" s="708"/>
    </row>
    <row r="11" spans="1:29">
      <c r="A11" s="17" t="s">
        <v>32</v>
      </c>
      <c r="B11" s="484">
        <v>1406.625</v>
      </c>
      <c r="C11" s="484">
        <v>1517.6759999999999</v>
      </c>
      <c r="D11" s="484">
        <v>1583.634</v>
      </c>
      <c r="E11" s="484">
        <v>1660.17</v>
      </c>
      <c r="F11" s="484">
        <v>1765.4780000000001</v>
      </c>
      <c r="G11" s="484">
        <v>1987.1590000000001</v>
      </c>
      <c r="H11" s="484">
        <v>2183.2629999999999</v>
      </c>
      <c r="I11" s="484">
        <v>2125.16</v>
      </c>
      <c r="J11" s="484">
        <v>2095.364</v>
      </c>
      <c r="K11" s="723">
        <v>2199.7660000000001</v>
      </c>
      <c r="L11" s="443">
        <f>'qtrP&amp;L'!AI25</f>
        <v>2181.7069999999999</v>
      </c>
      <c r="M11" s="443">
        <f>'qtrP&amp;L'!AM25</f>
        <v>2252.346</v>
      </c>
      <c r="N11" s="443">
        <f>'qtrP&amp;L'!AQ25</f>
        <v>2363.4639999999999</v>
      </c>
      <c r="O11" s="724">
        <v>2530.1239999999998</v>
      </c>
      <c r="P11" s="443">
        <f>'qtrP&amp;L'!AU25</f>
        <v>2497.9727558300101</v>
      </c>
      <c r="Q11" s="443">
        <f>'qtrP&amp;L'!AY25</f>
        <v>2695.9569999999999</v>
      </c>
      <c r="R11" s="443">
        <f>'qtrP&amp;L'!BC25</f>
        <v>2900.819</v>
      </c>
      <c r="S11" s="443">
        <f>'qtrP&amp;L'!BG25</f>
        <v>3036.0904300000002</v>
      </c>
      <c r="T11" s="443">
        <f>T8*(1-T12)</f>
        <v>3300.6605339999996</v>
      </c>
      <c r="U11" s="443">
        <f>U8*(1-U12)</f>
        <v>3602.8507962600002</v>
      </c>
      <c r="V11" s="443">
        <f>V8*(1-V12)</f>
        <v>3900.3889966939428</v>
      </c>
      <c r="X11" s="705">
        <f>((Q11/J11)^(1/5)-1)*100</f>
        <v>5.1697148918825153</v>
      </c>
      <c r="Y11" s="706" t="s">
        <v>102</v>
      </c>
      <c r="Z11" s="707">
        <f>((V11/Q11)^(1/5)-1)*100</f>
        <v>7.6661025960911289</v>
      </c>
      <c r="AA11" s="708" t="s">
        <v>102</v>
      </c>
    </row>
    <row r="12" spans="1:29">
      <c r="A12" s="414" t="s">
        <v>54</v>
      </c>
      <c r="B12" s="709">
        <f t="shared" ref="B12:G12" si="2">(B8-B11)/B8</f>
        <v>0.36814493687176658</v>
      </c>
      <c r="C12" s="709">
        <f t="shared" si="2"/>
        <v>0.37507782312656274</v>
      </c>
      <c r="D12" s="709">
        <f t="shared" si="2"/>
        <v>0.37988070125701073</v>
      </c>
      <c r="E12" s="709">
        <f t="shared" si="2"/>
        <v>0.38010057771697248</v>
      </c>
      <c r="F12" s="725">
        <f t="shared" si="2"/>
        <v>0.38269136631281553</v>
      </c>
      <c r="G12" s="725">
        <f t="shared" si="2"/>
        <v>0.37898176158807939</v>
      </c>
      <c r="H12" s="709">
        <f t="shared" ref="H12:P12" si="3">(H8-H11)/H8</f>
        <v>0.37091801481838349</v>
      </c>
      <c r="I12" s="709">
        <f>(I8-I11)/I8</f>
        <v>0.38251620954514487</v>
      </c>
      <c r="J12" s="709">
        <f>(J8-J11)/J8</f>
        <v>0.38803138926621206</v>
      </c>
      <c r="K12" s="709">
        <f t="shared" si="3"/>
        <v>0.38405490110649509</v>
      </c>
      <c r="L12" s="496">
        <f t="shared" si="3"/>
        <v>0.380709548969972</v>
      </c>
      <c r="M12" s="496">
        <f t="shared" si="3"/>
        <v>0.38621518082887463</v>
      </c>
      <c r="N12" s="496">
        <f t="shared" si="3"/>
        <v>0.38677171058401189</v>
      </c>
      <c r="O12" s="721">
        <f t="shared" si="3"/>
        <v>0.38758366153286838</v>
      </c>
      <c r="P12" s="496">
        <f t="shared" si="3"/>
        <v>0.38730639699926162</v>
      </c>
      <c r="Q12" s="496">
        <f>(Q8-Q11)/Q8</f>
        <v>0.39108861134594375</v>
      </c>
      <c r="R12" s="496">
        <f>(R8-R11)/R8</f>
        <v>0.39748331292278499</v>
      </c>
      <c r="S12" s="496">
        <f>(S8-S11)/S8</f>
        <v>0.40456345956368894</v>
      </c>
      <c r="T12" s="726">
        <v>0.40699999999999997</v>
      </c>
      <c r="U12" s="726">
        <v>0.40788999999999997</v>
      </c>
      <c r="V12" s="726">
        <v>0.40789999999999998</v>
      </c>
      <c r="X12" s="705"/>
      <c r="Y12" s="706"/>
      <c r="Z12" s="707"/>
      <c r="AA12" s="708"/>
    </row>
    <row r="13" spans="1:29" ht="6.75" customHeight="1">
      <c r="B13" s="79"/>
      <c r="C13" s="79"/>
      <c r="D13" s="79"/>
      <c r="E13" s="79"/>
      <c r="F13" s="79"/>
      <c r="G13" s="79"/>
      <c r="H13" s="79"/>
      <c r="I13" s="79"/>
      <c r="J13" s="79"/>
      <c r="K13" s="79"/>
      <c r="M13" s="443"/>
      <c r="N13" s="443"/>
      <c r="O13" s="724"/>
      <c r="P13" s="443"/>
      <c r="Q13" s="443"/>
      <c r="R13" s="443"/>
      <c r="S13" s="443"/>
      <c r="T13" s="443"/>
      <c r="U13" s="443"/>
      <c r="V13" s="443"/>
      <c r="X13" s="705"/>
      <c r="Y13" s="706"/>
      <c r="Z13" s="707"/>
      <c r="AA13" s="708"/>
    </row>
    <row r="14" spans="1:29">
      <c r="A14" s="17" t="s">
        <v>33</v>
      </c>
      <c r="B14" s="723">
        <v>673.02700000000004</v>
      </c>
      <c r="C14" s="723">
        <v>743.37599999999998</v>
      </c>
      <c r="D14" s="723">
        <v>801.09</v>
      </c>
      <c r="E14" s="723">
        <v>838.74</v>
      </c>
      <c r="F14" s="723">
        <v>900.05899999999997</v>
      </c>
      <c r="G14" s="723">
        <v>957.75900000000001</v>
      </c>
      <c r="H14" s="723">
        <v>1051.922</v>
      </c>
      <c r="I14" s="723">
        <v>1062.4680000000001</v>
      </c>
      <c r="J14" s="723">
        <v>1090.829</v>
      </c>
      <c r="K14" s="723">
        <v>1115.248</v>
      </c>
      <c r="L14" s="443">
        <f>'qtrP&amp;L'!AI35</f>
        <v>1113.96</v>
      </c>
      <c r="M14" s="443">
        <f>'qtrP&amp;L'!AM35</f>
        <v>1151.4840000000002</v>
      </c>
      <c r="N14" s="443">
        <f>'qtrP&amp;L'!AQ35</f>
        <v>1218.9269999999999</v>
      </c>
      <c r="O14" s="724">
        <f>1312.682-4.291+2.999</f>
        <v>1311.39</v>
      </c>
      <c r="P14" s="443">
        <f>'qtrP&amp;L'!AU35</f>
        <v>1289.1741698830001</v>
      </c>
      <c r="Q14" s="443">
        <f>'qtrP&amp;L'!AY35</f>
        <v>1391.788</v>
      </c>
      <c r="R14" s="443">
        <f>'qtrP&amp;L'!BC35</f>
        <v>1511.6480000000001</v>
      </c>
      <c r="S14" s="443">
        <f>'qtrP&amp;L'!BG35</f>
        <v>1619.3637185999999</v>
      </c>
      <c r="T14" s="443">
        <f>T8*T15</f>
        <v>1784.4717827999998</v>
      </c>
      <c r="U14" s="443">
        <f>U8*U15</f>
        <v>1950.1675029999999</v>
      </c>
      <c r="V14" s="443">
        <f>V8*V15</f>
        <v>2105.9860872201543</v>
      </c>
      <c r="X14" s="705">
        <f>((Q14/J14)^(1/5)-1)*100</f>
        <v>4.9937101211491086</v>
      </c>
      <c r="Y14" s="706" t="s">
        <v>102</v>
      </c>
      <c r="Z14" s="707">
        <f>((V14/Q14)^(1/5)-1)*100</f>
        <v>8.6366792922259563</v>
      </c>
      <c r="AA14" s="708" t="s">
        <v>102</v>
      </c>
    </row>
    <row r="15" spans="1:29">
      <c r="A15" s="414" t="s">
        <v>55</v>
      </c>
      <c r="B15" s="709">
        <f t="shared" ref="B15:G15" si="4">B14/B8</f>
        <v>0.30232330405901042</v>
      </c>
      <c r="C15" s="709">
        <f t="shared" si="4"/>
        <v>0.30609441551126082</v>
      </c>
      <c r="D15" s="709">
        <f t="shared" si="4"/>
        <v>0.31369077010851071</v>
      </c>
      <c r="E15" s="709">
        <f t="shared" si="4"/>
        <v>0.31318144614447108</v>
      </c>
      <c r="F15" s="725">
        <f t="shared" si="4"/>
        <v>0.31471034559923916</v>
      </c>
      <c r="G15" s="725">
        <f t="shared" si="4"/>
        <v>0.2993146532326616</v>
      </c>
      <c r="H15" s="709">
        <f t="shared" ref="H15:R15" si="5">H14/H8</f>
        <v>0.30309915938492815</v>
      </c>
      <c r="I15" s="709">
        <f>I14/I8</f>
        <v>0.30870935264967775</v>
      </c>
      <c r="J15" s="709">
        <f>J14/J8</f>
        <v>0.31858574819369195</v>
      </c>
      <c r="K15" s="709">
        <f t="shared" si="5"/>
        <v>0.31227482361795916</v>
      </c>
      <c r="L15" s="496">
        <f t="shared" si="5"/>
        <v>0.31620414236623434</v>
      </c>
      <c r="M15" s="496">
        <f t="shared" si="5"/>
        <v>0.31378988784069778</v>
      </c>
      <c r="N15" s="496">
        <f t="shared" si="5"/>
        <v>0.31626482109859178</v>
      </c>
      <c r="O15" s="721">
        <f t="shared" si="5"/>
        <v>0.31742185841579779</v>
      </c>
      <c r="P15" s="496">
        <f t="shared" si="5"/>
        <v>0.31620391583440183</v>
      </c>
      <c r="Q15" s="496">
        <f t="shared" si="5"/>
        <v>0.31435054928251888</v>
      </c>
      <c r="R15" s="496">
        <f t="shared" si="5"/>
        <v>0.31397793002145186</v>
      </c>
      <c r="S15" s="496">
        <f>S14/S8</f>
        <v>0.31758880459672728</v>
      </c>
      <c r="T15" s="533">
        <v>0.3206</v>
      </c>
      <c r="U15" s="533">
        <v>0.32050000000000001</v>
      </c>
      <c r="V15" s="1211">
        <v>0.31969999999999998</v>
      </c>
      <c r="X15" s="705"/>
      <c r="Y15" s="706"/>
      <c r="Z15" s="707"/>
      <c r="AA15" s="708"/>
    </row>
    <row r="16" spans="1:29" outlineLevel="1">
      <c r="A16" s="414" t="s">
        <v>257</v>
      </c>
      <c r="B16" s="727" t="s">
        <v>90</v>
      </c>
      <c r="C16" s="727" t="s">
        <v>90</v>
      </c>
      <c r="D16" s="727" t="s">
        <v>90</v>
      </c>
      <c r="E16" s="727" t="s">
        <v>90</v>
      </c>
      <c r="F16" s="727" t="s">
        <v>90</v>
      </c>
      <c r="G16" s="727" t="s">
        <v>90</v>
      </c>
      <c r="H16" s="727" t="s">
        <v>90</v>
      </c>
      <c r="I16" s="728">
        <v>283.88</v>
      </c>
      <c r="J16" s="728">
        <v>304.05200000000002</v>
      </c>
      <c r="K16" s="728">
        <v>351.55500000000001</v>
      </c>
      <c r="L16" s="626">
        <v>362.10300000000001</v>
      </c>
      <c r="M16" s="626">
        <v>373.166</v>
      </c>
      <c r="N16" s="626">
        <v>387.02800000000002</v>
      </c>
      <c r="O16" s="729">
        <v>418.35700000000003</v>
      </c>
      <c r="P16" s="626">
        <v>418.35700000000003</v>
      </c>
      <c r="Q16" s="626">
        <v>440.26967100000002</v>
      </c>
      <c r="R16" s="626">
        <v>478.56713000000002</v>
      </c>
      <c r="S16" s="562">
        <f>S8*S17</f>
        <v>502.24480199999999</v>
      </c>
      <c r="T16" s="562">
        <f>T8*T17</f>
        <v>548.25474299999996</v>
      </c>
      <c r="U16" s="562">
        <f>U8*U17</f>
        <v>599.34945100000004</v>
      </c>
      <c r="V16" s="562">
        <f>V8*V17</f>
        <v>648.85714604687269</v>
      </c>
      <c r="X16" s="705">
        <f>((Q16/J16)^(1/5)-1)*100</f>
        <v>7.6847442453455761</v>
      </c>
      <c r="Y16" s="706" t="s">
        <v>102</v>
      </c>
      <c r="Z16" s="707">
        <f>((V16/Q16)^(1/5)-1)*100</f>
        <v>8.0652505160983878</v>
      </c>
      <c r="AA16" s="708" t="s">
        <v>102</v>
      </c>
    </row>
    <row r="17" spans="1:29" outlineLevel="1">
      <c r="A17" s="414" t="s">
        <v>55</v>
      </c>
      <c r="B17" s="727" t="s">
        <v>90</v>
      </c>
      <c r="C17" s="727" t="s">
        <v>90</v>
      </c>
      <c r="D17" s="727" t="s">
        <v>90</v>
      </c>
      <c r="E17" s="727" t="s">
        <v>90</v>
      </c>
      <c r="F17" s="727" t="s">
        <v>90</v>
      </c>
      <c r="G17" s="727" t="s">
        <v>90</v>
      </c>
      <c r="H17" s="727" t="s">
        <v>90</v>
      </c>
      <c r="I17" s="709">
        <f t="shared" ref="I17:R17" si="6">I16/I8</f>
        <v>8.2483812246759908E-2</v>
      </c>
      <c r="J17" s="709">
        <f t="shared" si="6"/>
        <v>8.8800933885868849E-2</v>
      </c>
      <c r="K17" s="709">
        <f t="shared" si="6"/>
        <v>9.843709705555323E-2</v>
      </c>
      <c r="L17" s="496">
        <f t="shared" si="6"/>
        <v>0.10278508075984825</v>
      </c>
      <c r="M17" s="496">
        <f t="shared" si="6"/>
        <v>0.10169113707699091</v>
      </c>
      <c r="N17" s="496">
        <f t="shared" si="6"/>
        <v>0.10041892679393088</v>
      </c>
      <c r="O17" s="721">
        <f t="shared" si="6"/>
        <v>0.10126328279250101</v>
      </c>
      <c r="P17" s="496">
        <f t="shared" si="6"/>
        <v>0.10261307176883522</v>
      </c>
      <c r="Q17" s="496">
        <f t="shared" si="6"/>
        <v>9.9439722796348204E-2</v>
      </c>
      <c r="R17" s="496">
        <f t="shared" si="6"/>
        <v>9.9401128340531039E-2</v>
      </c>
      <c r="S17" s="533">
        <v>9.8500000000000004E-2</v>
      </c>
      <c r="T17" s="533">
        <f>S17</f>
        <v>9.8500000000000004E-2</v>
      </c>
      <c r="U17" s="533">
        <f>T17</f>
        <v>9.8500000000000004E-2</v>
      </c>
      <c r="V17" s="533">
        <f>U17</f>
        <v>9.8500000000000004E-2</v>
      </c>
      <c r="X17" s="705"/>
      <c r="Y17" s="706"/>
      <c r="Z17" s="707"/>
      <c r="AA17" s="708"/>
    </row>
    <row r="18" spans="1:29" outlineLevel="1">
      <c r="A18" s="414" t="s">
        <v>616</v>
      </c>
      <c r="B18" s="727"/>
      <c r="C18" s="727"/>
      <c r="D18" s="727"/>
      <c r="E18" s="727"/>
      <c r="F18" s="727"/>
      <c r="G18" s="727"/>
      <c r="H18" s="727"/>
      <c r="I18" s="709"/>
      <c r="J18" s="709"/>
      <c r="K18" s="709"/>
      <c r="L18" s="496">
        <f>L14/K14-1</f>
        <v>-1.1549000760369132E-3</v>
      </c>
      <c r="M18" s="496">
        <f t="shared" ref="M18:V18" si="7">M14/L14-1</f>
        <v>3.3685231067542842E-2</v>
      </c>
      <c r="N18" s="496">
        <f t="shared" si="7"/>
        <v>5.8570505538939166E-2</v>
      </c>
      <c r="O18" s="496">
        <f t="shared" si="7"/>
        <v>7.5856060289090532E-2</v>
      </c>
      <c r="P18" s="496">
        <f t="shared" si="7"/>
        <v>-1.6940673725588828E-2</v>
      </c>
      <c r="Q18" s="496">
        <f t="shared" si="7"/>
        <v>7.9596560739587874E-2</v>
      </c>
      <c r="R18" s="496">
        <f t="shared" si="7"/>
        <v>8.6119437730459047E-2</v>
      </c>
      <c r="S18" s="496">
        <f t="shared" si="7"/>
        <v>7.1257143594275707E-2</v>
      </c>
      <c r="T18" s="496">
        <f t="shared" si="7"/>
        <v>0.10195860405143686</v>
      </c>
      <c r="U18" s="496">
        <f t="shared" si="7"/>
        <v>9.2854211423846866E-2</v>
      </c>
      <c r="V18" s="496">
        <f t="shared" si="7"/>
        <v>7.9900102929852945E-2</v>
      </c>
      <c r="X18" s="705"/>
      <c r="Y18" s="706"/>
      <c r="Z18" s="707"/>
      <c r="AA18" s="708"/>
    </row>
    <row r="19" spans="1:29" ht="6" customHeight="1">
      <c r="B19" s="79"/>
      <c r="C19" s="79"/>
      <c r="D19" s="79"/>
      <c r="E19" s="79"/>
      <c r="F19" s="79"/>
      <c r="G19" s="79"/>
      <c r="H19" s="79"/>
      <c r="I19" s="79"/>
      <c r="J19" s="709"/>
      <c r="K19" s="709"/>
      <c r="L19" s="496"/>
      <c r="M19" s="496"/>
      <c r="N19" s="443"/>
      <c r="O19" s="724"/>
      <c r="P19" s="443"/>
      <c r="Q19" s="730"/>
      <c r="R19" s="730"/>
      <c r="S19" s="730"/>
      <c r="T19" s="730"/>
      <c r="U19" s="730"/>
      <c r="V19" s="730"/>
      <c r="X19" s="705"/>
      <c r="Y19" s="706"/>
      <c r="Z19" s="707"/>
      <c r="AA19" s="708"/>
    </row>
    <row r="20" spans="1:29">
      <c r="A20" s="17" t="s">
        <v>398</v>
      </c>
      <c r="B20" s="723">
        <v>0</v>
      </c>
      <c r="C20" s="723">
        <v>0</v>
      </c>
      <c r="D20" s="723">
        <v>-6.5949999999999998</v>
      </c>
      <c r="E20" s="723">
        <v>-6.0410000000000004</v>
      </c>
      <c r="F20" s="723">
        <v>-10.335000000000001</v>
      </c>
      <c r="G20" s="723">
        <v>-14.619</v>
      </c>
      <c r="H20" s="723">
        <v>-8.4480000000000004</v>
      </c>
      <c r="I20" s="723">
        <v>-6.18</v>
      </c>
      <c r="J20" s="723">
        <v>-12.861000000000001</v>
      </c>
      <c r="K20" s="723">
        <v>-5.9980000000000002</v>
      </c>
      <c r="L20" s="443">
        <f>'qtrP&amp;L'!AI57</f>
        <v>-47.475000000000001</v>
      </c>
      <c r="M20" s="443">
        <f>'qtrP&amp;L'!AM57</f>
        <v>-42.832999999999998</v>
      </c>
      <c r="N20" s="443">
        <f>'qtrP&amp;L'!AQ57</f>
        <v>-43.338999999999999</v>
      </c>
      <c r="O20" s="724">
        <f>-34.125-8.115</f>
        <v>-42.24</v>
      </c>
      <c r="P20" s="443">
        <f>'qtrP&amp;L'!AU57</f>
        <v>-41.6</v>
      </c>
      <c r="Q20" s="443">
        <f>'qtrP&amp;L'!AY57</f>
        <v>-43.423000000000002</v>
      </c>
      <c r="R20" s="443">
        <f>'qtrP&amp;L'!BC57</f>
        <v>-45.882999999999996</v>
      </c>
      <c r="S20" s="443">
        <f>'qtrP&amp;L'!BG57</f>
        <v>-41.176000000000002</v>
      </c>
      <c r="T20" s="443">
        <f>T8*T21</f>
        <v>-44.948075535818091</v>
      </c>
      <c r="U20" s="443">
        <f>U8*U21</f>
        <v>-49.137020226196391</v>
      </c>
      <c r="V20" s="443">
        <f>V8*V21</f>
        <v>-53.195855366216485</v>
      </c>
      <c r="X20" s="705">
        <f>((Q20/J20)^(1/5)-1)*100</f>
        <v>27.552512386400085</v>
      </c>
      <c r="Y20" s="706" t="s">
        <v>102</v>
      </c>
      <c r="Z20" s="707">
        <f>((V20/Q20)^(1/5)-1)*100</f>
        <v>4.1433621783888874</v>
      </c>
      <c r="AA20" s="708" t="s">
        <v>102</v>
      </c>
    </row>
    <row r="21" spans="1:29">
      <c r="A21" s="414" t="s">
        <v>56</v>
      </c>
      <c r="B21" s="725">
        <f t="shared" ref="B21:R21" si="8">B20/B8</f>
        <v>0</v>
      </c>
      <c r="C21" s="725">
        <f t="shared" si="8"/>
        <v>0</v>
      </c>
      <c r="D21" s="725">
        <f t="shared" si="8"/>
        <v>-2.5824696711550864E-3</v>
      </c>
      <c r="E21" s="725">
        <f t="shared" si="8"/>
        <v>-2.2556800869861335E-3</v>
      </c>
      <c r="F21" s="725">
        <f t="shared" si="8"/>
        <v>-3.6136869047119543E-3</v>
      </c>
      <c r="G21" s="725">
        <f t="shared" si="8"/>
        <v>-4.5686659332966643E-3</v>
      </c>
      <c r="H21" s="709">
        <f t="shared" si="8"/>
        <v>-2.4341935034003217E-3</v>
      </c>
      <c r="I21" s="709">
        <f t="shared" si="8"/>
        <v>-1.7956529508418213E-3</v>
      </c>
      <c r="J21" s="709">
        <f t="shared" si="8"/>
        <v>-3.7561627968444849E-3</v>
      </c>
      <c r="K21" s="709">
        <f t="shared" si="8"/>
        <v>-1.6794689540447676E-3</v>
      </c>
      <c r="L21" s="496">
        <f t="shared" si="8"/>
        <v>-1.3476059875432669E-2</v>
      </c>
      <c r="M21" s="496">
        <f t="shared" si="8"/>
        <v>-1.1672382999573251E-2</v>
      </c>
      <c r="N21" s="496">
        <f t="shared" si="8"/>
        <v>-1.1244808820866113E-2</v>
      </c>
      <c r="O21" s="721">
        <f t="shared" si="8"/>
        <v>-1.0224189066168949E-2</v>
      </c>
      <c r="P21" s="496">
        <f t="shared" si="8"/>
        <v>-1.0203495544674871E-2</v>
      </c>
      <c r="Q21" s="496">
        <f t="shared" si="8"/>
        <v>-9.8075597012582498E-3</v>
      </c>
      <c r="R21" s="496">
        <f t="shared" si="8"/>
        <v>-9.5301613624165643E-3</v>
      </c>
      <c r="S21" s="496">
        <f>S20/S8</f>
        <v>-8.0754165774322949E-3</v>
      </c>
      <c r="T21" s="1197">
        <f>S21</f>
        <v>-8.0754165774322949E-3</v>
      </c>
      <c r="U21" s="731">
        <f>T21</f>
        <v>-8.0754165774322949E-3</v>
      </c>
      <c r="V21" s="731">
        <f>U21</f>
        <v>-8.0754165774322949E-3</v>
      </c>
      <c r="X21" s="705"/>
      <c r="Y21" s="706"/>
      <c r="Z21" s="707"/>
      <c r="AA21" s="708"/>
    </row>
    <row r="22" spans="1:29" ht="6.75" customHeight="1">
      <c r="B22" s="79"/>
      <c r="C22" s="79"/>
      <c r="D22" s="79"/>
      <c r="E22" s="79"/>
      <c r="F22" s="79"/>
      <c r="G22" s="79"/>
      <c r="H22" s="79"/>
      <c r="I22" s="79"/>
      <c r="J22" s="79"/>
      <c r="K22" s="79"/>
      <c r="X22" s="705"/>
      <c r="Y22" s="706"/>
      <c r="Z22" s="707"/>
      <c r="AA22" s="708"/>
    </row>
    <row r="23" spans="1:29" outlineLevel="1">
      <c r="A23" s="17" t="s">
        <v>353</v>
      </c>
      <c r="B23" s="732" t="s">
        <v>90</v>
      </c>
      <c r="C23" s="732" t="s">
        <v>90</v>
      </c>
      <c r="D23" s="732" t="s">
        <v>90</v>
      </c>
      <c r="E23" s="732" t="s">
        <v>90</v>
      </c>
      <c r="F23" s="732" t="s">
        <v>90</v>
      </c>
      <c r="G23" s="732" t="s">
        <v>90</v>
      </c>
      <c r="H23" s="732" t="s">
        <v>90</v>
      </c>
      <c r="I23" s="703">
        <v>295.50799999999998</v>
      </c>
      <c r="J23" s="703">
        <v>272.012</v>
      </c>
      <c r="K23" s="703">
        <v>294.75299999999999</v>
      </c>
      <c r="L23" s="733">
        <f>'qtrP&amp;L'!AI66</f>
        <v>274.72199999999987</v>
      </c>
      <c r="M23" s="733">
        <f>'qtrP&amp;L'!AM66</f>
        <v>308.60499999999968</v>
      </c>
      <c r="N23" s="733">
        <f>'qtrP&amp;L'!AQ66</f>
        <v>315.08200000000016</v>
      </c>
      <c r="O23" s="720">
        <f>O8-O11-O14-O20</f>
        <v>332.10500000000002</v>
      </c>
      <c r="P23" s="733">
        <f>'qtrP&amp;L'!AU66</f>
        <v>331.48724535699478</v>
      </c>
      <c r="Q23" s="733">
        <f>'qtrP&amp;L'!AY66</f>
        <v>383.18099999999981</v>
      </c>
      <c r="R23" s="733">
        <f>'qtrP&amp;L'!BC66</f>
        <v>447.91999999999979</v>
      </c>
      <c r="S23" s="733">
        <f>'qtrP&amp;L'!BG66</f>
        <v>484.65385139999972</v>
      </c>
      <c r="T23" s="733">
        <f>T8-T11-T14-T20</f>
        <v>525.85375873581825</v>
      </c>
      <c r="U23" s="733">
        <f>U8-U11-U14-U20</f>
        <v>580.88472096619591</v>
      </c>
      <c r="V23" s="733">
        <f>V8-V11-V14-V20</f>
        <v>634.20296482138554</v>
      </c>
      <c r="X23" s="705">
        <f>((Q23/J23)^(1/5)-1)*100</f>
        <v>7.0935168357441514</v>
      </c>
      <c r="Y23" s="706" t="s">
        <v>102</v>
      </c>
      <c r="Z23" s="707">
        <f>((V23/Q23)^(1/5)-1)*100</f>
        <v>10.602478774810219</v>
      </c>
      <c r="AA23" s="708" t="s">
        <v>102</v>
      </c>
      <c r="AC23" s="496">
        <f>(U23/R23)^(1/3)-1</f>
        <v>9.051045332340002E-2</v>
      </c>
    </row>
    <row r="24" spans="1:29" outlineLevel="1">
      <c r="A24" s="414" t="s">
        <v>56</v>
      </c>
      <c r="B24" s="732" t="s">
        <v>90</v>
      </c>
      <c r="C24" s="732" t="s">
        <v>90</v>
      </c>
      <c r="D24" s="732" t="s">
        <v>90</v>
      </c>
      <c r="E24" s="732" t="s">
        <v>90</v>
      </c>
      <c r="F24" s="732" t="s">
        <v>90</v>
      </c>
      <c r="G24" s="732" t="s">
        <v>90</v>
      </c>
      <c r="H24" s="732" t="s">
        <v>90</v>
      </c>
      <c r="I24" s="732" t="s">
        <v>90</v>
      </c>
      <c r="J24" s="734">
        <f>J23/J8</f>
        <v>7.9443383461259773E-2</v>
      </c>
      <c r="K24" s="734">
        <f>K23/K8</f>
        <v>8.2532262856211638E-2</v>
      </c>
      <c r="L24" s="735">
        <f>L23/L8</f>
        <v>7.7981466479170342E-2</v>
      </c>
      <c r="M24" s="735">
        <f t="shared" ref="M24:V24" si="9">M23/M8</f>
        <v>8.4097675987750087E-2</v>
      </c>
      <c r="N24" s="735">
        <f t="shared" si="9"/>
        <v>8.175169830628623E-2</v>
      </c>
      <c r="O24" s="736">
        <f t="shared" si="9"/>
        <v>8.0385992183239552E-2</v>
      </c>
      <c r="P24" s="735">
        <f t="shared" si="9"/>
        <v>8.1305976709534655E-2</v>
      </c>
      <c r="Q24" s="735">
        <f t="shared" si="9"/>
        <v>8.6545621764683126E-2</v>
      </c>
      <c r="R24" s="735">
        <f t="shared" si="9"/>
        <v>9.3035544263749659E-2</v>
      </c>
      <c r="S24" s="735">
        <f>S23/S8</f>
        <v>9.5050071544393946E-2</v>
      </c>
      <c r="T24" s="735">
        <f t="shared" si="9"/>
        <v>9.4475416577432331E-2</v>
      </c>
      <c r="U24" s="735">
        <f t="shared" si="9"/>
        <v>9.5465416577432224E-2</v>
      </c>
      <c r="V24" s="735">
        <f t="shared" si="9"/>
        <v>9.6275416577432257E-2</v>
      </c>
      <c r="X24" s="705"/>
      <c r="Y24" s="706"/>
      <c r="Z24" s="707"/>
      <c r="AA24" s="708"/>
    </row>
    <row r="25" spans="1:29" ht="6.75" customHeight="1" outlineLevel="1">
      <c r="A25" s="414"/>
      <c r="B25" s="732"/>
      <c r="C25" s="732"/>
      <c r="D25" s="732"/>
      <c r="E25" s="732"/>
      <c r="F25" s="732"/>
      <c r="G25" s="732"/>
      <c r="H25" s="732"/>
      <c r="I25" s="732"/>
      <c r="J25" s="734"/>
      <c r="K25" s="734"/>
      <c r="L25" s="735"/>
      <c r="M25" s="735"/>
      <c r="N25" s="735"/>
      <c r="O25" s="736"/>
      <c r="P25" s="735"/>
      <c r="Q25" s="735"/>
      <c r="R25" s="735"/>
      <c r="S25" s="735"/>
      <c r="T25" s="735"/>
      <c r="U25" s="735"/>
      <c r="V25" s="735"/>
      <c r="X25" s="705"/>
      <c r="Y25" s="706"/>
      <c r="Z25" s="707"/>
      <c r="AA25" s="708"/>
    </row>
    <row r="26" spans="1:29">
      <c r="A26" s="737" t="s">
        <v>381</v>
      </c>
      <c r="B26" s="723">
        <v>41.027999999999999</v>
      </c>
      <c r="C26" s="723">
        <f>49.3+3.54</f>
        <v>52.839999999999996</v>
      </c>
      <c r="D26" s="723">
        <v>59.853999999999999</v>
      </c>
      <c r="E26" s="723">
        <v>69.147000000000006</v>
      </c>
      <c r="F26" s="723">
        <v>83.915000000000006</v>
      </c>
      <c r="G26" s="723">
        <f>88.995+0.098</f>
        <v>89.093000000000004</v>
      </c>
      <c r="H26" s="723">
        <f>96.901+10.252</f>
        <v>107.15299999999999</v>
      </c>
      <c r="I26" s="723">
        <v>174.08699999999999</v>
      </c>
      <c r="J26" s="723">
        <v>166.666</v>
      </c>
      <c r="K26" s="723">
        <v>159.607</v>
      </c>
      <c r="L26" s="443">
        <f>'qtrP&amp;L'!AI77</f>
        <v>156.38800000000001</v>
      </c>
      <c r="M26" s="443">
        <f>'qtrP&amp;L'!AM77</f>
        <v>146.75899999999999</v>
      </c>
      <c r="N26" s="443">
        <f>'qtrP&amp;L'!AQ77</f>
        <v>153.07</v>
      </c>
      <c r="O26" s="724">
        <v>166.786</v>
      </c>
      <c r="P26" s="443">
        <f>'qtrP&amp;L'!AU77</f>
        <v>163.80918510199999</v>
      </c>
      <c r="Q26" s="730">
        <f>'qtrP&amp;L'!AY77</f>
        <v>168.19499999999999</v>
      </c>
      <c r="R26" s="730">
        <f>'qtrP&amp;L'!BC77</f>
        <v>167.58</v>
      </c>
      <c r="S26" s="730">
        <f>'qtrP&amp;L'!BG77</f>
        <v>158.90100000000001</v>
      </c>
      <c r="T26" s="730">
        <f>T27*T8</f>
        <v>164.75472479999999</v>
      </c>
      <c r="U26" s="730">
        <f>U27*U8</f>
        <v>179.50059699999997</v>
      </c>
      <c r="V26" s="730">
        <f>V27*V8</f>
        <v>187.08165429168716</v>
      </c>
      <c r="X26" s="705">
        <f>((Q26/J26)^(1/5)-1)*100</f>
        <v>0.18281111284015328</v>
      </c>
      <c r="Y26" s="706" t="s">
        <v>102</v>
      </c>
      <c r="Z26" s="707">
        <f>((V26/Q26)^(1/5)-1)*100</f>
        <v>2.1512355843834596</v>
      </c>
      <c r="AA26" s="708" t="s">
        <v>102</v>
      </c>
    </row>
    <row r="27" spans="1:29">
      <c r="A27" s="414" t="s">
        <v>56</v>
      </c>
      <c r="B27" s="709">
        <f t="shared" ref="B27:R27" si="10">B26/B8</f>
        <v>1.8429751732000468E-2</v>
      </c>
      <c r="C27" s="709">
        <f t="shared" si="10"/>
        <v>2.1757534431586466E-2</v>
      </c>
      <c r="D27" s="709">
        <f t="shared" si="10"/>
        <v>2.343762542794792E-2</v>
      </c>
      <c r="E27" s="709">
        <f t="shared" si="10"/>
        <v>2.5819154274926367E-2</v>
      </c>
      <c r="F27" s="725">
        <f t="shared" si="10"/>
        <v>2.9341319459013415E-2</v>
      </c>
      <c r="G27" s="725">
        <f t="shared" si="10"/>
        <v>2.7842954647732388E-2</v>
      </c>
      <c r="H27" s="709">
        <f t="shared" si="10"/>
        <v>3.0874897782889991E-2</v>
      </c>
      <c r="I27" s="709">
        <f t="shared" si="10"/>
        <v>5.0582497613786429E-2</v>
      </c>
      <c r="J27" s="709">
        <f t="shared" si="10"/>
        <v>4.8676201593879392E-2</v>
      </c>
      <c r="K27" s="709">
        <f t="shared" si="10"/>
        <v>4.4690730468193267E-2</v>
      </c>
      <c r="L27" s="496">
        <f t="shared" si="10"/>
        <v>4.4391659858855487E-2</v>
      </c>
      <c r="M27" s="496">
        <f t="shared" si="10"/>
        <v>3.9993165471350844E-2</v>
      </c>
      <c r="N27" s="496">
        <f t="shared" si="10"/>
        <v>3.9715796077666211E-2</v>
      </c>
      <c r="O27" s="721">
        <f t="shared" si="10"/>
        <v>4.0370539715673628E-2</v>
      </c>
      <c r="P27" s="496">
        <f t="shared" si="10"/>
        <v>4.0178516595314379E-2</v>
      </c>
      <c r="Q27" s="496">
        <f t="shared" si="10"/>
        <v>3.7988681204733234E-2</v>
      </c>
      <c r="R27" s="496">
        <f t="shared" si="10"/>
        <v>3.4807323869707037E-2</v>
      </c>
      <c r="S27" s="496">
        <f>S26/S8</f>
        <v>3.1163584844826332E-2</v>
      </c>
      <c r="T27" s="738">
        <v>2.9600000000000001E-2</v>
      </c>
      <c r="U27" s="738">
        <v>2.9499999999999998E-2</v>
      </c>
      <c r="V27" s="738">
        <v>2.8400000000000002E-2</v>
      </c>
      <c r="X27" s="705"/>
      <c r="Y27" s="706"/>
      <c r="Z27" s="707"/>
      <c r="AA27" s="708"/>
    </row>
    <row r="28" spans="1:29" ht="7.5" customHeight="1">
      <c r="B28" s="79"/>
      <c r="C28" s="79"/>
      <c r="D28" s="79"/>
      <c r="E28" s="79"/>
      <c r="F28" s="79"/>
      <c r="G28" s="79"/>
      <c r="H28" s="79"/>
      <c r="I28" s="79"/>
      <c r="J28" s="79"/>
      <c r="K28" s="79"/>
      <c r="X28" s="705"/>
      <c r="Y28" s="706"/>
      <c r="Z28" s="707"/>
      <c r="AA28" s="708"/>
    </row>
    <row r="29" spans="1:29">
      <c r="A29" s="737" t="s">
        <v>382</v>
      </c>
      <c r="B29" s="723">
        <v>41.027999999999999</v>
      </c>
      <c r="C29" s="723">
        <f>49.3+3.54</f>
        <v>52.839999999999996</v>
      </c>
      <c r="D29" s="723">
        <v>59.853999999999999</v>
      </c>
      <c r="E29" s="723">
        <v>69.147000000000006</v>
      </c>
      <c r="F29" s="723">
        <v>83.915000000000006</v>
      </c>
      <c r="G29" s="723">
        <f>88.995+0.098</f>
        <v>89.093000000000004</v>
      </c>
      <c r="H29" s="723">
        <f>96.901+10.252</f>
        <v>107.15299999999999</v>
      </c>
      <c r="I29" s="723">
        <v>174.08699999999999</v>
      </c>
      <c r="J29" s="723">
        <v>166.666</v>
      </c>
      <c r="K29" s="723">
        <v>159.607</v>
      </c>
      <c r="L29" s="443">
        <f>'qtrP&amp;L'!AI87</f>
        <v>78.842999999999989</v>
      </c>
      <c r="M29" s="443">
        <f>'qtrP&amp;L'!AM87</f>
        <v>9.4089999999999989</v>
      </c>
      <c r="N29" s="443">
        <f>'qtrP&amp;L'!AQ87</f>
        <v>43.311000000000007</v>
      </c>
      <c r="O29" s="724">
        <f>4.175+4.291+11.539+2.222</f>
        <v>22.227000000000004</v>
      </c>
      <c r="P29" s="443">
        <f>'qtrP&amp;L'!AU87</f>
        <v>22.2</v>
      </c>
      <c r="Q29" s="730">
        <f>'qtrP&amp;L'!AY87</f>
        <v>54.889000000000003</v>
      </c>
      <c r="R29" s="730">
        <f>'qtrP&amp;L'!BC87</f>
        <v>82.279000000000011</v>
      </c>
      <c r="S29" s="730">
        <f>'qtrP&amp;L'!BG87</f>
        <v>9.5459999999999994</v>
      </c>
      <c r="T29" s="485">
        <v>0</v>
      </c>
      <c r="U29" s="485">
        <v>0</v>
      </c>
      <c r="V29" s="485">
        <v>0</v>
      </c>
      <c r="X29" s="705">
        <f>((Q29/J29)^(1/5)-1)*100</f>
        <v>-19.919336785893648</v>
      </c>
      <c r="Y29" s="706" t="s">
        <v>102</v>
      </c>
      <c r="Z29" s="707">
        <f>((V29/Q29)^(1/5)-1)*100</f>
        <v>-100</v>
      </c>
      <c r="AA29" s="708" t="s">
        <v>102</v>
      </c>
    </row>
    <row r="30" spans="1:29">
      <c r="A30" s="414" t="s">
        <v>56</v>
      </c>
      <c r="B30" s="709">
        <f t="shared" ref="B30:K30" si="11">B29/B11</f>
        <v>2.9167688616368967E-2</v>
      </c>
      <c r="C30" s="709">
        <f t="shared" si="11"/>
        <v>3.4816390323099265E-2</v>
      </c>
      <c r="D30" s="709">
        <f t="shared" si="11"/>
        <v>3.7795349177903483E-2</v>
      </c>
      <c r="E30" s="709">
        <f t="shared" si="11"/>
        <v>4.165055385894216E-2</v>
      </c>
      <c r="F30" s="725">
        <f t="shared" si="11"/>
        <v>4.7531036920312804E-2</v>
      </c>
      <c r="G30" s="725">
        <f t="shared" si="11"/>
        <v>4.4834359001972163E-2</v>
      </c>
      <c r="H30" s="709">
        <f t="shared" si="11"/>
        <v>4.9079290951204689E-2</v>
      </c>
      <c r="I30" s="709">
        <f t="shared" si="11"/>
        <v>8.1917126239906643E-2</v>
      </c>
      <c r="J30" s="709">
        <f t="shared" si="11"/>
        <v>7.9540356711292171E-2</v>
      </c>
      <c r="K30" s="709">
        <f t="shared" si="11"/>
        <v>7.2556353721259445E-2</v>
      </c>
      <c r="L30" s="496">
        <f t="shared" ref="L30:V30" si="12">L29/L8</f>
        <v>2.2380052422511589E-2</v>
      </c>
      <c r="M30" s="496">
        <f t="shared" si="12"/>
        <v>2.5640382799006537E-3</v>
      </c>
      <c r="N30" s="496">
        <f t="shared" si="12"/>
        <v>1.1237543894426091E-2</v>
      </c>
      <c r="O30" s="721">
        <f t="shared" si="12"/>
        <v>5.3800438061964309E-3</v>
      </c>
      <c r="P30" s="496">
        <f t="shared" si="12"/>
        <v>5.445134641629378E-3</v>
      </c>
      <c r="Q30" s="496">
        <f t="shared" si="12"/>
        <v>1.2397281266664305E-2</v>
      </c>
      <c r="R30" s="496">
        <f t="shared" si="12"/>
        <v>1.7089818598135968E-2</v>
      </c>
      <c r="S30" s="496">
        <f>S29/S8</f>
        <v>1.8721567575327538E-3</v>
      </c>
      <c r="T30" s="496">
        <f t="shared" si="12"/>
        <v>0</v>
      </c>
      <c r="U30" s="496">
        <f t="shared" si="12"/>
        <v>0</v>
      </c>
      <c r="V30" s="496">
        <f t="shared" si="12"/>
        <v>0</v>
      </c>
      <c r="X30" s="705"/>
      <c r="Y30" s="706"/>
      <c r="Z30" s="707"/>
      <c r="AA30" s="708"/>
    </row>
    <row r="31" spans="1:29" ht="6.75" customHeight="1">
      <c r="B31" s="79"/>
      <c r="C31" s="79"/>
      <c r="D31" s="79"/>
      <c r="E31" s="79"/>
      <c r="F31" s="79"/>
      <c r="G31" s="79"/>
      <c r="H31" s="79"/>
      <c r="I31" s="79"/>
      <c r="J31" s="79"/>
      <c r="K31" s="79"/>
      <c r="X31" s="705"/>
      <c r="Y31" s="706"/>
      <c r="Z31" s="707"/>
      <c r="AA31" s="708"/>
    </row>
    <row r="32" spans="1:29">
      <c r="A32" s="17" t="s">
        <v>383</v>
      </c>
      <c r="B32" s="739">
        <f t="shared" ref="B32:K32" si="13">B8-B11-B14-B26</f>
        <v>105.50299999999996</v>
      </c>
      <c r="C32" s="739">
        <f t="shared" si="13"/>
        <v>114.69200000000038</v>
      </c>
      <c r="D32" s="739">
        <f t="shared" si="13"/>
        <v>109.17900000000002</v>
      </c>
      <c r="E32" s="739">
        <f t="shared" si="13"/>
        <v>110.07100000000007</v>
      </c>
      <c r="F32" s="739">
        <f t="shared" si="13"/>
        <v>110.508</v>
      </c>
      <c r="G32" s="739">
        <f t="shared" si="13"/>
        <v>165.82900000000001</v>
      </c>
      <c r="H32" s="739">
        <f t="shared" si="13"/>
        <v>128.21600000000015</v>
      </c>
      <c r="I32" s="739">
        <f t="shared" si="13"/>
        <v>79.930000000000064</v>
      </c>
      <c r="J32" s="739">
        <f t="shared" si="13"/>
        <v>71.113999999999976</v>
      </c>
      <c r="K32" s="739">
        <f t="shared" si="13"/>
        <v>96.746000000000066</v>
      </c>
      <c r="L32" s="443">
        <f t="shared" ref="L32:V32" si="14">L8-L11-L14-L20-L26-L29</f>
        <v>39.490999999999872</v>
      </c>
      <c r="M32" s="443">
        <f t="shared" si="14"/>
        <v>152.4369999999997</v>
      </c>
      <c r="N32" s="443">
        <f t="shared" si="14"/>
        <v>118.70100000000016</v>
      </c>
      <c r="O32" s="724">
        <f t="shared" si="14"/>
        <v>143.09200000000001</v>
      </c>
      <c r="P32" s="443">
        <f t="shared" si="14"/>
        <v>145.4780602549948</v>
      </c>
      <c r="Q32" s="443">
        <f t="shared" si="14"/>
        <v>160.09699999999981</v>
      </c>
      <c r="R32" s="443">
        <f>R8-R11-R14-R20-R26-R29</f>
        <v>198.06099999999981</v>
      </c>
      <c r="S32" s="443">
        <f>S8-S11-S14-S20-S26-S29</f>
        <v>316.20685139999972</v>
      </c>
      <c r="T32" s="443">
        <f>T8-T11-T14-T20-T26-T29</f>
        <v>361.09903393581828</v>
      </c>
      <c r="U32" s="443">
        <f t="shared" si="14"/>
        <v>401.38412396619594</v>
      </c>
      <c r="V32" s="443">
        <f t="shared" si="14"/>
        <v>447.12131052969835</v>
      </c>
      <c r="X32" s="705">
        <f>((Q32/J32)^(1/5)-1)*100</f>
        <v>17.621203097087058</v>
      </c>
      <c r="Y32" s="706" t="s">
        <v>102</v>
      </c>
      <c r="Z32" s="707">
        <f>((V32/Q32)^(1/5)-1)*100</f>
        <v>22.802846926049767</v>
      </c>
      <c r="AA32" s="708" t="s">
        <v>102</v>
      </c>
      <c r="AC32" s="496">
        <f>(U32/R32)^(1/3)-1</f>
        <v>0.2654754988333603</v>
      </c>
    </row>
    <row r="33" spans="1:33">
      <c r="A33" s="414" t="s">
        <v>34</v>
      </c>
      <c r="B33" s="709">
        <f t="shared" ref="B33:V33" si="15">B32/B8</f>
        <v>4.7391881080755698E-2</v>
      </c>
      <c r="C33" s="709">
        <f t="shared" si="15"/>
        <v>4.7225873183715433E-2</v>
      </c>
      <c r="D33" s="709">
        <f t="shared" si="15"/>
        <v>4.2752305720552115E-2</v>
      </c>
      <c r="E33" s="709">
        <f t="shared" si="15"/>
        <v>4.1099977297575044E-2</v>
      </c>
      <c r="F33" s="725">
        <f t="shared" si="15"/>
        <v>3.8639701254563001E-2</v>
      </c>
      <c r="G33" s="725">
        <f t="shared" si="15"/>
        <v>5.1824153707685387E-2</v>
      </c>
      <c r="H33" s="709">
        <f t="shared" si="15"/>
        <v>3.6943957650565344E-2</v>
      </c>
      <c r="I33" s="709">
        <f t="shared" si="15"/>
        <v>2.3224359281680727E-2</v>
      </c>
      <c r="J33" s="709">
        <f t="shared" si="15"/>
        <v>2.0769439478640742E-2</v>
      </c>
      <c r="K33" s="709">
        <f t="shared" si="15"/>
        <v>2.7089347020342647E-2</v>
      </c>
      <c r="L33" s="496">
        <f t="shared" si="15"/>
        <v>1.120975419780326E-2</v>
      </c>
      <c r="M33" s="496">
        <f t="shared" si="15"/>
        <v>4.1540472236498593E-2</v>
      </c>
      <c r="N33" s="496">
        <f t="shared" si="15"/>
        <v>3.0798358334193924E-2</v>
      </c>
      <c r="O33" s="721">
        <f t="shared" si="15"/>
        <v>3.4635408661369486E-2</v>
      </c>
      <c r="P33" s="496">
        <f t="shared" si="15"/>
        <v>3.5682325472590912E-2</v>
      </c>
      <c r="Q33" s="496">
        <f t="shared" si="15"/>
        <v>3.6159659293285587E-2</v>
      </c>
      <c r="R33" s="496">
        <f t="shared" si="15"/>
        <v>4.1138401795906665E-2</v>
      </c>
      <c r="S33" s="496">
        <f>S32/S8</f>
        <v>6.2014329942034867E-2</v>
      </c>
      <c r="T33" s="496">
        <f t="shared" si="15"/>
        <v>6.4875416577432329E-2</v>
      </c>
      <c r="U33" s="496">
        <f t="shared" si="15"/>
        <v>6.5965416577432226E-2</v>
      </c>
      <c r="V33" s="496">
        <f t="shared" si="15"/>
        <v>6.7875416577432263E-2</v>
      </c>
      <c r="X33" s="705"/>
      <c r="Y33" s="706"/>
      <c r="Z33" s="707"/>
      <c r="AA33" s="708"/>
    </row>
    <row r="34" spans="1:33" s="496" customFormat="1">
      <c r="B34" s="709"/>
      <c r="C34" s="709"/>
      <c r="D34" s="709"/>
      <c r="E34" s="709"/>
      <c r="F34" s="709"/>
      <c r="G34" s="709"/>
      <c r="H34" s="709"/>
      <c r="I34" s="709"/>
      <c r="J34" s="709"/>
      <c r="K34" s="709"/>
      <c r="O34" s="721"/>
      <c r="X34" s="740"/>
      <c r="Y34" s="741"/>
      <c r="Z34" s="741"/>
      <c r="AA34" s="742"/>
    </row>
    <row r="35" spans="1:33">
      <c r="A35" s="17" t="s">
        <v>384</v>
      </c>
      <c r="B35" s="484">
        <v>5.3769999999999998</v>
      </c>
      <c r="C35" s="484">
        <v>1.5760000000000001</v>
      </c>
      <c r="D35" s="484">
        <v>0.96499999999999997</v>
      </c>
      <c r="E35" s="484">
        <v>2.7789999999999999</v>
      </c>
      <c r="F35" s="484">
        <v>5.8630000000000004</v>
      </c>
      <c r="G35" s="484">
        <v>7.3339999999999996</v>
      </c>
      <c r="H35" s="484">
        <v>22.702000000000002</v>
      </c>
      <c r="I35" s="484">
        <v>134.31299999999999</v>
      </c>
      <c r="J35" s="484">
        <v>132.99299999999999</v>
      </c>
      <c r="K35" s="484">
        <v>102.71599999999999</v>
      </c>
      <c r="L35" s="443">
        <f>'qtrP&amp;L'!AI117</f>
        <v>84.423000000000002</v>
      </c>
      <c r="M35" s="443">
        <f>'qtrP&amp;L'!AM117</f>
        <v>99.308999999999997</v>
      </c>
      <c r="N35" s="443">
        <f>'qtrP&amp;L'!AQ117</f>
        <v>129.12100000000001</v>
      </c>
      <c r="O35" s="724">
        <v>113.92700000000001</v>
      </c>
      <c r="P35" s="443">
        <f>'qtrP&amp;L'!AU117</f>
        <v>111.68632455400001</v>
      </c>
      <c r="Q35" s="443">
        <f>'qtrP&amp;L'!AY117</f>
        <v>127.739</v>
      </c>
      <c r="R35" s="443">
        <f>'qtrP&amp;L'!BC117</f>
        <v>83.74499999999999</v>
      </c>
      <c r="S35" s="443">
        <f>'qtrP&amp;L'!BG117</f>
        <v>61.401000000000003</v>
      </c>
      <c r="T35" s="485">
        <f>DebtSchedule!S63/1000</f>
        <v>51.424647500000006</v>
      </c>
      <c r="U35" s="485">
        <f>DebtSchedule!T63/1000</f>
        <v>46.843397500000009</v>
      </c>
      <c r="V35" s="485">
        <f>DebtSchedule!U63/1000</f>
        <v>40.3840225</v>
      </c>
      <c r="X35" s="705">
        <f>((Q35/J35)^(1/5)-1)*100</f>
        <v>-0.80290685607886658</v>
      </c>
      <c r="Y35" s="706" t="s">
        <v>102</v>
      </c>
      <c r="Z35" s="707">
        <f>((V35/Q35)^(1/5)-1)*100</f>
        <v>-20.571344244727353</v>
      </c>
      <c r="AA35" s="708" t="s">
        <v>102</v>
      </c>
      <c r="AC35" s="496">
        <f>(U35/R35)^(1/3)-1</f>
        <v>-0.17605826846055217</v>
      </c>
    </row>
    <row r="36" spans="1:33">
      <c r="A36" s="414" t="s">
        <v>56</v>
      </c>
      <c r="B36" s="709">
        <f t="shared" ref="B36:V36" si="16">B35/B8</f>
        <v>2.4153450098217443E-3</v>
      </c>
      <c r="C36" s="709">
        <f t="shared" si="16"/>
        <v>6.4893781726306358E-4</v>
      </c>
      <c r="D36" s="709">
        <f t="shared" si="16"/>
        <v>3.7787463725013774E-4</v>
      </c>
      <c r="E36" s="709">
        <f t="shared" si="16"/>
        <v>1.037665115334293E-3</v>
      </c>
      <c r="F36" s="725">
        <f t="shared" si="16"/>
        <v>2.0500286717296747E-3</v>
      </c>
      <c r="G36" s="725">
        <f t="shared" si="16"/>
        <v>2.2919895994799738E-3</v>
      </c>
      <c r="H36" s="709">
        <f t="shared" si="16"/>
        <v>6.5413187635172945E-3</v>
      </c>
      <c r="I36" s="709">
        <f t="shared" si="16"/>
        <v>3.9025814690358825E-2</v>
      </c>
      <c r="J36" s="709">
        <f t="shared" si="16"/>
        <v>3.8841719838328161E-2</v>
      </c>
      <c r="K36" s="709">
        <f t="shared" si="16"/>
        <v>2.8760975839223466E-2</v>
      </c>
      <c r="L36" s="496">
        <f t="shared" si="16"/>
        <v>2.3963968464742542E-2</v>
      </c>
      <c r="M36" s="496">
        <f t="shared" si="16"/>
        <v>2.7062607879546612E-2</v>
      </c>
      <c r="N36" s="496">
        <f t="shared" si="16"/>
        <v>3.3501948816517538E-2</v>
      </c>
      <c r="O36" s="721">
        <f t="shared" si="16"/>
        <v>2.7576022437060362E-2</v>
      </c>
      <c r="P36" s="496">
        <f t="shared" si="16"/>
        <v>2.7394012379515643E-2</v>
      </c>
      <c r="Q36" s="496">
        <f t="shared" si="16"/>
        <v>2.8851250919536366E-2</v>
      </c>
      <c r="R36" s="496">
        <f t="shared" si="16"/>
        <v>1.7394315177638234E-2</v>
      </c>
      <c r="S36" s="496">
        <f>S35/S8</f>
        <v>1.2041933487247919E-2</v>
      </c>
      <c r="T36" s="496">
        <f t="shared" si="16"/>
        <v>9.2390040276404892E-3</v>
      </c>
      <c r="U36" s="496">
        <f t="shared" si="16"/>
        <v>7.6984714777856723E-3</v>
      </c>
      <c r="V36" s="496">
        <f t="shared" si="16"/>
        <v>6.1305115316748725E-3</v>
      </c>
      <c r="X36" s="705"/>
      <c r="Y36" s="706"/>
      <c r="Z36" s="707"/>
      <c r="AA36" s="708"/>
    </row>
    <row r="37" spans="1:33" ht="6" customHeight="1">
      <c r="B37" s="79"/>
      <c r="C37" s="79"/>
      <c r="D37" s="79"/>
      <c r="E37" s="79"/>
      <c r="F37" s="79"/>
      <c r="G37" s="79"/>
      <c r="H37" s="79"/>
      <c r="I37" s="79"/>
      <c r="J37" s="79"/>
      <c r="K37" s="79"/>
      <c r="X37" s="705"/>
      <c r="Y37" s="706"/>
      <c r="Z37" s="707"/>
      <c r="AA37" s="708"/>
    </row>
    <row r="38" spans="1:33" outlineLevel="1">
      <c r="A38" s="17" t="s">
        <v>385</v>
      </c>
      <c r="B38" s="739">
        <f t="shared" ref="B38:K38" si="17">B32-B35-B20</f>
        <v>100.12599999999996</v>
      </c>
      <c r="C38" s="739">
        <f t="shared" si="17"/>
        <v>113.11600000000038</v>
      </c>
      <c r="D38" s="739">
        <f t="shared" si="17"/>
        <v>114.80900000000001</v>
      </c>
      <c r="E38" s="739">
        <f t="shared" si="17"/>
        <v>113.33300000000007</v>
      </c>
      <c r="F38" s="739">
        <f t="shared" si="17"/>
        <v>114.97999999999999</v>
      </c>
      <c r="G38" s="739">
        <f t="shared" si="17"/>
        <v>173.114</v>
      </c>
      <c r="H38" s="739">
        <f t="shared" si="17"/>
        <v>113.96200000000016</v>
      </c>
      <c r="I38" s="739">
        <f t="shared" si="17"/>
        <v>-48.202999999999925</v>
      </c>
      <c r="J38" s="739">
        <f t="shared" si="17"/>
        <v>-49.018000000000015</v>
      </c>
      <c r="K38" s="739">
        <f t="shared" si="17"/>
        <v>2.8000000000072411E-2</v>
      </c>
      <c r="L38" s="443">
        <f>L32-L35</f>
        <v>-44.93200000000013</v>
      </c>
      <c r="M38" s="443">
        <f t="shared" ref="M38:V38" si="18">M32-M35</f>
        <v>53.127999999999702</v>
      </c>
      <c r="N38" s="443">
        <f t="shared" si="18"/>
        <v>-10.419999999999845</v>
      </c>
      <c r="O38" s="724">
        <f>O32-O35</f>
        <v>29.165000000000006</v>
      </c>
      <c r="P38" s="443">
        <f t="shared" si="18"/>
        <v>33.791735700994792</v>
      </c>
      <c r="Q38" s="443">
        <f>Q32-Q35</f>
        <v>32.357999999999805</v>
      </c>
      <c r="R38" s="443">
        <f>R32-R35</f>
        <v>114.31599999999982</v>
      </c>
      <c r="S38" s="443">
        <f>S32-S35</f>
        <v>254.80585139999971</v>
      </c>
      <c r="T38" s="443">
        <f t="shared" si="18"/>
        <v>309.67438643581829</v>
      </c>
      <c r="U38" s="443">
        <f t="shared" si="18"/>
        <v>354.54072646619591</v>
      </c>
      <c r="V38" s="443">
        <f t="shared" si="18"/>
        <v>406.73728802969833</v>
      </c>
      <c r="X38" s="705">
        <f>((Q38/J38)^(1/5)-1)*100</f>
        <v>-192.02910885345017</v>
      </c>
      <c r="Y38" s="706" t="s">
        <v>102</v>
      </c>
      <c r="Z38" s="707">
        <f>((V38/Q38)^(1/5)-1)*100</f>
        <v>65.907669782296367</v>
      </c>
      <c r="AA38" s="708" t="s">
        <v>102</v>
      </c>
      <c r="AC38" s="496">
        <f>(U38/R38)^(1/3)-1</f>
        <v>0.45832068802989001</v>
      </c>
    </row>
    <row r="39" spans="1:33" outlineLevel="1">
      <c r="A39" s="414" t="s">
        <v>56</v>
      </c>
      <c r="B39" s="709">
        <f t="shared" ref="B39:V39" si="19">B38/B8</f>
        <v>4.4976536070933951E-2</v>
      </c>
      <c r="C39" s="709">
        <f t="shared" si="19"/>
        <v>4.6576935366452375E-2</v>
      </c>
      <c r="D39" s="709">
        <f t="shared" si="19"/>
        <v>4.4956900754457067E-2</v>
      </c>
      <c r="E39" s="709">
        <f t="shared" si="19"/>
        <v>4.231799226922689E-2</v>
      </c>
      <c r="F39" s="725">
        <f t="shared" si="19"/>
        <v>4.0203359487545276E-2</v>
      </c>
      <c r="G39" s="725">
        <f t="shared" si="19"/>
        <v>5.4100830041502075E-2</v>
      </c>
      <c r="H39" s="709">
        <f t="shared" si="19"/>
        <v>3.2836832390448371E-2</v>
      </c>
      <c r="I39" s="709">
        <f t="shared" si="19"/>
        <v>-1.4005802457836275E-2</v>
      </c>
      <c r="J39" s="709">
        <f t="shared" si="19"/>
        <v>-1.4316117562842935E-2</v>
      </c>
      <c r="K39" s="709">
        <f t="shared" si="19"/>
        <v>7.8401351639505017E-6</v>
      </c>
      <c r="L39" s="496">
        <f t="shared" si="19"/>
        <v>-1.2754214266939281E-2</v>
      </c>
      <c r="M39" s="496">
        <f t="shared" si="19"/>
        <v>1.4477864356951982E-2</v>
      </c>
      <c r="N39" s="496">
        <f t="shared" si="19"/>
        <v>-2.7035904823236156E-3</v>
      </c>
      <c r="O39" s="721">
        <f t="shared" si="19"/>
        <v>7.0593862243091242E-3</v>
      </c>
      <c r="P39" s="496">
        <f t="shared" si="19"/>
        <v>8.2883130930752683E-3</v>
      </c>
      <c r="Q39" s="496">
        <f t="shared" si="19"/>
        <v>7.3084083737492232E-3</v>
      </c>
      <c r="R39" s="496">
        <f t="shared" si="19"/>
        <v>2.3744086618268427E-2</v>
      </c>
      <c r="S39" s="496">
        <f>S38/S8</f>
        <v>4.9972396454786946E-2</v>
      </c>
      <c r="T39" s="496">
        <f t="shared" si="19"/>
        <v>5.5636412549791847E-2</v>
      </c>
      <c r="U39" s="496">
        <f t="shared" si="19"/>
        <v>5.8266945099646549E-2</v>
      </c>
      <c r="V39" s="496">
        <f t="shared" si="19"/>
        <v>6.174490504575738E-2</v>
      </c>
      <c r="X39" s="705"/>
      <c r="Y39" s="706"/>
      <c r="Z39" s="707"/>
      <c r="AA39" s="708"/>
      <c r="AG39" s="496">
        <f>0.1/S55</f>
        <v>4.4392028616425244E-2</v>
      </c>
    </row>
    <row r="40" spans="1:33" ht="6" customHeight="1" outlineLevel="1">
      <c r="B40" s="79"/>
      <c r="C40" s="79"/>
      <c r="D40" s="79"/>
      <c r="E40" s="79"/>
      <c r="F40" s="79"/>
      <c r="G40" s="79"/>
      <c r="H40" s="79"/>
      <c r="I40" s="79"/>
      <c r="J40" s="79"/>
      <c r="K40" s="79"/>
      <c r="X40" s="705"/>
      <c r="Y40" s="706"/>
      <c r="Z40" s="707"/>
      <c r="AA40" s="708"/>
    </row>
    <row r="41" spans="1:33">
      <c r="A41" s="17" t="s">
        <v>386</v>
      </c>
      <c r="B41" s="484">
        <v>37.65</v>
      </c>
      <c r="C41" s="484">
        <v>42.091000000000001</v>
      </c>
      <c r="D41" s="484">
        <v>43.414000000000001</v>
      </c>
      <c r="E41" s="484">
        <v>42.82</v>
      </c>
      <c r="F41" s="484">
        <v>42.640999999999998</v>
      </c>
      <c r="G41" s="484">
        <f>66.204+0.863*(0.35)</f>
        <v>66.506049999999988</v>
      </c>
      <c r="H41" s="484">
        <v>46.789000000000001</v>
      </c>
      <c r="I41" s="484">
        <f>-25.425+24.421*(0.37)</f>
        <v>-16.389230000000001</v>
      </c>
      <c r="J41" s="484">
        <f>-25.304+(25.256)*(0.35)</f>
        <v>-16.464399999999998</v>
      </c>
      <c r="K41" s="484">
        <f>-147.389+(6.952+37.498+294.55)*(0.35)</f>
        <v>-28.739000000000019</v>
      </c>
      <c r="L41" s="443">
        <f>'qtrP&amp;L'!AI137</f>
        <v>-29.753</v>
      </c>
      <c r="M41" s="443">
        <f>'qtrP&amp;L'!AM137</f>
        <v>22.13</v>
      </c>
      <c r="N41" s="443">
        <f>'qtrP&amp;L'!AQ137</f>
        <v>-4.1479999999999997</v>
      </c>
      <c r="O41" s="724">
        <v>3.8639999999999999</v>
      </c>
      <c r="P41" s="443">
        <f>'qtrP&amp;L'!AU137</f>
        <v>5.4798558709955358</v>
      </c>
      <c r="Q41" s="443">
        <f>'qtrP&amp;L'!AY137</f>
        <v>16.207999999999998</v>
      </c>
      <c r="R41" s="443">
        <f>'qtrP&amp;L'!BC137</f>
        <v>39.081000000000003</v>
      </c>
      <c r="S41" s="443">
        <f>'qtrP&amp;L'!BG137</f>
        <v>99.661296288799832</v>
      </c>
      <c r="T41" s="443">
        <f>T38*T42</f>
        <v>121.12182907127861</v>
      </c>
      <c r="U41" s="443">
        <f>U38*U42</f>
        <v>138.62542404828261</v>
      </c>
      <c r="V41" s="443">
        <f>V38*V42</f>
        <v>159.44101690764174</v>
      </c>
      <c r="X41" s="705">
        <f>((Q41/J41)^(1/5)-1)*100</f>
        <v>-199.68658164952382</v>
      </c>
      <c r="Y41" s="706" t="s">
        <v>102</v>
      </c>
      <c r="Z41" s="707">
        <f>((V41/Q41)^(1/5)-1)*100</f>
        <v>57.969820811857041</v>
      </c>
      <c r="AA41" s="708" t="s">
        <v>102</v>
      </c>
    </row>
    <row r="42" spans="1:33">
      <c r="A42" s="414" t="s">
        <v>35</v>
      </c>
      <c r="B42" s="709">
        <f>B41/B38</f>
        <v>0.3760262069792063</v>
      </c>
      <c r="C42" s="709">
        <f>C41/C38</f>
        <v>0.37210474203472416</v>
      </c>
      <c r="D42" s="709">
        <f>D41/D38</f>
        <v>0.37814108650018724</v>
      </c>
      <c r="E42" s="709">
        <f>E41/E38</f>
        <v>0.37782464066070759</v>
      </c>
      <c r="F42" s="709">
        <f>F41/F38</f>
        <v>0.37085580100887111</v>
      </c>
      <c r="G42" s="709">
        <f t="shared" ref="G42:R42" si="20">G41/G38</f>
        <v>0.38417487898148034</v>
      </c>
      <c r="H42" s="709">
        <f t="shared" si="20"/>
        <v>0.41056668012144343</v>
      </c>
      <c r="I42" s="709">
        <f>I41/I38</f>
        <v>0.34000435657531747</v>
      </c>
      <c r="J42" s="709">
        <f>J41/J38</f>
        <v>0.33588477702068614</v>
      </c>
      <c r="K42" s="713" t="s">
        <v>90</v>
      </c>
      <c r="L42" s="496">
        <f t="shared" si="20"/>
        <v>0.66217840291996599</v>
      </c>
      <c r="M42" s="496">
        <f t="shared" si="20"/>
        <v>0.41654118355669562</v>
      </c>
      <c r="N42" s="496">
        <f t="shared" si="20"/>
        <v>0.39808061420346075</v>
      </c>
      <c r="O42" s="721">
        <f t="shared" si="20"/>
        <v>0.13248757071832673</v>
      </c>
      <c r="P42" s="496">
        <f t="shared" si="20"/>
        <v>0.16216556377819369</v>
      </c>
      <c r="Q42" s="496">
        <f t="shared" si="20"/>
        <v>0.50089622349960117</v>
      </c>
      <c r="R42" s="496">
        <f t="shared" si="20"/>
        <v>0.34186815493894174</v>
      </c>
      <c r="S42" s="496">
        <f>S41/S38</f>
        <v>0.3911264036568351</v>
      </c>
      <c r="T42" s="533">
        <f>S42</f>
        <v>0.3911264036568351</v>
      </c>
      <c r="U42" s="533">
        <v>0.39100000000000001</v>
      </c>
      <c r="V42" s="533">
        <v>0.39200000000000002</v>
      </c>
      <c r="X42" s="705"/>
      <c r="Y42" s="706"/>
      <c r="Z42" s="707"/>
      <c r="AA42" s="708"/>
    </row>
    <row r="43" spans="1:33" ht="6.75" customHeight="1" outlineLevel="1">
      <c r="B43" s="79"/>
      <c r="C43" s="79"/>
      <c r="D43" s="79"/>
      <c r="E43" s="79"/>
      <c r="F43" s="79"/>
      <c r="G43" s="79"/>
      <c r="H43" s="79"/>
      <c r="I43" s="79"/>
      <c r="J43" s="79"/>
      <c r="K43" s="79"/>
      <c r="X43" s="705"/>
      <c r="Y43" s="706"/>
      <c r="Z43" s="707"/>
      <c r="AA43" s="708"/>
    </row>
    <row r="44" spans="1:33" outlineLevel="1">
      <c r="A44" s="743" t="s">
        <v>387</v>
      </c>
      <c r="B44" s="739">
        <f t="shared" ref="B44:U44" si="21">B38-B41</f>
        <v>62.475999999999964</v>
      </c>
      <c r="C44" s="739">
        <f t="shared" si="21"/>
        <v>71.025000000000375</v>
      </c>
      <c r="D44" s="739">
        <f t="shared" si="21"/>
        <v>71.39500000000001</v>
      </c>
      <c r="E44" s="739">
        <f t="shared" si="21"/>
        <v>70.513000000000062</v>
      </c>
      <c r="F44" s="739">
        <f t="shared" si="21"/>
        <v>72.338999999999999</v>
      </c>
      <c r="G44" s="739">
        <f t="shared" si="21"/>
        <v>106.60795000000002</v>
      </c>
      <c r="H44" s="739">
        <f t="shared" si="21"/>
        <v>67.173000000000158</v>
      </c>
      <c r="I44" s="739">
        <f t="shared" si="21"/>
        <v>-31.813769999999923</v>
      </c>
      <c r="J44" s="739">
        <f t="shared" si="21"/>
        <v>-32.553600000000017</v>
      </c>
      <c r="K44" s="739">
        <f t="shared" si="21"/>
        <v>28.767000000000092</v>
      </c>
      <c r="L44" s="443">
        <f t="shared" si="21"/>
        <v>-15.17900000000013</v>
      </c>
      <c r="M44" s="443">
        <f t="shared" si="21"/>
        <v>30.997999999999703</v>
      </c>
      <c r="N44" s="443">
        <f t="shared" si="21"/>
        <v>-6.2719999999998457</v>
      </c>
      <c r="O44" s="724">
        <f>O38-O41</f>
        <v>25.301000000000005</v>
      </c>
      <c r="P44" s="443">
        <f t="shared" si="21"/>
        <v>28.311879829999256</v>
      </c>
      <c r="Q44" s="443">
        <f t="shared" si="21"/>
        <v>16.149999999999807</v>
      </c>
      <c r="R44" s="443">
        <f>R38-R41</f>
        <v>75.234999999999815</v>
      </c>
      <c r="S44" s="443">
        <f>S38-S41</f>
        <v>155.14455511119988</v>
      </c>
      <c r="T44" s="443">
        <f t="shared" si="21"/>
        <v>188.55255736453967</v>
      </c>
      <c r="U44" s="443">
        <f t="shared" si="21"/>
        <v>215.9153024179133</v>
      </c>
      <c r="V44" s="443">
        <f>V38-V41</f>
        <v>247.2962711220566</v>
      </c>
      <c r="X44" s="705">
        <f>((Q44/J44)^(1/5)-1)*100</f>
        <v>-186.91899592422433</v>
      </c>
      <c r="Y44" s="706" t="s">
        <v>102</v>
      </c>
      <c r="Z44" s="707">
        <f>((V44/Q44)^(1/5)-1)*100</f>
        <v>72.587369010144712</v>
      </c>
      <c r="AA44" s="708" t="s">
        <v>102</v>
      </c>
      <c r="AC44" s="496"/>
    </row>
    <row r="45" spans="1:33" outlineLevel="1">
      <c r="A45" s="414" t="s">
        <v>36</v>
      </c>
      <c r="B45" s="709">
        <f t="shared" ref="B45:R45" si="22">B44/B8</f>
        <v>2.8064179809117202E-2</v>
      </c>
      <c r="C45" s="709">
        <f t="shared" si="22"/>
        <v>2.9245436847150589E-2</v>
      </c>
      <c r="D45" s="709">
        <f t="shared" si="22"/>
        <v>2.7956849457485583E-2</v>
      </c>
      <c r="E45" s="709">
        <f t="shared" si="22"/>
        <v>2.6329212046623633E-2</v>
      </c>
      <c r="F45" s="725">
        <f t="shared" si="22"/>
        <v>2.5293710401544076E-2</v>
      </c>
      <c r="G45" s="725">
        <f t="shared" si="22"/>
        <v>3.331665020751038E-2</v>
      </c>
      <c r="H45" s="709">
        <f t="shared" si="22"/>
        <v>1.9355123130197702E-2</v>
      </c>
      <c r="I45" s="709">
        <f t="shared" si="22"/>
        <v>-9.2437686048386526E-3</v>
      </c>
      <c r="J45" s="709">
        <f t="shared" si="22"/>
        <v>-9.5075516074455083E-3</v>
      </c>
      <c r="K45" s="709">
        <f t="shared" si="22"/>
        <v>8.0548988664564825E-3</v>
      </c>
      <c r="L45" s="496">
        <f t="shared" si="22"/>
        <v>-4.3086490331583826E-3</v>
      </c>
      <c r="M45" s="496">
        <f t="shared" si="22"/>
        <v>8.4472376023339048E-3</v>
      </c>
      <c r="N45" s="496">
        <f t="shared" si="22"/>
        <v>-1.6273435225655998E-3</v>
      </c>
      <c r="O45" s="721">
        <f t="shared" si="22"/>
        <v>6.1241052926879879E-3</v>
      </c>
      <c r="P45" s="496">
        <f t="shared" si="22"/>
        <v>6.9442341275665325E-3</v>
      </c>
      <c r="Q45" s="496">
        <f t="shared" si="22"/>
        <v>3.6476542195453751E-3</v>
      </c>
      <c r="R45" s="496">
        <f t="shared" si="22"/>
        <v>1.5626739535370585E-2</v>
      </c>
      <c r="S45" s="496">
        <f>S44/S8</f>
        <v>3.0426872747312553E-2</v>
      </c>
      <c r="T45" s="496">
        <f>T52/T8</f>
        <v>3.6500922860529451E-2</v>
      </c>
      <c r="U45" s="496">
        <f>U52/U8</f>
        <v>3.7886634000044259E-2</v>
      </c>
      <c r="V45" s="496">
        <f>V52/V8</f>
        <v>3.9756046246362989E-2</v>
      </c>
      <c r="X45" s="705"/>
      <c r="Y45" s="706"/>
      <c r="Z45" s="707"/>
      <c r="AA45" s="708"/>
    </row>
    <row r="46" spans="1:33" ht="6.75" customHeight="1" outlineLevel="1">
      <c r="B46" s="79"/>
      <c r="C46" s="79"/>
      <c r="D46" s="79"/>
      <c r="E46" s="79"/>
      <c r="F46" s="79"/>
      <c r="G46" s="79"/>
      <c r="H46" s="79"/>
      <c r="I46" s="79"/>
      <c r="J46" s="79"/>
      <c r="K46" s="79"/>
      <c r="X46" s="705"/>
      <c r="Y46" s="706"/>
      <c r="Z46" s="707"/>
      <c r="AA46" s="708"/>
    </row>
    <row r="47" spans="1:33" outlineLevel="1">
      <c r="A47" s="17" t="s">
        <v>388</v>
      </c>
      <c r="B47" s="744">
        <f>B52/B58</f>
        <v>1.3371979052899821</v>
      </c>
      <c r="C47" s="744">
        <f>C52/C58</f>
        <v>1.60195935022229</v>
      </c>
      <c r="D47" s="744">
        <f>D52/D58</f>
        <v>1.5295383939404017</v>
      </c>
      <c r="E47" s="744">
        <f>E52/E58</f>
        <v>1.48423548639589</v>
      </c>
      <c r="F47" s="744">
        <f>F52/F58</f>
        <v>1.5217957117759757</v>
      </c>
      <c r="G47" s="732" t="s">
        <v>90</v>
      </c>
      <c r="H47" s="732" t="s">
        <v>90</v>
      </c>
      <c r="I47" s="732" t="s">
        <v>90</v>
      </c>
      <c r="J47" s="732" t="s">
        <v>90</v>
      </c>
      <c r="K47" s="732" t="s">
        <v>90</v>
      </c>
      <c r="L47" s="745">
        <f>IF(ISERROR(+L44/L58),"NA",+L44/L58)</f>
        <v>-0.21226988159720717</v>
      </c>
      <c r="M47" s="745">
        <f>IF(ISERROR(+M44/M58),"NA",+M44/M58)</f>
        <v>0.43348980761249806</v>
      </c>
      <c r="N47" s="745">
        <f>IF(ISERROR(+N44/N58),"NA",+N44/N58)</f>
        <v>-8.7710435297294886E-2</v>
      </c>
      <c r="O47" s="746">
        <f t="shared" ref="O47:V47" si="23">+O44/O58</f>
        <v>0.35382042784708434</v>
      </c>
      <c r="P47" s="745">
        <f t="shared" si="23"/>
        <v>0.39592590943462996</v>
      </c>
      <c r="Q47" s="745">
        <f t="shared" si="23"/>
        <v>0.21748289365743403</v>
      </c>
      <c r="R47" s="745">
        <f>+R44/R58</f>
        <v>0.99169577539049392</v>
      </c>
      <c r="S47" s="745">
        <f>+S44/S58</f>
        <v>2.0304686354052066</v>
      </c>
      <c r="T47" s="745">
        <f t="shared" si="23"/>
        <v>2.4708437494534166</v>
      </c>
      <c r="U47" s="745">
        <f t="shared" si="23"/>
        <v>2.8331251711421355</v>
      </c>
      <c r="V47" s="745">
        <f t="shared" si="23"/>
        <v>3.2491528310238542</v>
      </c>
      <c r="X47" s="747" t="s">
        <v>90</v>
      </c>
      <c r="Y47" s="706"/>
      <c r="Z47" s="707">
        <f>((V47/Q47)^(1/5)-1)*100</f>
        <v>71.739030705638513</v>
      </c>
      <c r="AA47" s="708" t="s">
        <v>102</v>
      </c>
      <c r="AC47" s="496">
        <f>(U47/R47)^(1/3)-1</f>
        <v>0.4189347773310379</v>
      </c>
    </row>
    <row r="48" spans="1:33" outlineLevel="1">
      <c r="A48" s="414" t="s">
        <v>31</v>
      </c>
      <c r="B48" s="732" t="s">
        <v>90</v>
      </c>
      <c r="C48" s="709">
        <f>C47/B47-1</f>
        <v>0.19799720287094846</v>
      </c>
      <c r="D48" s="709">
        <f>D47/C47-1</f>
        <v>-4.5207736558258493E-2</v>
      </c>
      <c r="E48" s="709">
        <f>E47/D47-1</f>
        <v>-2.9618679546710935E-2</v>
      </c>
      <c r="F48" s="709">
        <f>F47/E47-1</f>
        <v>2.5306109255810671E-2</v>
      </c>
      <c r="G48" s="732" t="s">
        <v>90</v>
      </c>
      <c r="H48" s="732" t="s">
        <v>90</v>
      </c>
      <c r="I48" s="732" t="s">
        <v>90</v>
      </c>
      <c r="J48" s="732" t="s">
        <v>90</v>
      </c>
      <c r="K48" s="732" t="s">
        <v>90</v>
      </c>
      <c r="L48" s="748" t="s">
        <v>90</v>
      </c>
      <c r="M48" s="748" t="s">
        <v>90</v>
      </c>
      <c r="N48" s="748" t="s">
        <v>90</v>
      </c>
      <c r="O48" s="746" t="s">
        <v>90</v>
      </c>
      <c r="P48" s="748" t="s">
        <v>90</v>
      </c>
      <c r="Q48" s="496">
        <f t="shared" ref="Q48:V48" si="24">+Q47/P47-1</f>
        <v>-0.45069800062341736</v>
      </c>
      <c r="R48" s="496">
        <f t="shared" si="24"/>
        <v>3.5598794402310716</v>
      </c>
      <c r="S48" s="496">
        <f t="shared" si="24"/>
        <v>1.0474712969364841</v>
      </c>
      <c r="T48" s="496">
        <f t="shared" si="24"/>
        <v>0.21688348510752897</v>
      </c>
      <c r="U48" s="496">
        <f t="shared" si="24"/>
        <v>0.14662255424644322</v>
      </c>
      <c r="V48" s="496">
        <f t="shared" si="24"/>
        <v>0.14684408021195994</v>
      </c>
      <c r="X48" s="705"/>
      <c r="Y48" s="706"/>
      <c r="Z48" s="707"/>
      <c r="AA48" s="708"/>
    </row>
    <row r="49" spans="1:29" ht="6.75" customHeight="1" outlineLevel="1">
      <c r="B49" s="79"/>
      <c r="C49" s="79"/>
      <c r="D49" s="79"/>
      <c r="E49" s="79"/>
      <c r="F49" s="79"/>
      <c r="G49" s="79"/>
      <c r="H49" s="79"/>
      <c r="I49" s="79"/>
      <c r="J49" s="79"/>
      <c r="K49" s="79"/>
      <c r="X49" s="705"/>
      <c r="Y49" s="706"/>
      <c r="Z49" s="707"/>
      <c r="AA49" s="708"/>
    </row>
    <row r="50" spans="1:29" outlineLevel="1">
      <c r="A50" s="17" t="s">
        <v>389</v>
      </c>
      <c r="B50" s="484">
        <v>1.3560000000000001</v>
      </c>
      <c r="C50" s="484">
        <v>0</v>
      </c>
      <c r="D50" s="484">
        <v>3.3540000000000001</v>
      </c>
      <c r="E50" s="484">
        <v>4.3929999999999998</v>
      </c>
      <c r="F50" s="484">
        <v>4.3630000000000004</v>
      </c>
      <c r="G50" s="484">
        <f>1.014-0.002+0.863*(1-0.35)</f>
        <v>1.5729500000000001</v>
      </c>
      <c r="H50" s="484">
        <v>4.0000000000000001E-3</v>
      </c>
      <c r="I50" s="484">
        <f>24.421*(1-0.37)</f>
        <v>15.38523</v>
      </c>
      <c r="J50" s="484">
        <f>(25.256)*(1-0.35)</f>
        <v>16.416399999999999</v>
      </c>
      <c r="K50" s="484">
        <f>(6.952+37.498+294.55)*(1-0.35)</f>
        <v>220.35</v>
      </c>
      <c r="L50" s="443">
        <f>'qtrP&amp;L'!AI167</f>
        <v>51.247949999999996</v>
      </c>
      <c r="M50" s="443">
        <f>'qtrP&amp;L'!AM167</f>
        <v>25.083000000000002</v>
      </c>
      <c r="N50" s="443">
        <f>'qtrP&amp;L'!AQ167</f>
        <v>43.622000000000014</v>
      </c>
      <c r="O50" s="724">
        <f>31.292+4.175+2.222+11.539+4.291-19.231</f>
        <v>34.288000000000004</v>
      </c>
      <c r="P50" s="443">
        <f>'qtrP&amp;L'!AU167</f>
        <v>33.9</v>
      </c>
      <c r="Q50" s="443">
        <f>'qtrP&amp;L'!AY167</f>
        <v>54.089000000000013</v>
      </c>
      <c r="R50" s="443">
        <f>'qtrP&amp;L'!BC167</f>
        <v>63.342000000000013</v>
      </c>
      <c r="S50" s="443">
        <f>'qtrP&amp;L'!BG167</f>
        <v>16.977000000000004</v>
      </c>
      <c r="T50" s="485">
        <f>(24)*(1-T42)</f>
        <v>14.612966312235956</v>
      </c>
      <c r="U50" s="485">
        <f>(24)*(1-U42)</f>
        <v>14.616</v>
      </c>
      <c r="V50" s="485">
        <f>(24)*(1-V42)</f>
        <v>14.591999999999999</v>
      </c>
      <c r="X50" s="705"/>
      <c r="Y50" s="706"/>
      <c r="Z50" s="707"/>
      <c r="AA50" s="708"/>
    </row>
    <row r="51" spans="1:29" ht="8.25" customHeight="1" outlineLevel="1">
      <c r="B51" s="79"/>
      <c r="C51" s="79"/>
      <c r="D51" s="79"/>
      <c r="E51" s="79"/>
      <c r="F51" s="79"/>
      <c r="G51" s="79"/>
      <c r="H51" s="79"/>
      <c r="I51" s="79"/>
      <c r="J51" s="79"/>
      <c r="K51" s="79"/>
      <c r="X51" s="705"/>
      <c r="Y51" s="706"/>
      <c r="Z51" s="707"/>
      <c r="AA51" s="708"/>
    </row>
    <row r="52" spans="1:29">
      <c r="A52" s="743" t="s">
        <v>390</v>
      </c>
      <c r="B52" s="739">
        <f t="shared" ref="B52:K52" si="25">B44-B50</f>
        <v>61.119999999999962</v>
      </c>
      <c r="C52" s="739">
        <f t="shared" si="25"/>
        <v>71.025000000000375</v>
      </c>
      <c r="D52" s="739">
        <f t="shared" si="25"/>
        <v>68.041000000000011</v>
      </c>
      <c r="E52" s="739">
        <f t="shared" si="25"/>
        <v>66.120000000000061</v>
      </c>
      <c r="F52" s="739">
        <f t="shared" si="25"/>
        <v>67.975999999999999</v>
      </c>
      <c r="G52" s="739">
        <f t="shared" si="25"/>
        <v>105.03500000000001</v>
      </c>
      <c r="H52" s="739">
        <f t="shared" si="25"/>
        <v>67.169000000000153</v>
      </c>
      <c r="I52" s="739">
        <f t="shared" si="25"/>
        <v>-47.198999999999927</v>
      </c>
      <c r="J52" s="739">
        <f t="shared" si="25"/>
        <v>-48.970000000000013</v>
      </c>
      <c r="K52" s="739">
        <f t="shared" si="25"/>
        <v>-191.58299999999991</v>
      </c>
      <c r="L52" s="443">
        <f t="shared" ref="L52:V52" si="26">L44+L50</f>
        <v>36.068949999999866</v>
      </c>
      <c r="M52" s="443">
        <f t="shared" si="26"/>
        <v>56.080999999999705</v>
      </c>
      <c r="N52" s="443">
        <f t="shared" si="26"/>
        <v>37.350000000000165</v>
      </c>
      <c r="O52" s="749">
        <f t="shared" si="26"/>
        <v>59.589000000000013</v>
      </c>
      <c r="P52" s="443">
        <f>P44+P50</f>
        <v>62.211879829999255</v>
      </c>
      <c r="Q52" s="443">
        <f t="shared" si="26"/>
        <v>70.23899999999982</v>
      </c>
      <c r="R52" s="443">
        <f>R44+R50</f>
        <v>138.57699999999983</v>
      </c>
      <c r="S52" s="443">
        <f>S44+S50</f>
        <v>172.12155511119988</v>
      </c>
      <c r="T52" s="443">
        <f t="shared" si="26"/>
        <v>203.16552367677562</v>
      </c>
      <c r="U52" s="443">
        <f t="shared" si="26"/>
        <v>230.53130241791331</v>
      </c>
      <c r="V52" s="443">
        <f t="shared" si="26"/>
        <v>261.88827112205661</v>
      </c>
      <c r="X52" s="705">
        <f>((Q52/J52)^(1/5)-1)*100</f>
        <v>-207.48049135267655</v>
      </c>
      <c r="Y52" s="706" t="s">
        <v>102</v>
      </c>
      <c r="Z52" s="707">
        <f>((V52/Q52)^(1/5)-1)*100</f>
        <v>30.109061955771878</v>
      </c>
      <c r="AA52" s="708" t="s">
        <v>102</v>
      </c>
      <c r="AC52" s="496"/>
    </row>
    <row r="53" spans="1:29">
      <c r="A53" s="414" t="s">
        <v>36</v>
      </c>
      <c r="B53" s="709">
        <f t="shared" ref="B53:O53" si="27">B52/B8</f>
        <v>2.7455065464070099E-2</v>
      </c>
      <c r="C53" s="709">
        <f t="shared" si="27"/>
        <v>2.9245436847150589E-2</v>
      </c>
      <c r="D53" s="709">
        <f t="shared" si="27"/>
        <v>2.6643490355581997E-2</v>
      </c>
      <c r="E53" s="709">
        <f t="shared" si="27"/>
        <v>2.4688887162973561E-2</v>
      </c>
      <c r="F53" s="725">
        <f t="shared" si="27"/>
        <v>2.3768164589714542E-2</v>
      </c>
      <c r="G53" s="725">
        <f t="shared" si="27"/>
        <v>3.2825078753937698E-2</v>
      </c>
      <c r="H53" s="709">
        <f t="shared" si="27"/>
        <v>1.9353970576455562E-2</v>
      </c>
      <c r="I53" s="709">
        <f t="shared" si="27"/>
        <v>-1.3714081493006956E-2</v>
      </c>
      <c r="J53" s="709">
        <f t="shared" si="27"/>
        <v>-1.430209876070869E-2</v>
      </c>
      <c r="K53" s="709">
        <f t="shared" si="27"/>
        <v>-5.3644164825401561E-2</v>
      </c>
      <c r="L53" s="496">
        <f t="shared" si="27"/>
        <v>1.0238385041474151E-2</v>
      </c>
      <c r="M53" s="496">
        <f t="shared" si="27"/>
        <v>1.5282583778840241E-2</v>
      </c>
      <c r="N53" s="496">
        <f t="shared" si="27"/>
        <v>9.6908929476764855E-3</v>
      </c>
      <c r="O53" s="750">
        <f t="shared" si="27"/>
        <v>1.4423513311172859E-2</v>
      </c>
      <c r="P53" s="496">
        <f t="shared" ref="P53:V53" si="28">P52/P8</f>
        <v>1.5259101891135718E-2</v>
      </c>
      <c r="Q53" s="496">
        <f t="shared" si="28"/>
        <v>1.5864246732300313E-2</v>
      </c>
      <c r="R53" s="496">
        <f t="shared" si="28"/>
        <v>2.8783234991600345E-2</v>
      </c>
      <c r="S53" s="496">
        <f>S52/S8</f>
        <v>3.3756393517544434E-2</v>
      </c>
      <c r="T53" s="496">
        <f t="shared" si="28"/>
        <v>3.6500922860529451E-2</v>
      </c>
      <c r="U53" s="496">
        <f t="shared" si="28"/>
        <v>3.7886634000044259E-2</v>
      </c>
      <c r="V53" s="496">
        <f t="shared" si="28"/>
        <v>3.9756046246362989E-2</v>
      </c>
      <c r="X53" s="705"/>
      <c r="Y53" s="706"/>
      <c r="Z53" s="707"/>
      <c r="AA53" s="708"/>
    </row>
    <row r="54" spans="1:29" ht="6.75" customHeight="1">
      <c r="B54" s="79"/>
      <c r="C54" s="79"/>
      <c r="D54" s="79"/>
      <c r="E54" s="79"/>
      <c r="F54" s="79"/>
      <c r="G54" s="79"/>
      <c r="H54" s="79"/>
      <c r="I54" s="79"/>
      <c r="J54" s="79"/>
      <c r="K54" s="79"/>
      <c r="X54" s="705"/>
      <c r="Y54" s="706"/>
      <c r="Z54" s="707"/>
      <c r="AA54" s="708"/>
    </row>
    <row r="55" spans="1:29">
      <c r="A55" s="17" t="s">
        <v>391</v>
      </c>
      <c r="B55" s="744">
        <f>(B52+B50)/B58+0.0001</f>
        <v>1.3669647959898057</v>
      </c>
      <c r="C55" s="744">
        <f>(C52+C50)/C58+0.0001</f>
        <v>1.60205935022229</v>
      </c>
      <c r="D55" s="744">
        <f>(D52+D50)/D58+0.0001</f>
        <v>1.6050351660818474</v>
      </c>
      <c r="E55" s="744">
        <f>(E52+E50)/E58</f>
        <v>1.582847804782719</v>
      </c>
      <c r="F55" s="744">
        <f>(F52+F50)/F58</f>
        <v>1.6194712838967034</v>
      </c>
      <c r="G55" s="732" t="s">
        <v>90</v>
      </c>
      <c r="H55" s="732" t="s">
        <v>90</v>
      </c>
      <c r="I55" s="732" t="s">
        <v>90</v>
      </c>
      <c r="J55" s="732" t="s">
        <v>90</v>
      </c>
      <c r="K55" s="732" t="s">
        <v>90</v>
      </c>
      <c r="L55" s="745">
        <f>IF(ISERROR(+L52/L58),"NA",+L52/L58)</f>
        <v>0.50440422595925227</v>
      </c>
      <c r="M55" s="745">
        <f>IF(ISERROR(+M52/M58),"NA",+M52/M58)</f>
        <v>0.78426162657966991</v>
      </c>
      <c r="N55" s="745">
        <f>IF(ISERROR(+N52/N58),"NA",+N52/N58)</f>
        <v>0.52231899846206298</v>
      </c>
      <c r="O55" s="751">
        <f t="shared" ref="O55:V55" si="29">+O52/O58</f>
        <v>0.8333190575463385</v>
      </c>
      <c r="P55" s="745">
        <f t="shared" si="29"/>
        <v>0.86999857470541597</v>
      </c>
      <c r="Q55" s="745">
        <f t="shared" si="29"/>
        <v>0.9458687905637555</v>
      </c>
      <c r="R55" s="745">
        <f>+R52/R58</f>
        <v>1.8266262439860257</v>
      </c>
      <c r="S55" s="745">
        <f>+S52/S58</f>
        <v>2.2526566844705891</v>
      </c>
      <c r="T55" s="745">
        <f>+T52/T58</f>
        <v>2.6623360154732034</v>
      </c>
      <c r="U55" s="745">
        <f t="shared" si="29"/>
        <v>3.0249085095053641</v>
      </c>
      <c r="V55" s="745">
        <f t="shared" si="29"/>
        <v>3.4408728189362456</v>
      </c>
      <c r="X55" s="747" t="s">
        <v>90</v>
      </c>
      <c r="Y55" s="706"/>
      <c r="Z55" s="707">
        <f>((V55/Q55)^(1/5)-1)*100</f>
        <v>29.469522100372835</v>
      </c>
      <c r="AA55" s="708" t="s">
        <v>102</v>
      </c>
      <c r="AC55" s="496">
        <f>(U55/R55)^(1/3)-1</f>
        <v>0.18309835413518316</v>
      </c>
    </row>
    <row r="56" spans="1:29">
      <c r="A56" s="414" t="s">
        <v>31</v>
      </c>
      <c r="B56" s="732" t="s">
        <v>90</v>
      </c>
      <c r="C56" s="709">
        <f>C55/B55-1</f>
        <v>0.17198288860266864</v>
      </c>
      <c r="D56" s="709">
        <f>D55/C55-1</f>
        <v>1.8574941428632918E-3</v>
      </c>
      <c r="E56" s="709">
        <f>E55/D55-1</f>
        <v>-1.3823598241334056E-2</v>
      </c>
      <c r="F56" s="709">
        <f>F55/E55-1</f>
        <v>2.3137713558639694E-2</v>
      </c>
      <c r="G56" s="732" t="s">
        <v>90</v>
      </c>
      <c r="H56" s="732" t="s">
        <v>90</v>
      </c>
      <c r="I56" s="732" t="s">
        <v>90</v>
      </c>
      <c r="J56" s="732" t="s">
        <v>90</v>
      </c>
      <c r="K56" s="732" t="s">
        <v>90</v>
      </c>
      <c r="L56" s="746" t="str">
        <f>M56</f>
        <v>NA</v>
      </c>
      <c r="M56" s="746" t="str">
        <f>N56</f>
        <v>NA</v>
      </c>
      <c r="N56" s="746" t="str">
        <f>O56</f>
        <v>NA</v>
      </c>
      <c r="O56" s="746" t="s">
        <v>90</v>
      </c>
      <c r="P56" s="746" t="s">
        <v>90</v>
      </c>
      <c r="Q56" s="496">
        <f t="shared" ref="Q56:V56" si="30">+Q55/P55-1</f>
        <v>8.7207287533809463E-2</v>
      </c>
      <c r="R56" s="496">
        <f t="shared" si="30"/>
        <v>0.93116240033390074</v>
      </c>
      <c r="S56" s="496">
        <f t="shared" si="30"/>
        <v>0.23323350460293879</v>
      </c>
      <c r="T56" s="496">
        <f t="shared" si="30"/>
        <v>0.18186496585426015</v>
      </c>
      <c r="U56" s="496">
        <f t="shared" si="30"/>
        <v>0.13618585029272379</v>
      </c>
      <c r="V56" s="496">
        <f t="shared" si="30"/>
        <v>0.137513021674464</v>
      </c>
      <c r="X56" s="752"/>
      <c r="Y56" s="715"/>
      <c r="Z56" s="753"/>
      <c r="AA56" s="716"/>
    </row>
    <row r="57" spans="1:29" ht="6.75" customHeight="1">
      <c r="B57" s="79"/>
      <c r="C57" s="79"/>
      <c r="D57" s="79"/>
      <c r="E57" s="79"/>
      <c r="F57" s="79"/>
      <c r="G57" s="79"/>
      <c r="H57" s="79"/>
      <c r="I57" s="79"/>
      <c r="J57" s="79"/>
      <c r="K57" s="79"/>
      <c r="X57" s="747"/>
      <c r="Y57" s="706"/>
      <c r="Z57" s="707"/>
      <c r="AA57" s="708"/>
    </row>
    <row r="58" spans="1:29">
      <c r="A58" s="17" t="s">
        <v>392</v>
      </c>
      <c r="B58" s="484">
        <v>45.707520000000002</v>
      </c>
      <c r="C58" s="484">
        <v>44.336331000000001</v>
      </c>
      <c r="D58" s="484">
        <v>44.484662999999998</v>
      </c>
      <c r="E58" s="484">
        <v>44.548186999999999</v>
      </c>
      <c r="F58" s="484">
        <v>44.668281999999998</v>
      </c>
      <c r="G58" s="732" t="s">
        <v>90</v>
      </c>
      <c r="H58" s="732" t="s">
        <v>90</v>
      </c>
      <c r="I58" s="732" t="s">
        <v>90</v>
      </c>
      <c r="J58" s="732" t="s">
        <v>90</v>
      </c>
      <c r="K58" s="732" t="s">
        <v>90</v>
      </c>
      <c r="L58" s="754">
        <f>M58</f>
        <v>71.508025000000004</v>
      </c>
      <c r="M58" s="754">
        <f>N58</f>
        <v>71.508025000000004</v>
      </c>
      <c r="N58" s="754">
        <f>O58</f>
        <v>71.508025000000004</v>
      </c>
      <c r="O58" s="754">
        <f>P58</f>
        <v>71.508025000000004</v>
      </c>
      <c r="P58" s="755">
        <f>'qtrP&amp;L'!AU217</f>
        <v>71.508025000000004</v>
      </c>
      <c r="Q58" s="755">
        <f>'qtrP&amp;L'!AY217</f>
        <v>74.258713999999998</v>
      </c>
      <c r="R58" s="755">
        <f>'qtrP&amp;L'!BC217</f>
        <v>75.864999999999995</v>
      </c>
      <c r="S58" s="755">
        <f>'qtrP&amp;L'!BG217</f>
        <v>76.408249999999995</v>
      </c>
      <c r="T58" s="756">
        <f>'qtrP&amp;L'!BG196</f>
        <v>76.310999999999993</v>
      </c>
      <c r="U58" s="756">
        <f>T58-0.1</f>
        <v>76.210999999999999</v>
      </c>
      <c r="V58" s="756">
        <f>U58-0.1</f>
        <v>76.111000000000004</v>
      </c>
      <c r="W58" s="757"/>
      <c r="X58" s="758"/>
      <c r="Y58" s="715"/>
      <c r="Z58" s="753"/>
      <c r="AA58" s="716"/>
    </row>
    <row r="59" spans="1:29">
      <c r="B59" s="79"/>
      <c r="C59" s="79"/>
      <c r="D59" s="759"/>
      <c r="E59" s="79"/>
      <c r="F59" s="79"/>
      <c r="G59" s="79"/>
      <c r="H59" s="79"/>
      <c r="I59" s="79"/>
      <c r="J59" s="79"/>
      <c r="K59" s="79"/>
    </row>
    <row r="62" spans="1:29">
      <c r="A62" s="530" t="s">
        <v>78</v>
      </c>
      <c r="F62" s="530"/>
      <c r="Q62" s="760"/>
      <c r="R62" s="760"/>
      <c r="S62" s="760"/>
      <c r="T62" s="760"/>
      <c r="U62" s="760"/>
      <c r="V62" s="760"/>
      <c r="X62" s="421"/>
      <c r="Y62" s="421"/>
      <c r="Z62" s="421"/>
      <c r="AA62" s="421"/>
    </row>
    <row r="63" spans="1:29">
      <c r="X63" s="761"/>
      <c r="Y63" s="421"/>
      <c r="Z63" s="761"/>
      <c r="AA63" s="421"/>
    </row>
    <row r="64" spans="1:29">
      <c r="A64" s="694" t="s">
        <v>351</v>
      </c>
      <c r="G64" s="57"/>
      <c r="H64" s="57"/>
      <c r="I64" s="57"/>
      <c r="J64" s="57"/>
      <c r="K64" s="57"/>
      <c r="O64" s="57"/>
      <c r="W64" s="57"/>
      <c r="AA64" s="57"/>
    </row>
    <row r="65" spans="1:47" ht="4.5" customHeight="1">
      <c r="A65" s="694"/>
      <c r="G65" s="57"/>
      <c r="H65" s="57"/>
      <c r="I65" s="57"/>
      <c r="J65" s="57"/>
      <c r="K65" s="57"/>
      <c r="O65" s="57"/>
      <c r="W65" s="57"/>
      <c r="AA65" s="57"/>
    </row>
    <row r="66" spans="1:47">
      <c r="A66" s="1" t="s">
        <v>352</v>
      </c>
      <c r="G66" s="57"/>
      <c r="H66" s="57"/>
      <c r="I66" s="57"/>
      <c r="J66" s="57"/>
      <c r="K66" s="57"/>
      <c r="O66" s="57"/>
      <c r="W66" s="57"/>
      <c r="AA66" s="57"/>
    </row>
    <row r="67" spans="1:47" ht="4.5" customHeight="1">
      <c r="G67" s="57"/>
      <c r="H67" s="57"/>
      <c r="I67" s="57"/>
      <c r="J67" s="57"/>
      <c r="K67" s="57"/>
      <c r="O67" s="57"/>
      <c r="W67" s="57"/>
      <c r="AA67" s="57"/>
    </row>
    <row r="68" spans="1:47">
      <c r="A68" s="17" t="s">
        <v>409</v>
      </c>
      <c r="G68" s="57"/>
      <c r="H68" s="57"/>
      <c r="I68" s="57"/>
      <c r="J68" s="57"/>
      <c r="K68" s="57"/>
      <c r="O68" s="57"/>
      <c r="W68" s="57"/>
      <c r="AA68" s="57"/>
      <c r="AI68" s="559"/>
      <c r="AM68" s="559"/>
      <c r="AQ68" s="559"/>
      <c r="AU68" s="559"/>
    </row>
    <row r="69" spans="1:47" ht="4.5" customHeight="1">
      <c r="G69" s="57"/>
      <c r="H69" s="57"/>
      <c r="I69" s="57"/>
      <c r="J69" s="57"/>
      <c r="K69" s="57"/>
      <c r="O69" s="57"/>
      <c r="W69" s="57"/>
      <c r="AA69" s="57"/>
      <c r="AI69" s="559"/>
      <c r="AM69" s="559"/>
      <c r="AQ69" s="559"/>
      <c r="AU69" s="559"/>
    </row>
    <row r="70" spans="1:47">
      <c r="A70" s="17" t="s">
        <v>410</v>
      </c>
      <c r="G70" s="57"/>
      <c r="H70" s="57"/>
      <c r="I70" s="57"/>
      <c r="J70" s="57"/>
      <c r="K70" s="57"/>
      <c r="O70" s="57"/>
      <c r="W70" s="57"/>
      <c r="AA70" s="57"/>
      <c r="AI70" s="559"/>
      <c r="AM70" s="559"/>
      <c r="AQ70" s="559"/>
      <c r="AU70" s="559"/>
    </row>
    <row r="71" spans="1:47" ht="4.5" customHeight="1">
      <c r="G71" s="57"/>
      <c r="H71" s="57"/>
      <c r="I71" s="57"/>
      <c r="J71" s="57"/>
      <c r="K71" s="57"/>
      <c r="O71" s="57"/>
      <c r="W71" s="57"/>
      <c r="AA71" s="57"/>
      <c r="AI71" s="559"/>
      <c r="AM71" s="559"/>
      <c r="AQ71" s="559"/>
      <c r="AU71" s="559"/>
    </row>
    <row r="72" spans="1:47">
      <c r="A72" s="17" t="s">
        <v>412</v>
      </c>
      <c r="G72" s="57"/>
      <c r="H72" s="57"/>
      <c r="I72" s="57"/>
      <c r="J72" s="57"/>
      <c r="K72" s="57"/>
      <c r="O72" s="57"/>
      <c r="W72" s="57"/>
      <c r="AA72" s="57"/>
      <c r="AI72" s="559"/>
      <c r="AM72" s="559"/>
      <c r="AQ72" s="559"/>
      <c r="AU72" s="559"/>
    </row>
    <row r="73" spans="1:47" ht="4.5" customHeight="1">
      <c r="A73" s="530"/>
      <c r="G73" s="57"/>
      <c r="H73" s="57"/>
      <c r="I73" s="57"/>
      <c r="J73" s="57"/>
      <c r="K73" s="57"/>
      <c r="O73" s="57"/>
      <c r="W73" s="57"/>
      <c r="AA73" s="57"/>
    </row>
    <row r="74" spans="1:47">
      <c r="A74" s="17" t="s">
        <v>413</v>
      </c>
      <c r="G74" s="57"/>
      <c r="H74" s="57"/>
      <c r="I74" s="57"/>
      <c r="J74" s="57"/>
      <c r="K74" s="57"/>
      <c r="O74" s="57"/>
      <c r="W74" s="57"/>
      <c r="AA74" s="57"/>
      <c r="AI74" s="559"/>
      <c r="AM74" s="559"/>
      <c r="AQ74" s="559"/>
      <c r="AU74" s="559"/>
    </row>
    <row r="75" spans="1:47" ht="4.5" customHeight="1">
      <c r="G75" s="57"/>
      <c r="H75" s="57"/>
      <c r="I75" s="57"/>
      <c r="J75" s="57"/>
      <c r="K75" s="57"/>
      <c r="O75" s="57"/>
      <c r="W75" s="57"/>
      <c r="AA75" s="57"/>
      <c r="AI75" s="559"/>
      <c r="AM75" s="559"/>
      <c r="AQ75" s="559"/>
      <c r="AU75" s="559"/>
    </row>
    <row r="76" spans="1:47">
      <c r="A76" s="17" t="s">
        <v>411</v>
      </c>
      <c r="G76" s="57"/>
      <c r="H76" s="57"/>
      <c r="I76" s="57"/>
      <c r="J76" s="57"/>
      <c r="K76" s="57"/>
      <c r="O76" s="57"/>
      <c r="W76" s="57"/>
      <c r="AA76" s="57"/>
      <c r="AI76" s="559"/>
      <c r="AM76" s="559"/>
      <c r="AQ76" s="559"/>
      <c r="AU76" s="559"/>
    </row>
    <row r="77" spans="1:47" ht="4.5" customHeight="1">
      <c r="G77" s="57"/>
      <c r="H77" s="57"/>
      <c r="I77" s="57"/>
      <c r="J77" s="57"/>
      <c r="K77" s="57"/>
      <c r="O77" s="57"/>
      <c r="W77" s="57"/>
      <c r="AA77" s="57"/>
      <c r="AI77" s="559"/>
      <c r="AM77" s="559"/>
      <c r="AQ77" s="559"/>
      <c r="AU77" s="559"/>
    </row>
    <row r="78" spans="1:47">
      <c r="A78" s="17" t="s">
        <v>403</v>
      </c>
      <c r="G78" s="57"/>
      <c r="H78" s="57"/>
      <c r="I78" s="57"/>
      <c r="J78" s="57"/>
      <c r="K78" s="57"/>
      <c r="O78" s="57"/>
      <c r="W78" s="57"/>
      <c r="AA78" s="57"/>
      <c r="AI78" s="559"/>
      <c r="AM78" s="559"/>
      <c r="AQ78" s="559"/>
      <c r="AU78" s="559"/>
    </row>
    <row r="79" spans="1:47" ht="4.5" customHeight="1">
      <c r="G79" s="57"/>
      <c r="H79" s="57"/>
      <c r="I79" s="57"/>
      <c r="J79" s="57"/>
      <c r="K79" s="57"/>
      <c r="O79" s="57"/>
      <c r="W79" s="57"/>
      <c r="AA79" s="57"/>
    </row>
    <row r="80" spans="1:47">
      <c r="A80" s="17" t="s">
        <v>404</v>
      </c>
      <c r="G80" s="57"/>
      <c r="H80" s="57"/>
      <c r="I80" s="57"/>
      <c r="J80" s="57"/>
      <c r="K80" s="57"/>
      <c r="O80" s="57"/>
      <c r="W80" s="57"/>
      <c r="AA80" s="57"/>
      <c r="AI80" s="559"/>
      <c r="AM80" s="559"/>
      <c r="AQ80" s="559"/>
      <c r="AU80" s="559"/>
    </row>
    <row r="81" spans="1:35" ht="4.5" customHeight="1">
      <c r="G81" s="57"/>
      <c r="H81" s="57"/>
      <c r="I81" s="57"/>
      <c r="J81" s="57"/>
      <c r="K81" s="57"/>
      <c r="O81" s="57"/>
      <c r="W81" s="57"/>
      <c r="AA81" s="57"/>
    </row>
    <row r="82" spans="1:35">
      <c r="A82" s="17" t="s">
        <v>407</v>
      </c>
      <c r="G82" s="57"/>
      <c r="H82" s="57"/>
      <c r="I82" s="57"/>
      <c r="J82" s="57"/>
      <c r="K82" s="57"/>
      <c r="O82" s="57"/>
      <c r="W82" s="57"/>
      <c r="AA82" s="57"/>
    </row>
    <row r="83" spans="1:35" ht="4.5" customHeight="1">
      <c r="G83" s="57"/>
      <c r="H83" s="57"/>
      <c r="I83" s="57"/>
      <c r="J83" s="57"/>
      <c r="K83" s="57"/>
      <c r="O83" s="57"/>
      <c r="W83" s="57"/>
      <c r="AA83" s="57"/>
    </row>
    <row r="84" spans="1:35">
      <c r="A84" s="17" t="s">
        <v>406</v>
      </c>
      <c r="G84" s="57"/>
      <c r="H84" s="57"/>
      <c r="I84" s="57"/>
      <c r="J84" s="57"/>
      <c r="K84" s="57"/>
      <c r="O84" s="57"/>
      <c r="W84" s="57"/>
      <c r="AA84" s="57"/>
    </row>
    <row r="85" spans="1:35" ht="4.5" customHeight="1">
      <c r="G85" s="57"/>
      <c r="H85" s="57"/>
      <c r="I85" s="57"/>
      <c r="J85" s="57"/>
      <c r="K85" s="57"/>
      <c r="O85" s="57"/>
      <c r="W85" s="57"/>
      <c r="AA85" s="57"/>
    </row>
    <row r="86" spans="1:35">
      <c r="A86" s="17" t="s">
        <v>405</v>
      </c>
      <c r="G86" s="57"/>
      <c r="H86" s="57"/>
      <c r="I86" s="57"/>
      <c r="J86" s="57"/>
      <c r="K86" s="57"/>
      <c r="O86" s="57"/>
      <c r="W86" s="57"/>
      <c r="AA86" s="57"/>
    </row>
    <row r="87" spans="1:35" ht="4.5" customHeight="1">
      <c r="G87" s="57"/>
      <c r="H87" s="57"/>
      <c r="I87" s="57"/>
      <c r="J87" s="57"/>
      <c r="K87" s="57"/>
      <c r="O87" s="57"/>
      <c r="W87" s="57"/>
      <c r="AA87" s="57"/>
    </row>
    <row r="88" spans="1:35" ht="12" customHeight="1">
      <c r="A88" s="17" t="s">
        <v>362</v>
      </c>
      <c r="G88" s="57"/>
      <c r="H88" s="57"/>
      <c r="I88" s="57"/>
      <c r="J88" s="57"/>
      <c r="K88" s="57"/>
      <c r="O88" s="57"/>
      <c r="W88" s="57"/>
      <c r="AA88" s="57"/>
    </row>
    <row r="95" spans="1:35" ht="25.5">
      <c r="AH95" s="1213" t="s">
        <v>844</v>
      </c>
      <c r="AI95" s="1213" t="s">
        <v>845</v>
      </c>
    </row>
    <row r="96" spans="1:35" hidden="1">
      <c r="AH96" s="452"/>
      <c r="AI96" s="1194">
        <f>T55</f>
        <v>2.6623360154732034</v>
      </c>
    </row>
    <row r="97" spans="34:35">
      <c r="AH97" s="1214">
        <f>AH98-3</f>
        <v>36.9</v>
      </c>
      <c r="AI97" s="1212">
        <f t="dataTable" ref="AI97:AI109" dt2D="0" dtr="0" r1="T35"/>
        <v>2.7782259180946052</v>
      </c>
    </row>
    <row r="98" spans="34:35">
      <c r="AH98" s="1214">
        <f>AH99-3</f>
        <v>39.9</v>
      </c>
      <c r="AI98" s="1212">
        <v>2.7542893848421319</v>
      </c>
    </row>
    <row r="99" spans="34:35">
      <c r="AH99" s="1214">
        <f>AH100-3</f>
        <v>42.9</v>
      </c>
      <c r="AI99" s="1212">
        <v>2.7303528515896587</v>
      </c>
    </row>
    <row r="100" spans="34:35">
      <c r="AH100" s="1214">
        <f>AH101-3</f>
        <v>45.9</v>
      </c>
      <c r="AI100" s="1212">
        <v>2.7064163183371854</v>
      </c>
    </row>
    <row r="101" spans="34:35">
      <c r="AH101" s="1215">
        <v>48.9</v>
      </c>
      <c r="AI101" s="1216">
        <v>2.6824797850847117</v>
      </c>
    </row>
    <row r="102" spans="34:35">
      <c r="AH102" s="1214">
        <f>AH101+3</f>
        <v>51.9</v>
      </c>
      <c r="AI102" s="1212">
        <v>2.6585432518322385</v>
      </c>
    </row>
    <row r="103" spans="34:35">
      <c r="AH103" s="1214">
        <f t="shared" ref="AH103:AH109" si="31">AH102+3</f>
        <v>54.9</v>
      </c>
      <c r="AI103" s="1212">
        <v>2.6346067185797652</v>
      </c>
    </row>
    <row r="104" spans="34:35">
      <c r="AH104" s="1214">
        <f t="shared" si="31"/>
        <v>57.9</v>
      </c>
      <c r="AI104" s="1212">
        <v>2.6106701853272916</v>
      </c>
    </row>
    <row r="105" spans="34:35">
      <c r="AH105" s="1214">
        <f t="shared" si="31"/>
        <v>60.9</v>
      </c>
      <c r="AI105" s="1212">
        <v>2.5867336520748188</v>
      </c>
    </row>
    <row r="106" spans="34:35">
      <c r="AH106" s="1214">
        <f t="shared" si="31"/>
        <v>63.9</v>
      </c>
      <c r="AI106" s="1212">
        <v>2.5627971188223451</v>
      </c>
    </row>
    <row r="107" spans="34:35">
      <c r="AH107" s="1214">
        <f t="shared" si="31"/>
        <v>66.900000000000006</v>
      </c>
      <c r="AI107" s="1212">
        <v>2.5388605855698718</v>
      </c>
    </row>
    <row r="108" spans="34:35">
      <c r="AH108" s="1214">
        <f t="shared" si="31"/>
        <v>69.900000000000006</v>
      </c>
      <c r="AI108" s="1212">
        <v>2.5149240523173981</v>
      </c>
    </row>
    <row r="109" spans="34:35">
      <c r="AH109" s="1214">
        <f t="shared" si="31"/>
        <v>72.900000000000006</v>
      </c>
      <c r="AI109" s="1212">
        <v>2.4909875190649249</v>
      </c>
    </row>
    <row r="65536" spans="26:26">
      <c r="Z65536" s="707"/>
    </row>
  </sheetData>
  <phoneticPr fontId="11" type="noConversion"/>
  <printOptions horizontalCentered="1" verticalCentered="1"/>
  <pageMargins left="0.5" right="0.5" top="0.5" bottom="0.5" header="0.51" footer="0.35"/>
  <pageSetup scale="59" orientation="landscape"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C00000"/>
    <pageSetUpPr fitToPage="1"/>
  </sheetPr>
  <dimension ref="A1:BT251"/>
  <sheetViews>
    <sheetView topLeftCell="AJ1" zoomScale="85" zoomScaleNormal="85" workbookViewId="0">
      <selection activeCell="AY23" sqref="AY23"/>
    </sheetView>
  </sheetViews>
  <sheetFormatPr defaultRowHeight="12.75" outlineLevelRow="3" outlineLevelCol="1"/>
  <cols>
    <col min="1" max="1" width="9.140625" style="17"/>
    <col min="2" max="2" width="1.5703125" style="17" customWidth="1"/>
    <col min="3" max="4" width="7.140625" style="17" hidden="1" customWidth="1" outlineLevel="1"/>
    <col min="5" max="5" width="6.85546875" style="17" hidden="1" customWidth="1" outlineLevel="1"/>
    <col min="6" max="6" width="2" style="17" hidden="1" customWidth="1" outlineLevel="1"/>
    <col min="7" max="8" width="7.140625" style="57" hidden="1" customWidth="1" outlineLevel="1"/>
    <col min="9" max="9" width="6.85546875" style="57" hidden="1" customWidth="1" outlineLevel="1"/>
    <col min="10" max="10" width="2" style="57" hidden="1" customWidth="1" outlineLevel="1"/>
    <col min="11" max="11" width="7.140625" style="57" hidden="1" customWidth="1" outlineLevel="1"/>
    <col min="12" max="12" width="7.140625" style="17" hidden="1" customWidth="1" outlineLevel="1"/>
    <col min="13" max="13" width="6.85546875" style="17" hidden="1" customWidth="1" outlineLevel="1"/>
    <col min="14" max="14" width="2" style="17" hidden="1" customWidth="1" outlineLevel="1"/>
    <col min="15" max="15" width="7.140625" style="57" hidden="1" customWidth="1" outlineLevel="1"/>
    <col min="16" max="16" width="7.140625" style="17" hidden="1" customWidth="1" outlineLevel="1"/>
    <col min="17" max="17" width="6.85546875" style="17" hidden="1" customWidth="1" outlineLevel="1"/>
    <col min="18" max="18" width="2" style="17" hidden="1" customWidth="1" outlineLevel="1"/>
    <col min="19" max="20" width="7.140625" style="17" hidden="1" customWidth="1" outlineLevel="1"/>
    <col min="21" max="21" width="6.85546875" style="17" hidden="1" customWidth="1" outlineLevel="1"/>
    <col min="22" max="22" width="2" style="17" hidden="1" customWidth="1" outlineLevel="1"/>
    <col min="23" max="23" width="7.140625" style="57" hidden="1" customWidth="1" outlineLevel="1"/>
    <col min="24" max="24" width="7.140625" style="17" hidden="1" customWidth="1" outlineLevel="1"/>
    <col min="25" max="25" width="6.85546875" style="17" hidden="1" customWidth="1" outlineLevel="1"/>
    <col min="26" max="26" width="2" style="17" hidden="1" customWidth="1" outlineLevel="1"/>
    <col min="27" max="27" width="7.140625" style="57" hidden="1" customWidth="1" outlineLevel="1"/>
    <col min="28" max="28" width="7.140625" style="17" hidden="1" customWidth="1" outlineLevel="1"/>
    <col min="29" max="29" width="6.85546875" style="17" hidden="1" customWidth="1" outlineLevel="1"/>
    <col min="30" max="30" width="2" style="17" hidden="1" customWidth="1" outlineLevel="1"/>
    <col min="31" max="32" width="7.140625" style="17" hidden="1" customWidth="1" outlineLevel="1"/>
    <col min="33" max="33" width="6.85546875" style="17" hidden="1" customWidth="1" outlineLevel="1"/>
    <col min="34" max="34" width="2" style="17" hidden="1" customWidth="1" outlineLevel="1"/>
    <col min="35" max="35" width="8.5703125" style="17" customWidth="1" collapsed="1"/>
    <col min="36" max="36" width="7.140625" style="17" customWidth="1"/>
    <col min="37" max="37" width="6.85546875" style="17" customWidth="1"/>
    <col min="38" max="38" width="2" style="17" customWidth="1"/>
    <col min="39" max="39" width="8.85546875" style="17" customWidth="1"/>
    <col min="40" max="40" width="7.140625" style="17" customWidth="1"/>
    <col min="41" max="41" width="6.85546875" style="17" customWidth="1"/>
    <col min="42" max="42" width="2" style="17" customWidth="1"/>
    <col min="43" max="43" width="9" style="17" customWidth="1"/>
    <col min="44" max="44" width="7.140625" style="17" customWidth="1"/>
    <col min="45" max="45" width="6.85546875" style="17" customWidth="1"/>
    <col min="46" max="46" width="2" style="17" customWidth="1"/>
    <col min="47" max="47" width="9" style="17" customWidth="1"/>
    <col min="48" max="48" width="7.140625" style="17" customWidth="1"/>
    <col min="49" max="49" width="7.28515625" style="17" customWidth="1"/>
    <col min="50" max="50" width="2" style="17" customWidth="1"/>
    <col min="51" max="51" width="8.42578125" style="17" customWidth="1"/>
    <col min="52" max="52" width="7.140625" style="17" customWidth="1"/>
    <col min="53" max="53" width="7.7109375" style="17" customWidth="1"/>
    <col min="54" max="54" width="2.42578125" style="17" customWidth="1"/>
    <col min="55" max="55" width="12.85546875" style="17" customWidth="1"/>
    <col min="56" max="56" width="7.140625" style="17" customWidth="1"/>
    <col min="57" max="57" width="7.7109375" style="17" customWidth="1"/>
    <col min="58" max="58" width="2.42578125" style="17" customWidth="1"/>
    <col min="59" max="59" width="8.7109375" style="17" bestFit="1" customWidth="1" outlineLevel="1"/>
    <col min="60" max="60" width="8.28515625" style="17" customWidth="1" outlineLevel="1"/>
    <col min="61" max="61" width="7.140625" style="17" customWidth="1" outlineLevel="1"/>
    <col min="62" max="62" width="7.7109375" style="17" customWidth="1" outlineLevel="1"/>
    <col min="63" max="63" width="2.42578125" style="17" customWidth="1" outlineLevel="1"/>
    <col min="64" max="64" width="2.85546875" style="17" customWidth="1"/>
    <col min="65" max="65" width="12.42578125" style="17" customWidth="1"/>
    <col min="66" max="16384" width="9.140625" style="17"/>
  </cols>
  <sheetData>
    <row r="1" spans="1:72">
      <c r="A1" s="1" t="s">
        <v>441</v>
      </c>
    </row>
    <row r="2" spans="1:72" s="18" customFormat="1">
      <c r="A2" s="2" t="s">
        <v>86</v>
      </c>
      <c r="G2" s="561"/>
      <c r="H2" s="561"/>
      <c r="I2" s="561"/>
      <c r="J2" s="561"/>
      <c r="K2" s="561"/>
      <c r="O2" s="561"/>
      <c r="W2" s="561"/>
      <c r="AA2" s="561"/>
    </row>
    <row r="3" spans="1:72">
      <c r="A3" s="418" t="s">
        <v>91</v>
      </c>
    </row>
    <row r="4" spans="1:72" ht="21" customHeight="1">
      <c r="A4" s="418" t="s">
        <v>92</v>
      </c>
      <c r="AI4" s="1"/>
      <c r="AM4" s="64" t="s">
        <v>344</v>
      </c>
      <c r="AU4" s="562"/>
    </row>
    <row r="5" spans="1:72" ht="6" customHeight="1"/>
    <row r="6" spans="1:72">
      <c r="A6" s="70"/>
      <c r="B6" s="70"/>
      <c r="C6" s="70" t="s">
        <v>309</v>
      </c>
      <c r="D6" s="70"/>
      <c r="E6" s="70"/>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80"/>
      <c r="AI6" s="80" t="s">
        <v>308</v>
      </c>
      <c r="AJ6" s="80"/>
      <c r="AK6" s="80"/>
      <c r="AL6" s="563"/>
      <c r="AM6" s="80"/>
      <c r="AN6" s="80"/>
      <c r="AO6" s="80"/>
      <c r="AP6" s="563"/>
      <c r="AQ6" s="80"/>
      <c r="AR6" s="80"/>
      <c r="AS6" s="80"/>
      <c r="AT6" s="563"/>
      <c r="AU6" s="80"/>
      <c r="AV6" s="80"/>
      <c r="AW6" s="564"/>
      <c r="AX6" s="512"/>
      <c r="AY6" s="564"/>
      <c r="AZ6" s="564"/>
      <c r="BA6" s="564"/>
      <c r="BC6" s="564"/>
      <c r="BD6" s="564"/>
      <c r="BE6" s="564"/>
      <c r="BG6" s="564"/>
      <c r="BH6" s="564"/>
      <c r="BI6" s="564"/>
      <c r="BJ6" s="564"/>
    </row>
    <row r="7" spans="1:72">
      <c r="A7" s="79"/>
      <c r="B7" s="79"/>
      <c r="C7" s="70" t="s">
        <v>254</v>
      </c>
      <c r="D7" s="70"/>
      <c r="E7" s="70"/>
      <c r="F7" s="79"/>
      <c r="G7" s="70" t="s">
        <v>255</v>
      </c>
      <c r="H7" s="70"/>
      <c r="I7" s="70"/>
      <c r="J7" s="79"/>
      <c r="K7" s="70" t="s">
        <v>166</v>
      </c>
      <c r="L7" s="70"/>
      <c r="M7" s="70"/>
      <c r="N7" s="79"/>
      <c r="O7" s="70" t="s">
        <v>96</v>
      </c>
      <c r="P7" s="70"/>
      <c r="Q7" s="70"/>
      <c r="R7" s="79"/>
      <c r="S7" s="70" t="s">
        <v>95</v>
      </c>
      <c r="T7" s="70"/>
      <c r="U7" s="70"/>
      <c r="V7" s="79"/>
      <c r="W7" s="70" t="s">
        <v>94</v>
      </c>
      <c r="X7" s="70"/>
      <c r="Y7" s="70"/>
      <c r="Z7" s="79"/>
      <c r="AA7" s="70" t="s">
        <v>93</v>
      </c>
      <c r="AB7" s="70"/>
      <c r="AC7" s="70"/>
      <c r="AD7" s="79"/>
      <c r="AE7" s="70" t="s">
        <v>83</v>
      </c>
      <c r="AF7" s="70"/>
      <c r="AG7" s="70"/>
      <c r="AH7" s="57"/>
      <c r="AI7" s="80" t="s">
        <v>261</v>
      </c>
      <c r="AJ7" s="80"/>
      <c r="AK7" s="80"/>
      <c r="AL7" s="57"/>
      <c r="AM7" s="80" t="s">
        <v>84</v>
      </c>
      <c r="AN7" s="80"/>
      <c r="AO7" s="80"/>
      <c r="AP7" s="57"/>
      <c r="AQ7" s="80" t="s">
        <v>242</v>
      </c>
      <c r="AR7" s="80"/>
      <c r="AS7" s="80"/>
      <c r="AT7" s="57"/>
      <c r="AU7" s="80" t="s">
        <v>395</v>
      </c>
      <c r="AV7" s="80"/>
      <c r="AW7" s="564"/>
      <c r="AY7" s="80" t="s">
        <v>611</v>
      </c>
      <c r="AZ7" s="564"/>
      <c r="BA7" s="564"/>
      <c r="BC7" s="80" t="s">
        <v>626</v>
      </c>
      <c r="BD7" s="564"/>
      <c r="BE7" s="564"/>
      <c r="BG7" s="564" t="s">
        <v>38</v>
      </c>
      <c r="BH7" s="564"/>
      <c r="BI7" s="564"/>
      <c r="BJ7" s="564"/>
    </row>
    <row r="8" spans="1:72">
      <c r="A8" s="79"/>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row>
    <row r="9" spans="1:72" outlineLevel="2">
      <c r="A9" s="565" t="s">
        <v>363</v>
      </c>
      <c r="B9" s="566"/>
      <c r="C9" s="566"/>
      <c r="D9" s="566"/>
      <c r="E9" s="566"/>
      <c r="F9" s="566"/>
      <c r="G9" s="566"/>
      <c r="H9" s="566"/>
      <c r="I9" s="566"/>
      <c r="J9" s="566"/>
      <c r="K9" s="566"/>
      <c r="L9" s="566"/>
      <c r="M9" s="566"/>
      <c r="N9" s="566"/>
      <c r="O9" s="566"/>
      <c r="P9" s="566"/>
      <c r="Q9" s="566"/>
      <c r="R9" s="566"/>
      <c r="S9" s="566"/>
      <c r="T9" s="566"/>
      <c r="U9" s="566"/>
      <c r="V9" s="566"/>
      <c r="W9" s="566"/>
      <c r="X9" s="566"/>
      <c r="Y9" s="566"/>
      <c r="Z9" s="566"/>
      <c r="AA9" s="566"/>
      <c r="AB9" s="566"/>
      <c r="AC9" s="566"/>
      <c r="AD9" s="566"/>
      <c r="AE9" s="566"/>
      <c r="AF9" s="566"/>
      <c r="AG9" s="566"/>
      <c r="AH9" s="420"/>
      <c r="AI9" s="420"/>
      <c r="AJ9" s="420"/>
      <c r="AK9" s="420"/>
      <c r="AL9" s="420"/>
      <c r="AM9" s="420"/>
      <c r="AN9" s="420"/>
      <c r="AO9" s="420"/>
      <c r="AP9" s="420"/>
      <c r="AQ9" s="420"/>
      <c r="AR9" s="420"/>
      <c r="AS9" s="420"/>
      <c r="AT9" s="420"/>
      <c r="AU9" s="420"/>
      <c r="AV9" s="420"/>
      <c r="AW9" s="420"/>
      <c r="AX9" s="420"/>
      <c r="AY9" s="420"/>
      <c r="AZ9" s="420"/>
      <c r="BA9" s="420"/>
      <c r="BC9" s="420"/>
      <c r="BD9" s="420"/>
      <c r="BE9" s="420"/>
      <c r="BG9" s="420"/>
      <c r="BH9" s="420"/>
      <c r="BI9" s="420"/>
      <c r="BJ9" s="420"/>
      <c r="BM9" s="17" t="s">
        <v>345</v>
      </c>
      <c r="BS9" s="17" t="s">
        <v>246</v>
      </c>
    </row>
    <row r="10" spans="1:72" outlineLevel="1">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79"/>
      <c r="AG10" s="79"/>
      <c r="AK10" s="567"/>
      <c r="AS10" s="568"/>
      <c r="AU10" s="559"/>
      <c r="AY10" s="559"/>
      <c r="BC10" s="559"/>
      <c r="BG10" s="559"/>
      <c r="BH10" s="559"/>
      <c r="BM10" s="554">
        <v>2010</v>
      </c>
      <c r="BN10" s="554">
        <v>2011</v>
      </c>
      <c r="BO10" s="554">
        <v>2012</v>
      </c>
      <c r="BP10" s="554">
        <v>2013</v>
      </c>
      <c r="BQ10" s="554" t="s">
        <v>37</v>
      </c>
      <c r="BR10" s="554"/>
      <c r="BS10" s="554">
        <v>2013</v>
      </c>
      <c r="BT10" s="554" t="s">
        <v>37</v>
      </c>
    </row>
    <row r="11" spans="1:72" outlineLevel="1">
      <c r="A11" s="569" t="s">
        <v>79</v>
      </c>
      <c r="B11" s="79"/>
      <c r="C11" s="570">
        <v>456.27600000000001</v>
      </c>
      <c r="D11" s="571" t="s">
        <v>90</v>
      </c>
      <c r="E11" s="572">
        <v>3</v>
      </c>
      <c r="F11" s="79"/>
      <c r="G11" s="570">
        <v>512.31500000000005</v>
      </c>
      <c r="H11" s="573">
        <f t="shared" ref="H11:H17" si="0">(G11/C11-1)*100</f>
        <v>12.281820652412145</v>
      </c>
      <c r="I11" s="572">
        <v>1.7</v>
      </c>
      <c r="J11" s="79"/>
      <c r="K11" s="570">
        <v>531.52099999999996</v>
      </c>
      <c r="L11" s="573">
        <f t="shared" ref="L11:L17" si="1">(K11/G11-1)*100</f>
        <v>3.7488654441115044</v>
      </c>
      <c r="M11" s="572">
        <v>-1.6</v>
      </c>
      <c r="N11" s="79"/>
      <c r="O11" s="570">
        <v>580.55899999999997</v>
      </c>
      <c r="P11" s="573">
        <f t="shared" ref="P11:P17" si="2">(O11/K11-1)*100</f>
        <v>9.225976019762161</v>
      </c>
      <c r="Q11" s="572">
        <v>2.9</v>
      </c>
      <c r="R11" s="79"/>
      <c r="S11" s="570">
        <v>658.17200000000003</v>
      </c>
      <c r="T11" s="573">
        <f t="shared" ref="T11:T17" si="3">(S11/O11-1)*100</f>
        <v>13.368667094989494</v>
      </c>
      <c r="U11" s="572">
        <v>8.9</v>
      </c>
      <c r="V11" s="79"/>
      <c r="W11" s="570">
        <v>664.26599999999996</v>
      </c>
      <c r="X11" s="573">
        <f t="shared" ref="X11:X17" si="4">(W11/S11-1)*100</f>
        <v>0.92589778963552138</v>
      </c>
      <c r="Y11" s="572">
        <v>-0.7</v>
      </c>
      <c r="Z11" s="79"/>
      <c r="AA11" s="570">
        <v>685.54700000000003</v>
      </c>
      <c r="AB11" s="573">
        <f t="shared" ref="AB11:AB17" si="5">(AA11/W11-1)*100</f>
        <v>3.20368647499647</v>
      </c>
      <c r="AC11" s="572">
        <v>-2</v>
      </c>
      <c r="AD11" s="79"/>
      <c r="AE11" s="570">
        <v>713.42499999999995</v>
      </c>
      <c r="AF11" s="573">
        <f t="shared" ref="AF11:AF17" si="6">(AE11/AA11-1)*100</f>
        <v>4.0665337314582217</v>
      </c>
      <c r="AG11" s="572">
        <v>0.2</v>
      </c>
      <c r="AI11" s="574">
        <v>830.04300000000001</v>
      </c>
      <c r="AJ11" s="575" t="s">
        <v>90</v>
      </c>
      <c r="AK11" s="576">
        <v>-2</v>
      </c>
      <c r="AM11" s="574">
        <v>894.678</v>
      </c>
      <c r="AN11" s="577">
        <f t="shared" ref="AN11:AN17" si="7">(AM11/AI11-1)*100</f>
        <v>7.7869459774975391</v>
      </c>
      <c r="AO11" s="568">
        <v>3.3</v>
      </c>
      <c r="AQ11" s="574">
        <v>929.08100000000002</v>
      </c>
      <c r="AR11" s="577">
        <f t="shared" ref="AR11:AR17" si="8">(AQ11/AM11-1)*100</f>
        <v>3.8452940611035435</v>
      </c>
      <c r="AS11" s="568">
        <v>0.5</v>
      </c>
      <c r="AU11" s="574">
        <v>982.42179069000099</v>
      </c>
      <c r="AV11" s="577">
        <f t="shared" ref="AV11:AV17" si="9">(AU11/AQ11-1)*100</f>
        <v>5.7412422264582874</v>
      </c>
      <c r="AW11" s="568">
        <v>0.6</v>
      </c>
      <c r="AY11" s="574">
        <v>1065.013407760001</v>
      </c>
      <c r="AZ11" s="577">
        <f t="shared" ref="AZ11:AZ17" si="10">(AY11/AU11-1)*100</f>
        <v>8.4069406697496074</v>
      </c>
      <c r="BA11" s="568">
        <v>3.4</v>
      </c>
      <c r="BB11" s="578"/>
      <c r="BC11" s="822">
        <v>1128.269</v>
      </c>
      <c r="BD11" s="577">
        <f t="shared" ref="BD11:BD17" si="11">(BC11/AY11-1)*100</f>
        <v>5.9394174551325118</v>
      </c>
      <c r="BE11" s="823">
        <v>2.7</v>
      </c>
      <c r="BF11" s="578"/>
      <c r="BG11" s="822">
        <v>1183.059</v>
      </c>
      <c r="BH11" s="822"/>
      <c r="BI11" s="577">
        <f t="shared" ref="BI11:BI17" si="12">(BG11/BC11-1)*100</f>
        <v>4.8561114415090589</v>
      </c>
      <c r="BJ11" s="823">
        <v>0.8</v>
      </c>
      <c r="BK11" s="578"/>
      <c r="BM11" s="580">
        <f>AVERAGE(AK11,AO11)</f>
        <v>0.64999999999999991</v>
      </c>
      <c r="BN11" s="580">
        <f>AVERAGE(AO11,AS11)</f>
        <v>1.9</v>
      </c>
      <c r="BO11" s="580">
        <f>AVERAGE(AS11,AW11)</f>
        <v>0.55000000000000004</v>
      </c>
      <c r="BP11" s="580">
        <f>AVERAGE(AW11,BA11)</f>
        <v>2</v>
      </c>
      <c r="BQ11" s="580">
        <f>AVERAGE(BA11,BE11)</f>
        <v>3.05</v>
      </c>
      <c r="BR11" s="580"/>
      <c r="BS11" s="580">
        <f>BA11+AW11+AS11</f>
        <v>4.5</v>
      </c>
      <c r="BT11" s="580">
        <f>BE11+BA11+AW11</f>
        <v>6.6999999999999993</v>
      </c>
    </row>
    <row r="12" spans="1:72" outlineLevel="1">
      <c r="A12" s="569" t="s">
        <v>80</v>
      </c>
      <c r="B12" s="79"/>
      <c r="C12" s="581">
        <v>750.52200000000005</v>
      </c>
      <c r="D12" s="571" t="s">
        <v>90</v>
      </c>
      <c r="E12" s="572">
        <v>-5.9</v>
      </c>
      <c r="F12" s="79"/>
      <c r="G12" s="581">
        <v>790.79100000000005</v>
      </c>
      <c r="H12" s="573">
        <f t="shared" si="0"/>
        <v>5.3654656359173991</v>
      </c>
      <c r="I12" s="572">
        <v>-1.3</v>
      </c>
      <c r="J12" s="79"/>
      <c r="K12" s="581">
        <v>794.06500000000005</v>
      </c>
      <c r="L12" s="573">
        <f t="shared" si="1"/>
        <v>0.41401583983631252</v>
      </c>
      <c r="M12" s="572">
        <v>-5.9</v>
      </c>
      <c r="N12" s="79"/>
      <c r="O12" s="581">
        <v>879.96600000000001</v>
      </c>
      <c r="P12" s="573">
        <f t="shared" si="2"/>
        <v>10.817880148350568</v>
      </c>
      <c r="Q12" s="572">
        <v>4.8</v>
      </c>
      <c r="R12" s="79"/>
      <c r="S12" s="581">
        <v>953.92600000000004</v>
      </c>
      <c r="T12" s="573">
        <f t="shared" si="3"/>
        <v>8.4048701881663579</v>
      </c>
      <c r="U12" s="572">
        <v>5.3</v>
      </c>
      <c r="V12" s="79"/>
      <c r="W12" s="581">
        <v>996.90099999999995</v>
      </c>
      <c r="X12" s="573">
        <f t="shared" si="4"/>
        <v>4.5050664307294097</v>
      </c>
      <c r="Y12" s="572">
        <v>-2.4</v>
      </c>
      <c r="Z12" s="79"/>
      <c r="AA12" s="581">
        <v>955.65099999999995</v>
      </c>
      <c r="AB12" s="573">
        <f t="shared" si="5"/>
        <v>-4.1378231138297643</v>
      </c>
      <c r="AC12" s="572">
        <v>-8</v>
      </c>
      <c r="AD12" s="79"/>
      <c r="AE12" s="581">
        <v>1010.292</v>
      </c>
      <c r="AF12" s="573">
        <f t="shared" si="6"/>
        <v>5.7176730835838629</v>
      </c>
      <c r="AG12" s="572">
        <v>-2.1</v>
      </c>
      <c r="AI12" s="582">
        <v>700.97799999999995</v>
      </c>
      <c r="AJ12" s="575" t="s">
        <v>90</v>
      </c>
      <c r="AK12" s="576">
        <v>-7</v>
      </c>
      <c r="AM12" s="582">
        <v>728.75</v>
      </c>
      <c r="AN12" s="577">
        <f t="shared" si="7"/>
        <v>3.9618932405867335</v>
      </c>
      <c r="AO12" s="568">
        <v>0.3</v>
      </c>
      <c r="AQ12" s="582">
        <v>793.34899999999993</v>
      </c>
      <c r="AR12" s="577">
        <f t="shared" si="8"/>
        <v>8.864356775300152</v>
      </c>
      <c r="AS12" s="568">
        <v>4</v>
      </c>
      <c r="AU12" s="582">
        <v>864.18122197000105</v>
      </c>
      <c r="AV12" s="577">
        <f t="shared" si="9"/>
        <v>8.928255026476517</v>
      </c>
      <c r="AW12" s="568">
        <v>2.9</v>
      </c>
      <c r="AY12" s="582">
        <v>963.57063096291608</v>
      </c>
      <c r="AZ12" s="577">
        <f t="shared" si="10"/>
        <v>11.500991512676627</v>
      </c>
      <c r="BA12" s="568">
        <v>7.8</v>
      </c>
      <c r="BB12" s="578"/>
      <c r="BC12" s="583">
        <v>1043.5809999999999</v>
      </c>
      <c r="BD12" s="577">
        <f t="shared" si="11"/>
        <v>8.3035292345022818</v>
      </c>
      <c r="BE12" s="823">
        <v>4.7</v>
      </c>
      <c r="BF12" s="578"/>
      <c r="BG12" s="1192">
        <v>1144.2180000000001</v>
      </c>
      <c r="BH12" s="1192"/>
      <c r="BI12" s="577">
        <f t="shared" si="12"/>
        <v>9.6434296906517289</v>
      </c>
      <c r="BJ12" s="823">
        <v>5.6</v>
      </c>
      <c r="BK12" s="578"/>
      <c r="BM12" s="580">
        <f>AVERAGE(AK12,AO12)</f>
        <v>-3.35</v>
      </c>
      <c r="BN12" s="580">
        <f>AVERAGE(AO12,AS12)</f>
        <v>2.15</v>
      </c>
      <c r="BO12" s="580">
        <f>AVERAGE(AS12,AW12)</f>
        <v>3.45</v>
      </c>
      <c r="BP12" s="580">
        <f>AVERAGE(AW12,BA12)</f>
        <v>5.35</v>
      </c>
      <c r="BQ12" s="580">
        <f>AVERAGE(BA12,BE12)</f>
        <v>6.25</v>
      </c>
      <c r="BR12" s="580"/>
      <c r="BS12" s="580">
        <f>BA12+AW12+AS12</f>
        <v>14.7</v>
      </c>
      <c r="BT12" s="580">
        <f>BE12+BA12+AW12</f>
        <v>15.4</v>
      </c>
    </row>
    <row r="13" spans="1:72" outlineLevel="1">
      <c r="A13" s="569" t="s">
        <v>81</v>
      </c>
      <c r="B13" s="79"/>
      <c r="C13" s="581">
        <v>787.54899999999998</v>
      </c>
      <c r="D13" s="571" t="s">
        <v>90</v>
      </c>
      <c r="E13" s="572">
        <v>-0.4</v>
      </c>
      <c r="F13" s="79"/>
      <c r="G13" s="581">
        <v>807.65</v>
      </c>
      <c r="H13" s="573">
        <f t="shared" si="0"/>
        <v>2.5523491236735696</v>
      </c>
      <c r="I13" s="572">
        <v>-2.5</v>
      </c>
      <c r="J13" s="79"/>
      <c r="K13" s="581">
        <v>857.77599999999995</v>
      </c>
      <c r="L13" s="573">
        <f t="shared" si="1"/>
        <v>6.2064012876865027</v>
      </c>
      <c r="M13" s="572">
        <v>1.7</v>
      </c>
      <c r="N13" s="79"/>
      <c r="O13" s="581">
        <v>975.62099999999998</v>
      </c>
      <c r="P13" s="573">
        <f t="shared" si="2"/>
        <v>13.738435209192158</v>
      </c>
      <c r="Q13" s="572">
        <v>8.4</v>
      </c>
      <c r="R13" s="79"/>
      <c r="S13" s="581">
        <v>1032.03</v>
      </c>
      <c r="T13" s="573">
        <f t="shared" si="3"/>
        <v>5.7818558641111739</v>
      </c>
      <c r="U13" s="572">
        <v>3.5</v>
      </c>
      <c r="V13" s="79"/>
      <c r="W13" s="581">
        <v>998.11800000000005</v>
      </c>
      <c r="X13" s="573">
        <f t="shared" si="4"/>
        <v>-3.2859509897968042</v>
      </c>
      <c r="Y13" s="572">
        <v>-2.6</v>
      </c>
      <c r="Z13" s="79"/>
      <c r="AA13" s="581">
        <v>995.21600000000001</v>
      </c>
      <c r="AB13" s="573">
        <f t="shared" si="5"/>
        <v>-0.29074718620444306</v>
      </c>
      <c r="AC13" s="572">
        <v>-6</v>
      </c>
      <c r="AD13" s="79"/>
      <c r="AE13" s="581">
        <v>1029.375</v>
      </c>
      <c r="AF13" s="573">
        <f t="shared" si="6"/>
        <v>3.4323202199321612</v>
      </c>
      <c r="AG13" s="572">
        <v>-4.3</v>
      </c>
      <c r="AI13" s="582">
        <v>872.37399999999991</v>
      </c>
      <c r="AJ13" s="575" t="s">
        <v>90</v>
      </c>
      <c r="AK13" s="576">
        <v>0</v>
      </c>
      <c r="AM13" s="582">
        <v>858.18599999999992</v>
      </c>
      <c r="AN13" s="577">
        <f t="shared" si="7"/>
        <v>-1.6263666730095161</v>
      </c>
      <c r="AO13" s="568">
        <v>-5.6</v>
      </c>
      <c r="AQ13" s="582">
        <v>898.66300000000001</v>
      </c>
      <c r="AR13" s="577">
        <f t="shared" si="8"/>
        <v>4.716576592953059</v>
      </c>
      <c r="AS13" s="568">
        <v>1.5</v>
      </c>
      <c r="AU13" s="582">
        <v>967.89383003000194</v>
      </c>
      <c r="AV13" s="577">
        <f t="shared" si="9"/>
        <v>7.7037588094760689</v>
      </c>
      <c r="AW13" s="568">
        <v>2.1</v>
      </c>
      <c r="AY13" s="582">
        <v>1064.502</v>
      </c>
      <c r="AZ13" s="577">
        <f t="shared" si="10"/>
        <v>9.9812775918825203</v>
      </c>
      <c r="BA13" s="568">
        <v>3.9</v>
      </c>
      <c r="BB13" s="578"/>
      <c r="BC13" s="583">
        <v>1157.2919999999999</v>
      </c>
      <c r="BD13" s="577">
        <f t="shared" si="11"/>
        <v>8.7167520587091438</v>
      </c>
      <c r="BE13" s="584">
        <v>5.2</v>
      </c>
      <c r="BF13" s="578"/>
      <c r="BG13" s="562">
        <f>qtrSales!$S113</f>
        <v>1230.886</v>
      </c>
      <c r="BH13" s="562"/>
      <c r="BI13" s="577">
        <f t="shared" si="12"/>
        <v>6.3591556841315899</v>
      </c>
      <c r="BJ13" s="579">
        <f>+qtrSales!$E113</f>
        <v>2.8</v>
      </c>
      <c r="BK13" s="578"/>
      <c r="BM13" s="580">
        <f>AVERAGE(AK13,AO13)</f>
        <v>-2.8</v>
      </c>
      <c r="BN13" s="580">
        <f>AVERAGE(AO13,AS13)</f>
        <v>-2.0499999999999998</v>
      </c>
      <c r="BO13" s="580">
        <f>AVERAGE(AS13,AW13)</f>
        <v>1.8</v>
      </c>
      <c r="BP13" s="580">
        <f>AVERAGE(AW13,BA13)</f>
        <v>3</v>
      </c>
      <c r="BQ13" s="580">
        <f>AVERAGE(BA13,BE13)</f>
        <v>4.55</v>
      </c>
      <c r="BR13" s="580"/>
      <c r="BS13" s="580">
        <f>BA13+AW13+AS13</f>
        <v>7.5</v>
      </c>
      <c r="BT13" s="580">
        <f>BE13+BA13+AW13</f>
        <v>11.2</v>
      </c>
    </row>
    <row r="14" spans="1:72" outlineLevel="1">
      <c r="A14" s="569" t="s">
        <v>82</v>
      </c>
      <c r="B14" s="79"/>
      <c r="C14" s="585">
        <v>608.79100000000005</v>
      </c>
      <c r="D14" s="571" t="s">
        <v>90</v>
      </c>
      <c r="E14" s="572">
        <v>5</v>
      </c>
      <c r="F14" s="79"/>
      <c r="G14" s="585">
        <v>609.39800000000002</v>
      </c>
      <c r="H14" s="573">
        <f t="shared" si="0"/>
        <v>9.9705810368422298E-2</v>
      </c>
      <c r="I14" s="572">
        <v>-4.0999999999999996</v>
      </c>
      <c r="J14" s="79"/>
      <c r="K14" s="585">
        <v>684.82</v>
      </c>
      <c r="L14" s="573">
        <f t="shared" si="1"/>
        <v>12.376476457093721</v>
      </c>
      <c r="M14" s="572">
        <v>3.9</v>
      </c>
      <c r="N14" s="79"/>
      <c r="O14" s="585">
        <v>763.69399999999996</v>
      </c>
      <c r="P14" s="573">
        <f t="shared" si="2"/>
        <v>11.517479045588619</v>
      </c>
      <c r="Q14" s="572">
        <v>7.9</v>
      </c>
      <c r="R14" s="79"/>
      <c r="S14" s="586">
        <f>S15-SUM(S11:S13)</f>
        <v>826.42600000000039</v>
      </c>
      <c r="T14" s="573">
        <f t="shared" si="3"/>
        <v>8.214284778982206</v>
      </c>
      <c r="U14" s="572">
        <v>0.6</v>
      </c>
      <c r="V14" s="79"/>
      <c r="W14" s="585">
        <f>W15-SUM(W11:W13)</f>
        <v>782.36000000000013</v>
      </c>
      <c r="X14" s="573">
        <f t="shared" si="4"/>
        <v>-5.3321168501475285</v>
      </c>
      <c r="Y14" s="572">
        <v>-2.9</v>
      </c>
      <c r="Z14" s="79"/>
      <c r="AA14" s="585">
        <f>AA15-SUM(AA11:AA13)</f>
        <v>787.5590000000002</v>
      </c>
      <c r="AB14" s="573">
        <f t="shared" si="5"/>
        <v>0.66452783884658473</v>
      </c>
      <c r="AC14" s="572">
        <v>-3.1</v>
      </c>
      <c r="AD14" s="79"/>
      <c r="AE14" s="586">
        <f>AE15-SUM(AE11:AE13)</f>
        <v>818.27500000000009</v>
      </c>
      <c r="AF14" s="573">
        <f t="shared" si="6"/>
        <v>3.9001522425621271</v>
      </c>
      <c r="AG14" s="572">
        <v>-3.1</v>
      </c>
      <c r="AI14" s="557">
        <f>AI15-SUM(AI11:AI13)</f>
        <v>1119.5189999999998</v>
      </c>
      <c r="AJ14" s="575" t="s">
        <v>90</v>
      </c>
      <c r="AK14" s="576">
        <v>-7</v>
      </c>
      <c r="AM14" s="557">
        <f>AM15-SUM(AM11:AM13)</f>
        <v>1187.9880000000003</v>
      </c>
      <c r="AN14" s="577">
        <f t="shared" si="7"/>
        <v>6.115930144999826</v>
      </c>
      <c r="AO14" s="568">
        <v>1.2</v>
      </c>
      <c r="AQ14" s="557">
        <f>AQ15-SUM(AQ11:AQ13)</f>
        <v>1233.0410000000002</v>
      </c>
      <c r="AR14" s="577">
        <f t="shared" si="8"/>
        <v>3.7923783741923289</v>
      </c>
      <c r="AS14" s="568">
        <v>-1.7</v>
      </c>
      <c r="AU14" s="557">
        <f>AU15-SUM(AU11:AU13)</f>
        <v>1262.5373283800009</v>
      </c>
      <c r="AV14" s="577">
        <f t="shared" si="9"/>
        <v>2.3921611998303893</v>
      </c>
      <c r="AW14" s="568">
        <v>-0.3</v>
      </c>
      <c r="AY14" s="587">
        <v>1334.277</v>
      </c>
      <c r="AZ14" s="577">
        <f t="shared" si="10"/>
        <v>5.6821822220536333</v>
      </c>
      <c r="BA14" s="568">
        <v>4</v>
      </c>
      <c r="BB14" s="578"/>
      <c r="BC14" s="818">
        <v>1485.3620000000001</v>
      </c>
      <c r="BD14" s="577">
        <f t="shared" si="11"/>
        <v>11.32336089132917</v>
      </c>
      <c r="BE14" s="584">
        <v>6.7</v>
      </c>
      <c r="BF14" s="578"/>
      <c r="BG14" s="588">
        <f>qtrSales!$S114</f>
        <v>1540.769</v>
      </c>
      <c r="BH14" s="761"/>
      <c r="BI14" s="577">
        <f t="shared" si="12"/>
        <v>3.7302017959258471</v>
      </c>
      <c r="BJ14" s="579">
        <f>+qtrSales!$E114</f>
        <v>0.1</v>
      </c>
      <c r="BK14" s="578"/>
      <c r="BM14" s="589">
        <f>AVERAGE(AK14,AO14)</f>
        <v>-2.9</v>
      </c>
      <c r="BN14" s="589">
        <f>AVERAGE(AO14,AS14)</f>
        <v>-0.25</v>
      </c>
      <c r="BO14" s="589">
        <f>AVERAGE(AS14,AW14)</f>
        <v>-1</v>
      </c>
      <c r="BP14" s="589">
        <f>AVERAGE(AW14,BA14)</f>
        <v>1.85</v>
      </c>
      <c r="BQ14" s="589">
        <f>AVERAGE(BA14,BE14)</f>
        <v>5.35</v>
      </c>
      <c r="BR14" s="589"/>
      <c r="BS14" s="589">
        <f>BA14+AW14+AS14</f>
        <v>2</v>
      </c>
      <c r="BT14" s="589">
        <f>BE14+BA14+AW14</f>
        <v>10.399999999999999</v>
      </c>
    </row>
    <row r="15" spans="1:72" ht="12" customHeight="1" outlineLevel="1">
      <c r="A15" s="569" t="s">
        <v>85</v>
      </c>
      <c r="B15" s="79"/>
      <c r="C15" s="590">
        <f>'yrP&amp;L'!D8</f>
        <v>2553.7570000000001</v>
      </c>
      <c r="D15" s="571" t="s">
        <v>90</v>
      </c>
      <c r="E15" s="572">
        <v>-0.3</v>
      </c>
      <c r="F15" s="79"/>
      <c r="G15" s="590">
        <f>'yrP&amp;L'!E8</f>
        <v>2678.1280000000002</v>
      </c>
      <c r="H15" s="573">
        <f t="shared" si="0"/>
        <v>4.8701188092680647</v>
      </c>
      <c r="I15" s="572">
        <v>-1.7</v>
      </c>
      <c r="J15" s="79"/>
      <c r="K15" s="590">
        <f>'yrP&amp;L'!F8</f>
        <v>2859.96</v>
      </c>
      <c r="L15" s="573">
        <f t="shared" si="1"/>
        <v>6.7895186488472481</v>
      </c>
      <c r="M15" s="572">
        <v>-0.3</v>
      </c>
      <c r="N15" s="79"/>
      <c r="O15" s="590">
        <f>'yrP&amp;L'!G8</f>
        <v>3199.84</v>
      </c>
      <c r="P15" s="573">
        <f t="shared" si="2"/>
        <v>11.884082294857269</v>
      </c>
      <c r="Q15" s="572">
        <v>6.3</v>
      </c>
      <c r="R15" s="79"/>
      <c r="S15" s="590">
        <f>'yrP&amp;L'!H8</f>
        <v>3470.5540000000001</v>
      </c>
      <c r="T15" s="573">
        <f t="shared" si="3"/>
        <v>8.4602355117755934</v>
      </c>
      <c r="U15" s="572">
        <v>4.3</v>
      </c>
      <c r="V15" s="79"/>
      <c r="W15" s="590">
        <f>'yrP&amp;L'!I8</f>
        <v>3441.645</v>
      </c>
      <c r="X15" s="573">
        <f t="shared" si="4"/>
        <v>-0.83297940328835862</v>
      </c>
      <c r="Y15" s="572">
        <v>-2.2000000000000002</v>
      </c>
      <c r="Z15" s="79"/>
      <c r="AA15" s="590">
        <f>'yrP&amp;L'!J8</f>
        <v>3423.973</v>
      </c>
      <c r="AB15" s="573">
        <f t="shared" si="5"/>
        <v>-0.5134753874963871</v>
      </c>
      <c r="AC15" s="572">
        <v>-5.2</v>
      </c>
      <c r="AD15" s="590"/>
      <c r="AE15" s="590">
        <f>'yrP&amp;L'!K8</f>
        <v>3571.3670000000002</v>
      </c>
      <c r="AF15" s="573">
        <f t="shared" si="6"/>
        <v>4.3047652536979841</v>
      </c>
      <c r="AG15" s="572">
        <v>-2.5</v>
      </c>
      <c r="AI15" s="574">
        <v>3522.9139999999998</v>
      </c>
      <c r="AJ15" s="575" t="s">
        <v>90</v>
      </c>
      <c r="AK15" s="576">
        <v>-4</v>
      </c>
      <c r="AM15" s="574">
        <v>3669.6019999999999</v>
      </c>
      <c r="AN15" s="577">
        <f t="shared" si="7"/>
        <v>4.1638257419851943</v>
      </c>
      <c r="AO15" s="568">
        <v>-0.2</v>
      </c>
      <c r="AQ15" s="574">
        <v>3854.134</v>
      </c>
      <c r="AR15" s="577">
        <f t="shared" si="8"/>
        <v>5.0286652339954108</v>
      </c>
      <c r="AS15" s="568">
        <v>0.7</v>
      </c>
      <c r="AU15" s="574">
        <v>4077.034171070005</v>
      </c>
      <c r="AV15" s="577">
        <f t="shared" si="9"/>
        <v>5.7834048081879086</v>
      </c>
      <c r="AW15" s="568">
        <v>1.2</v>
      </c>
      <c r="AY15" s="574">
        <v>4427.5029999999997</v>
      </c>
      <c r="AZ15" s="577">
        <f t="shared" si="10"/>
        <v>8.5961709964774471</v>
      </c>
      <c r="BA15" s="568">
        <v>4.7</v>
      </c>
      <c r="BC15" s="559">
        <f>SUM(BC11:BC14)</f>
        <v>4814.5039999999999</v>
      </c>
      <c r="BD15" s="577">
        <f t="shared" si="11"/>
        <v>8.7408410564600469</v>
      </c>
      <c r="BE15" s="584">
        <v>4.9000000000000004</v>
      </c>
      <c r="BG15" s="559">
        <f>SUM(BG11:BG14)</f>
        <v>5098.9319999999998</v>
      </c>
      <c r="BH15" s="559"/>
      <c r="BI15" s="577">
        <f t="shared" si="12"/>
        <v>5.9077321360621937</v>
      </c>
      <c r="BJ15" s="579">
        <f>+qtrSales!$E115</f>
        <v>2.1484157270581372</v>
      </c>
      <c r="BM15" s="580">
        <f>AVERAGE(AK15,AO15)</f>
        <v>-2.1</v>
      </c>
      <c r="BN15" s="580">
        <f>AVERAGE(AO15,AS15)</f>
        <v>0.24999999999999997</v>
      </c>
      <c r="BO15" s="580">
        <f>AVERAGE(AS15,AW15)</f>
        <v>0.95</v>
      </c>
      <c r="BP15" s="580">
        <f>AVERAGE(AW15,BA15)</f>
        <v>2.95</v>
      </c>
      <c r="BQ15" s="580">
        <f>AVERAGE(BA15,BE15)</f>
        <v>4.8000000000000007</v>
      </c>
      <c r="BR15" s="580"/>
      <c r="BS15" s="580">
        <f>BA15+AW15+AS15</f>
        <v>6.6000000000000005</v>
      </c>
      <c r="BT15" s="580">
        <f>BE15+BA15+AW15</f>
        <v>10.8</v>
      </c>
    </row>
    <row r="16" spans="1:72" outlineLevel="2">
      <c r="A16" s="569" t="s">
        <v>87</v>
      </c>
      <c r="B16" s="79"/>
      <c r="C16" s="591">
        <f>C11+C12</f>
        <v>1206.798</v>
      </c>
      <c r="D16" s="571" t="s">
        <v>90</v>
      </c>
      <c r="E16" s="592">
        <f>((C12/C16)*E12+(C11/C16)*E11)</f>
        <v>-2.5350156364196832</v>
      </c>
      <c r="F16" s="79"/>
      <c r="G16" s="591">
        <f>G11+G12</f>
        <v>1303.1060000000002</v>
      </c>
      <c r="H16" s="573">
        <f t="shared" si="0"/>
        <v>7.9804573756337094</v>
      </c>
      <c r="I16" s="592">
        <f>((G12/G16)*I12+(G11/G16)*I11)</f>
        <v>-0.12055258743340913</v>
      </c>
      <c r="J16" s="79"/>
      <c r="K16" s="591">
        <f>K11+K12</f>
        <v>1325.586</v>
      </c>
      <c r="L16" s="573">
        <f t="shared" si="1"/>
        <v>1.7251090855233464</v>
      </c>
      <c r="M16" s="592">
        <f>((K12/K16)*M12+(K11/K16)*M11)</f>
        <v>-4.1758264646729826</v>
      </c>
      <c r="N16" s="79"/>
      <c r="O16" s="591">
        <f>O11+O12</f>
        <v>1460.5250000000001</v>
      </c>
      <c r="P16" s="573">
        <f t="shared" si="2"/>
        <v>10.179573411306396</v>
      </c>
      <c r="Q16" s="592">
        <f>((O12/O16)*Q12+(O11/O16)*Q11)</f>
        <v>4.0447495934681017</v>
      </c>
      <c r="R16" s="79"/>
      <c r="S16" s="591">
        <f>S11+S12</f>
        <v>1612.098</v>
      </c>
      <c r="T16" s="573">
        <f t="shared" si="3"/>
        <v>10.377980520703156</v>
      </c>
      <c r="U16" s="592">
        <f>((S12/S16)*U12+(S11/S16)*U11)</f>
        <v>6.7697736738089134</v>
      </c>
      <c r="V16" s="79"/>
      <c r="W16" s="591">
        <f>W11+W12</f>
        <v>1661.1669999999999</v>
      </c>
      <c r="X16" s="573">
        <f t="shared" si="4"/>
        <v>3.0437975855065913</v>
      </c>
      <c r="Y16" s="592">
        <f>((W12/W16)*Y12+(W11/W16)*Y11)</f>
        <v>-1.720205494089396</v>
      </c>
      <c r="Z16" s="79"/>
      <c r="AA16" s="591">
        <f>AA11+AA12</f>
        <v>1641.1979999999999</v>
      </c>
      <c r="AB16" s="573">
        <f t="shared" si="5"/>
        <v>-1.2021067117273576</v>
      </c>
      <c r="AC16" s="592">
        <f>((AA12/AA16)*AC12+(AA11/AA16)*AC11)</f>
        <v>-5.4937320177090152</v>
      </c>
      <c r="AD16" s="79"/>
      <c r="AE16" s="591">
        <f>AE11+AE12</f>
        <v>1723.7170000000001</v>
      </c>
      <c r="AF16" s="573">
        <f t="shared" si="6"/>
        <v>5.0279734681616839</v>
      </c>
      <c r="AG16" s="592">
        <f>((AE12/AE16)*AG12+(AE11/AE16)*AG11)</f>
        <v>-1.1480586430371111</v>
      </c>
      <c r="AI16" s="556">
        <f>AI11+AI12</f>
        <v>1531.021</v>
      </c>
      <c r="AJ16" s="575" t="s">
        <v>90</v>
      </c>
      <c r="AK16" s="579">
        <v>-4.2905868378209551</v>
      </c>
      <c r="AM16" s="556">
        <f>AM11+AM12</f>
        <v>1623.4279999999999</v>
      </c>
      <c r="AN16" s="577">
        <f t="shared" si="7"/>
        <v>6.0356454940853066</v>
      </c>
      <c r="AO16" s="579">
        <f>((AM12/AM16)*AO12+(AM11/AM16)*AO11)</f>
        <v>1.9533126199622035</v>
      </c>
      <c r="AQ16" s="556">
        <f>AQ11+AQ12</f>
        <v>1722.4299999999998</v>
      </c>
      <c r="AR16" s="577">
        <f t="shared" si="8"/>
        <v>6.0983302000458206</v>
      </c>
      <c r="AS16" s="579">
        <f>((AQ12/AQ16)*AS12+(AQ11/AQ16)*AS11)</f>
        <v>2.1120954117148449</v>
      </c>
      <c r="AU16" s="556">
        <f>AU11+AU12</f>
        <v>1846.6030126600022</v>
      </c>
      <c r="AV16" s="577">
        <f t="shared" si="9"/>
        <v>7.2091761441685387</v>
      </c>
      <c r="AW16" s="579">
        <f>((AU12/AU16)*AW12+(AU11/AU16)*AW11)</f>
        <v>1.6763638946239299</v>
      </c>
      <c r="AY16" s="556">
        <f>AY11+AY12</f>
        <v>2028.5840387229171</v>
      </c>
      <c r="AZ16" s="577">
        <f t="shared" si="10"/>
        <v>9.8549078938614976</v>
      </c>
      <c r="BA16" s="579">
        <f>((AY12/AY16)*BA12+(AY11/AY16)*BA11)</f>
        <v>5.4899852780592298</v>
      </c>
      <c r="BC16" s="556">
        <f>BC11+BC12</f>
        <v>2171.85</v>
      </c>
      <c r="BD16" s="577">
        <f t="shared" si="11"/>
        <v>7.0623626402618767</v>
      </c>
      <c r="BE16" s="579">
        <f>((BC12/BC16)*BE12+(BC11/BC16)*BE11)</f>
        <v>3.6610065151829088</v>
      </c>
      <c r="BG16" s="556">
        <f>BG11+BG12</f>
        <v>2327.277</v>
      </c>
      <c r="BH16" s="556"/>
      <c r="BI16" s="577">
        <f t="shared" si="12"/>
        <v>7.1564334553491316</v>
      </c>
      <c r="BJ16" s="579">
        <f>((BG12/BG16)*BJ12+(BG11/BG16)*BJ11)</f>
        <v>3.1599452922879401</v>
      </c>
    </row>
    <row r="17" spans="1:67" outlineLevel="2">
      <c r="A17" s="569" t="s">
        <v>88</v>
      </c>
      <c r="B17" s="79"/>
      <c r="C17" s="591">
        <f>C11+C12+C13</f>
        <v>1994.347</v>
      </c>
      <c r="D17" s="571" t="s">
        <v>90</v>
      </c>
      <c r="E17" s="592">
        <f>((C13/C17)*E13+(C16/C17)*E16)</f>
        <v>-1.6919179059611995</v>
      </c>
      <c r="F17" s="79"/>
      <c r="G17" s="591">
        <f>G11+G12+G13</f>
        <v>2110.7560000000003</v>
      </c>
      <c r="H17" s="573">
        <f t="shared" si="0"/>
        <v>5.836948133900477</v>
      </c>
      <c r="I17" s="592">
        <f>((G13/G17)*I13+(G16/G17)*I16)</f>
        <v>-1.0310134378393332</v>
      </c>
      <c r="J17" s="79"/>
      <c r="K17" s="591">
        <f>K11+K12+K13</f>
        <v>2183.3620000000001</v>
      </c>
      <c r="L17" s="573">
        <f t="shared" si="1"/>
        <v>3.4398101912300527</v>
      </c>
      <c r="M17" s="592">
        <f>((K13/K17)*M13+(K16/K17)*M16)</f>
        <v>-1.8673943670357915</v>
      </c>
      <c r="N17" s="79"/>
      <c r="O17" s="591">
        <f>O11+O12+O13</f>
        <v>2436.1460000000002</v>
      </c>
      <c r="P17" s="573">
        <f t="shared" si="2"/>
        <v>11.577741116681528</v>
      </c>
      <c r="Q17" s="592">
        <f>((O13/O17)*Q13+(O16/O17)*Q16)</f>
        <v>5.788928208736257</v>
      </c>
      <c r="R17" s="79"/>
      <c r="S17" s="591">
        <f>S11+S12+S13</f>
        <v>2644.1279999999997</v>
      </c>
      <c r="T17" s="573">
        <f t="shared" si="3"/>
        <v>8.5373372531859495</v>
      </c>
      <c r="U17" s="592">
        <f>((S13/S17)*U13+(S16/S17)*U16)</f>
        <v>5.4935478161420335</v>
      </c>
      <c r="V17" s="79"/>
      <c r="W17" s="591">
        <f>W11+W12+W13</f>
        <v>2659.2849999999999</v>
      </c>
      <c r="X17" s="573">
        <f t="shared" si="4"/>
        <v>0.57323246075833278</v>
      </c>
      <c r="Y17" s="592">
        <f>((W13/W17)*Y13+(W16/W17)*Y16)</f>
        <v>-2.0504215982867575</v>
      </c>
      <c r="Z17" s="79"/>
      <c r="AA17" s="591">
        <f>AA11+AA12+AA13</f>
        <v>2636.4139999999998</v>
      </c>
      <c r="AB17" s="573">
        <f t="shared" si="5"/>
        <v>-0.86004320710266757</v>
      </c>
      <c r="AC17" s="592">
        <f>((AA13/AA17)*AC13+(AA16/AA17)*AC16)</f>
        <v>-5.6848423654251574</v>
      </c>
      <c r="AD17" s="79"/>
      <c r="AE17" s="591">
        <f>AE11+AE12+AE13</f>
        <v>2753.0920000000001</v>
      </c>
      <c r="AF17" s="573">
        <f t="shared" si="6"/>
        <v>4.4256326965340209</v>
      </c>
      <c r="AG17" s="592">
        <f>((AE13/AE17)*AG13+(AE16/AE17)*AG16)</f>
        <v>-2.3265625340526217</v>
      </c>
      <c r="AI17" s="556">
        <f>AI11+AI12+AI13</f>
        <v>2403.395</v>
      </c>
      <c r="AJ17" s="575" t="s">
        <v>90</v>
      </c>
      <c r="AK17" s="579">
        <v>-2.733057146167666</v>
      </c>
      <c r="AM17" s="556">
        <f>AM11+AM12+AM13</f>
        <v>2481.6139999999996</v>
      </c>
      <c r="AN17" s="577">
        <f t="shared" si="7"/>
        <v>3.2545212085403952</v>
      </c>
      <c r="AO17" s="579">
        <f>((AM13/AM17)*AO13+(AM16/AM17)*AO16)</f>
        <v>-0.6587564383502027</v>
      </c>
      <c r="AQ17" s="556">
        <f>AQ11+AQ12+AQ13</f>
        <v>2621.0929999999998</v>
      </c>
      <c r="AR17" s="577">
        <f t="shared" si="8"/>
        <v>5.6204953711576522</v>
      </c>
      <c r="AS17" s="579">
        <f>((AQ13/AQ17)*AS13+(AQ16/AQ17)*AS16)</f>
        <v>1.9022335338730829</v>
      </c>
      <c r="AU17" s="556">
        <f>AU11+AU12+AU13</f>
        <v>2814.4968426900041</v>
      </c>
      <c r="AV17" s="577">
        <f t="shared" si="9"/>
        <v>7.3787478235226356</v>
      </c>
      <c r="AW17" s="579">
        <f>((AU13/AU17)*AW13+(AU16/AU17)*AW16)</f>
        <v>1.8220506000954275</v>
      </c>
      <c r="AY17" s="556">
        <f>AY11+AY12+AY13</f>
        <v>3093.0860387229168</v>
      </c>
      <c r="AZ17" s="577">
        <f t="shared" si="10"/>
        <v>9.8983659106416368</v>
      </c>
      <c r="BA17" s="579">
        <f>((AY13/AY17)*BA13+(AY16/AY17)*BA16)</f>
        <v>4.9427833938324888</v>
      </c>
      <c r="BC17" s="556">
        <f>BC11+BC12+BC13</f>
        <v>3329.1419999999998</v>
      </c>
      <c r="BD17" s="577">
        <f t="shared" si="11"/>
        <v>7.6317295517116079</v>
      </c>
      <c r="BE17" s="579">
        <f>((BC13/BC17)*BE13+(BC16/BC17)*BE16)</f>
        <v>4.1959986687260562</v>
      </c>
      <c r="BG17" s="556">
        <f>BG11+BG12+BG13</f>
        <v>3558.163</v>
      </c>
      <c r="BH17" s="556"/>
      <c r="BI17" s="577">
        <f t="shared" si="12"/>
        <v>6.8792800066804105</v>
      </c>
      <c r="BJ17" s="579">
        <f>((BG13/BG17)*BJ13+(BG16/BG17)*BJ16)</f>
        <v>3.0354283376000479</v>
      </c>
    </row>
    <row r="18" spans="1:67" outlineLevel="1">
      <c r="A18" s="79"/>
      <c r="B18" s="79"/>
      <c r="C18" s="79"/>
      <c r="D18" s="79"/>
      <c r="E18" s="79"/>
      <c r="F18" s="79"/>
      <c r="G18" s="79"/>
      <c r="H18" s="79"/>
      <c r="I18" s="79"/>
      <c r="J18" s="79"/>
      <c r="K18" s="79"/>
      <c r="L18" s="79"/>
      <c r="M18" s="79"/>
      <c r="N18" s="79"/>
      <c r="O18" s="79"/>
      <c r="P18" s="79"/>
      <c r="Q18" s="79"/>
      <c r="R18" s="79"/>
      <c r="S18" s="79"/>
      <c r="T18" s="79"/>
      <c r="U18" s="79"/>
      <c r="V18" s="79"/>
      <c r="W18" s="79"/>
      <c r="X18" s="79"/>
      <c r="Y18" s="79"/>
      <c r="Z18" s="79"/>
      <c r="AA18" s="79"/>
      <c r="AB18" s="79"/>
      <c r="AC18" s="79"/>
      <c r="AD18" s="79"/>
      <c r="AE18" s="79"/>
      <c r="AF18" s="79"/>
      <c r="AG18" s="79"/>
      <c r="AU18" s="562"/>
      <c r="AW18" s="567"/>
      <c r="AY18" s="562"/>
      <c r="AZ18" s="577"/>
      <c r="BE18" s="593"/>
    </row>
    <row r="19" spans="1:67" outlineLevel="2">
      <c r="A19" s="565" t="s">
        <v>226</v>
      </c>
      <c r="B19" s="566"/>
      <c r="C19" s="566"/>
      <c r="D19" s="566"/>
      <c r="E19" s="566"/>
      <c r="F19" s="566"/>
      <c r="G19" s="566"/>
      <c r="H19" s="566"/>
      <c r="I19" s="566"/>
      <c r="J19" s="566"/>
      <c r="K19" s="566"/>
      <c r="L19" s="566"/>
      <c r="M19" s="566"/>
      <c r="N19" s="566"/>
      <c r="O19" s="566"/>
      <c r="P19" s="566"/>
      <c r="Q19" s="566"/>
      <c r="R19" s="566"/>
      <c r="S19" s="566"/>
      <c r="T19" s="566"/>
      <c r="U19" s="566"/>
      <c r="V19" s="566"/>
      <c r="W19" s="566"/>
      <c r="X19" s="566"/>
      <c r="Y19" s="566"/>
      <c r="Z19" s="566"/>
      <c r="AA19" s="566"/>
      <c r="AB19" s="566"/>
      <c r="AC19" s="566"/>
      <c r="AD19" s="566"/>
      <c r="AE19" s="566"/>
      <c r="AF19" s="566"/>
      <c r="AG19" s="566"/>
      <c r="AH19" s="420"/>
      <c r="AI19" s="420"/>
      <c r="AJ19" s="420"/>
      <c r="AK19" s="420"/>
      <c r="AL19" s="420"/>
      <c r="AM19" s="420"/>
      <c r="AN19" s="420"/>
      <c r="AO19" s="420"/>
      <c r="AP19" s="420"/>
      <c r="AQ19" s="420"/>
      <c r="AR19" s="420"/>
      <c r="AS19" s="420"/>
      <c r="AT19" s="420"/>
      <c r="AU19" s="420"/>
      <c r="AV19" s="420"/>
      <c r="AW19" s="420"/>
      <c r="AX19" s="420"/>
      <c r="AY19" s="420"/>
      <c r="AZ19" s="420"/>
      <c r="BA19" s="420"/>
      <c r="BC19" s="594"/>
      <c r="BD19" s="420"/>
      <c r="BE19" s="595"/>
      <c r="BG19" s="594"/>
      <c r="BH19" s="594"/>
      <c r="BI19" s="420"/>
      <c r="BJ19" s="420"/>
    </row>
    <row r="20" spans="1:67" outlineLevel="1">
      <c r="A20" s="79"/>
      <c r="B20" s="79"/>
      <c r="C20" s="79"/>
      <c r="D20" s="79"/>
      <c r="E20" s="79"/>
      <c r="F20" s="79"/>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c r="AF20" s="79"/>
      <c r="AG20" s="79"/>
    </row>
    <row r="21" spans="1:67" outlineLevel="1">
      <c r="A21" s="569" t="s">
        <v>79</v>
      </c>
      <c r="B21" s="79"/>
      <c r="C21" s="570">
        <v>294.86</v>
      </c>
      <c r="D21" s="596">
        <f t="shared" ref="D21:D27" si="13">(1-C21/C11)*100</f>
        <v>35.376833320183401</v>
      </c>
      <c r="E21" s="571" t="s">
        <v>90</v>
      </c>
      <c r="F21" s="79"/>
      <c r="G21" s="570">
        <v>325.81799999999998</v>
      </c>
      <c r="H21" s="596">
        <f t="shared" ref="H21:H27" si="14">(1-G21/G11)*100</f>
        <v>36.402799059172587</v>
      </c>
      <c r="I21" s="597">
        <f>H21-D21</f>
        <v>1.0259657389891856</v>
      </c>
      <c r="J21" s="79"/>
      <c r="K21" s="570">
        <v>332.94400000000002</v>
      </c>
      <c r="L21" s="596">
        <f t="shared" ref="L21:L27" si="15">(1-K21/K11)*100</f>
        <v>37.360141932303705</v>
      </c>
      <c r="M21" s="597">
        <f>L21-H21</f>
        <v>0.95734287313111821</v>
      </c>
      <c r="N21" s="79"/>
      <c r="O21" s="570">
        <v>371.94099999999997</v>
      </c>
      <c r="P21" s="596">
        <f t="shared" ref="P21:P27" si="16">(1-O21/O11)*100</f>
        <v>35.933987760072618</v>
      </c>
      <c r="Q21" s="597">
        <f>P21-L21</f>
        <v>-1.4261541722310866</v>
      </c>
      <c r="R21" s="79"/>
      <c r="S21" s="570">
        <v>425.33499999999998</v>
      </c>
      <c r="T21" s="596">
        <f t="shared" ref="T21:T27" si="17">(1-S21/S11)*100</f>
        <v>35.37631500580396</v>
      </c>
      <c r="U21" s="597">
        <f>T21-P21</f>
        <v>-0.55767275426865837</v>
      </c>
      <c r="V21" s="79"/>
      <c r="W21" s="570">
        <v>426.91399999999999</v>
      </c>
      <c r="X21" s="596">
        <f t="shared" ref="X21:X27" si="18">(1-W21/W11)*100</f>
        <v>35.73146901994081</v>
      </c>
      <c r="Y21" s="597">
        <f t="shared" ref="Y21:Y27" si="19">X21-T21</f>
        <v>0.35515401413685055</v>
      </c>
      <c r="Z21" s="79"/>
      <c r="AA21" s="570">
        <f>443.775</f>
        <v>443.77499999999998</v>
      </c>
      <c r="AB21" s="596">
        <f t="shared" ref="AB21:AB27" si="20">(1-AA21/AA11)*100</f>
        <v>35.267020350172928</v>
      </c>
      <c r="AC21" s="597">
        <f t="shared" ref="AC21:AC27" si="21">AB21-X21</f>
        <v>-0.4644486697678829</v>
      </c>
      <c r="AD21" s="79"/>
      <c r="AE21" s="570">
        <v>439.22699999999998</v>
      </c>
      <c r="AF21" s="596">
        <f t="shared" ref="AF21:AF27" si="22">(1-AE21/AE11)*100</f>
        <v>38.434033009776783</v>
      </c>
      <c r="AG21" s="597">
        <f t="shared" ref="AG21:AG27" si="23">AF21-AB21</f>
        <v>3.1670126596038557</v>
      </c>
      <c r="AI21" s="574">
        <v>554.21100000000001</v>
      </c>
      <c r="AJ21" s="598">
        <f t="shared" ref="AJ21:AJ27" si="24">(1-AI21/AI11)*100</f>
        <v>33.231049475750055</v>
      </c>
      <c r="AK21" s="599" t="s">
        <v>90</v>
      </c>
      <c r="AM21" s="574">
        <v>552.35299999999995</v>
      </c>
      <c r="AN21" s="598">
        <f t="shared" ref="AN21:AN27" si="25">(1-AM21/AM11)*100</f>
        <v>38.262369254636873</v>
      </c>
      <c r="AO21" s="600">
        <f>(AN21-AJ21)*100</f>
        <v>503.13197788868183</v>
      </c>
      <c r="AQ21" s="574">
        <v>577.303</v>
      </c>
      <c r="AR21" s="598">
        <f t="shared" ref="AR21:AR27" si="26">(1-AQ21/AQ11)*100</f>
        <v>37.863006562398759</v>
      </c>
      <c r="AS21" s="600">
        <f>(AR21-AN21)*100</f>
        <v>-39.936269223811394</v>
      </c>
      <c r="AU21" s="574">
        <v>619.88492152000094</v>
      </c>
      <c r="AV21" s="598">
        <f t="shared" ref="AV21:AV27" si="27">(1-AU21/AU11)*100</f>
        <v>36.902364402501021</v>
      </c>
      <c r="AW21" s="600">
        <f>(AV21-AR21)*100</f>
        <v>-96.064215989773771</v>
      </c>
      <c r="AY21" s="574">
        <v>667.6529641300001</v>
      </c>
      <c r="AZ21" s="598">
        <f t="shared" ref="AZ21:AZ27" si="28">(1-AY21/AY11)*100</f>
        <v>37.310370060575373</v>
      </c>
      <c r="BA21" s="600">
        <f>(AZ21-AV21)*100</f>
        <v>40.800565807435163</v>
      </c>
      <c r="BC21" s="822">
        <v>698.46100000000001</v>
      </c>
      <c r="BD21" s="598">
        <f t="shared" ref="BD21:BD27" si="29">(1-BC21/BC11)*100</f>
        <v>38.094461515826453</v>
      </c>
      <c r="BE21" s="600">
        <f>(BD21-AZ21)*100</f>
        <v>78.409145525107959</v>
      </c>
      <c r="BG21" s="822">
        <v>712.93</v>
      </c>
      <c r="BH21" s="822"/>
      <c r="BI21" s="598">
        <f>(1-BG21/BG11)*100</f>
        <v>39.738423865589127</v>
      </c>
      <c r="BJ21" s="600">
        <f>(BI21-BD21)*100</f>
        <v>164.39623497626741</v>
      </c>
      <c r="BM21" s="562"/>
      <c r="BN21" s="562"/>
    </row>
    <row r="22" spans="1:67" outlineLevel="1">
      <c r="A22" s="569" t="s">
        <v>80</v>
      </c>
      <c r="B22" s="79"/>
      <c r="C22" s="581">
        <v>449.85199999999998</v>
      </c>
      <c r="D22" s="596">
        <f t="shared" si="13"/>
        <v>40.061450563740976</v>
      </c>
      <c r="E22" s="571" t="s">
        <v>90</v>
      </c>
      <c r="F22" s="79"/>
      <c r="G22" s="581">
        <v>475.35399999999998</v>
      </c>
      <c r="H22" s="596">
        <f t="shared" si="14"/>
        <v>39.888794890179589</v>
      </c>
      <c r="I22" s="597">
        <f>H22-D22</f>
        <v>-0.17265567356138689</v>
      </c>
      <c r="J22" s="79"/>
      <c r="K22" s="581">
        <v>486.97500000000002</v>
      </c>
      <c r="L22" s="596">
        <f t="shared" si="15"/>
        <v>38.673156479633285</v>
      </c>
      <c r="M22" s="597">
        <f>L22-H22</f>
        <v>-1.2156384105463047</v>
      </c>
      <c r="N22" s="79"/>
      <c r="O22" s="581">
        <v>540.18700000000001</v>
      </c>
      <c r="P22" s="596">
        <f t="shared" si="16"/>
        <v>38.61274185593534</v>
      </c>
      <c r="Q22" s="597">
        <f>P22-L22</f>
        <v>-6.0414623697944592E-2</v>
      </c>
      <c r="R22" s="79"/>
      <c r="S22" s="581">
        <v>588.721</v>
      </c>
      <c r="T22" s="596">
        <f t="shared" si="17"/>
        <v>38.284416191612344</v>
      </c>
      <c r="U22" s="597">
        <f>T22-P22</f>
        <v>-0.32832566432299615</v>
      </c>
      <c r="V22" s="79"/>
      <c r="W22" s="581">
        <v>600.46900000000005</v>
      </c>
      <c r="X22" s="596">
        <f t="shared" si="18"/>
        <v>39.766436185739593</v>
      </c>
      <c r="Y22" s="597">
        <f t="shared" si="19"/>
        <v>1.4820199941272492</v>
      </c>
      <c r="Z22" s="79"/>
      <c r="AA22" s="581">
        <v>557.16300000000001</v>
      </c>
      <c r="AB22" s="596">
        <f t="shared" si="20"/>
        <v>41.698067599992036</v>
      </c>
      <c r="AC22" s="597">
        <f t="shared" si="21"/>
        <v>1.9316314142524433</v>
      </c>
      <c r="AD22" s="79"/>
      <c r="AE22" s="581">
        <v>602.947</v>
      </c>
      <c r="AF22" s="596">
        <f t="shared" si="22"/>
        <v>40.319531383006101</v>
      </c>
      <c r="AG22" s="597">
        <f t="shared" si="23"/>
        <v>-1.3785362169859354</v>
      </c>
      <c r="AI22" s="582">
        <v>424.24900000000002</v>
      </c>
      <c r="AJ22" s="598">
        <f t="shared" si="24"/>
        <v>39.477558496842981</v>
      </c>
      <c r="AK22" s="599" t="s">
        <v>90</v>
      </c>
      <c r="AM22" s="582">
        <v>469.38799999999998</v>
      </c>
      <c r="AN22" s="598">
        <f t="shared" si="25"/>
        <v>35.589982847341339</v>
      </c>
      <c r="AO22" s="600">
        <f>(AN22-AJ22)*100</f>
        <v>-388.75756495016418</v>
      </c>
      <c r="AQ22" s="582">
        <v>507.053</v>
      </c>
      <c r="AR22" s="598">
        <f t="shared" si="26"/>
        <v>36.087018449635657</v>
      </c>
      <c r="AS22" s="600">
        <f>(AR22-AN22)*100</f>
        <v>49.703560229431787</v>
      </c>
      <c r="AU22" s="582">
        <v>543.54917563000106</v>
      </c>
      <c r="AV22" s="598">
        <f t="shared" si="27"/>
        <v>37.102408405621468</v>
      </c>
      <c r="AW22" s="600">
        <f>(AV22-AR22)*100</f>
        <v>101.53899559858104</v>
      </c>
      <c r="AY22" s="582">
        <v>598.52772144564096</v>
      </c>
      <c r="AZ22" s="598">
        <f t="shared" si="28"/>
        <v>37.884395579022602</v>
      </c>
      <c r="BA22" s="600">
        <f>(AZ22-AV22)*100</f>
        <v>78.198717340113433</v>
      </c>
      <c r="BC22" s="583">
        <v>645.02700000000004</v>
      </c>
      <c r="BD22" s="598">
        <f t="shared" si="29"/>
        <v>38.190998111310947</v>
      </c>
      <c r="BE22" s="600">
        <f>(BD22-AZ22)*100</f>
        <v>30.660253228834478</v>
      </c>
      <c r="BG22" s="583">
        <v>695.91499999999996</v>
      </c>
      <c r="BH22" s="583"/>
      <c r="BI22" s="598">
        <f>(1-BG22/BG12)*100</f>
        <v>39.179859082797165</v>
      </c>
      <c r="BJ22" s="600">
        <f>(BI22-BD22)*100</f>
        <v>98.886097148621843</v>
      </c>
      <c r="BM22" s="562"/>
      <c r="BN22" s="562"/>
      <c r="BO22" s="17">
        <v>4795.97</v>
      </c>
    </row>
    <row r="23" spans="1:67" outlineLevel="1">
      <c r="A23" s="569" t="s">
        <v>81</v>
      </c>
      <c r="B23" s="79"/>
      <c r="C23" s="581">
        <v>503.70499999999998</v>
      </c>
      <c r="D23" s="596">
        <f t="shared" si="13"/>
        <v>36.041439961196062</v>
      </c>
      <c r="E23" s="571" t="s">
        <v>90</v>
      </c>
      <c r="F23" s="79"/>
      <c r="G23" s="581">
        <v>515.68499999999995</v>
      </c>
      <c r="H23" s="596">
        <f t="shared" si="14"/>
        <v>36.149941187395541</v>
      </c>
      <c r="I23" s="597">
        <f>H23-D23</f>
        <v>0.10850122619947911</v>
      </c>
      <c r="J23" s="79"/>
      <c r="K23" s="581">
        <v>549.01</v>
      </c>
      <c r="L23" s="596">
        <f t="shared" si="15"/>
        <v>35.996110872768647</v>
      </c>
      <c r="M23" s="597">
        <f>L23-H23</f>
        <v>-0.15383031462689445</v>
      </c>
      <c r="N23" s="79"/>
      <c r="O23" s="581">
        <v>611.01</v>
      </c>
      <c r="P23" s="596">
        <f t="shared" si="16"/>
        <v>37.372196785432045</v>
      </c>
      <c r="Q23" s="597">
        <f>P23-L23</f>
        <v>1.3760859126633989</v>
      </c>
      <c r="R23" s="79"/>
      <c r="S23" s="581">
        <v>649.34</v>
      </c>
      <c r="T23" s="596">
        <f t="shared" si="17"/>
        <v>37.081286396713267</v>
      </c>
      <c r="U23" s="597">
        <f>T23-P23</f>
        <v>-0.29091038871877828</v>
      </c>
      <c r="V23" s="79"/>
      <c r="W23" s="581">
        <v>622.25300000000004</v>
      </c>
      <c r="X23" s="596">
        <f t="shared" si="18"/>
        <v>37.657371172546725</v>
      </c>
      <c r="Y23" s="597">
        <f t="shared" si="19"/>
        <v>0.57608477583345774</v>
      </c>
      <c r="Z23" s="79"/>
      <c r="AA23" s="581">
        <v>612.30399999999997</v>
      </c>
      <c r="AB23" s="596">
        <f t="shared" si="20"/>
        <v>38.475265670969925</v>
      </c>
      <c r="AC23" s="597">
        <f t="shared" si="21"/>
        <v>0.81789449842320039</v>
      </c>
      <c r="AD23" s="79"/>
      <c r="AE23" s="581">
        <v>634.38599999999997</v>
      </c>
      <c r="AF23" s="596">
        <f t="shared" si="22"/>
        <v>38.371730418943542</v>
      </c>
      <c r="AG23" s="597">
        <f t="shared" si="23"/>
        <v>-0.10353525202638281</v>
      </c>
      <c r="AI23" s="582">
        <v>523.46500000000003</v>
      </c>
      <c r="AJ23" s="598">
        <f t="shared" si="24"/>
        <v>39.995346032779509</v>
      </c>
      <c r="AK23" s="599" t="s">
        <v>90</v>
      </c>
      <c r="AM23" s="582">
        <v>527.30100000000004</v>
      </c>
      <c r="AN23" s="598">
        <f t="shared" si="25"/>
        <v>38.556326950101713</v>
      </c>
      <c r="AO23" s="600">
        <f>(AN23-AJ23)*100</f>
        <v>-143.90190826777953</v>
      </c>
      <c r="AQ23" s="582">
        <v>540.80700000000002</v>
      </c>
      <c r="AR23" s="598">
        <f t="shared" si="26"/>
        <v>39.820933987490307</v>
      </c>
      <c r="AS23" s="600">
        <f>(AR23-AN23)*100</f>
        <v>126.46070373885934</v>
      </c>
      <c r="AU23" s="582">
        <v>594.37901896000199</v>
      </c>
      <c r="AV23" s="598">
        <f t="shared" si="27"/>
        <v>38.590473405375683</v>
      </c>
      <c r="AW23" s="600">
        <f>(AV23-AR23)*100</f>
        <v>-123.04605821146239</v>
      </c>
      <c r="AY23" s="582">
        <v>649.63699999999994</v>
      </c>
      <c r="AZ23" s="598">
        <f t="shared" si="28"/>
        <v>38.972683940471697</v>
      </c>
      <c r="BA23" s="600">
        <f>(AZ23-AV23)*100</f>
        <v>38.221053509601433</v>
      </c>
      <c r="BC23" s="583">
        <v>698.59</v>
      </c>
      <c r="BD23" s="598">
        <f t="shared" si="29"/>
        <v>39.6358049653847</v>
      </c>
      <c r="BE23" s="600">
        <f>(BD23-AZ23)*100</f>
        <v>66.312102491300351</v>
      </c>
      <c r="BG23" s="562">
        <f>BG13*(1-BI23%)</f>
        <v>739.76248599999997</v>
      </c>
      <c r="BH23" s="562"/>
      <c r="BI23" s="601">
        <v>39.9</v>
      </c>
      <c r="BJ23" s="600">
        <f>(BI23-BD23)*100</f>
        <v>26.419503461529814</v>
      </c>
      <c r="BM23" s="562"/>
      <c r="BN23" s="562"/>
      <c r="BO23" s="17">
        <v>1128.27</v>
      </c>
    </row>
    <row r="24" spans="1:67" outlineLevel="1">
      <c r="A24" s="569" t="s">
        <v>82</v>
      </c>
      <c r="B24" s="79"/>
      <c r="C24" s="585">
        <v>364.53500000000003</v>
      </c>
      <c r="D24" s="596">
        <f t="shared" si="13"/>
        <v>40.121486684264383</v>
      </c>
      <c r="E24" s="571" t="s">
        <v>90</v>
      </c>
      <c r="F24" s="79"/>
      <c r="G24" s="585">
        <v>365.07900000000001</v>
      </c>
      <c r="H24" s="596">
        <f t="shared" si="14"/>
        <v>40.091861148215123</v>
      </c>
      <c r="I24" s="597">
        <f>H24-D24</f>
        <v>-2.9625536049259438E-2</v>
      </c>
      <c r="J24" s="79"/>
      <c r="K24" s="585">
        <v>400.95299999999997</v>
      </c>
      <c r="L24" s="596">
        <f t="shared" si="15"/>
        <v>41.451330276569031</v>
      </c>
      <c r="M24" s="597">
        <f>L24-H24</f>
        <v>1.3594691283539078</v>
      </c>
      <c r="N24" s="79"/>
      <c r="O24" s="585">
        <v>464.02100000000002</v>
      </c>
      <c r="P24" s="596">
        <f t="shared" si="16"/>
        <v>39.239931176623088</v>
      </c>
      <c r="Q24" s="597">
        <f>P24-L24</f>
        <v>-2.2113990999459432</v>
      </c>
      <c r="R24" s="79"/>
      <c r="S24" s="586">
        <f>S25-SUM(S21:S23)</f>
        <v>519.86699999999973</v>
      </c>
      <c r="T24" s="596">
        <f t="shared" si="17"/>
        <v>37.09454930023989</v>
      </c>
      <c r="U24" s="597">
        <f>T24-P24</f>
        <v>-2.1453818763831976</v>
      </c>
      <c r="V24" s="79"/>
      <c r="W24" s="585">
        <f>W25-SUM(W21:W23)</f>
        <v>475.52399999999989</v>
      </c>
      <c r="X24" s="596">
        <f t="shared" si="18"/>
        <v>39.2192852395317</v>
      </c>
      <c r="Y24" s="597">
        <f t="shared" si="19"/>
        <v>2.1247359392918099</v>
      </c>
      <c r="Z24" s="79"/>
      <c r="AA24" s="585">
        <f>AA25-SUM(AA21:AA23)</f>
        <v>482.12200000000007</v>
      </c>
      <c r="AB24" s="596">
        <f t="shared" si="20"/>
        <v>38.78274516575901</v>
      </c>
      <c r="AC24" s="597">
        <f t="shared" si="21"/>
        <v>-0.43654007377269011</v>
      </c>
      <c r="AD24" s="79"/>
      <c r="AE24" s="586">
        <f>AE25-SUM(AE21:AE23)</f>
        <v>523.20600000000013</v>
      </c>
      <c r="AF24" s="596">
        <f t="shared" si="22"/>
        <v>36.059882068986582</v>
      </c>
      <c r="AG24" s="597">
        <f t="shared" si="23"/>
        <v>-2.7228630967724285</v>
      </c>
      <c r="AI24" s="557">
        <f>AI25-SUM(AI21:AI23)</f>
        <v>679.7819999999997</v>
      </c>
      <c r="AJ24" s="598">
        <f t="shared" si="24"/>
        <v>39.279101113960571</v>
      </c>
      <c r="AK24" s="599" t="s">
        <v>90</v>
      </c>
      <c r="AM24" s="557">
        <f>AM25-SUM(AM21:AM23)</f>
        <v>703.30400000000009</v>
      </c>
      <c r="AN24" s="598">
        <f t="shared" si="25"/>
        <v>40.798728606686275</v>
      </c>
      <c r="AO24" s="600">
        <f>(AN24-AJ24)*100</f>
        <v>151.96274927257036</v>
      </c>
      <c r="AQ24" s="557">
        <f>AQ25-SUM(AQ21:AQ23)</f>
        <v>738.30099999999993</v>
      </c>
      <c r="AR24" s="598">
        <f t="shared" si="26"/>
        <v>40.123564423243039</v>
      </c>
      <c r="AS24" s="600">
        <f>(AR24-AN24)*100</f>
        <v>-67.516418344323625</v>
      </c>
      <c r="AU24" s="557">
        <f>AU25-SUM(AU21:AU23)</f>
        <v>740.15963972000623</v>
      </c>
      <c r="AV24" s="598">
        <f t="shared" si="27"/>
        <v>41.375227244193482</v>
      </c>
      <c r="AW24" s="600">
        <f>(AV24-AR24)*100</f>
        <v>125.16628209504432</v>
      </c>
      <c r="AY24" s="587">
        <v>778.34799999999996</v>
      </c>
      <c r="AZ24" s="598">
        <f t="shared" si="28"/>
        <v>41.665186464279913</v>
      </c>
      <c r="BA24" s="600">
        <f>(AZ24-AV24)*100</f>
        <v>28.995922008643049</v>
      </c>
      <c r="BC24" s="818">
        <v>858.74099999999999</v>
      </c>
      <c r="BD24" s="598">
        <f t="shared" si="29"/>
        <v>42.186416509914757</v>
      </c>
      <c r="BE24" s="600">
        <f>(BD24-AZ24)*100</f>
        <v>52.123004563484443</v>
      </c>
      <c r="BG24" s="588">
        <f>BG14*(1-BI24%)</f>
        <v>887.48294400000009</v>
      </c>
      <c r="BH24" s="761"/>
      <c r="BI24" s="601">
        <v>42.4</v>
      </c>
      <c r="BJ24" s="600">
        <f>(BI24-BD24)*100</f>
        <v>21.358349008524158</v>
      </c>
      <c r="BM24" s="562"/>
      <c r="BN24" s="562"/>
      <c r="BO24" s="17">
        <v>1219.27</v>
      </c>
    </row>
    <row r="25" spans="1:67" outlineLevel="1">
      <c r="A25" s="569" t="s">
        <v>85</v>
      </c>
      <c r="B25" s="79"/>
      <c r="C25" s="590">
        <f>'yrP&amp;L'!D11</f>
        <v>1583.634</v>
      </c>
      <c r="D25" s="596">
        <f t="shared" si="13"/>
        <v>37.988070125701078</v>
      </c>
      <c r="E25" s="571" t="s">
        <v>90</v>
      </c>
      <c r="F25" s="79"/>
      <c r="G25" s="590">
        <f>'yrP&amp;L'!E11</f>
        <v>1660.17</v>
      </c>
      <c r="H25" s="596">
        <f t="shared" si="14"/>
        <v>38.010057771697248</v>
      </c>
      <c r="I25" s="597">
        <f>H25-D25</f>
        <v>2.1987645996169647E-2</v>
      </c>
      <c r="J25" s="79"/>
      <c r="K25" s="590">
        <f>'yrP&amp;L'!F11</f>
        <v>1765.4780000000001</v>
      </c>
      <c r="L25" s="596">
        <f t="shared" si="15"/>
        <v>38.269136631281555</v>
      </c>
      <c r="M25" s="597">
        <f>L25-H25</f>
        <v>0.25907885958430654</v>
      </c>
      <c r="N25" s="79"/>
      <c r="O25" s="590">
        <f>'yrP&amp;L'!G11</f>
        <v>1987.1590000000001</v>
      </c>
      <c r="P25" s="596">
        <f t="shared" si="16"/>
        <v>37.898176158807942</v>
      </c>
      <c r="Q25" s="597">
        <f>P25-L25</f>
        <v>-0.37096047247361241</v>
      </c>
      <c r="R25" s="79"/>
      <c r="S25" s="590">
        <f>'yrP&amp;L'!H11</f>
        <v>2183.2629999999999</v>
      </c>
      <c r="T25" s="596">
        <f t="shared" si="17"/>
        <v>37.091801481838345</v>
      </c>
      <c r="U25" s="597">
        <f>T25-P25</f>
        <v>-0.80637467696959675</v>
      </c>
      <c r="V25" s="79"/>
      <c r="W25" s="590">
        <f>'yrP&amp;L'!I11</f>
        <v>2125.16</v>
      </c>
      <c r="X25" s="596">
        <f t="shared" si="18"/>
        <v>38.251620954514486</v>
      </c>
      <c r="Y25" s="597">
        <f t="shared" si="19"/>
        <v>1.1598194726761406</v>
      </c>
      <c r="Z25" s="79"/>
      <c r="AA25" s="590">
        <f>'yrP&amp;L'!J11</f>
        <v>2095.364</v>
      </c>
      <c r="AB25" s="596">
        <f t="shared" si="20"/>
        <v>38.803138926621209</v>
      </c>
      <c r="AC25" s="597">
        <f t="shared" si="21"/>
        <v>0.55151797210672271</v>
      </c>
      <c r="AD25" s="590"/>
      <c r="AE25" s="590">
        <f>'yrP&amp;L'!K11</f>
        <v>2199.7660000000001</v>
      </c>
      <c r="AF25" s="596">
        <f t="shared" si="22"/>
        <v>38.405490110649509</v>
      </c>
      <c r="AG25" s="597">
        <f t="shared" si="23"/>
        <v>-0.39764881597169932</v>
      </c>
      <c r="AI25" s="574">
        <v>2181.7069999999999</v>
      </c>
      <c r="AJ25" s="598">
        <f t="shared" si="24"/>
        <v>38.0709548969972</v>
      </c>
      <c r="AK25" s="599" t="s">
        <v>90</v>
      </c>
      <c r="AM25" s="574">
        <v>2252.346</v>
      </c>
      <c r="AN25" s="598">
        <f t="shared" si="25"/>
        <v>38.621518082887462</v>
      </c>
      <c r="AO25" s="600">
        <f>(AN25-AJ25)*100</f>
        <v>55.056318589026176</v>
      </c>
      <c r="AQ25" s="574">
        <v>2363.4639999999999</v>
      </c>
      <c r="AR25" s="598">
        <f t="shared" si="26"/>
        <v>38.677171058401193</v>
      </c>
      <c r="AS25" s="600">
        <f>(AR25-AN25)*100</f>
        <v>5.5652975513730496</v>
      </c>
      <c r="AU25" s="574">
        <v>2497.9727558300101</v>
      </c>
      <c r="AV25" s="598">
        <f t="shared" si="27"/>
        <v>38.730639699926158</v>
      </c>
      <c r="AW25" s="600">
        <f>(AV25-AR25)*100</f>
        <v>5.3468641524965221</v>
      </c>
      <c r="AY25" s="574">
        <v>2695.9569999999999</v>
      </c>
      <c r="AZ25" s="598">
        <f t="shared" si="28"/>
        <v>39.108861134594378</v>
      </c>
      <c r="BA25" s="600">
        <f>(AZ25-AV25)*100</f>
        <v>37.822143466821956</v>
      </c>
      <c r="BC25" s="559">
        <f>SUM(BC21:BC24)</f>
        <v>2900.819</v>
      </c>
      <c r="BD25" s="598">
        <f t="shared" si="29"/>
        <v>39.748331292278493</v>
      </c>
      <c r="BE25" s="600">
        <f>(BD25-AZ25)*100</f>
        <v>63.947015768411575</v>
      </c>
      <c r="BG25" s="559">
        <f>SUM(BG21:BG24)</f>
        <v>3036.0904300000002</v>
      </c>
      <c r="BH25" s="559"/>
      <c r="BI25" s="598">
        <f>(1-BG25/BG15)*100</f>
        <v>40.456345956368899</v>
      </c>
      <c r="BJ25" s="600">
        <f>(BI25-BD25)*100</f>
        <v>70.801466409040614</v>
      </c>
      <c r="BM25" s="562"/>
      <c r="BN25" s="562"/>
      <c r="BO25" s="567">
        <f>BO24/BC11-1</f>
        <v>8.0655411076613781E-2</v>
      </c>
    </row>
    <row r="26" spans="1:67" outlineLevel="2">
      <c r="A26" s="569" t="s">
        <v>87</v>
      </c>
      <c r="B26" s="79"/>
      <c r="C26" s="591">
        <f>C21+C22</f>
        <v>744.71199999999999</v>
      </c>
      <c r="D26" s="596">
        <f t="shared" si="13"/>
        <v>38.290252386894906</v>
      </c>
      <c r="E26" s="571" t="s">
        <v>90</v>
      </c>
      <c r="F26" s="79"/>
      <c r="G26" s="591">
        <f>G21+G22</f>
        <v>801.17200000000003</v>
      </c>
      <c r="H26" s="596">
        <f t="shared" si="14"/>
        <v>38.518278635813211</v>
      </c>
      <c r="I26" s="597" t="s">
        <v>90</v>
      </c>
      <c r="J26" s="79"/>
      <c r="K26" s="591">
        <f>K21+K22</f>
        <v>819.9190000000001</v>
      </c>
      <c r="L26" s="596">
        <f t="shared" si="15"/>
        <v>38.146676262422794</v>
      </c>
      <c r="M26" s="597" t="s">
        <v>90</v>
      </c>
      <c r="N26" s="79"/>
      <c r="O26" s="591">
        <f>O21+O22</f>
        <v>912.12799999999993</v>
      </c>
      <c r="P26" s="596">
        <f t="shared" si="16"/>
        <v>37.547936529672555</v>
      </c>
      <c r="Q26" s="597" t="s">
        <v>90</v>
      </c>
      <c r="R26" s="79"/>
      <c r="S26" s="591">
        <f>S21+S22</f>
        <v>1014.056</v>
      </c>
      <c r="T26" s="596">
        <f t="shared" si="17"/>
        <v>37.097124368369663</v>
      </c>
      <c r="U26" s="597" t="s">
        <v>90</v>
      </c>
      <c r="V26" s="79"/>
      <c r="W26" s="591">
        <f>W21+W22</f>
        <v>1027.383</v>
      </c>
      <c r="X26" s="596">
        <f t="shared" si="18"/>
        <v>38.152937061716244</v>
      </c>
      <c r="Y26" s="597">
        <f t="shared" si="19"/>
        <v>1.0558126933465815</v>
      </c>
      <c r="Z26" s="79"/>
      <c r="AA26" s="591">
        <f>AA21+AA22</f>
        <v>1000.938</v>
      </c>
      <c r="AB26" s="596">
        <f t="shared" si="20"/>
        <v>39.01174629752169</v>
      </c>
      <c r="AC26" s="597">
        <f t="shared" si="21"/>
        <v>0.85880923580544533</v>
      </c>
      <c r="AD26" s="79"/>
      <c r="AE26" s="591">
        <f>AE21+AE22</f>
        <v>1042.174</v>
      </c>
      <c r="AF26" s="596">
        <f t="shared" si="22"/>
        <v>39.539147087369919</v>
      </c>
      <c r="AG26" s="597">
        <f t="shared" si="23"/>
        <v>0.52740078984822958</v>
      </c>
      <c r="AI26" s="556">
        <f>AI21+AI22</f>
        <v>978.46</v>
      </c>
      <c r="AJ26" s="598">
        <f t="shared" si="24"/>
        <v>36.091013774468152</v>
      </c>
      <c r="AK26" s="599" t="s">
        <v>90</v>
      </c>
      <c r="AM26" s="556">
        <f>AM21+AM22</f>
        <v>1021.741</v>
      </c>
      <c r="AN26" s="598">
        <f t="shared" si="25"/>
        <v>37.062746238207048</v>
      </c>
      <c r="AO26" s="580">
        <f>AN26-AJ26</f>
        <v>0.97173246373889555</v>
      </c>
      <c r="AQ26" s="556">
        <f>AQ21+AQ22</f>
        <v>1084.356</v>
      </c>
      <c r="AR26" s="598">
        <f t="shared" si="26"/>
        <v>37.044988765871466</v>
      </c>
      <c r="AS26" s="580">
        <f>AR26-AN26</f>
        <v>-1.7757472335581781E-2</v>
      </c>
      <c r="AU26" s="556">
        <f>AU21+AU22</f>
        <v>1163.4340971500019</v>
      </c>
      <c r="AV26" s="598">
        <f t="shared" si="27"/>
        <v>36.995981855672724</v>
      </c>
      <c r="AW26" s="580">
        <f>AV26-AR26</f>
        <v>-4.9006910198741593E-2</v>
      </c>
      <c r="AY26" s="556">
        <f>AY21+AY22</f>
        <v>1266.1806855756411</v>
      </c>
      <c r="AZ26" s="598">
        <f t="shared" si="28"/>
        <v>37.583030261208329</v>
      </c>
      <c r="BA26" s="580">
        <f>AZ26-AV26</f>
        <v>0.58704840553560445</v>
      </c>
      <c r="BC26" s="556">
        <f>BC21+BC22</f>
        <v>1343.4880000000001</v>
      </c>
      <c r="BD26" s="598">
        <f t="shared" si="29"/>
        <v>38.140847664433544</v>
      </c>
      <c r="BE26" s="580">
        <f>BD26-AZ26</f>
        <v>0.557817403225215</v>
      </c>
      <c r="BG26" s="556">
        <f>BG21+BG22</f>
        <v>1408.8449999999998</v>
      </c>
      <c r="BH26" s="556"/>
      <c r="BI26" s="598">
        <f>(1-BG26/BG16)*100</f>
        <v>39.463802546925017</v>
      </c>
      <c r="BJ26" s="580">
        <f>BI26-BD26</f>
        <v>1.322954882491473</v>
      </c>
    </row>
    <row r="27" spans="1:67" outlineLevel="2">
      <c r="A27" s="569" t="s">
        <v>88</v>
      </c>
      <c r="B27" s="79"/>
      <c r="C27" s="591">
        <f>C21+C22+C23</f>
        <v>1248.4169999999999</v>
      </c>
      <c r="D27" s="596">
        <f t="shared" si="13"/>
        <v>37.402217367388921</v>
      </c>
      <c r="E27" s="571" t="s">
        <v>90</v>
      </c>
      <c r="F27" s="79"/>
      <c r="G27" s="591">
        <f>G21+G22+G23</f>
        <v>1316.857</v>
      </c>
      <c r="H27" s="596">
        <f t="shared" si="14"/>
        <v>37.612068851160451</v>
      </c>
      <c r="I27" s="597" t="s">
        <v>90</v>
      </c>
      <c r="J27" s="79"/>
      <c r="K27" s="591">
        <f>K21+K22+K23</f>
        <v>1368.9290000000001</v>
      </c>
      <c r="L27" s="596">
        <f t="shared" si="15"/>
        <v>37.301785045265056</v>
      </c>
      <c r="M27" s="597" t="s">
        <v>90</v>
      </c>
      <c r="N27" s="79"/>
      <c r="O27" s="591">
        <f>O21+O22+O23</f>
        <v>1523.1379999999999</v>
      </c>
      <c r="P27" s="596">
        <f t="shared" si="16"/>
        <v>37.477556763839281</v>
      </c>
      <c r="Q27" s="597" t="s">
        <v>90</v>
      </c>
      <c r="R27" s="79"/>
      <c r="S27" s="591">
        <f>S21+S22+S23</f>
        <v>1663.3960000000002</v>
      </c>
      <c r="T27" s="596">
        <f t="shared" si="17"/>
        <v>37.090942647254579</v>
      </c>
      <c r="U27" s="597" t="s">
        <v>90</v>
      </c>
      <c r="V27" s="79"/>
      <c r="W27" s="591">
        <f>W21+W22+W23</f>
        <v>1649.636</v>
      </c>
      <c r="X27" s="596">
        <f t="shared" si="18"/>
        <v>37.966934721175051</v>
      </c>
      <c r="Y27" s="597">
        <f t="shared" si="19"/>
        <v>0.87599207392047163</v>
      </c>
      <c r="Z27" s="79"/>
      <c r="AA27" s="591">
        <f>AA21+AA22+AA23</f>
        <v>1613.242</v>
      </c>
      <c r="AB27" s="596">
        <f t="shared" si="20"/>
        <v>38.809231023655613</v>
      </c>
      <c r="AC27" s="597">
        <f t="shared" si="21"/>
        <v>0.84229630248056253</v>
      </c>
      <c r="AD27" s="79"/>
      <c r="AE27" s="591">
        <f>AE21+AE22+AE23</f>
        <v>1676.56</v>
      </c>
      <c r="AF27" s="596">
        <f t="shared" si="22"/>
        <v>39.10265258117056</v>
      </c>
      <c r="AG27" s="597">
        <f t="shared" si="23"/>
        <v>0.29342155751494658</v>
      </c>
      <c r="AI27" s="556">
        <f>AI21+AI22+AI23</f>
        <v>1501.9250000000002</v>
      </c>
      <c r="AJ27" s="598">
        <f t="shared" si="24"/>
        <v>37.508191537387724</v>
      </c>
      <c r="AK27" s="599" t="s">
        <v>90</v>
      </c>
      <c r="AM27" s="556">
        <f>AM21+AM22+AM23</f>
        <v>1549.0419999999999</v>
      </c>
      <c r="AN27" s="598">
        <f t="shared" si="25"/>
        <v>37.579252857213085</v>
      </c>
      <c r="AO27" s="580">
        <f>AN27-AJ27</f>
        <v>7.1061319825361124E-2</v>
      </c>
      <c r="AQ27" s="556">
        <f>AQ21+AQ22+AQ23</f>
        <v>1625.163</v>
      </c>
      <c r="AR27" s="598">
        <f t="shared" si="26"/>
        <v>37.996744106370883</v>
      </c>
      <c r="AS27" s="580">
        <f>AR27-AN27</f>
        <v>0.41749124915779845</v>
      </c>
      <c r="AU27" s="556">
        <f>AU21+AU22+AU23</f>
        <v>1757.8131161100039</v>
      </c>
      <c r="AV27" s="598">
        <f t="shared" si="27"/>
        <v>37.544320908530729</v>
      </c>
      <c r="AW27" s="580">
        <f>AV27-AR27</f>
        <v>-0.4524231978401545</v>
      </c>
      <c r="AY27" s="556">
        <f>AY21+AY22+AY23</f>
        <v>1915.817685575641</v>
      </c>
      <c r="AZ27" s="598">
        <f t="shared" si="28"/>
        <v>38.061286960945651</v>
      </c>
      <c r="BA27" s="580">
        <f>AZ27-AV27</f>
        <v>0.51696605241492222</v>
      </c>
      <c r="BC27" s="556">
        <f>BC21+BC22+BC23</f>
        <v>2042.078</v>
      </c>
      <c r="BD27" s="598">
        <f t="shared" si="29"/>
        <v>38.660531752625751</v>
      </c>
      <c r="BE27" s="580">
        <f>BD27-AZ27</f>
        <v>0.59924479168009981</v>
      </c>
      <c r="BG27" s="556">
        <f>BG21+BG22+BG23</f>
        <v>2148.6074859999999</v>
      </c>
      <c r="BH27" s="556"/>
      <c r="BI27" s="598">
        <f>(1-BG27/BG17)*100</f>
        <v>39.614697640327336</v>
      </c>
      <c r="BJ27" s="580">
        <f>BI27-BD27</f>
        <v>0.95416588770158484</v>
      </c>
    </row>
    <row r="28" spans="1:67" outlineLevel="1">
      <c r="A28" s="79"/>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U28" s="562"/>
      <c r="AY28" s="562"/>
      <c r="AZ28" s="598"/>
    </row>
    <row r="29" spans="1:67" outlineLevel="2">
      <c r="A29" s="565" t="s">
        <v>89</v>
      </c>
      <c r="B29" s="566"/>
      <c r="C29" s="566"/>
      <c r="D29" s="566"/>
      <c r="E29" s="566"/>
      <c r="F29" s="566"/>
      <c r="G29" s="566"/>
      <c r="H29" s="566"/>
      <c r="I29" s="566"/>
      <c r="J29" s="566"/>
      <c r="K29" s="566"/>
      <c r="L29" s="566"/>
      <c r="M29" s="566"/>
      <c r="N29" s="566"/>
      <c r="O29" s="566"/>
      <c r="P29" s="566"/>
      <c r="Q29" s="566"/>
      <c r="R29" s="566"/>
      <c r="S29" s="566"/>
      <c r="T29" s="566"/>
      <c r="U29" s="566"/>
      <c r="V29" s="566"/>
      <c r="W29" s="566"/>
      <c r="X29" s="566"/>
      <c r="Y29" s="566"/>
      <c r="Z29" s="566"/>
      <c r="AA29" s="566"/>
      <c r="AB29" s="566"/>
      <c r="AC29" s="566"/>
      <c r="AD29" s="566"/>
      <c r="AE29" s="566"/>
      <c r="AF29" s="566"/>
      <c r="AG29" s="566"/>
      <c r="AH29" s="420"/>
      <c r="AI29" s="420"/>
      <c r="AJ29" s="420"/>
      <c r="AK29" s="420"/>
      <c r="AL29" s="420"/>
      <c r="AM29" s="420"/>
      <c r="AN29" s="420"/>
      <c r="AO29" s="420"/>
      <c r="AP29" s="420"/>
      <c r="AQ29" s="420"/>
      <c r="AR29" s="420"/>
      <c r="AS29" s="420"/>
      <c r="AT29" s="420"/>
      <c r="AU29" s="420"/>
      <c r="AV29" s="420"/>
      <c r="AW29" s="420"/>
      <c r="AX29" s="420"/>
      <c r="AY29" s="420"/>
      <c r="AZ29" s="420"/>
      <c r="BA29" s="420"/>
      <c r="BC29" s="420"/>
      <c r="BD29" s="420"/>
      <c r="BE29" s="420"/>
      <c r="BG29" s="420"/>
      <c r="BH29" s="420"/>
      <c r="BI29" s="420"/>
      <c r="BJ29" s="420"/>
    </row>
    <row r="30" spans="1:67" outlineLevel="1">
      <c r="A30" s="79"/>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row>
    <row r="31" spans="1:67" outlineLevel="1">
      <c r="A31" s="569" t="s">
        <v>79</v>
      </c>
      <c r="B31" s="79"/>
      <c r="C31" s="570">
        <v>180.35900000000001</v>
      </c>
      <c r="D31" s="596">
        <f t="shared" ref="D31:D37" si="30">C31/C11*100</f>
        <v>39.528487143746332</v>
      </c>
      <c r="E31" s="571" t="s">
        <v>90</v>
      </c>
      <c r="F31" s="79"/>
      <c r="G31" s="570">
        <v>194.964</v>
      </c>
      <c r="H31" s="596">
        <f t="shared" ref="H31:H37" si="31">G31/G11*100</f>
        <v>38.055493202424287</v>
      </c>
      <c r="I31" s="602">
        <f>(G31/C31-1)*100</f>
        <v>8.0977383995253902</v>
      </c>
      <c r="J31" s="79"/>
      <c r="K31" s="570">
        <v>204.80699999999999</v>
      </c>
      <c r="L31" s="596">
        <f t="shared" ref="L31:L37" si="32">K31/K11*100</f>
        <v>38.532249901697206</v>
      </c>
      <c r="M31" s="602">
        <f>(K31/G31-1)*100</f>
        <v>5.0486243614205728</v>
      </c>
      <c r="N31" s="79"/>
      <c r="O31" s="570">
        <v>215.53800000000001</v>
      </c>
      <c r="P31" s="596">
        <f t="shared" ref="P31:P37" si="33">O31/O11*100</f>
        <v>37.125942410676608</v>
      </c>
      <c r="Q31" s="602">
        <f>(O31/K31-1)*100</f>
        <v>5.239567006987067</v>
      </c>
      <c r="R31" s="79"/>
      <c r="S31" s="570">
        <v>234.51400000000001</v>
      </c>
      <c r="T31" s="596">
        <f t="shared" ref="T31:T37" si="34">S31/S11*100</f>
        <v>35.631111624317043</v>
      </c>
      <c r="U31" s="602">
        <f>(S31/O31-1)*100</f>
        <v>8.8040159971791496</v>
      </c>
      <c r="V31" s="79"/>
      <c r="W31" s="570">
        <v>247.06</v>
      </c>
      <c r="X31" s="596">
        <f t="shared" ref="X31:X37" si="35">W31/W11*100</f>
        <v>37.192931747221749</v>
      </c>
      <c r="Y31" s="602">
        <f t="shared" ref="Y31:Y37" si="36">(W31/S31-1)*100</f>
        <v>5.3497872195263252</v>
      </c>
      <c r="Z31" s="79"/>
      <c r="AA31" s="570">
        <v>250.887</v>
      </c>
      <c r="AB31" s="596">
        <f t="shared" ref="AB31:AB37" si="37">AA31/AA11*100</f>
        <v>36.596615549335056</v>
      </c>
      <c r="AC31" s="602">
        <f t="shared" ref="AC31:AC37" si="38">(AA31/W31-1)*100</f>
        <v>1.5490164332550682</v>
      </c>
      <c r="AD31" s="79"/>
      <c r="AE31" s="570">
        <v>265.71199999999999</v>
      </c>
      <c r="AF31" s="596">
        <f t="shared" ref="AF31:AF37" si="39">AE31/AE11*100</f>
        <v>37.244559694431786</v>
      </c>
      <c r="AG31" s="602">
        <f t="shared" ref="AG31:AG37" si="40">(AE31/AA31-1)*100</f>
        <v>5.9090347447257052</v>
      </c>
      <c r="AI31" s="574">
        <v>262.108</v>
      </c>
      <c r="AJ31" s="598">
        <f t="shared" ref="AJ31:AJ37" si="41">AI31/AI11*100</f>
        <v>31.577641158349628</v>
      </c>
      <c r="AK31" s="599" t="s">
        <v>90</v>
      </c>
      <c r="AM31" s="574">
        <v>278.52800000000002</v>
      </c>
      <c r="AN31" s="598">
        <f t="shared" ref="AN31:AN37" si="42">AM31/AM11*100</f>
        <v>31.131647363632503</v>
      </c>
      <c r="AO31" s="599">
        <f t="shared" ref="AO31:AO37" si="43">(AM31/AI31-1)*100</f>
        <v>6.2645932211149669</v>
      </c>
      <c r="AQ31" s="574">
        <v>288.82799999999997</v>
      </c>
      <c r="AR31" s="598">
        <f t="shared" ref="AR31:AR37" si="44">AQ31/AQ11*100</f>
        <v>31.087493985992609</v>
      </c>
      <c r="AS31" s="599">
        <f t="shared" ref="AS31:AS37" si="45">(AQ31/AM31-1)*100</f>
        <v>3.6980124080882248</v>
      </c>
      <c r="AU31" s="574">
        <v>307.61028961</v>
      </c>
      <c r="AV31" s="598">
        <f t="shared" ref="AV31:AV37" si="46">AU31/AU11*100</f>
        <v>31.311427792532047</v>
      </c>
      <c r="AW31" s="599">
        <f t="shared" ref="AW31:AW37" si="47">(AU31/AQ31-1)*100</f>
        <v>6.5029324061379068</v>
      </c>
      <c r="AY31" s="574">
        <v>328.22728481000001</v>
      </c>
      <c r="AZ31" s="598">
        <f t="shared" ref="AZ31:AZ37" si="48">AY31/AY11*100</f>
        <v>30.819075367355893</v>
      </c>
      <c r="BA31" s="599">
        <f t="shared" ref="BA31:BA37" si="49">(AY31/AU31-1)*100</f>
        <v>6.7023099994928836</v>
      </c>
      <c r="BB31" s="559"/>
      <c r="BC31" s="822">
        <f>347.021</f>
        <v>347.02100000000002</v>
      </c>
      <c r="BD31" s="598">
        <f t="shared" ref="BD31:BD37" si="50">BC31/BC11*100</f>
        <v>30.756938283334918</v>
      </c>
      <c r="BE31" s="599">
        <f t="shared" ref="BE31:BE37" si="51">(BC31/AY31-1)*100</f>
        <v>5.7258235557348769</v>
      </c>
      <c r="BF31" s="559"/>
      <c r="BG31" s="822">
        <v>377.67899999999997</v>
      </c>
      <c r="BH31" s="822"/>
      <c r="BI31" s="598">
        <f>BG31/BG11*100</f>
        <v>31.923936168863936</v>
      </c>
      <c r="BJ31" s="599">
        <f t="shared" ref="BJ31:BJ37" si="52">(BG31/BC31-1)*100</f>
        <v>8.8346238412084546</v>
      </c>
      <c r="BK31" s="559"/>
    </row>
    <row r="32" spans="1:67" outlineLevel="1">
      <c r="A32" s="569" t="s">
        <v>80</v>
      </c>
      <c r="B32" s="79"/>
      <c r="C32" s="581">
        <v>219.374</v>
      </c>
      <c r="D32" s="596">
        <f t="shared" si="30"/>
        <v>29.22952291871524</v>
      </c>
      <c r="E32" s="571" t="s">
        <v>90</v>
      </c>
      <c r="F32" s="79"/>
      <c r="G32" s="581">
        <v>230.17599999999999</v>
      </c>
      <c r="H32" s="596">
        <f t="shared" si="31"/>
        <v>29.107058628638917</v>
      </c>
      <c r="I32" s="602">
        <f>(G32/C32-1)*100</f>
        <v>4.9240110496230116</v>
      </c>
      <c r="J32" s="79"/>
      <c r="K32" s="581">
        <v>240.09200000000001</v>
      </c>
      <c r="L32" s="596">
        <f t="shared" si="32"/>
        <v>30.235811929753858</v>
      </c>
      <c r="M32" s="602">
        <f>(K32/G32-1)*100</f>
        <v>4.308007785346879</v>
      </c>
      <c r="N32" s="79"/>
      <c r="O32" s="581">
        <v>251.96</v>
      </c>
      <c r="P32" s="596">
        <f t="shared" si="33"/>
        <v>28.632924453899356</v>
      </c>
      <c r="Q32" s="602">
        <f>(O32/K32-1)*100</f>
        <v>4.9431051430285144</v>
      </c>
      <c r="R32" s="79"/>
      <c r="S32" s="581">
        <v>264.15300000000002</v>
      </c>
      <c r="T32" s="596">
        <f t="shared" si="34"/>
        <v>27.691141660883549</v>
      </c>
      <c r="U32" s="602">
        <f>(S32/O32-1)*100</f>
        <v>4.8392602000317586</v>
      </c>
      <c r="V32" s="79"/>
      <c r="W32" s="581">
        <v>287.58100000000002</v>
      </c>
      <c r="X32" s="596">
        <f t="shared" si="35"/>
        <v>28.847498397533961</v>
      </c>
      <c r="Y32" s="602">
        <f t="shared" si="36"/>
        <v>8.8691023762743626</v>
      </c>
      <c r="Z32" s="79"/>
      <c r="AA32" s="581">
        <v>278.40100000000001</v>
      </c>
      <c r="AB32" s="596">
        <f t="shared" si="37"/>
        <v>29.132078551688849</v>
      </c>
      <c r="AC32" s="602">
        <f t="shared" si="38"/>
        <v>-3.1921441263504935</v>
      </c>
      <c r="AD32" s="79"/>
      <c r="AE32" s="581">
        <v>306.19400000000002</v>
      </c>
      <c r="AF32" s="596">
        <f t="shared" si="39"/>
        <v>30.307475462539546</v>
      </c>
      <c r="AG32" s="602">
        <f t="shared" si="40"/>
        <v>9.9830819573205609</v>
      </c>
      <c r="AI32" s="582">
        <v>266.541</v>
      </c>
      <c r="AJ32" s="598">
        <f t="shared" si="41"/>
        <v>38.024160530002369</v>
      </c>
      <c r="AK32" s="599" t="s">
        <v>90</v>
      </c>
      <c r="AM32" s="582">
        <v>271.779</v>
      </c>
      <c r="AN32" s="598">
        <f t="shared" si="42"/>
        <v>37.293859348198971</v>
      </c>
      <c r="AO32" s="599">
        <f t="shared" si="43"/>
        <v>1.9651760892320569</v>
      </c>
      <c r="AQ32" s="582">
        <v>276.70499999999998</v>
      </c>
      <c r="AR32" s="598">
        <f t="shared" si="44"/>
        <v>34.878092743546659</v>
      </c>
      <c r="AS32" s="599">
        <f t="shared" si="45"/>
        <v>1.8125020696963201</v>
      </c>
      <c r="AU32" s="582">
        <v>302.37329693999999</v>
      </c>
      <c r="AV32" s="598">
        <f t="shared" si="46"/>
        <v>34.989570387875943</v>
      </c>
      <c r="AW32" s="599">
        <f t="shared" si="47"/>
        <v>9.2764124031007746</v>
      </c>
      <c r="AY32" s="582">
        <f>329.834673609428+1</f>
        <v>330.83467360942802</v>
      </c>
      <c r="AZ32" s="598">
        <f t="shared" si="48"/>
        <v>34.334242138411597</v>
      </c>
      <c r="BA32" s="599">
        <f t="shared" si="49"/>
        <v>9.4126620827485361</v>
      </c>
      <c r="BB32" s="559"/>
      <c r="BC32" s="583">
        <v>350.02600000000001</v>
      </c>
      <c r="BD32" s="598">
        <f t="shared" si="50"/>
        <v>33.54085595655728</v>
      </c>
      <c r="BE32" s="599">
        <f t="shared" si="51"/>
        <v>5.8008812018381706</v>
      </c>
      <c r="BF32" s="559"/>
      <c r="BG32" s="583">
        <v>381.60599999999999</v>
      </c>
      <c r="BH32" s="583"/>
      <c r="BI32" s="598">
        <f>BG32/BG12*100</f>
        <v>33.35081251999182</v>
      </c>
      <c r="BJ32" s="599">
        <f t="shared" si="52"/>
        <v>9.022186923257113</v>
      </c>
      <c r="BK32" s="559"/>
    </row>
    <row r="33" spans="1:63" outlineLevel="1">
      <c r="A33" s="569" t="s">
        <v>81</v>
      </c>
      <c r="B33" s="79"/>
      <c r="C33" s="581">
        <v>207.62100000000001</v>
      </c>
      <c r="D33" s="596">
        <f t="shared" si="30"/>
        <v>26.362931068416064</v>
      </c>
      <c r="E33" s="571" t="s">
        <v>90</v>
      </c>
      <c r="F33" s="79"/>
      <c r="G33" s="581">
        <v>214.08</v>
      </c>
      <c r="H33" s="596">
        <f t="shared" si="31"/>
        <v>26.506531294496384</v>
      </c>
      <c r="I33" s="602">
        <f>(G33/C33-1)*100</f>
        <v>3.1109569841200946</v>
      </c>
      <c r="J33" s="79"/>
      <c r="K33" s="581">
        <v>225.79</v>
      </c>
      <c r="L33" s="596">
        <f t="shared" si="32"/>
        <v>26.322722948648597</v>
      </c>
      <c r="M33" s="602">
        <f>(K33/G33-1)*100</f>
        <v>5.469917787742884</v>
      </c>
      <c r="N33" s="79"/>
      <c r="O33" s="581">
        <v>236.82300000000001</v>
      </c>
      <c r="P33" s="596">
        <f t="shared" si="33"/>
        <v>24.274077741254033</v>
      </c>
      <c r="Q33" s="602">
        <f>(O33/K33-1)*100</f>
        <v>4.8863988662031232</v>
      </c>
      <c r="R33" s="79"/>
      <c r="S33" s="581">
        <v>267.34199999999998</v>
      </c>
      <c r="T33" s="596">
        <f t="shared" si="34"/>
        <v>25.904479520944157</v>
      </c>
      <c r="U33" s="602">
        <f>(S33/O33-1)*100</f>
        <v>12.886839538389427</v>
      </c>
      <c r="V33" s="79"/>
      <c r="W33" s="581">
        <v>256.31900000000002</v>
      </c>
      <c r="X33" s="596">
        <f t="shared" si="35"/>
        <v>25.680230193223647</v>
      </c>
      <c r="Y33" s="602">
        <f t="shared" si="36"/>
        <v>-4.1231830389538366</v>
      </c>
      <c r="Z33" s="79"/>
      <c r="AA33" s="581">
        <v>273.50400000000002</v>
      </c>
      <c r="AB33" s="596">
        <f t="shared" si="37"/>
        <v>27.48187328178004</v>
      </c>
      <c r="AC33" s="602">
        <f t="shared" si="38"/>
        <v>6.7045361444137974</v>
      </c>
      <c r="AD33" s="79"/>
      <c r="AE33" s="581">
        <v>265.63900000000001</v>
      </c>
      <c r="AF33" s="596">
        <f t="shared" si="39"/>
        <v>25.805853066180934</v>
      </c>
      <c r="AG33" s="602">
        <f t="shared" si="40"/>
        <v>-2.8756435006434988</v>
      </c>
      <c r="AI33" s="582">
        <v>281.56900000000002</v>
      </c>
      <c r="AJ33" s="598">
        <f t="shared" si="41"/>
        <v>32.276179711912555</v>
      </c>
      <c r="AK33" s="599" t="s">
        <v>90</v>
      </c>
      <c r="AM33" s="582">
        <v>285.61799999999999</v>
      </c>
      <c r="AN33" s="598">
        <f t="shared" si="42"/>
        <v>33.28159629730618</v>
      </c>
      <c r="AO33" s="599">
        <f t="shared" si="43"/>
        <v>1.4380134176702697</v>
      </c>
      <c r="AQ33" s="582">
        <v>317.13400000000001</v>
      </c>
      <c r="AR33" s="598">
        <f t="shared" si="44"/>
        <v>35.289535676888889</v>
      </c>
      <c r="AS33" s="599">
        <f t="shared" si="45"/>
        <v>11.034318565356527</v>
      </c>
      <c r="AU33" s="582">
        <v>334.60977902000002</v>
      </c>
      <c r="AV33" s="598">
        <f t="shared" si="46"/>
        <v>34.570917660424392</v>
      </c>
      <c r="AW33" s="599">
        <f t="shared" si="47"/>
        <v>5.5105346698871793</v>
      </c>
      <c r="AY33" s="582">
        <f>363.149-0.7</f>
        <v>362.44900000000001</v>
      </c>
      <c r="AZ33" s="598">
        <f t="shared" si="48"/>
        <v>34.048691312933187</v>
      </c>
      <c r="BA33" s="599">
        <f t="shared" si="49"/>
        <v>8.3199065674455461</v>
      </c>
      <c r="BB33" s="559"/>
      <c r="BC33" s="583">
        <v>396.71300000000002</v>
      </c>
      <c r="BD33" s="598">
        <f t="shared" si="50"/>
        <v>34.279421269653639</v>
      </c>
      <c r="BE33" s="599">
        <f t="shared" si="51"/>
        <v>9.4534679361786047</v>
      </c>
      <c r="BF33" s="559"/>
      <c r="BG33" s="562">
        <f>BG13*BI33/100</f>
        <v>423.42478399999999</v>
      </c>
      <c r="BH33" s="562"/>
      <c r="BI33" s="601">
        <v>34.4</v>
      </c>
      <c r="BJ33" s="599">
        <f t="shared" si="52"/>
        <v>6.7332767012928674</v>
      </c>
      <c r="BK33" s="559"/>
    </row>
    <row r="34" spans="1:63" outlineLevel="1">
      <c r="A34" s="569" t="s">
        <v>82</v>
      </c>
      <c r="B34" s="79"/>
      <c r="C34" s="585">
        <v>211.83099999999999</v>
      </c>
      <c r="D34" s="596">
        <f t="shared" si="30"/>
        <v>34.795356698768536</v>
      </c>
      <c r="E34" s="571" t="s">
        <v>90</v>
      </c>
      <c r="F34" s="79"/>
      <c r="G34" s="585">
        <v>219.03200000000001</v>
      </c>
      <c r="H34" s="596">
        <f t="shared" si="31"/>
        <v>35.942356226964975</v>
      </c>
      <c r="I34" s="602">
        <f>(G34/C34-1)*100</f>
        <v>3.3994080186563913</v>
      </c>
      <c r="J34" s="79"/>
      <c r="K34" s="585">
        <v>233.75200000000001</v>
      </c>
      <c r="L34" s="596">
        <f t="shared" si="32"/>
        <v>34.133348909202418</v>
      </c>
      <c r="M34" s="602">
        <f>(K34/G34-1)*100</f>
        <v>6.7204791993863866</v>
      </c>
      <c r="N34" s="79"/>
      <c r="O34" s="585">
        <v>253.739</v>
      </c>
      <c r="P34" s="596">
        <f t="shared" si="33"/>
        <v>33.225218477557767</v>
      </c>
      <c r="Q34" s="602">
        <f>(O34/K34-1)*100</f>
        <v>8.5505150758068424</v>
      </c>
      <c r="R34" s="79"/>
      <c r="S34" s="586">
        <f>S35-SUM(S31:S33)</f>
        <v>285.91300000000001</v>
      </c>
      <c r="T34" s="596">
        <f t="shared" si="34"/>
        <v>34.596321993741711</v>
      </c>
      <c r="U34" s="602">
        <f>(S34/O34-1)*100</f>
        <v>12.679958540074644</v>
      </c>
      <c r="V34" s="79"/>
      <c r="W34" s="585">
        <f>W35-SUM(W31:W33)</f>
        <v>271.50800000000004</v>
      </c>
      <c r="X34" s="596">
        <f t="shared" si="35"/>
        <v>34.703716958944732</v>
      </c>
      <c r="Y34" s="602">
        <f t="shared" si="36"/>
        <v>-5.0382458999765571</v>
      </c>
      <c r="Z34" s="79"/>
      <c r="AA34" s="585">
        <f>AA35-SUM(AA31:AA33)</f>
        <v>288.03699999999992</v>
      </c>
      <c r="AB34" s="596">
        <f t="shared" si="37"/>
        <v>36.573386882760509</v>
      </c>
      <c r="AC34" s="602">
        <f t="shared" si="38"/>
        <v>6.0878500817655112</v>
      </c>
      <c r="AD34" s="79"/>
      <c r="AE34" s="586">
        <f>AE35-SUM(AE31:AE33)</f>
        <v>277.70300000000009</v>
      </c>
      <c r="AF34" s="596">
        <f t="shared" si="39"/>
        <v>33.93761266078031</v>
      </c>
      <c r="AG34" s="602">
        <f t="shared" si="40"/>
        <v>-3.5877335203462923</v>
      </c>
      <c r="AI34" s="557">
        <f>AI35-SUM(AI31:AI33)</f>
        <v>303.74199999999996</v>
      </c>
      <c r="AJ34" s="598">
        <f t="shared" si="41"/>
        <v>27.131473427427316</v>
      </c>
      <c r="AK34" s="599" t="s">
        <v>90</v>
      </c>
      <c r="AM34" s="557">
        <f>AM35-SUM(AM31:AM33)</f>
        <v>315.5590000000002</v>
      </c>
      <c r="AN34" s="598">
        <f t="shared" si="42"/>
        <v>26.5624736950205</v>
      </c>
      <c r="AO34" s="599">
        <f t="shared" si="43"/>
        <v>3.8904728354986151</v>
      </c>
      <c r="AQ34" s="557">
        <f>AQ35-SUM(AQ31:AQ33)</f>
        <v>336.26</v>
      </c>
      <c r="AR34" s="598">
        <f t="shared" si="44"/>
        <v>27.270788238185101</v>
      </c>
      <c r="AS34" s="599">
        <f t="shared" si="45"/>
        <v>6.5601044495640304</v>
      </c>
      <c r="AU34" s="557">
        <f>AU35-SUM(AU31:AU33)</f>
        <v>344.58080431300016</v>
      </c>
      <c r="AV34" s="598">
        <f t="shared" si="46"/>
        <v>27.292722089662252</v>
      </c>
      <c r="AW34" s="599">
        <f t="shared" si="47"/>
        <v>2.4745150517457182</v>
      </c>
      <c r="AY34" s="587">
        <f>374.178</f>
        <v>374.178</v>
      </c>
      <c r="AZ34" s="598">
        <f t="shared" si="48"/>
        <v>28.043502211309946</v>
      </c>
      <c r="BA34" s="599">
        <f t="shared" si="49"/>
        <v>8.589333856251379</v>
      </c>
      <c r="BB34" s="559"/>
      <c r="BC34" s="818">
        <f>427.168-9.28</f>
        <v>417.88800000000003</v>
      </c>
      <c r="BD34" s="598">
        <f t="shared" si="50"/>
        <v>28.133747867523201</v>
      </c>
      <c r="BE34" s="599">
        <f t="shared" si="51"/>
        <v>11.681606080528528</v>
      </c>
      <c r="BF34" s="559"/>
      <c r="BG34" s="588">
        <f>BG14*BI34/100</f>
        <v>436.65393460000001</v>
      </c>
      <c r="BH34" s="761"/>
      <c r="BI34" s="601">
        <v>28.34</v>
      </c>
      <c r="BJ34" s="599">
        <f t="shared" si="52"/>
        <v>4.4906612776629107</v>
      </c>
      <c r="BK34" s="559"/>
    </row>
    <row r="35" spans="1:63" outlineLevel="1">
      <c r="A35" s="569" t="s">
        <v>85</v>
      </c>
      <c r="B35" s="79"/>
      <c r="C35" s="590">
        <f>'yrP&amp;L'!D14</f>
        <v>801.09</v>
      </c>
      <c r="D35" s="596">
        <f t="shared" si="30"/>
        <v>31.369077010851072</v>
      </c>
      <c r="E35" s="571" t="s">
        <v>90</v>
      </c>
      <c r="F35" s="79"/>
      <c r="G35" s="590">
        <f>'yrP&amp;L'!E14</f>
        <v>838.74</v>
      </c>
      <c r="H35" s="596">
        <f t="shared" si="31"/>
        <v>31.318144614447107</v>
      </c>
      <c r="I35" s="602">
        <f>(G35/C35-1)*100</f>
        <v>4.6998464591993416</v>
      </c>
      <c r="J35" s="79"/>
      <c r="K35" s="590">
        <f>'yrP&amp;L'!F14</f>
        <v>900.05899999999997</v>
      </c>
      <c r="L35" s="596">
        <f t="shared" si="32"/>
        <v>31.471034559923915</v>
      </c>
      <c r="M35" s="602">
        <f>(K35/G35-1)*100</f>
        <v>7.3108472232157773</v>
      </c>
      <c r="N35" s="79"/>
      <c r="O35" s="590">
        <f>'yrP&amp;L'!G14</f>
        <v>957.75900000000001</v>
      </c>
      <c r="P35" s="596">
        <f t="shared" si="33"/>
        <v>29.93146532326616</v>
      </c>
      <c r="Q35" s="602">
        <f>(O35/K35-1)*100</f>
        <v>6.4106908547106434</v>
      </c>
      <c r="R35" s="79"/>
      <c r="S35" s="590">
        <f>'yrP&amp;L'!H14</f>
        <v>1051.922</v>
      </c>
      <c r="T35" s="596">
        <f t="shared" si="34"/>
        <v>30.309915938492814</v>
      </c>
      <c r="U35" s="602">
        <f>(S35/O35-1)*100</f>
        <v>9.8315964663344246</v>
      </c>
      <c r="V35" s="79"/>
      <c r="W35" s="590">
        <f>'yrP&amp;L'!I14</f>
        <v>1062.4680000000001</v>
      </c>
      <c r="X35" s="596">
        <f t="shared" si="35"/>
        <v>30.870935264967773</v>
      </c>
      <c r="Y35" s="602">
        <f t="shared" si="36"/>
        <v>1.002545816134659</v>
      </c>
      <c r="Z35" s="79"/>
      <c r="AA35" s="590">
        <f>'yrP&amp;L'!J14</f>
        <v>1090.829</v>
      </c>
      <c r="AB35" s="596">
        <f t="shared" si="37"/>
        <v>31.858574819369196</v>
      </c>
      <c r="AC35" s="602">
        <f t="shared" si="38"/>
        <v>2.6693509828060513</v>
      </c>
      <c r="AD35" s="590"/>
      <c r="AE35" s="590">
        <f>'yrP&amp;L'!K14</f>
        <v>1115.248</v>
      </c>
      <c r="AF35" s="596">
        <f t="shared" si="39"/>
        <v>31.227482361795918</v>
      </c>
      <c r="AG35" s="602">
        <f t="shared" si="40"/>
        <v>2.2385726818777263</v>
      </c>
      <c r="AI35" s="574">
        <v>1113.96</v>
      </c>
      <c r="AJ35" s="598">
        <f t="shared" si="41"/>
        <v>31.620414236623436</v>
      </c>
      <c r="AK35" s="599" t="s">
        <v>90</v>
      </c>
      <c r="AM35" s="574">
        <f>1153.573-4.289+2.2</f>
        <v>1151.4840000000002</v>
      </c>
      <c r="AN35" s="598">
        <f t="shared" si="42"/>
        <v>31.378988784069779</v>
      </c>
      <c r="AO35" s="599">
        <f t="shared" si="43"/>
        <v>3.3685231067542842</v>
      </c>
      <c r="AQ35" s="574">
        <f>1215.774-4.285+7.438</f>
        <v>1218.9269999999999</v>
      </c>
      <c r="AR35" s="598">
        <f t="shared" si="44"/>
        <v>31.626482109859179</v>
      </c>
      <c r="AS35" s="599">
        <f t="shared" si="45"/>
        <v>5.8570505538939166</v>
      </c>
      <c r="AU35" s="574">
        <v>1289.1741698830001</v>
      </c>
      <c r="AV35" s="598">
        <f t="shared" si="46"/>
        <v>31.620391583440181</v>
      </c>
      <c r="AW35" s="599">
        <f t="shared" si="47"/>
        <v>5.7630333796035549</v>
      </c>
      <c r="AY35" s="574">
        <f>1391.788</f>
        <v>1391.788</v>
      </c>
      <c r="AZ35" s="598">
        <f t="shared" si="48"/>
        <v>31.435054928251887</v>
      </c>
      <c r="BA35" s="599">
        <f t="shared" si="49"/>
        <v>7.9596560739587874</v>
      </c>
      <c r="BC35" s="559">
        <f>SUM(BC31:BC34)</f>
        <v>1511.6480000000001</v>
      </c>
      <c r="BD35" s="598">
        <f t="shared" si="50"/>
        <v>31.397793002145185</v>
      </c>
      <c r="BE35" s="599">
        <f t="shared" si="51"/>
        <v>8.6119437730459047</v>
      </c>
      <c r="BG35" s="559">
        <f>SUM(BG31:BG34)</f>
        <v>1619.3637185999999</v>
      </c>
      <c r="BH35" s="559"/>
      <c r="BI35" s="598">
        <f>BG35/BG15*100</f>
        <v>31.758880459672728</v>
      </c>
      <c r="BJ35" s="599">
        <f t="shared" si="52"/>
        <v>7.1257143594275707</v>
      </c>
    </row>
    <row r="36" spans="1:63" outlineLevel="2">
      <c r="A36" s="569" t="s">
        <v>87</v>
      </c>
      <c r="B36" s="79"/>
      <c r="C36" s="591">
        <f>C31+C32</f>
        <v>399.733</v>
      </c>
      <c r="D36" s="596">
        <f t="shared" si="30"/>
        <v>33.123439051108797</v>
      </c>
      <c r="E36" s="571" t="s">
        <v>90</v>
      </c>
      <c r="F36" s="79"/>
      <c r="G36" s="591">
        <f>G31+G32</f>
        <v>425.14</v>
      </c>
      <c r="H36" s="596">
        <f t="shared" si="31"/>
        <v>32.625127963496439</v>
      </c>
      <c r="I36" s="603" t="s">
        <v>90</v>
      </c>
      <c r="J36" s="79"/>
      <c r="K36" s="591">
        <f>K31+K32</f>
        <v>444.899</v>
      </c>
      <c r="L36" s="596">
        <f t="shared" si="32"/>
        <v>33.56243955503453</v>
      </c>
      <c r="M36" s="603" t="s">
        <v>90</v>
      </c>
      <c r="N36" s="79"/>
      <c r="O36" s="591">
        <f>O31+O32</f>
        <v>467.49800000000005</v>
      </c>
      <c r="P36" s="596">
        <f t="shared" si="33"/>
        <v>32.008900908919742</v>
      </c>
      <c r="Q36" s="603" t="s">
        <v>90</v>
      </c>
      <c r="R36" s="79"/>
      <c r="S36" s="591">
        <f>S31+S32</f>
        <v>498.66700000000003</v>
      </c>
      <c r="T36" s="596">
        <f t="shared" si="34"/>
        <v>30.932796889519125</v>
      </c>
      <c r="U36" s="603" t="s">
        <v>90</v>
      </c>
      <c r="V36" s="79"/>
      <c r="W36" s="591">
        <f>W31+W32</f>
        <v>534.64100000000008</v>
      </c>
      <c r="X36" s="596">
        <f t="shared" si="35"/>
        <v>32.18466295080507</v>
      </c>
      <c r="Y36" s="602">
        <f t="shared" si="36"/>
        <v>7.2140326109407793</v>
      </c>
      <c r="Z36" s="79"/>
      <c r="AA36" s="591">
        <f>AA31+AA32</f>
        <v>529.28800000000001</v>
      </c>
      <c r="AB36" s="596">
        <f t="shared" si="37"/>
        <v>32.250100231660042</v>
      </c>
      <c r="AC36" s="602">
        <f t="shared" si="38"/>
        <v>-1.0012326028119967</v>
      </c>
      <c r="AD36" s="79"/>
      <c r="AE36" s="591">
        <f>AE31+AE32</f>
        <v>571.90599999999995</v>
      </c>
      <c r="AF36" s="596">
        <f t="shared" si="39"/>
        <v>33.178648235180134</v>
      </c>
      <c r="AG36" s="602">
        <f t="shared" si="40"/>
        <v>8.0519490334184596</v>
      </c>
      <c r="AI36" s="556">
        <f>AI31+AI32</f>
        <v>528.649</v>
      </c>
      <c r="AJ36" s="598">
        <f t="shared" si="41"/>
        <v>34.529180200663475</v>
      </c>
      <c r="AK36" s="599" t="s">
        <v>90</v>
      </c>
      <c r="AM36" s="556">
        <f>AM31+AM32</f>
        <v>550.30700000000002</v>
      </c>
      <c r="AN36" s="598">
        <f t="shared" si="42"/>
        <v>33.897838401210286</v>
      </c>
      <c r="AO36" s="599">
        <f t="shared" si="43"/>
        <v>4.0968582178345203</v>
      </c>
      <c r="AQ36" s="556">
        <f>AQ31+AQ32</f>
        <v>565.5329999999999</v>
      </c>
      <c r="AR36" s="598">
        <f t="shared" si="44"/>
        <v>32.833438804479712</v>
      </c>
      <c r="AS36" s="599">
        <f t="shared" si="45"/>
        <v>2.7668192481650866</v>
      </c>
      <c r="AU36" s="556">
        <f>AU31+AU32</f>
        <v>609.98358654999993</v>
      </c>
      <c r="AV36" s="598">
        <f t="shared" si="46"/>
        <v>33.032740787708789</v>
      </c>
      <c r="AW36" s="599">
        <f t="shared" si="47"/>
        <v>7.8599456707212578</v>
      </c>
      <c r="AY36" s="556">
        <f>AY31+AY32</f>
        <v>659.06195841942804</v>
      </c>
      <c r="AZ36" s="598">
        <f t="shared" si="48"/>
        <v>32.488767822226215</v>
      </c>
      <c r="BA36" s="599">
        <f t="shared" si="49"/>
        <v>8.0458512247862259</v>
      </c>
      <c r="BC36" s="556">
        <f>BC31+BC32</f>
        <v>697.04700000000003</v>
      </c>
      <c r="BD36" s="598">
        <f t="shared" si="50"/>
        <v>32.09461979418468</v>
      </c>
      <c r="BE36" s="599">
        <f t="shared" si="51"/>
        <v>5.7635008507649577</v>
      </c>
      <c r="BG36" s="556">
        <f>BG31+BG32</f>
        <v>759.28499999999997</v>
      </c>
      <c r="BH36" s="556"/>
      <c r="BI36" s="598">
        <f>BG36/BG16*100</f>
        <v>32.625467445430864</v>
      </c>
      <c r="BJ36" s="599">
        <f t="shared" si="52"/>
        <v>8.9288096785439031</v>
      </c>
    </row>
    <row r="37" spans="1:63" outlineLevel="2">
      <c r="A37" s="569" t="s">
        <v>88</v>
      </c>
      <c r="B37" s="79"/>
      <c r="C37" s="591">
        <f>C31+C32+C33</f>
        <v>607.35400000000004</v>
      </c>
      <c r="D37" s="596">
        <f t="shared" si="30"/>
        <v>30.453777602393167</v>
      </c>
      <c r="E37" s="571" t="s">
        <v>90</v>
      </c>
      <c r="F37" s="79"/>
      <c r="G37" s="591">
        <f>G31+G32+G33</f>
        <v>639.22</v>
      </c>
      <c r="H37" s="596">
        <f t="shared" si="31"/>
        <v>30.283936182107261</v>
      </c>
      <c r="I37" s="603" t="s">
        <v>90</v>
      </c>
      <c r="J37" s="79"/>
      <c r="K37" s="591">
        <f>K31+K32+K33</f>
        <v>670.68899999999996</v>
      </c>
      <c r="L37" s="596">
        <f t="shared" si="32"/>
        <v>30.718176830044669</v>
      </c>
      <c r="M37" s="603" t="s">
        <v>90</v>
      </c>
      <c r="N37" s="79"/>
      <c r="O37" s="591">
        <f>O31+O32+O33</f>
        <v>704.32100000000003</v>
      </c>
      <c r="P37" s="596">
        <f t="shared" si="33"/>
        <v>28.911280358402163</v>
      </c>
      <c r="Q37" s="603" t="s">
        <v>90</v>
      </c>
      <c r="R37" s="79"/>
      <c r="S37" s="591">
        <f>S31+S32+S33</f>
        <v>766.00900000000001</v>
      </c>
      <c r="T37" s="596">
        <f t="shared" si="34"/>
        <v>28.970193576105245</v>
      </c>
      <c r="U37" s="603" t="s">
        <v>90</v>
      </c>
      <c r="V37" s="79"/>
      <c r="W37" s="591">
        <f>W31+W32+W33</f>
        <v>790.96</v>
      </c>
      <c r="X37" s="596">
        <f t="shared" si="35"/>
        <v>29.743333264392501</v>
      </c>
      <c r="Y37" s="602">
        <f t="shared" si="36"/>
        <v>3.2572724341358938</v>
      </c>
      <c r="Z37" s="79"/>
      <c r="AA37" s="591">
        <f>AA31+AA32+AA33</f>
        <v>802.79200000000003</v>
      </c>
      <c r="AB37" s="596">
        <f t="shared" si="37"/>
        <v>30.450149331630012</v>
      </c>
      <c r="AC37" s="602">
        <f t="shared" si="38"/>
        <v>1.4959037119449681</v>
      </c>
      <c r="AD37" s="79"/>
      <c r="AE37" s="591">
        <f>AE31+AE32+AE33</f>
        <v>837.54499999999996</v>
      </c>
      <c r="AF37" s="596">
        <f t="shared" si="39"/>
        <v>30.421976454110506</v>
      </c>
      <c r="AG37" s="602">
        <f t="shared" si="40"/>
        <v>4.329016731606683</v>
      </c>
      <c r="AI37" s="556">
        <f>AI31+AI32+AI33</f>
        <v>810.21800000000007</v>
      </c>
      <c r="AJ37" s="598">
        <f t="shared" si="41"/>
        <v>33.711395754755259</v>
      </c>
      <c r="AK37" s="599" t="s">
        <v>90</v>
      </c>
      <c r="AM37" s="556">
        <f>AM31+AM32+AM33</f>
        <v>835.92499999999995</v>
      </c>
      <c r="AN37" s="598">
        <f t="shared" si="42"/>
        <v>33.684730985560208</v>
      </c>
      <c r="AO37" s="599">
        <f t="shared" si="43"/>
        <v>3.1728497762330443</v>
      </c>
      <c r="AQ37" s="556">
        <f>AQ31+AQ32+AQ33</f>
        <v>882.66699999999992</v>
      </c>
      <c r="AR37" s="598">
        <f t="shared" si="44"/>
        <v>33.675531543520201</v>
      </c>
      <c r="AS37" s="599">
        <f t="shared" si="45"/>
        <v>5.5916499685976673</v>
      </c>
      <c r="AU37" s="556">
        <f>AU31+AU32+AU33</f>
        <v>944.59336556999995</v>
      </c>
      <c r="AV37" s="598">
        <f t="shared" si="46"/>
        <v>33.561713455936534</v>
      </c>
      <c r="AW37" s="599">
        <f t="shared" si="47"/>
        <v>7.0158242655497638</v>
      </c>
      <c r="AY37" s="556">
        <f>AY31+AY32+AY33</f>
        <v>1021.5109584194281</v>
      </c>
      <c r="AZ37" s="598">
        <f t="shared" si="48"/>
        <v>33.025623782557076</v>
      </c>
      <c r="BA37" s="599">
        <f t="shared" si="49"/>
        <v>8.1429317262898149</v>
      </c>
      <c r="BC37" s="556">
        <f>BC31+BC32+BC33</f>
        <v>1093.76</v>
      </c>
      <c r="BD37" s="598">
        <f t="shared" si="50"/>
        <v>32.854110758868202</v>
      </c>
      <c r="BE37" s="599">
        <f t="shared" si="51"/>
        <v>7.0727622631050258</v>
      </c>
      <c r="BG37" s="556">
        <f>BG31+BG32+BG33</f>
        <v>1182.7097839999999</v>
      </c>
      <c r="BH37" s="556"/>
      <c r="BI37" s="598">
        <f>BG37/BG17*100</f>
        <v>33.2393368150925</v>
      </c>
      <c r="BJ37" s="599">
        <f t="shared" si="52"/>
        <v>8.1324773259215952</v>
      </c>
    </row>
    <row r="38" spans="1:63" outlineLevel="2">
      <c r="A38" s="569"/>
      <c r="B38" s="79"/>
      <c r="C38" s="591"/>
      <c r="D38" s="596"/>
      <c r="E38" s="571"/>
      <c r="F38" s="79"/>
      <c r="G38" s="591"/>
      <c r="H38" s="596"/>
      <c r="I38" s="603"/>
      <c r="J38" s="79"/>
      <c r="K38" s="591"/>
      <c r="L38" s="596"/>
      <c r="M38" s="603"/>
      <c r="N38" s="79"/>
      <c r="O38" s="591"/>
      <c r="P38" s="596"/>
      <c r="Q38" s="603"/>
      <c r="R38" s="79"/>
      <c r="S38" s="591"/>
      <c r="T38" s="596"/>
      <c r="U38" s="603"/>
      <c r="V38" s="79"/>
      <c r="W38" s="591"/>
      <c r="X38" s="596"/>
      <c r="Y38" s="602"/>
      <c r="Z38" s="79"/>
      <c r="AA38" s="591"/>
      <c r="AB38" s="596"/>
      <c r="AC38" s="602"/>
      <c r="AD38" s="79"/>
      <c r="AE38" s="591"/>
      <c r="AF38" s="596"/>
      <c r="AG38" s="602"/>
      <c r="AI38" s="556"/>
      <c r="AJ38" s="598"/>
      <c r="AK38" s="599"/>
      <c r="AM38" s="556"/>
      <c r="AN38" s="598"/>
      <c r="AO38" s="599"/>
      <c r="AQ38" s="556"/>
      <c r="AR38" s="598"/>
      <c r="AS38" s="599"/>
      <c r="AU38" s="556"/>
      <c r="AV38" s="598"/>
      <c r="AW38" s="599"/>
      <c r="AY38" s="556"/>
      <c r="AZ38" s="598"/>
      <c r="BA38" s="599"/>
      <c r="BC38" s="556"/>
      <c r="BD38" s="598"/>
      <c r="BE38" s="599"/>
      <c r="BG38" s="556"/>
      <c r="BH38" s="556"/>
      <c r="BI38" s="598"/>
      <c r="BJ38" s="599"/>
    </row>
    <row r="39" spans="1:63" outlineLevel="3">
      <c r="A39" s="565" t="s">
        <v>627</v>
      </c>
      <c r="B39" s="566"/>
      <c r="C39" s="566"/>
      <c r="D39" s="566"/>
      <c r="E39" s="566"/>
      <c r="F39" s="566"/>
      <c r="G39" s="566"/>
      <c r="H39" s="566"/>
      <c r="I39" s="566"/>
      <c r="J39" s="566"/>
      <c r="K39" s="566"/>
      <c r="L39" s="566"/>
      <c r="M39" s="566"/>
      <c r="N39" s="566"/>
      <c r="O39" s="566"/>
      <c r="P39" s="566"/>
      <c r="Q39" s="566"/>
      <c r="R39" s="566"/>
      <c r="S39" s="566"/>
      <c r="T39" s="566"/>
      <c r="U39" s="566"/>
      <c r="V39" s="566"/>
      <c r="W39" s="566"/>
      <c r="X39" s="566"/>
      <c r="Y39" s="566"/>
      <c r="Z39" s="566"/>
      <c r="AA39" s="566"/>
      <c r="AB39" s="566"/>
      <c r="AC39" s="566"/>
      <c r="AD39" s="566"/>
      <c r="AE39" s="566"/>
      <c r="AF39" s="566"/>
      <c r="AG39" s="566"/>
      <c r="AH39" s="420"/>
      <c r="AI39" s="420"/>
      <c r="AJ39" s="420"/>
      <c r="AK39" s="420"/>
      <c r="AL39" s="420"/>
      <c r="AM39" s="420"/>
      <c r="AN39" s="420"/>
      <c r="AO39" s="420"/>
      <c r="AP39" s="420"/>
      <c r="AQ39" s="420"/>
      <c r="AR39" s="420"/>
      <c r="AS39" s="420"/>
      <c r="AT39" s="420"/>
      <c r="AU39" s="420"/>
      <c r="AV39" s="420"/>
      <c r="AW39" s="420"/>
      <c r="AX39" s="420"/>
      <c r="AY39" s="420"/>
      <c r="AZ39" s="420"/>
      <c r="BA39" s="420"/>
      <c r="BC39" s="420"/>
      <c r="BD39" s="420"/>
      <c r="BE39" s="420"/>
      <c r="BG39" s="420"/>
      <c r="BH39" s="420"/>
      <c r="BI39" s="420"/>
      <c r="BJ39" s="420"/>
    </row>
    <row r="40" spans="1:63" outlineLevel="2">
      <c r="A40" s="79"/>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BG40" s="556"/>
      <c r="BH40" s="556"/>
    </row>
    <row r="41" spans="1:63" outlineLevel="2">
      <c r="A41" s="569" t="s">
        <v>79</v>
      </c>
      <c r="B41" s="79"/>
      <c r="C41" s="570">
        <v>180.35900000000001</v>
      </c>
      <c r="D41" s="596">
        <f>C41/C21*100</f>
        <v>61.167672793868277</v>
      </c>
      <c r="E41" s="571" t="s">
        <v>90</v>
      </c>
      <c r="F41" s="79"/>
      <c r="G41" s="570">
        <v>194.964</v>
      </c>
      <c r="H41" s="596">
        <f>G41/G21*100</f>
        <v>59.838314641916654</v>
      </c>
      <c r="I41" s="602">
        <f>(G41/C41-1)*100</f>
        <v>8.0977383995253902</v>
      </c>
      <c r="J41" s="79"/>
      <c r="K41" s="570">
        <v>204.80699999999999</v>
      </c>
      <c r="L41" s="596">
        <f>K41/K21*100</f>
        <v>61.513948291604592</v>
      </c>
      <c r="M41" s="602">
        <f>(K41/G41-1)*100</f>
        <v>5.0486243614205728</v>
      </c>
      <c r="N41" s="79"/>
      <c r="O41" s="570">
        <v>215.53800000000001</v>
      </c>
      <c r="P41" s="596">
        <f>O41/O21*100</f>
        <v>57.949513498108573</v>
      </c>
      <c r="Q41" s="602">
        <f>(O41/K41-1)*100</f>
        <v>5.239567006987067</v>
      </c>
      <c r="R41" s="79"/>
      <c r="S41" s="570">
        <v>234.51400000000001</v>
      </c>
      <c r="T41" s="596">
        <f>S41/S21*100</f>
        <v>55.136304324826312</v>
      </c>
      <c r="U41" s="602">
        <f>(S41/O41-1)*100</f>
        <v>8.8040159971791496</v>
      </c>
      <c r="V41" s="79"/>
      <c r="W41" s="570">
        <v>247.06</v>
      </c>
      <c r="X41" s="596">
        <f>W41/W21*100</f>
        <v>57.871140323343816</v>
      </c>
      <c r="Y41" s="602">
        <f>(W41/S41-1)*100</f>
        <v>5.3497872195263252</v>
      </c>
      <c r="Z41" s="79"/>
      <c r="AA41" s="570">
        <v>250.887</v>
      </c>
      <c r="AB41" s="596">
        <f>AA41/AA21*100</f>
        <v>56.534730437721826</v>
      </c>
      <c r="AC41" s="602">
        <f>(AA41/W41-1)*100</f>
        <v>1.5490164332550682</v>
      </c>
      <c r="AD41" s="79"/>
      <c r="AE41" s="570">
        <v>265.71199999999999</v>
      </c>
      <c r="AF41" s="596">
        <f>AE41/AE21*100</f>
        <v>60.495370275506744</v>
      </c>
      <c r="AG41" s="602">
        <f>(AE41/AA41-1)*100</f>
        <v>5.9090347447257052</v>
      </c>
      <c r="AI41" s="574">
        <v>262.108</v>
      </c>
      <c r="AJ41" s="598">
        <f>AI41/AI11*100</f>
        <v>31.577641158349628</v>
      </c>
      <c r="AK41" s="599" t="s">
        <v>90</v>
      </c>
      <c r="AM41" s="574">
        <v>278.52800000000002</v>
      </c>
      <c r="AN41" s="598">
        <f>AM41/AM11*100</f>
        <v>31.131647363632503</v>
      </c>
      <c r="AO41" s="599">
        <f>(AM41/AI41-1)*100</f>
        <v>6.2645932211149669</v>
      </c>
      <c r="AQ41" s="574">
        <v>288.82799999999997</v>
      </c>
      <c r="AR41" s="598">
        <f>AQ41/AQ11*100</f>
        <v>31.087493985992609</v>
      </c>
      <c r="AS41" s="599">
        <f>(AQ41/AM41-1)*100</f>
        <v>3.6980124080882248</v>
      </c>
      <c r="AU41" s="574">
        <v>307.61028961</v>
      </c>
      <c r="AV41" s="598">
        <f>AU41/AU11*100</f>
        <v>31.311427792532047</v>
      </c>
      <c r="AW41" s="599">
        <f>(AU41/AQ41-1)*100</f>
        <v>6.5029324061379068</v>
      </c>
      <c r="AY41" s="574">
        <v>328.22728481000001</v>
      </c>
      <c r="AZ41" s="598">
        <f>AY41/AY11*100</f>
        <v>30.819075367355893</v>
      </c>
      <c r="BA41" s="599">
        <f>(AY41/AU41-1)*100</f>
        <v>6.7023099994928836</v>
      </c>
      <c r="BB41" s="559"/>
      <c r="BC41" s="822">
        <f>347.021</f>
        <v>347.02100000000002</v>
      </c>
      <c r="BD41" s="598">
        <f>BC41/BC11*100</f>
        <v>30.756938283334918</v>
      </c>
      <c r="BE41" s="599">
        <f>(BC41/AY41-1)*100</f>
        <v>5.7258235557348769</v>
      </c>
      <c r="BF41" s="559"/>
      <c r="BG41" s="822">
        <v>377.67899999999997</v>
      </c>
      <c r="BH41" s="822"/>
      <c r="BI41" s="598">
        <f>BG41/BG11*100</f>
        <v>31.923936168863936</v>
      </c>
      <c r="BJ41" s="599">
        <f>(BG41/BC41-1)*100</f>
        <v>8.8346238412084546</v>
      </c>
      <c r="BK41" s="559"/>
    </row>
    <row r="42" spans="1:63" outlineLevel="2">
      <c r="A42" s="569" t="s">
        <v>80</v>
      </c>
      <c r="B42" s="79"/>
      <c r="C42" s="581">
        <v>219.374</v>
      </c>
      <c r="D42" s="596">
        <f>C42/C22*100</f>
        <v>48.765816312920698</v>
      </c>
      <c r="E42" s="571" t="s">
        <v>90</v>
      </c>
      <c r="F42" s="79"/>
      <c r="G42" s="581">
        <v>230.17599999999999</v>
      </c>
      <c r="H42" s="596">
        <f>G42/G22*100</f>
        <v>48.422018117024365</v>
      </c>
      <c r="I42" s="602">
        <f>(G42/C42-1)*100</f>
        <v>4.9240110496230116</v>
      </c>
      <c r="J42" s="79"/>
      <c r="K42" s="581">
        <v>240.09200000000001</v>
      </c>
      <c r="L42" s="596">
        <f>K42/K22*100</f>
        <v>49.302736280096518</v>
      </c>
      <c r="M42" s="602">
        <f>(K42/G42-1)*100</f>
        <v>4.308007785346879</v>
      </c>
      <c r="N42" s="79"/>
      <c r="O42" s="581">
        <v>251.96</v>
      </c>
      <c r="P42" s="596">
        <f>O42/O22*100</f>
        <v>46.643106924083696</v>
      </c>
      <c r="Q42" s="602">
        <f>(O42/K42-1)*100</f>
        <v>4.9431051430285144</v>
      </c>
      <c r="R42" s="79"/>
      <c r="S42" s="581">
        <v>264.15300000000002</v>
      </c>
      <c r="T42" s="596">
        <f>S42/S22*100</f>
        <v>44.868961698325691</v>
      </c>
      <c r="U42" s="602">
        <f>(S42/O42-1)*100</f>
        <v>4.8392602000317586</v>
      </c>
      <c r="V42" s="79"/>
      <c r="W42" s="581">
        <v>287.58100000000002</v>
      </c>
      <c r="X42" s="596">
        <f>W42/W22*100</f>
        <v>47.892730515646939</v>
      </c>
      <c r="Y42" s="602">
        <f>(W42/S42-1)*100</f>
        <v>8.8691023762743626</v>
      </c>
      <c r="Z42" s="79"/>
      <c r="AA42" s="581">
        <v>278.40100000000001</v>
      </c>
      <c r="AB42" s="596">
        <f>AA42/AA22*100</f>
        <v>49.967603735352135</v>
      </c>
      <c r="AC42" s="602">
        <f>(AA42/W42-1)*100</f>
        <v>-3.1921441263504935</v>
      </c>
      <c r="AD42" s="79"/>
      <c r="AE42" s="581">
        <v>306.19400000000002</v>
      </c>
      <c r="AF42" s="596">
        <f>AE42/AE22*100</f>
        <v>50.782904633408911</v>
      </c>
      <c r="AG42" s="602">
        <f>(AE42/AA42-1)*100</f>
        <v>9.9830819573205609</v>
      </c>
      <c r="AI42" s="582">
        <v>266.541</v>
      </c>
      <c r="AJ42" s="598">
        <f>AI42/AI12*100</f>
        <v>38.024160530002369</v>
      </c>
      <c r="AK42" s="599" t="s">
        <v>90</v>
      </c>
      <c r="AM42" s="582">
        <v>271.779</v>
      </c>
      <c r="AN42" s="598">
        <f>AM42/AM12*100</f>
        <v>37.293859348198971</v>
      </c>
      <c r="AO42" s="599">
        <f>(AM42/AI42-1)*100</f>
        <v>1.9651760892320569</v>
      </c>
      <c r="AQ42" s="582">
        <v>276.70499999999998</v>
      </c>
      <c r="AR42" s="598">
        <f>AQ42/AQ12*100</f>
        <v>34.878092743546659</v>
      </c>
      <c r="AS42" s="599">
        <f>(AQ42/AM42-1)*100</f>
        <v>1.8125020696963201</v>
      </c>
      <c r="AU42" s="582">
        <v>302.37329693999999</v>
      </c>
      <c r="AV42" s="598">
        <f>AU42/AU12*100</f>
        <v>34.989570387875943</v>
      </c>
      <c r="AW42" s="599">
        <f>(AU42/AQ42-1)*100</f>
        <v>9.2764124031007746</v>
      </c>
      <c r="AY42" s="582">
        <f>329.834673609428+1</f>
        <v>330.83467360942802</v>
      </c>
      <c r="AZ42" s="598">
        <f>AY42/AY12*100</f>
        <v>34.334242138411597</v>
      </c>
      <c r="BA42" s="599">
        <f>(AY42/AU42-1)*100</f>
        <v>9.4126620827485361</v>
      </c>
      <c r="BB42" s="559"/>
      <c r="BC42" s="583">
        <v>350.02600000000001</v>
      </c>
      <c r="BD42" s="598">
        <f>BC42/BC12*100</f>
        <v>33.54085595655728</v>
      </c>
      <c r="BE42" s="599">
        <f>(BC42/AY42-1)*100</f>
        <v>5.8008812018381706</v>
      </c>
      <c r="BF42" s="559"/>
      <c r="BG42" s="583">
        <v>381.60599999999999</v>
      </c>
      <c r="BH42" s="583"/>
      <c r="BI42" s="598">
        <f>BG42/BG12*100</f>
        <v>33.35081251999182</v>
      </c>
      <c r="BJ42" s="599">
        <f>(BG42/BC42-1)*100</f>
        <v>9.022186923257113</v>
      </c>
      <c r="BK42" s="559"/>
    </row>
    <row r="43" spans="1:63" outlineLevel="2">
      <c r="A43" s="569" t="s">
        <v>81</v>
      </c>
      <c r="B43" s="79"/>
      <c r="C43" s="581">
        <v>207.62100000000001</v>
      </c>
      <c r="D43" s="596">
        <f>C43/C23*100</f>
        <v>41.218768922285861</v>
      </c>
      <c r="E43" s="571" t="s">
        <v>90</v>
      </c>
      <c r="F43" s="79"/>
      <c r="G43" s="581">
        <v>214.08</v>
      </c>
      <c r="H43" s="596">
        <f>G43/G23*100</f>
        <v>41.513714767736126</v>
      </c>
      <c r="I43" s="602">
        <f>(G43/C43-1)*100</f>
        <v>3.1109569841200946</v>
      </c>
      <c r="J43" s="79"/>
      <c r="K43" s="581">
        <v>225.79</v>
      </c>
      <c r="L43" s="596">
        <f>K43/K23*100</f>
        <v>41.126755432505782</v>
      </c>
      <c r="M43" s="602">
        <f>(K43/G43-1)*100</f>
        <v>5.469917787742884</v>
      </c>
      <c r="N43" s="79"/>
      <c r="O43" s="581">
        <v>236.82300000000001</v>
      </c>
      <c r="P43" s="596">
        <f>O43/O23*100</f>
        <v>38.75926744243138</v>
      </c>
      <c r="Q43" s="602">
        <f>(O43/K43-1)*100</f>
        <v>4.8863988662031232</v>
      </c>
      <c r="R43" s="79"/>
      <c r="S43" s="581">
        <v>267.34199999999998</v>
      </c>
      <c r="T43" s="596">
        <f>S43/S23*100</f>
        <v>41.171343210028638</v>
      </c>
      <c r="U43" s="602">
        <f>(S43/O43-1)*100</f>
        <v>12.886839538389427</v>
      </c>
      <c r="V43" s="79"/>
      <c r="W43" s="581">
        <v>256.31900000000002</v>
      </c>
      <c r="X43" s="596">
        <f>W43/W23*100</f>
        <v>41.192087462816573</v>
      </c>
      <c r="Y43" s="602">
        <f>(W43/S43-1)*100</f>
        <v>-4.1231830389538366</v>
      </c>
      <c r="Z43" s="79"/>
      <c r="AA43" s="581">
        <v>273.50400000000002</v>
      </c>
      <c r="AB43" s="596">
        <f>AA43/AA23*100</f>
        <v>44.668008048289742</v>
      </c>
      <c r="AC43" s="602">
        <f>(AA43/W43-1)*100</f>
        <v>6.7045361444137974</v>
      </c>
      <c r="AD43" s="79"/>
      <c r="AE43" s="581">
        <v>265.63900000000001</v>
      </c>
      <c r="AF43" s="596">
        <f>AE43/AE23*100</f>
        <v>41.873401998152545</v>
      </c>
      <c r="AG43" s="602">
        <f>(AE43/AA43-1)*100</f>
        <v>-2.8756435006434988</v>
      </c>
      <c r="AI43" s="582">
        <v>281.56900000000002</v>
      </c>
      <c r="AJ43" s="598">
        <f>AI43/AI13*100</f>
        <v>32.276179711912555</v>
      </c>
      <c r="AK43" s="599" t="s">
        <v>90</v>
      </c>
      <c r="AM43" s="582">
        <v>285.61799999999999</v>
      </c>
      <c r="AN43" s="598">
        <f>AM43/AM13*100</f>
        <v>33.28159629730618</v>
      </c>
      <c r="AO43" s="599">
        <f>(AM43/AI43-1)*100</f>
        <v>1.4380134176702697</v>
      </c>
      <c r="AQ43" s="582">
        <v>317.13400000000001</v>
      </c>
      <c r="AR43" s="598">
        <f>AQ43/AQ13*100</f>
        <v>35.289535676888889</v>
      </c>
      <c r="AS43" s="599">
        <f>(AQ43/AM43-1)*100</f>
        <v>11.034318565356527</v>
      </c>
      <c r="AU43" s="582">
        <v>334.60977902000002</v>
      </c>
      <c r="AV43" s="598">
        <f>AU43/AU13*100</f>
        <v>34.570917660424392</v>
      </c>
      <c r="AW43" s="599">
        <f>(AU43/AQ43-1)*100</f>
        <v>5.5105346698871793</v>
      </c>
      <c r="AY43" s="582">
        <f>363.149</f>
        <v>363.149</v>
      </c>
      <c r="AZ43" s="598">
        <f>AY43/AY13*100</f>
        <v>34.114449761484714</v>
      </c>
      <c r="BA43" s="599">
        <f>(AY43/AU43-1)*100</f>
        <v>8.5291054743185324</v>
      </c>
      <c r="BB43" s="559"/>
      <c r="BC43" s="583">
        <v>396.71300000000002</v>
      </c>
      <c r="BD43" s="598">
        <f>BC43/BC13*100</f>
        <v>34.279421269653639</v>
      </c>
      <c r="BE43" s="599">
        <f>(BC43/AY43-1)*100</f>
        <v>9.2424872435281422</v>
      </c>
      <c r="BF43" s="559"/>
      <c r="BG43" s="562">
        <f>BG13*BI43/100</f>
        <v>419.3628602</v>
      </c>
      <c r="BH43" s="562"/>
      <c r="BI43" s="601">
        <v>34.07</v>
      </c>
      <c r="BJ43" s="599">
        <f>(BG43/BC43-1)*100</f>
        <v>5.7093818957281384</v>
      </c>
      <c r="BK43" s="559"/>
    </row>
    <row r="44" spans="1:63" outlineLevel="2">
      <c r="A44" s="569" t="s">
        <v>82</v>
      </c>
      <c r="B44" s="79"/>
      <c r="C44" s="585">
        <v>211.83099999999999</v>
      </c>
      <c r="D44" s="596">
        <f>C44/C24*100</f>
        <v>58.109920858079469</v>
      </c>
      <c r="E44" s="571" t="s">
        <v>90</v>
      </c>
      <c r="F44" s="79"/>
      <c r="G44" s="585">
        <v>219.03200000000001</v>
      </c>
      <c r="H44" s="596">
        <f>G44/G24*100</f>
        <v>59.995781734912171</v>
      </c>
      <c r="I44" s="602">
        <f>(G44/C44-1)*100</f>
        <v>3.3994080186563913</v>
      </c>
      <c r="J44" s="79"/>
      <c r="K44" s="585">
        <v>233.75200000000001</v>
      </c>
      <c r="L44" s="596">
        <f>K44/K24*100</f>
        <v>58.299102388559263</v>
      </c>
      <c r="M44" s="602">
        <f>(K44/G44-1)*100</f>
        <v>6.7204791993863866</v>
      </c>
      <c r="N44" s="79"/>
      <c r="O44" s="585">
        <v>253.739</v>
      </c>
      <c r="P44" s="596">
        <f>O44/O24*100</f>
        <v>54.682654448828828</v>
      </c>
      <c r="Q44" s="602">
        <f>(O44/K44-1)*100</f>
        <v>8.5505150758068424</v>
      </c>
      <c r="R44" s="79"/>
      <c r="S44" s="586" t="e">
        <f>S45-SUM(S41:S43)</f>
        <v>#VALUE!</v>
      </c>
      <c r="T44" s="596" t="e">
        <f>S44/S24*100</f>
        <v>#VALUE!</v>
      </c>
      <c r="U44" s="602" t="e">
        <f>(S44/O44-1)*100</f>
        <v>#VALUE!</v>
      </c>
      <c r="V44" s="79"/>
      <c r="W44" s="585" t="e">
        <f>W45-SUM(W41:W43)</f>
        <v>#VALUE!</v>
      </c>
      <c r="X44" s="596" t="e">
        <f>W44/W24*100</f>
        <v>#VALUE!</v>
      </c>
      <c r="Y44" s="602" t="e">
        <f>(W44/S44-1)*100</f>
        <v>#VALUE!</v>
      </c>
      <c r="Z44" s="79"/>
      <c r="AA44" s="585">
        <f>AA45-SUM(AA41:AA43)</f>
        <v>-802.71255661653879</v>
      </c>
      <c r="AB44" s="596">
        <f>AA44/AA24*100</f>
        <v>-166.49573274327631</v>
      </c>
      <c r="AC44" s="602" t="e">
        <f>(AA44/W44-1)*100</f>
        <v>#VALUE!</v>
      </c>
      <c r="AD44" s="79"/>
      <c r="AE44" s="586">
        <f>AE45-SUM(AE41:AE43)</f>
        <v>-837.4624677371437</v>
      </c>
      <c r="AF44" s="596">
        <f>AE44/AE24*100</f>
        <v>-160.06362077979676</v>
      </c>
      <c r="AG44" s="602">
        <f>(AE44/AA44-1)*100</f>
        <v>4.3290603634104086</v>
      </c>
      <c r="AI44" s="557">
        <f>AI45-SUM(AI41:AI43)</f>
        <v>303.74199999999996</v>
      </c>
      <c r="AJ44" s="598">
        <f>AI44/AI14*100</f>
        <v>27.131473427427316</v>
      </c>
      <c r="AK44" s="599" t="s">
        <v>90</v>
      </c>
      <c r="AM44" s="557">
        <f>AM45-SUM(AM41:AM43)</f>
        <v>315.5590000000002</v>
      </c>
      <c r="AN44" s="598">
        <f>AM44/AM14*100</f>
        <v>26.5624736950205</v>
      </c>
      <c r="AO44" s="599">
        <f>(AM44/AI44-1)*100</f>
        <v>3.8904728354986151</v>
      </c>
      <c r="AQ44" s="557">
        <f>AQ45-SUM(AQ41:AQ43)</f>
        <v>336.26</v>
      </c>
      <c r="AR44" s="598">
        <f>AQ44/AQ14*100</f>
        <v>27.270788238185101</v>
      </c>
      <c r="AS44" s="599">
        <f>(AQ44/AM44-1)*100</f>
        <v>6.5601044495640304</v>
      </c>
      <c r="AU44" s="557">
        <f>AU45-SUM(AU41:AU43)</f>
        <v>344.58080431300016</v>
      </c>
      <c r="AV44" s="598">
        <f>AU44/AU14*100</f>
        <v>27.292722089662252</v>
      </c>
      <c r="AW44" s="599">
        <f>(AU44/AQ44-1)*100</f>
        <v>2.4745150517457182</v>
      </c>
      <c r="AY44" s="587">
        <f>374.178</f>
        <v>374.178</v>
      </c>
      <c r="AZ44" s="598">
        <f>AY44/AY14*100</f>
        <v>28.043502211309946</v>
      </c>
      <c r="BA44" s="599">
        <f>(AY44/AU44-1)*100</f>
        <v>8.589333856251379</v>
      </c>
      <c r="BB44" s="559"/>
      <c r="BC44" s="818">
        <f>427.168</f>
        <v>427.16800000000001</v>
      </c>
      <c r="BD44" s="598">
        <f>BC44/BC14*100</f>
        <v>28.758511393182268</v>
      </c>
      <c r="BE44" s="599">
        <f>(BC44/AY44-1)*100</f>
        <v>14.161709133086386</v>
      </c>
      <c r="BF44" s="559"/>
      <c r="BG44" s="588">
        <f>BG14*BI44/100</f>
        <v>434.49685799999997</v>
      </c>
      <c r="BH44" s="761"/>
      <c r="BI44" s="601">
        <v>28.2</v>
      </c>
      <c r="BJ44" s="599">
        <f>(BG44/BC44-1)*100</f>
        <v>1.7156851636826564</v>
      </c>
      <c r="BK44" s="559"/>
    </row>
    <row r="45" spans="1:63" outlineLevel="2">
      <c r="A45" s="569" t="s">
        <v>85</v>
      </c>
      <c r="B45" s="79"/>
      <c r="C45" s="590" t="str">
        <f>'yrP&amp;L'!D24</f>
        <v>NA</v>
      </c>
      <c r="D45" s="596" t="e">
        <f>C45/C25*100</f>
        <v>#VALUE!</v>
      </c>
      <c r="E45" s="571" t="s">
        <v>90</v>
      </c>
      <c r="F45" s="79"/>
      <c r="G45" s="590" t="str">
        <f>'yrP&amp;L'!E24</f>
        <v>NA</v>
      </c>
      <c r="H45" s="596" t="e">
        <f>G45/G25*100</f>
        <v>#VALUE!</v>
      </c>
      <c r="I45" s="602" t="e">
        <f>(G45/C45-1)*100</f>
        <v>#VALUE!</v>
      </c>
      <c r="J45" s="79"/>
      <c r="K45" s="590" t="str">
        <f>'yrP&amp;L'!F24</f>
        <v>NA</v>
      </c>
      <c r="L45" s="596" t="e">
        <f>K45/K25*100</f>
        <v>#VALUE!</v>
      </c>
      <c r="M45" s="602" t="e">
        <f>(K45/G45-1)*100</f>
        <v>#VALUE!</v>
      </c>
      <c r="N45" s="79"/>
      <c r="O45" s="590" t="str">
        <f>'yrP&amp;L'!G24</f>
        <v>NA</v>
      </c>
      <c r="P45" s="596" t="e">
        <f>O45/O25*100</f>
        <v>#VALUE!</v>
      </c>
      <c r="Q45" s="602" t="e">
        <f>(O45/K45-1)*100</f>
        <v>#VALUE!</v>
      </c>
      <c r="R45" s="79"/>
      <c r="S45" s="590" t="str">
        <f>'yrP&amp;L'!H24</f>
        <v>NA</v>
      </c>
      <c r="T45" s="596" t="e">
        <f>S45/S25*100</f>
        <v>#VALUE!</v>
      </c>
      <c r="U45" s="602" t="e">
        <f>(S45/O45-1)*100</f>
        <v>#VALUE!</v>
      </c>
      <c r="V45" s="79"/>
      <c r="W45" s="590" t="str">
        <f>'yrP&amp;L'!I24</f>
        <v>NA</v>
      </c>
      <c r="X45" s="596" t="e">
        <f>W45/W25*100</f>
        <v>#VALUE!</v>
      </c>
      <c r="Y45" s="602" t="e">
        <f>(W45/S45-1)*100</f>
        <v>#VALUE!</v>
      </c>
      <c r="Z45" s="79"/>
      <c r="AA45" s="590">
        <f>'yrP&amp;L'!J24</f>
        <v>7.9443383461259773E-2</v>
      </c>
      <c r="AB45" s="596">
        <f>AA45/AA25*100</f>
        <v>3.7913882008691461E-3</v>
      </c>
      <c r="AC45" s="602" t="e">
        <f>(AA45/W45-1)*100</f>
        <v>#VALUE!</v>
      </c>
      <c r="AD45" s="590"/>
      <c r="AE45" s="590">
        <f>'yrP&amp;L'!K24</f>
        <v>8.2532262856211638E-2</v>
      </c>
      <c r="AF45" s="596">
        <f>AE45/AE25*100</f>
        <v>3.7518655555277987E-3</v>
      </c>
      <c r="AG45" s="602">
        <f>(AE45/AA45-1)*100</f>
        <v>3.8881518640984769</v>
      </c>
      <c r="AI45" s="574">
        <v>1113.96</v>
      </c>
      <c r="AJ45" s="598">
        <f>AI45/AI15*100</f>
        <v>31.620414236623436</v>
      </c>
      <c r="AK45" s="599" t="s">
        <v>90</v>
      </c>
      <c r="AM45" s="574">
        <f>1153.573-4.289+2.2</f>
        <v>1151.4840000000002</v>
      </c>
      <c r="AN45" s="598">
        <f>AM45/AM15*100</f>
        <v>31.378988784069779</v>
      </c>
      <c r="AO45" s="599">
        <f>(AM45/AI45-1)*100</f>
        <v>3.3685231067542842</v>
      </c>
      <c r="AQ45" s="574">
        <f>1215.774-4.285+7.438</f>
        <v>1218.9269999999999</v>
      </c>
      <c r="AR45" s="598">
        <f>AQ45/AQ15*100</f>
        <v>31.626482109859179</v>
      </c>
      <c r="AS45" s="599">
        <f>(AQ45/AM45-1)*100</f>
        <v>5.8570505538939166</v>
      </c>
      <c r="AU45" s="574">
        <v>1289.1741698830001</v>
      </c>
      <c r="AV45" s="598">
        <f>AU45/AU15*100</f>
        <v>31.620391583440181</v>
      </c>
      <c r="AW45" s="599">
        <f>(AU45/AQ45-1)*100</f>
        <v>5.7630333796035549</v>
      </c>
      <c r="AY45" s="574">
        <f>1391.788</f>
        <v>1391.788</v>
      </c>
      <c r="AZ45" s="598">
        <f>AY45/AY15*100</f>
        <v>31.435054928251887</v>
      </c>
      <c r="BA45" s="599">
        <f>(AY45/AU45-1)*100</f>
        <v>7.9596560739587874</v>
      </c>
      <c r="BC45" s="559">
        <f>SUM(BC41:BC44)</f>
        <v>1520.9279999999999</v>
      </c>
      <c r="BD45" s="598">
        <f>BC45/BC15*100</f>
        <v>31.590543906495871</v>
      </c>
      <c r="BE45" s="599">
        <f>(BC45/AY45-1)*100</f>
        <v>9.2787119877452575</v>
      </c>
      <c r="BG45" s="559">
        <f>SUM(BG41:BG44)</f>
        <v>1613.1447181999999</v>
      </c>
      <c r="BH45" s="559"/>
      <c r="BI45" s="598">
        <f>BG45/BG15*100</f>
        <v>31.636913734091763</v>
      </c>
      <c r="BJ45" s="599">
        <f>(BG45/BC45-1)*100</f>
        <v>6.0631876196637791</v>
      </c>
    </row>
    <row r="46" spans="1:63" hidden="1" outlineLevel="3">
      <c r="A46" s="569"/>
      <c r="B46" s="79"/>
      <c r="C46" s="591"/>
      <c r="D46" s="596"/>
      <c r="E46" s="571"/>
      <c r="F46" s="79"/>
      <c r="G46" s="591"/>
      <c r="H46" s="596"/>
      <c r="I46" s="603"/>
      <c r="J46" s="79"/>
      <c r="K46" s="591"/>
      <c r="L46" s="596"/>
      <c r="M46" s="603"/>
      <c r="N46" s="79"/>
      <c r="O46" s="591"/>
      <c r="P46" s="596"/>
      <c r="Q46" s="603"/>
      <c r="R46" s="79"/>
      <c r="S46" s="591"/>
      <c r="T46" s="596"/>
      <c r="U46" s="603"/>
      <c r="V46" s="79"/>
      <c r="W46" s="591"/>
      <c r="X46" s="596"/>
      <c r="Y46" s="602"/>
      <c r="Z46" s="79"/>
      <c r="AA46" s="591"/>
      <c r="AB46" s="596"/>
      <c r="AC46" s="602"/>
      <c r="AD46" s="79"/>
      <c r="AE46" s="591"/>
      <c r="AF46" s="596"/>
      <c r="AG46" s="602"/>
      <c r="AI46" s="556"/>
      <c r="AJ46" s="598"/>
      <c r="AK46" s="599"/>
      <c r="AM46" s="556"/>
      <c r="AN46" s="598"/>
      <c r="AO46" s="599"/>
      <c r="AQ46" s="556"/>
      <c r="AR46" s="598"/>
      <c r="AS46" s="599"/>
      <c r="AU46" s="556"/>
      <c r="AV46" s="598"/>
      <c r="AW46" s="599"/>
      <c r="AY46" s="556"/>
      <c r="AZ46" s="598"/>
      <c r="BA46" s="599"/>
      <c r="BC46" s="556"/>
      <c r="BD46" s="598"/>
      <c r="BE46" s="599"/>
      <c r="BG46" s="556"/>
      <c r="BH46" s="556"/>
      <c r="BI46" s="598"/>
      <c r="BJ46" s="599"/>
    </row>
    <row r="47" spans="1:63" hidden="1" outlineLevel="3">
      <c r="A47" s="569"/>
      <c r="B47" s="79"/>
      <c r="C47" s="591"/>
      <c r="D47" s="596"/>
      <c r="E47" s="571"/>
      <c r="F47" s="79"/>
      <c r="G47" s="591"/>
      <c r="H47" s="596"/>
      <c r="I47" s="603"/>
      <c r="J47" s="79"/>
      <c r="K47" s="591"/>
      <c r="L47" s="596"/>
      <c r="M47" s="603"/>
      <c r="N47" s="79"/>
      <c r="O47" s="591"/>
      <c r="P47" s="596"/>
      <c r="Q47" s="603"/>
      <c r="R47" s="79"/>
      <c r="S47" s="591"/>
      <c r="T47" s="596"/>
      <c r="U47" s="603"/>
      <c r="V47" s="79"/>
      <c r="W47" s="591"/>
      <c r="X47" s="596"/>
      <c r="Y47" s="602"/>
      <c r="Z47" s="79"/>
      <c r="AA47" s="591"/>
      <c r="AB47" s="596"/>
      <c r="AC47" s="602"/>
      <c r="AD47" s="79"/>
      <c r="AE47" s="591"/>
      <c r="AF47" s="596"/>
      <c r="AG47" s="602"/>
      <c r="AI47" s="556"/>
      <c r="AJ47" s="598"/>
      <c r="AK47" s="599"/>
      <c r="AM47" s="556"/>
      <c r="AN47" s="598"/>
      <c r="AO47" s="599"/>
      <c r="AQ47" s="556"/>
      <c r="AR47" s="598"/>
      <c r="AS47" s="599"/>
      <c r="AU47" s="556"/>
      <c r="AV47" s="598"/>
      <c r="AW47" s="599"/>
      <c r="AY47" s="556"/>
      <c r="AZ47" s="598"/>
      <c r="BA47" s="599"/>
      <c r="BC47" s="556"/>
      <c r="BD47" s="598"/>
      <c r="BE47" s="599"/>
      <c r="BG47" s="556"/>
      <c r="BH47" s="556"/>
      <c r="BI47" s="598"/>
      <c r="BJ47" s="599"/>
    </row>
    <row r="48" spans="1:63" hidden="1" outlineLevel="3">
      <c r="A48" s="569"/>
      <c r="B48" s="79"/>
      <c r="C48" s="591"/>
      <c r="D48" s="596"/>
      <c r="E48" s="571"/>
      <c r="F48" s="79"/>
      <c r="G48" s="591"/>
      <c r="H48" s="596"/>
      <c r="I48" s="603"/>
      <c r="J48" s="79"/>
      <c r="K48" s="591"/>
      <c r="L48" s="596"/>
      <c r="M48" s="603"/>
      <c r="N48" s="79"/>
      <c r="O48" s="591"/>
      <c r="P48" s="596"/>
      <c r="Q48" s="603"/>
      <c r="R48" s="79"/>
      <c r="S48" s="591"/>
      <c r="T48" s="596"/>
      <c r="U48" s="603"/>
      <c r="V48" s="79"/>
      <c r="W48" s="591"/>
      <c r="X48" s="596"/>
      <c r="Y48" s="602"/>
      <c r="Z48" s="79"/>
      <c r="AA48" s="591"/>
      <c r="AB48" s="596"/>
      <c r="AC48" s="602"/>
      <c r="AD48" s="79"/>
      <c r="AE48" s="591"/>
      <c r="AF48" s="596"/>
      <c r="AG48" s="602"/>
      <c r="AI48" s="556"/>
      <c r="AJ48" s="598"/>
      <c r="AK48" s="599"/>
      <c r="AM48" s="556"/>
      <c r="AN48" s="598"/>
      <c r="AO48" s="599"/>
      <c r="AQ48" s="556"/>
      <c r="AR48" s="598"/>
      <c r="AS48" s="599"/>
      <c r="AU48" s="556"/>
      <c r="AV48" s="598"/>
      <c r="AW48" s="599"/>
      <c r="AY48" s="556"/>
      <c r="AZ48" s="598"/>
      <c r="BA48" s="599"/>
      <c r="BC48" s="556"/>
      <c r="BD48" s="598"/>
      <c r="BE48" s="599"/>
      <c r="BG48" s="556"/>
      <c r="BH48" s="556"/>
      <c r="BI48" s="598"/>
      <c r="BJ48" s="599"/>
    </row>
    <row r="49" spans="1:62" hidden="1" outlineLevel="3">
      <c r="A49" s="569"/>
      <c r="B49" s="79"/>
      <c r="C49" s="591"/>
      <c r="D49" s="596"/>
      <c r="E49" s="571"/>
      <c r="F49" s="79"/>
      <c r="G49" s="591"/>
      <c r="H49" s="596"/>
      <c r="I49" s="603"/>
      <c r="J49" s="79"/>
      <c r="K49" s="591"/>
      <c r="L49" s="596"/>
      <c r="M49" s="603"/>
      <c r="N49" s="79"/>
      <c r="O49" s="591"/>
      <c r="P49" s="596"/>
      <c r="Q49" s="603"/>
      <c r="R49" s="79"/>
      <c r="S49" s="591"/>
      <c r="T49" s="596"/>
      <c r="U49" s="603"/>
      <c r="V49" s="79"/>
      <c r="W49" s="591"/>
      <c r="X49" s="596"/>
      <c r="Y49" s="602"/>
      <c r="Z49" s="79"/>
      <c r="AA49" s="591"/>
      <c r="AB49" s="596"/>
      <c r="AC49" s="602"/>
      <c r="AD49" s="79"/>
      <c r="AE49" s="591"/>
      <c r="AF49" s="596"/>
      <c r="AG49" s="602"/>
      <c r="AI49" s="556"/>
      <c r="AJ49" s="598"/>
      <c r="AK49" s="599"/>
      <c r="AM49" s="556"/>
      <c r="AN49" s="598"/>
      <c r="AO49" s="599"/>
      <c r="AQ49" s="556"/>
      <c r="AR49" s="598"/>
      <c r="AS49" s="599"/>
      <c r="AU49" s="556"/>
      <c r="AV49" s="598"/>
      <c r="AW49" s="599"/>
      <c r="AY49" s="556"/>
      <c r="AZ49" s="598"/>
      <c r="BA49" s="599"/>
      <c r="BC49" s="556"/>
      <c r="BD49" s="598"/>
      <c r="BE49" s="599"/>
      <c r="BG49" s="556"/>
      <c r="BH49" s="556"/>
      <c r="BI49" s="598"/>
      <c r="BJ49" s="599"/>
    </row>
    <row r="50" spans="1:62" outlineLevel="2" collapsed="1">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Y50" s="562"/>
      <c r="AZ50" s="598"/>
    </row>
    <row r="51" spans="1:62" outlineLevel="2">
      <c r="A51" s="565" t="s">
        <v>401</v>
      </c>
      <c r="B51" s="566"/>
      <c r="C51" s="566"/>
      <c r="D51" s="566"/>
      <c r="E51" s="566"/>
      <c r="F51" s="566"/>
      <c r="G51" s="566"/>
      <c r="H51" s="566"/>
      <c r="I51" s="566"/>
      <c r="J51" s="566"/>
      <c r="K51" s="566"/>
      <c r="L51" s="566"/>
      <c r="M51" s="566"/>
      <c r="N51" s="566"/>
      <c r="O51" s="566"/>
      <c r="P51" s="566"/>
      <c r="Q51" s="566"/>
      <c r="R51" s="566"/>
      <c r="S51" s="566"/>
      <c r="T51" s="566"/>
      <c r="U51" s="566"/>
      <c r="V51" s="566"/>
      <c r="W51" s="566"/>
      <c r="X51" s="566"/>
      <c r="Y51" s="566"/>
      <c r="Z51" s="566"/>
      <c r="AA51" s="566"/>
      <c r="AB51" s="566"/>
      <c r="AC51" s="566"/>
      <c r="AD51" s="566"/>
      <c r="AE51" s="566"/>
      <c r="AF51" s="566"/>
      <c r="AG51" s="566"/>
      <c r="AH51" s="420"/>
      <c r="AI51" s="420"/>
      <c r="AJ51" s="420"/>
      <c r="AK51" s="420"/>
      <c r="AL51" s="420"/>
      <c r="AM51" s="420"/>
      <c r="AN51" s="420"/>
      <c r="AO51" s="420"/>
      <c r="AP51" s="420"/>
      <c r="AQ51" s="420"/>
      <c r="AR51" s="420"/>
      <c r="AS51" s="420"/>
      <c r="AT51" s="420"/>
      <c r="AU51" s="420"/>
      <c r="AV51" s="420"/>
      <c r="AW51" s="420"/>
      <c r="AX51" s="420"/>
      <c r="AY51" s="420"/>
      <c r="AZ51" s="420"/>
      <c r="BA51" s="420"/>
      <c r="BC51" s="420"/>
      <c r="BD51" s="420"/>
      <c r="BE51" s="420"/>
      <c r="BG51" s="420"/>
      <c r="BH51" s="420"/>
      <c r="BI51" s="420"/>
      <c r="BJ51" s="420"/>
    </row>
    <row r="52" spans="1:62" outlineLevel="1">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row>
    <row r="53" spans="1:62" outlineLevel="1">
      <c r="A53" s="569" t="s">
        <v>79</v>
      </c>
      <c r="B53" s="79"/>
      <c r="C53" s="604">
        <v>0</v>
      </c>
      <c r="D53" s="596">
        <f t="shared" ref="D53:D59" si="53">C113/C11*100</f>
        <v>6.8598830532397057E-2</v>
      </c>
      <c r="E53" s="603"/>
      <c r="F53" s="79"/>
      <c r="G53" s="604">
        <v>0</v>
      </c>
      <c r="H53" s="596">
        <f t="shared" ref="H53:H59" si="54">G113/G11*100</f>
        <v>8.7836584913578555E-2</v>
      </c>
      <c r="I53" s="603"/>
      <c r="J53" s="79"/>
      <c r="K53" s="604">
        <v>0</v>
      </c>
      <c r="L53" s="596">
        <f t="shared" ref="L53:L59" si="55">K113/K11*100</f>
        <v>0.14693680964627928</v>
      </c>
      <c r="M53" s="603"/>
      <c r="N53" s="79"/>
      <c r="O53" s="604">
        <v>-0.752</v>
      </c>
      <c r="P53" s="596">
        <f t="shared" ref="P53:P59" si="56">O113/O11*100</f>
        <v>0.30901252069126478</v>
      </c>
      <c r="Q53" s="603"/>
      <c r="R53" s="79"/>
      <c r="S53" s="604">
        <v>-0.11899999999999999</v>
      </c>
      <c r="T53" s="596">
        <f t="shared" ref="T53:T59" si="57">S113/S11*100</f>
        <v>0.26786311177017552</v>
      </c>
      <c r="U53" s="603"/>
      <c r="V53" s="79"/>
      <c r="W53" s="604">
        <v>-0.98099999999999998</v>
      </c>
      <c r="X53" s="596">
        <f t="shared" ref="X53:X59" si="58">W113/W11*100</f>
        <v>5.3312980041128109</v>
      </c>
      <c r="Y53" s="603"/>
      <c r="Z53" s="79"/>
      <c r="AA53" s="604">
        <v>-0.65200000000000002</v>
      </c>
      <c r="AB53" s="596">
        <f t="shared" ref="AB53:AB59" si="59">AA113/AA11*100</f>
        <v>4.8464948428043595</v>
      </c>
      <c r="AC53" s="603"/>
      <c r="AD53" s="79"/>
      <c r="AE53" s="605">
        <v>-2.5419999999999998</v>
      </c>
      <c r="AF53" s="596">
        <f t="shared" ref="AF53:AF59" si="60">AE113/AE11*100</f>
        <v>3.6968146616673097</v>
      </c>
      <c r="AG53" s="602"/>
      <c r="AI53" s="606">
        <f>-7.06-2.921</f>
        <v>-9.9809999999999999</v>
      </c>
      <c r="AJ53" s="598">
        <f t="shared" ref="AJ53:AJ59" si="61">AI53/AI11*100</f>
        <v>-1.2024678239561084</v>
      </c>
      <c r="AK53" s="607"/>
      <c r="AM53" s="606">
        <f>-7.28-2.966</f>
        <v>-10.246</v>
      </c>
      <c r="AN53" s="598">
        <f t="shared" ref="AN53:AN59" si="62">AM53/AM11*100</f>
        <v>-1.1452164912963101</v>
      </c>
      <c r="AO53" s="607"/>
      <c r="AQ53" s="606">
        <f>-7.25-2.809</f>
        <v>-10.059000000000001</v>
      </c>
      <c r="AR53" s="598">
        <f t="shared" ref="AR53:AR59" si="63">AQ53/AQ11*100</f>
        <v>-1.0826827800805314</v>
      </c>
      <c r="AS53" s="599"/>
      <c r="AU53" s="606">
        <v>-9.8000000000000007</v>
      </c>
      <c r="AV53" s="598">
        <f t="shared" ref="AV53:AV59" si="64">AU53/AU11*100</f>
        <v>-0.99753487685945974</v>
      </c>
      <c r="AW53" s="607"/>
      <c r="AY53" s="606">
        <v>-10.5</v>
      </c>
      <c r="AZ53" s="598">
        <f t="shared" ref="AZ53:AZ59" si="65">AY53/AY11*100</f>
        <v>-0.98590308098413704</v>
      </c>
      <c r="BA53" s="607"/>
      <c r="BC53" s="824">
        <f>-7.589-1.896</f>
        <v>-9.4849999999999994</v>
      </c>
      <c r="BD53" s="598">
        <f t="shared" ref="BD53:BD59" si="66">BC53/BC11*100</f>
        <v>-0.84066831580057588</v>
      </c>
      <c r="BE53" s="607"/>
      <c r="BG53" s="824">
        <f>-7.86-1.072</f>
        <v>-8.9320000000000004</v>
      </c>
      <c r="BH53" s="824"/>
      <c r="BI53" s="598">
        <f t="shared" ref="BI53:BI59" si="67">BG53/BG11*100</f>
        <v>-0.75499193193238889</v>
      </c>
      <c r="BJ53" s="607"/>
    </row>
    <row r="54" spans="1:62" outlineLevel="1">
      <c r="A54" s="569" t="s">
        <v>80</v>
      </c>
      <c r="B54" s="79"/>
      <c r="C54" s="608">
        <v>0</v>
      </c>
      <c r="D54" s="596">
        <f t="shared" si="53"/>
        <v>3.0512096913881268E-2</v>
      </c>
      <c r="E54" s="603"/>
      <c r="F54" s="79"/>
      <c r="G54" s="608">
        <v>0</v>
      </c>
      <c r="H54" s="596">
        <f t="shared" si="54"/>
        <v>7.7517321264404873E-2</v>
      </c>
      <c r="I54" s="603"/>
      <c r="J54" s="79"/>
      <c r="K54" s="608">
        <v>0</v>
      </c>
      <c r="L54" s="596">
        <f t="shared" si="55"/>
        <v>0.21232518748465173</v>
      </c>
      <c r="M54" s="603"/>
      <c r="N54" s="79"/>
      <c r="O54" s="608">
        <v>-4.843</v>
      </c>
      <c r="P54" s="596">
        <f t="shared" si="56"/>
        <v>0.20205326114872621</v>
      </c>
      <c r="Q54" s="603"/>
      <c r="R54" s="79"/>
      <c r="S54" s="608">
        <v>2.6110000000000002</v>
      </c>
      <c r="T54" s="596">
        <f t="shared" si="57"/>
        <v>0.1604946295624608</v>
      </c>
      <c r="U54" s="603"/>
      <c r="V54" s="79"/>
      <c r="W54" s="608">
        <v>-0.68200000000000005</v>
      </c>
      <c r="X54" s="596">
        <f t="shared" si="58"/>
        <v>3.5325473642819101</v>
      </c>
      <c r="Y54" s="603"/>
      <c r="Z54" s="79"/>
      <c r="AA54" s="608">
        <f>-1.849</f>
        <v>-1.849</v>
      </c>
      <c r="AB54" s="596">
        <f t="shared" si="59"/>
        <v>3.5248223462330919</v>
      </c>
      <c r="AC54" s="603"/>
      <c r="AD54" s="79"/>
      <c r="AE54" s="608">
        <v>-0.29599999999999999</v>
      </c>
      <c r="AF54" s="596">
        <f t="shared" si="60"/>
        <v>2.7481163861537059</v>
      </c>
      <c r="AG54" s="602"/>
      <c r="AI54" s="609">
        <f>-6.724-9.267</f>
        <v>-15.991</v>
      </c>
      <c r="AJ54" s="598">
        <f t="shared" si="61"/>
        <v>-2.2812413513690877</v>
      </c>
      <c r="AK54" s="607"/>
      <c r="AM54" s="609">
        <f>-6.795-3.478</f>
        <v>-10.273</v>
      </c>
      <c r="AN54" s="598">
        <f t="shared" si="62"/>
        <v>-1.4096740994854202</v>
      </c>
      <c r="AO54" s="607"/>
      <c r="AQ54" s="609">
        <f>-7.095-2.311</f>
        <v>-9.4059999999999988</v>
      </c>
      <c r="AR54" s="598">
        <f t="shared" si="63"/>
        <v>-1.1856068388565435</v>
      </c>
      <c r="AS54" s="599"/>
      <c r="AU54" s="610">
        <v>-9.6999999999999993</v>
      </c>
      <c r="AV54" s="598">
        <f t="shared" si="64"/>
        <v>-1.1224497539865224</v>
      </c>
      <c r="AW54" s="607"/>
      <c r="AY54" s="609">
        <v>-9.6999999999999993</v>
      </c>
      <c r="AZ54" s="598">
        <f t="shared" si="65"/>
        <v>-1.0066724418848869</v>
      </c>
      <c r="BA54" s="607"/>
      <c r="BC54" s="642">
        <f>-7.545-1.968</f>
        <v>-9.5129999999999999</v>
      </c>
      <c r="BD54" s="598">
        <f t="shared" si="66"/>
        <v>-0.91157274806651334</v>
      </c>
      <c r="BE54" s="607"/>
      <c r="BG54" s="642">
        <f>-7.355-1.389</f>
        <v>-8.7439999999999998</v>
      </c>
      <c r="BH54" s="642"/>
      <c r="BI54" s="598">
        <f t="shared" si="67"/>
        <v>-0.76419004070902563</v>
      </c>
      <c r="BJ54" s="607"/>
    </row>
    <row r="55" spans="1:62" outlineLevel="1">
      <c r="A55" s="569" t="s">
        <v>81</v>
      </c>
      <c r="B55" s="79"/>
      <c r="C55" s="608">
        <v>0</v>
      </c>
      <c r="D55" s="596">
        <f t="shared" si="53"/>
        <v>1.3840408660286536E-2</v>
      </c>
      <c r="E55" s="603"/>
      <c r="F55" s="79"/>
      <c r="G55" s="608">
        <v>0</v>
      </c>
      <c r="H55" s="596">
        <f t="shared" si="54"/>
        <v>0.12876864978641739</v>
      </c>
      <c r="I55" s="603"/>
      <c r="J55" s="79"/>
      <c r="K55" s="608">
        <v>-1.4319999999999999</v>
      </c>
      <c r="L55" s="596">
        <f t="shared" si="55"/>
        <v>0.19002630057264369</v>
      </c>
      <c r="M55" s="603"/>
      <c r="N55" s="79"/>
      <c r="O55" s="608">
        <v>-3.4060000000000001</v>
      </c>
      <c r="P55" s="596">
        <f t="shared" si="56"/>
        <v>0.18244789728798377</v>
      </c>
      <c r="Q55" s="603"/>
      <c r="R55" s="79"/>
      <c r="S55" s="608">
        <v>-3.5920000000000001</v>
      </c>
      <c r="T55" s="596">
        <f t="shared" si="57"/>
        <v>8.6625388796837302E-2</v>
      </c>
      <c r="U55" s="603"/>
      <c r="V55" s="79"/>
      <c r="W55" s="608">
        <v>-3.2040000000000002</v>
      </c>
      <c r="X55" s="596">
        <f t="shared" si="58"/>
        <v>3.1773798288378723</v>
      </c>
      <c r="Y55" s="603"/>
      <c r="Z55" s="79"/>
      <c r="AA55" s="608">
        <f>-8.033</f>
        <v>-8.0329999999999995</v>
      </c>
      <c r="AB55" s="596">
        <f t="shared" si="59"/>
        <v>3.0046743621485184</v>
      </c>
      <c r="AC55" s="603"/>
      <c r="AD55" s="79"/>
      <c r="AE55" s="608">
        <v>1.5649999999999999</v>
      </c>
      <c r="AF55" s="596">
        <f t="shared" si="60"/>
        <v>2.094669095324833</v>
      </c>
      <c r="AG55" s="602"/>
      <c r="AI55" s="609">
        <f>-7.988-2.558</f>
        <v>-10.545999999999999</v>
      </c>
      <c r="AJ55" s="598">
        <f t="shared" si="61"/>
        <v>-1.2088851799801463</v>
      </c>
      <c r="AK55" s="607"/>
      <c r="AM55" s="609">
        <f>-7.85-3.59</f>
        <v>-11.44</v>
      </c>
      <c r="AN55" s="598">
        <f t="shared" si="62"/>
        <v>-1.3330443516906592</v>
      </c>
      <c r="AO55" s="607"/>
      <c r="AQ55" s="609">
        <f>-8.14-1.897</f>
        <v>-10.037000000000001</v>
      </c>
      <c r="AR55" s="598">
        <f t="shared" si="63"/>
        <v>-1.1168814116081334</v>
      </c>
      <c r="AS55" s="599"/>
      <c r="AU55" s="610">
        <v>-9.8000000000000007</v>
      </c>
      <c r="AV55" s="598">
        <f t="shared" si="64"/>
        <v>-1.0125077457820171</v>
      </c>
      <c r="AW55" s="607"/>
      <c r="AY55" s="609">
        <f>-8.353-1.703</f>
        <v>-10.055999999999999</v>
      </c>
      <c r="AZ55" s="598">
        <f t="shared" si="65"/>
        <v>-0.94466708376311181</v>
      </c>
      <c r="BA55" s="607"/>
      <c r="BC55" s="642">
        <f>-8.816-1.705</f>
        <v>-10.521000000000001</v>
      </c>
      <c r="BD55" s="598">
        <f t="shared" si="66"/>
        <v>-0.90910504868261433</v>
      </c>
      <c r="BE55" s="607"/>
      <c r="BG55" s="609">
        <v>-10.5</v>
      </c>
      <c r="BH55" s="609"/>
      <c r="BI55" s="598">
        <f t="shared" si="67"/>
        <v>-0.85304406744410122</v>
      </c>
      <c r="BJ55" s="607"/>
    </row>
    <row r="56" spans="1:62" outlineLevel="1">
      <c r="A56" s="569" t="s">
        <v>82</v>
      </c>
      <c r="B56" s="79"/>
      <c r="C56" s="611">
        <v>0</v>
      </c>
      <c r="D56" s="596">
        <f t="shared" si="53"/>
        <v>5.1577635017600452E-2</v>
      </c>
      <c r="E56" s="603"/>
      <c r="F56" s="79"/>
      <c r="G56" s="611">
        <v>0</v>
      </c>
      <c r="H56" s="596">
        <f t="shared" si="54"/>
        <v>0.11174962832172079</v>
      </c>
      <c r="I56" s="603"/>
      <c r="J56" s="79"/>
      <c r="K56" s="611">
        <v>-8.4719999999999995</v>
      </c>
      <c r="L56" s="596">
        <f t="shared" si="55"/>
        <v>0.25817003008089717</v>
      </c>
      <c r="M56" s="603"/>
      <c r="N56" s="79"/>
      <c r="O56" s="611">
        <v>-5.6180000000000003</v>
      </c>
      <c r="P56" s="596">
        <f t="shared" si="56"/>
        <v>0.23307764628241157</v>
      </c>
      <c r="Q56" s="603"/>
      <c r="R56" s="79"/>
      <c r="S56" s="612">
        <f>S57-SUM(S53:S55)</f>
        <v>-7.3480000000000008</v>
      </c>
      <c r="T56" s="596">
        <f t="shared" si="57"/>
        <v>2.2402489757098634</v>
      </c>
      <c r="U56" s="603"/>
      <c r="V56" s="79"/>
      <c r="W56" s="611">
        <f>W57-SUM(W53:W55)</f>
        <v>-1.3129999999999997</v>
      </c>
      <c r="X56" s="596">
        <f t="shared" si="58"/>
        <v>4.0862262896876107</v>
      </c>
      <c r="Y56" s="603"/>
      <c r="Z56" s="79"/>
      <c r="AA56" s="611">
        <f>AA57-SUM(AA53:AA55)</f>
        <v>-2.3270000000000017</v>
      </c>
      <c r="AB56" s="596">
        <f t="shared" si="59"/>
        <v>4.5939415332692528</v>
      </c>
      <c r="AC56" s="603"/>
      <c r="AD56" s="79"/>
      <c r="AE56" s="612">
        <f>AE57-SUM(AE53:AE55)</f>
        <v>-4.7250000000000005</v>
      </c>
      <c r="AF56" s="596">
        <f t="shared" si="60"/>
        <v>3.3015795423298999</v>
      </c>
      <c r="AG56" s="602"/>
      <c r="AI56" s="613">
        <f>AI57-SUM(AI53:AI55)</f>
        <v>-10.957000000000001</v>
      </c>
      <c r="AJ56" s="598">
        <f t="shared" si="61"/>
        <v>-0.97872389838850471</v>
      </c>
      <c r="AK56" s="607"/>
      <c r="AM56" s="613">
        <f>AM57-SUM(AM53:AM55)</f>
        <v>-10.874000000000002</v>
      </c>
      <c r="AN56" s="598">
        <f t="shared" si="62"/>
        <v>-0.91532911106846182</v>
      </c>
      <c r="AO56" s="607"/>
      <c r="AQ56" s="613">
        <f>AQ57-SUM(AQ53:AQ55)</f>
        <v>-13.836999999999996</v>
      </c>
      <c r="AR56" s="598">
        <f t="shared" si="63"/>
        <v>-1.122184907071216</v>
      </c>
      <c r="AS56" s="599"/>
      <c r="AU56" s="613">
        <f>AU57-SUM(AU53:AU55)</f>
        <v>-12.3</v>
      </c>
      <c r="AV56" s="598">
        <f t="shared" si="64"/>
        <v>-0.97422862069214988</v>
      </c>
      <c r="AW56" s="607"/>
      <c r="AY56" s="614">
        <f>-10.386-2.631</f>
        <v>-13.016999999999999</v>
      </c>
      <c r="AZ56" s="598">
        <f t="shared" si="65"/>
        <v>-0.97558453004885792</v>
      </c>
      <c r="BA56" s="607"/>
      <c r="BC56" s="819">
        <f>-11.18-5.184</f>
        <v>-16.364000000000001</v>
      </c>
      <c r="BD56" s="598">
        <f t="shared" si="66"/>
        <v>-1.1016843032203598</v>
      </c>
      <c r="BE56" s="607"/>
      <c r="BG56" s="614">
        <v>-13</v>
      </c>
      <c r="BH56" s="1198"/>
      <c r="BI56" s="598">
        <f t="shared" si="67"/>
        <v>-0.84373452477301913</v>
      </c>
      <c r="BJ56" s="607"/>
    </row>
    <row r="57" spans="1:62" outlineLevel="1">
      <c r="A57" s="569" t="s">
        <v>85</v>
      </c>
      <c r="B57" s="79"/>
      <c r="C57" s="590">
        <f>'yrP&amp;L'!$D20</f>
        <v>-6.5949999999999998</v>
      </c>
      <c r="D57" s="596">
        <f t="shared" si="53"/>
        <v>3.7787463725013772E-2</v>
      </c>
      <c r="E57" s="603"/>
      <c r="F57" s="79"/>
      <c r="G57" s="590">
        <f>'yrP&amp;L'!$E20</f>
        <v>-6.0410000000000004</v>
      </c>
      <c r="H57" s="596">
        <f t="shared" si="54"/>
        <v>0.10376651153342931</v>
      </c>
      <c r="I57" s="603"/>
      <c r="J57" s="79"/>
      <c r="K57" s="590">
        <f>'yrP&amp;L'!$F20</f>
        <v>-10.335000000000001</v>
      </c>
      <c r="L57" s="596">
        <f t="shared" si="55"/>
        <v>0.20500286717296748</v>
      </c>
      <c r="M57" s="603"/>
      <c r="N57" s="79"/>
      <c r="O57" s="590">
        <f>'yrP&amp;L'!$G20</f>
        <v>-14.619</v>
      </c>
      <c r="P57" s="596">
        <f t="shared" si="56"/>
        <v>0.22919895994799738</v>
      </c>
      <c r="Q57" s="603"/>
      <c r="R57" s="79"/>
      <c r="S57" s="590">
        <f>'yrP&amp;L'!$H20</f>
        <v>-8.4480000000000004</v>
      </c>
      <c r="T57" s="596">
        <f t="shared" si="57"/>
        <v>0.65413187635172942</v>
      </c>
      <c r="U57" s="603"/>
      <c r="V57" s="79"/>
      <c r="W57" s="590">
        <f>'yrP&amp;L'!I20</f>
        <v>-6.18</v>
      </c>
      <c r="X57" s="596">
        <f t="shared" si="58"/>
        <v>3.9025814690358827</v>
      </c>
      <c r="Y57" s="603"/>
      <c r="Z57" s="79"/>
      <c r="AA57" s="590">
        <f>'yrP&amp;L'!J20</f>
        <v>-12.861000000000001</v>
      </c>
      <c r="AB57" s="596">
        <f t="shared" si="59"/>
        <v>3.8841719838328159</v>
      </c>
      <c r="AC57" s="603"/>
      <c r="AD57" s="590"/>
      <c r="AE57" s="590">
        <f>'yrP&amp;L'!K20</f>
        <v>-5.9980000000000002</v>
      </c>
      <c r="AF57" s="596">
        <f t="shared" si="60"/>
        <v>2.8760975839223466</v>
      </c>
      <c r="AG57" s="602"/>
      <c r="AI57" s="606">
        <f>-30.84-16.635</f>
        <v>-47.475000000000001</v>
      </c>
      <c r="AJ57" s="598">
        <f t="shared" si="61"/>
        <v>-1.3476059875432669</v>
      </c>
      <c r="AK57" s="607"/>
      <c r="AM57" s="606">
        <f>-31.487-11.346</f>
        <v>-42.832999999999998</v>
      </c>
      <c r="AN57" s="598">
        <f t="shared" si="62"/>
        <v>-1.167238299957325</v>
      </c>
      <c r="AO57" s="607"/>
      <c r="AQ57" s="606">
        <f>-33.397-9.942</f>
        <v>-43.338999999999999</v>
      </c>
      <c r="AR57" s="598">
        <f t="shared" si="63"/>
        <v>-1.1244808820866112</v>
      </c>
      <c r="AS57" s="599"/>
      <c r="AU57" s="606">
        <v>-41.6</v>
      </c>
      <c r="AV57" s="598">
        <f t="shared" si="64"/>
        <v>-1.0203495544674872</v>
      </c>
      <c r="AW57" s="607"/>
      <c r="AY57" s="606">
        <f>-34.484-8.939</f>
        <v>-43.423000000000002</v>
      </c>
      <c r="AZ57" s="598">
        <f t="shared" si="65"/>
        <v>-0.98075597012582494</v>
      </c>
      <c r="BA57" s="607"/>
      <c r="BC57" s="615">
        <f>SUM(BC53:BC56)</f>
        <v>-45.882999999999996</v>
      </c>
      <c r="BD57" s="598">
        <f t="shared" si="66"/>
        <v>-0.95301613624165649</v>
      </c>
      <c r="BE57" s="607"/>
      <c r="BG57" s="615">
        <f>SUM(BG53:BG56)</f>
        <v>-41.176000000000002</v>
      </c>
      <c r="BH57" s="615"/>
      <c r="BI57" s="598">
        <f t="shared" si="67"/>
        <v>-0.8075416577432295</v>
      </c>
      <c r="BJ57" s="607"/>
    </row>
    <row r="58" spans="1:62" s="421" customFormat="1" hidden="1" outlineLevel="2">
      <c r="A58" s="616" t="s">
        <v>87</v>
      </c>
      <c r="B58" s="433"/>
      <c r="C58" s="617">
        <f>C53+C54</f>
        <v>0</v>
      </c>
      <c r="D58" s="618">
        <f t="shared" si="53"/>
        <v>4.4912238833673908E-2</v>
      </c>
      <c r="E58" s="619"/>
      <c r="F58" s="433"/>
      <c r="G58" s="617">
        <f>G53+G54</f>
        <v>0</v>
      </c>
      <c r="H58" s="618">
        <f t="shared" si="54"/>
        <v>8.157433086794165E-2</v>
      </c>
      <c r="I58" s="619"/>
      <c r="J58" s="433"/>
      <c r="K58" s="617">
        <f>K53+K54</f>
        <v>0</v>
      </c>
      <c r="L58" s="618">
        <f t="shared" si="55"/>
        <v>0.186106371069097</v>
      </c>
      <c r="M58" s="619"/>
      <c r="N58" s="433"/>
      <c r="O58" s="617">
        <f>O53+O54</f>
        <v>-5.5949999999999998</v>
      </c>
      <c r="P58" s="618">
        <f t="shared" si="56"/>
        <v>0.24456958970233306</v>
      </c>
      <c r="Q58" s="619"/>
      <c r="R58" s="433"/>
      <c r="S58" s="617">
        <f>S53+S54</f>
        <v>2.492</v>
      </c>
      <c r="T58" s="618">
        <f t="shared" si="57"/>
        <v>0.20433000971404963</v>
      </c>
      <c r="U58" s="619"/>
      <c r="V58" s="433"/>
      <c r="W58" s="617">
        <f>W53+W54</f>
        <v>-1.663</v>
      </c>
      <c r="X58" s="618">
        <f t="shared" si="58"/>
        <v>4.2518301892585155</v>
      </c>
      <c r="Y58" s="620"/>
      <c r="Z58" s="433"/>
      <c r="AA58" s="617">
        <f>AA53+AA54</f>
        <v>-2.5009999999999999</v>
      </c>
      <c r="AB58" s="618">
        <f t="shared" si="59"/>
        <v>4.0768999231049516</v>
      </c>
      <c r="AC58" s="620"/>
      <c r="AD58" s="433"/>
      <c r="AE58" s="617">
        <f>AE53+AE54</f>
        <v>-2.8379999999999996</v>
      </c>
      <c r="AF58" s="618">
        <f t="shared" si="60"/>
        <v>3.1407707877801281</v>
      </c>
      <c r="AG58" s="620"/>
      <c r="AI58" s="621">
        <f>AI53+AI54</f>
        <v>-25.972000000000001</v>
      </c>
      <c r="AJ58" s="598">
        <f t="shared" si="61"/>
        <v>-1.6963843082492012</v>
      </c>
      <c r="AK58" s="622"/>
      <c r="AM58" s="621">
        <f>AM53+AM54</f>
        <v>-20.518999999999998</v>
      </c>
      <c r="AN58" s="598">
        <f t="shared" si="62"/>
        <v>-1.2639303991307285</v>
      </c>
      <c r="AO58" s="622"/>
      <c r="AQ58" s="621">
        <f>AQ53+AQ54</f>
        <v>-19.465</v>
      </c>
      <c r="AR58" s="598">
        <f t="shared" si="63"/>
        <v>-1.1300894666256394</v>
      </c>
      <c r="AS58" s="623"/>
      <c r="AU58" s="621">
        <f>AU53+AU54</f>
        <v>-19.5</v>
      </c>
      <c r="AV58" s="598">
        <f t="shared" si="64"/>
        <v>-1.0559930784424834</v>
      </c>
      <c r="AW58" s="623"/>
      <c r="AY58" s="609">
        <f>-8.353-1.703</f>
        <v>-10.055999999999999</v>
      </c>
      <c r="AZ58" s="598">
        <f t="shared" si="65"/>
        <v>-0.49571522835853005</v>
      </c>
      <c r="BC58" s="624">
        <f>BC53+BC54</f>
        <v>-18.997999999999998</v>
      </c>
      <c r="BD58" s="598">
        <f t="shared" si="66"/>
        <v>-0.87473812648203131</v>
      </c>
      <c r="BG58" s="624">
        <f>BG53+BG54</f>
        <v>-17.676000000000002</v>
      </c>
      <c r="BH58" s="624"/>
      <c r="BI58" s="598">
        <f t="shared" si="67"/>
        <v>-0.75951423057934231</v>
      </c>
    </row>
    <row r="59" spans="1:62" s="421" customFormat="1" hidden="1" outlineLevel="2">
      <c r="A59" s="616" t="s">
        <v>88</v>
      </c>
      <c r="B59" s="433"/>
      <c r="C59" s="617">
        <f>C53+C54+C55</f>
        <v>0</v>
      </c>
      <c r="D59" s="618">
        <f t="shared" si="53"/>
        <v>3.2642263357379631E-2</v>
      </c>
      <c r="E59" s="619"/>
      <c r="F59" s="433"/>
      <c r="G59" s="617">
        <f>G53+G54+G55</f>
        <v>0</v>
      </c>
      <c r="H59" s="618">
        <f t="shared" si="54"/>
        <v>9.9632548717142083E-2</v>
      </c>
      <c r="I59" s="619"/>
      <c r="J59" s="433"/>
      <c r="K59" s="617">
        <f>K53+K54+K55</f>
        <v>-1.4319999999999999</v>
      </c>
      <c r="L59" s="618">
        <f t="shared" si="55"/>
        <v>0.18764639120768795</v>
      </c>
      <c r="M59" s="619"/>
      <c r="N59" s="433"/>
      <c r="O59" s="617">
        <f>O53+O54+O55</f>
        <v>-9.0009999999999994</v>
      </c>
      <c r="P59" s="618">
        <f t="shared" si="56"/>
        <v>0.21969126645118969</v>
      </c>
      <c r="Q59" s="619"/>
      <c r="R59" s="433"/>
      <c r="S59" s="617">
        <f>S53+S54+S55</f>
        <v>-1.1000000000000001</v>
      </c>
      <c r="T59" s="618">
        <f t="shared" si="57"/>
        <v>0.15838870130341648</v>
      </c>
      <c r="U59" s="619"/>
      <c r="V59" s="433"/>
      <c r="W59" s="617">
        <f>W53+W54+W55</f>
        <v>-4.867</v>
      </c>
      <c r="X59" s="618">
        <f t="shared" si="58"/>
        <v>3.8485532765386186</v>
      </c>
      <c r="Y59" s="620"/>
      <c r="Z59" s="433"/>
      <c r="AA59" s="617">
        <f>AA53+AA54+AA55</f>
        <v>-10.533999999999999</v>
      </c>
      <c r="AB59" s="618">
        <f t="shared" si="59"/>
        <v>3.6721470907073015</v>
      </c>
      <c r="AC59" s="620"/>
      <c r="AD59" s="433"/>
      <c r="AE59" s="617">
        <f>AE53+AE54+AE55</f>
        <v>-1.2729999999999997</v>
      </c>
      <c r="AF59" s="618">
        <f t="shared" si="60"/>
        <v>2.7496356823527872</v>
      </c>
      <c r="AG59" s="620"/>
      <c r="AI59" s="621">
        <f>AI53+AI54+AI55</f>
        <v>-36.518000000000001</v>
      </c>
      <c r="AJ59" s="598">
        <f t="shared" si="61"/>
        <v>-1.5194339673669954</v>
      </c>
      <c r="AK59" s="622"/>
      <c r="AM59" s="621">
        <f>AM53+AM54+AM55</f>
        <v>-31.958999999999996</v>
      </c>
      <c r="AN59" s="598">
        <f t="shared" si="62"/>
        <v>-1.2878312259682609</v>
      </c>
      <c r="AO59" s="622"/>
      <c r="AQ59" s="621">
        <f>AQ53+AQ54+AQ55</f>
        <v>-29.502000000000002</v>
      </c>
      <c r="AR59" s="598">
        <f t="shared" si="63"/>
        <v>-1.125560977805824</v>
      </c>
      <c r="AS59" s="623"/>
      <c r="AU59" s="621">
        <f>AU53+AU54+AU55</f>
        <v>-29.3</v>
      </c>
      <c r="AV59" s="598">
        <f t="shared" si="64"/>
        <v>-1.0410386522940995</v>
      </c>
      <c r="AW59" s="623"/>
      <c r="AY59" s="609">
        <f>-8.353-1.703</f>
        <v>-10.055999999999999</v>
      </c>
      <c r="AZ59" s="598">
        <f t="shared" si="65"/>
        <v>-0.32511219778910361</v>
      </c>
      <c r="BC59" s="624">
        <f>BC53+BC54+BC55</f>
        <v>-29.518999999999998</v>
      </c>
      <c r="BD59" s="598">
        <f t="shared" si="66"/>
        <v>-0.88668491761540957</v>
      </c>
      <c r="BG59" s="624">
        <f>BG53+BG54+BG55</f>
        <v>-28.176000000000002</v>
      </c>
      <c r="BH59" s="624"/>
      <c r="BI59" s="598">
        <f t="shared" si="67"/>
        <v>-0.7918692876071165</v>
      </c>
    </row>
    <row r="60" spans="1:62" outlineLevel="1" collapsed="1">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row>
    <row r="61" spans="1:62" outlineLevel="2">
      <c r="A61" s="565" t="s">
        <v>353</v>
      </c>
      <c r="B61" s="566"/>
      <c r="C61" s="566"/>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420"/>
      <c r="AI61" s="420"/>
      <c r="AJ61" s="420"/>
      <c r="AK61" s="420"/>
      <c r="AL61" s="420"/>
      <c r="AM61" s="420"/>
      <c r="AN61" s="420"/>
      <c r="AO61" s="420"/>
      <c r="AP61" s="420"/>
      <c r="AQ61" s="420"/>
      <c r="AR61" s="420"/>
      <c r="AS61" s="420"/>
      <c r="AT61" s="420"/>
      <c r="AU61" s="420"/>
      <c r="AV61" s="420"/>
      <c r="AW61" s="420"/>
    </row>
    <row r="62" spans="1:62" outlineLevel="1">
      <c r="A62" s="79"/>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79"/>
      <c r="AG62" s="79"/>
      <c r="AI62" s="625">
        <f>AI11-AI21-AI31-AI53</f>
        <v>23.704999999999991</v>
      </c>
      <c r="AJ62" s="598">
        <f>AI62/AI11*100</f>
        <v>2.8558761413565308</v>
      </c>
      <c r="AK62" s="558"/>
      <c r="AL62" s="57"/>
      <c r="AM62" s="625">
        <f>AM11-AM21-AM31-AM53</f>
        <v>74.043000000000021</v>
      </c>
      <c r="AN62" s="598">
        <f>AM62/AM11*100</f>
        <v>8.2759383823006729</v>
      </c>
      <c r="AO62" s="599">
        <f>(AM62/AI62-1)*100</f>
        <v>212.35182450959735</v>
      </c>
      <c r="AP62" s="57"/>
      <c r="AQ62" s="625">
        <f>AQ11-AQ21-AQ31-AQ53</f>
        <v>73.009000000000043</v>
      </c>
      <c r="AR62" s="598">
        <f>AQ62/AQ11*100</f>
        <v>7.8581953564866831</v>
      </c>
      <c r="AS62" s="599">
        <f>(AQ62/AM62-1)*100</f>
        <v>-1.3964858258038948</v>
      </c>
      <c r="AU62" s="625">
        <f>AU11-AU21-AU31-AU53</f>
        <v>64.726579560000047</v>
      </c>
      <c r="AV62" s="598">
        <f>AU62/AU11*100</f>
        <v>6.5884714868284355</v>
      </c>
      <c r="AW62" s="599">
        <f>(AU62/AQ62-1)*100</f>
        <v>-11.344382802120279</v>
      </c>
      <c r="AX62" s="57"/>
      <c r="AY62" s="547">
        <f>AY11-AY21-AY31-AY53</f>
        <v>79.633158820000858</v>
      </c>
      <c r="AZ62" s="598">
        <f>AY62/AY11*100</f>
        <v>7.4771977742036144</v>
      </c>
      <c r="BA62" s="599">
        <f>(AY62/AU62-1)*100</f>
        <v>23.030074138527201</v>
      </c>
      <c r="BB62" s="57"/>
      <c r="BC62" s="547">
        <f>BC11-BC21-BC31-BC53</f>
        <v>92.271999999999977</v>
      </c>
      <c r="BD62" s="598">
        <f>BC62/BC11*100</f>
        <v>8.1781915482921157</v>
      </c>
      <c r="BE62" s="599">
        <f>(BC62/AY62-1)*100</f>
        <v>15.871329691400749</v>
      </c>
      <c r="BF62" s="57"/>
      <c r="BG62" s="547">
        <f>BG11-BG21-BG31-BG53</f>
        <v>101.38200000000005</v>
      </c>
      <c r="BH62" s="547"/>
      <c r="BI62" s="598">
        <f>BG62/BG11*100</f>
        <v>8.5694796286575787</v>
      </c>
      <c r="BJ62" s="599">
        <f>(BG62/BC62-1)*100</f>
        <v>9.8729842205653728</v>
      </c>
    </row>
    <row r="63" spans="1:62" outlineLevel="1">
      <c r="A63" s="569" t="s">
        <v>79</v>
      </c>
      <c r="B63" s="79"/>
      <c r="C63" s="79"/>
      <c r="D63" s="79"/>
      <c r="E63" s="79"/>
      <c r="F63" s="79"/>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I63" s="626">
        <f>AI12-AI22-AI32-AI54</f>
        <v>26.178999999999931</v>
      </c>
      <c r="AJ63" s="598">
        <f>AI63/AI12*100</f>
        <v>3.734639318209692</v>
      </c>
      <c r="AK63" s="558"/>
      <c r="AL63" s="57"/>
      <c r="AM63" s="626">
        <f>AM12-AM22-AM32-AM54</f>
        <v>-2.1439999999999735</v>
      </c>
      <c r="AN63" s="598">
        <f>AM63/AM12*100</f>
        <v>-0.29420240137220904</v>
      </c>
      <c r="AO63" s="599">
        <f>(AM63/AI63-1)*100</f>
        <v>-108.1897704266778</v>
      </c>
      <c r="AP63" s="57"/>
      <c r="AQ63" s="626">
        <f>AQ12-AQ22-AQ32-AQ54</f>
        <v>18.99699999999995</v>
      </c>
      <c r="AR63" s="598">
        <f>AQ63/AQ12*100</f>
        <v>2.3945325449455348</v>
      </c>
      <c r="AS63" s="599">
        <f>(AQ63/AM63-1)*100</f>
        <v>-986.05410447762051</v>
      </c>
      <c r="AU63" s="626">
        <f>AU12-AU22-AU32-AU54</f>
        <v>27.958749399999999</v>
      </c>
      <c r="AV63" s="598">
        <f>AU63/AU12*100</f>
        <v>3.2352877717320441</v>
      </c>
      <c r="AW63" s="599">
        <f>(AU63/AQ63-1)*100</f>
        <v>47.174550718534888</v>
      </c>
      <c r="AX63" s="57"/>
      <c r="AY63" s="549">
        <f>AY12-AY22-AY32-AY54</f>
        <v>43.9082359078471</v>
      </c>
      <c r="AZ63" s="598">
        <f>AY63/AY12*100</f>
        <v>4.5568258824958887</v>
      </c>
      <c r="BA63" s="599">
        <f>(AY63/AU63-1)*100</f>
        <v>57.046494747175998</v>
      </c>
      <c r="BB63" s="57"/>
      <c r="BC63" s="549">
        <f>BC12-BC22-BC32-BC54</f>
        <v>58.040999999999848</v>
      </c>
      <c r="BD63" s="598">
        <f>BC63/BC12*100</f>
        <v>5.5617149028201789</v>
      </c>
      <c r="BE63" s="599">
        <f>(BC63/AY63-1)*100</f>
        <v>32.187046006161665</v>
      </c>
      <c r="BF63" s="57"/>
      <c r="BG63" s="553">
        <f>BG12-BG22-BG32-BG54</f>
        <v>75.441000000000116</v>
      </c>
      <c r="BH63" s="553"/>
      <c r="BI63" s="598">
        <f>BG63/BG12*100</f>
        <v>6.5932366035143755</v>
      </c>
      <c r="BJ63" s="599">
        <f>(BG63/BC63-1)*100</f>
        <v>29.9788080839412</v>
      </c>
    </row>
    <row r="64" spans="1:62" outlineLevel="1">
      <c r="A64" s="569" t="s">
        <v>80</v>
      </c>
      <c r="B64" s="79"/>
      <c r="C64" s="79"/>
      <c r="D64" s="79"/>
      <c r="E64" s="79"/>
      <c r="F64" s="79"/>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I64" s="626">
        <f>AI13-AI23-AI33-AI55</f>
        <v>77.885999999999854</v>
      </c>
      <c r="AJ64" s="598">
        <f>AI64/AI13*100</f>
        <v>8.9280515008470971</v>
      </c>
      <c r="AK64" s="558"/>
      <c r="AL64" s="57"/>
      <c r="AM64" s="626">
        <f>AM13-AM23-AM33-AM55</f>
        <v>56.70699999999988</v>
      </c>
      <c r="AN64" s="598">
        <f>AM64/AM13*100</f>
        <v>6.6077750044861938</v>
      </c>
      <c r="AO64" s="599">
        <f>(AM64/AI64-1)*100</f>
        <v>-27.192306704670944</v>
      </c>
      <c r="AP64" s="57"/>
      <c r="AQ64" s="626">
        <f>AQ13-AQ23-AQ33-AQ55</f>
        <v>50.758999999999979</v>
      </c>
      <c r="AR64" s="598">
        <f>AQ64/AQ13*100</f>
        <v>5.6482797222095469</v>
      </c>
      <c r="AS64" s="599">
        <f>(AQ64/AM64-1)*100</f>
        <v>-10.489004884758346</v>
      </c>
      <c r="AU64" s="626">
        <f>AU13-AU23-AU33-AU55</f>
        <v>48.705032049999929</v>
      </c>
      <c r="AV64" s="598">
        <f>AU64/AU13*100</f>
        <v>5.0320634907332984</v>
      </c>
      <c r="AW64" s="599">
        <f>(AU64/AQ64-1)*100</f>
        <v>-4.0465098800213761</v>
      </c>
      <c r="AX64" s="57"/>
      <c r="AY64" s="549">
        <f>AY13-AY23-AY33-AY55</f>
        <v>62.471999999999994</v>
      </c>
      <c r="AZ64" s="598">
        <f>AY64/AY13*100</f>
        <v>5.8686597113016221</v>
      </c>
      <c r="BA64" s="599">
        <f>(AY64/AU64-1)*100</f>
        <v>28.266007372435521</v>
      </c>
      <c r="BB64" s="57"/>
      <c r="BC64" s="549">
        <f>BC13-BC23-BC33-BC55</f>
        <v>72.509999999999863</v>
      </c>
      <c r="BD64" s="598">
        <f>BC64/BC13*100</f>
        <v>6.2654887444136715</v>
      </c>
      <c r="BE64" s="599">
        <f>(BC64/AY64-1)*100</f>
        <v>16.067998463311351</v>
      </c>
      <c r="BF64" s="57"/>
      <c r="BG64" s="553">
        <f>BG13-BG23-BG33-BG55</f>
        <v>78.198730000000012</v>
      </c>
      <c r="BH64" s="549"/>
      <c r="BI64" s="598">
        <f>BG64/BG13*100</f>
        <v>6.3530440674441024</v>
      </c>
      <c r="BJ64" s="599">
        <f>(BG64/BC64-1)*100</f>
        <v>7.8454420079991261</v>
      </c>
    </row>
    <row r="65" spans="1:63" outlineLevel="1">
      <c r="A65" s="569" t="s">
        <v>81</v>
      </c>
      <c r="B65" s="79"/>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I65" s="550">
        <f>AI66-SUM(AI62:AI64)</f>
        <v>146.95200000000008</v>
      </c>
      <c r="AJ65" s="598">
        <f>AI65/AI14*100</f>
        <v>13.12635158492175</v>
      </c>
      <c r="AK65" s="558"/>
      <c r="AL65" s="57"/>
      <c r="AM65" s="550">
        <f>AM66-SUM(AM62:AM64)</f>
        <v>179.99899999999974</v>
      </c>
      <c r="AN65" s="598">
        <f>AM65/AM14*100</f>
        <v>15.151584022734211</v>
      </c>
      <c r="AO65" s="599">
        <f>(AM65/AI65-1)*100</f>
        <v>22.488295497849386</v>
      </c>
      <c r="AP65" s="57"/>
      <c r="AQ65" s="550">
        <f>AQ66-SUM(AQ62:AQ64)</f>
        <v>172.31700000000018</v>
      </c>
      <c r="AR65" s="598">
        <f>AQ65/AQ14*100</f>
        <v>13.974961092129146</v>
      </c>
      <c r="AS65" s="599">
        <f>(AQ65/AM65-1)*100</f>
        <v>-4.267801487785805</v>
      </c>
      <c r="AU65" s="550">
        <f>AU66-SUM(AU62:AU64)</f>
        <v>190.09688434699478</v>
      </c>
      <c r="AV65" s="598">
        <f>AU65/AU14*100</f>
        <v>15.056733775223401</v>
      </c>
      <c r="AW65" s="599">
        <f>(AU65/AQ65-1)*100</f>
        <v>10.318125516922061</v>
      </c>
      <c r="AX65" s="57"/>
      <c r="AY65" s="550">
        <f>AY14-AY24-AY34-AY56</f>
        <v>194.76800000000009</v>
      </c>
      <c r="AZ65" s="598">
        <f>AY65/AY14*100</f>
        <v>14.597268783018825</v>
      </c>
      <c r="BA65" s="599">
        <f>(AY65/AU65-1)*100</f>
        <v>2.4572289383127721</v>
      </c>
      <c r="BB65" s="57"/>
      <c r="BC65" s="550">
        <f>BC14-BC24-BC34-BC56</f>
        <v>225.09700000000007</v>
      </c>
      <c r="BD65" s="598">
        <f>BC65/BC14*100</f>
        <v>15.154352945611915</v>
      </c>
      <c r="BE65" s="599">
        <f>(BC65/AY65-1)*100</f>
        <v>15.57185985377474</v>
      </c>
      <c r="BF65" s="57"/>
      <c r="BG65" s="560">
        <f>BG66-SUM(BG62:BG64)</f>
        <v>229.63212139999956</v>
      </c>
      <c r="BH65" s="551"/>
      <c r="BI65" s="598">
        <f>BG65/BG14*100</f>
        <v>14.903734524772991</v>
      </c>
      <c r="BJ65" s="599">
        <f>(BG65/BC65-1)*100</f>
        <v>2.0147409339082767</v>
      </c>
    </row>
    <row r="66" spans="1:63" outlineLevel="1">
      <c r="A66" s="569" t="s">
        <v>82</v>
      </c>
      <c r="B66" s="79"/>
      <c r="C66" s="79"/>
      <c r="D66" s="79"/>
      <c r="E66" s="79"/>
      <c r="F66" s="79"/>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I66" s="625">
        <f>AI15-AI25-AI35-AI57</f>
        <v>274.72199999999987</v>
      </c>
      <c r="AJ66" s="598">
        <f>AI66/AI15*100</f>
        <v>7.7981466479170338</v>
      </c>
      <c r="AK66" s="558"/>
      <c r="AL66" s="57"/>
      <c r="AM66" s="625">
        <f>AM15-AM25-AM35-AM57</f>
        <v>308.60499999999968</v>
      </c>
      <c r="AN66" s="598">
        <f>AM66/AM15*100</f>
        <v>8.4097675987750087</v>
      </c>
      <c r="AO66" s="599">
        <f>(AM66/AI66-1)*100</f>
        <v>12.333559016023399</v>
      </c>
      <c r="AP66" s="57"/>
      <c r="AQ66" s="625">
        <f>AQ15-AQ25-AQ35-AQ57</f>
        <v>315.08200000000016</v>
      </c>
      <c r="AR66" s="598">
        <f>AQ66/AQ15*100</f>
        <v>8.1751698306286222</v>
      </c>
      <c r="AS66" s="599">
        <f>(AQ66/AM66-1)*100</f>
        <v>2.0987994361726159</v>
      </c>
      <c r="AU66" s="625">
        <f>AU15-AU25-AU35-AU57</f>
        <v>331.48724535699478</v>
      </c>
      <c r="AV66" s="598">
        <f>AU66/AU15*100</f>
        <v>8.1305976709534651</v>
      </c>
      <c r="AW66" s="599">
        <f>(AU66/AQ66-1)*100</f>
        <v>5.2066590147944458</v>
      </c>
      <c r="AX66" s="57"/>
      <c r="AY66" s="547">
        <f>AY15-AY25-AY35-AY57</f>
        <v>383.18099999999981</v>
      </c>
      <c r="AZ66" s="598">
        <f>AY66/AY15*100</f>
        <v>8.6545621764683123</v>
      </c>
      <c r="BA66" s="599">
        <f>(AY66/AU66-1)*100</f>
        <v>15.594492809922</v>
      </c>
      <c r="BB66" s="57"/>
      <c r="BC66" s="547">
        <f>BC15-BC25-BC35-BC57</f>
        <v>447.91999999999979</v>
      </c>
      <c r="BD66" s="598">
        <f>BC66/BC15*100</f>
        <v>9.3035544263749657</v>
      </c>
      <c r="BE66" s="599">
        <f>(BC66/AY66-1)*100</f>
        <v>16.895148767814682</v>
      </c>
      <c r="BF66" s="57"/>
      <c r="BG66" s="547">
        <f>BG15-BG25-BG35-BG57</f>
        <v>484.65385139999972</v>
      </c>
      <c r="BH66" s="547"/>
      <c r="BI66" s="598">
        <f>BG66/BG15*100</f>
        <v>9.5050071544393955</v>
      </c>
      <c r="BJ66" s="599">
        <f>(BG66/BC66-1)*100</f>
        <v>8.2009848633684435</v>
      </c>
    </row>
    <row r="67" spans="1:63" s="57" customFormat="1" hidden="1" outlineLevel="2">
      <c r="A67" s="569" t="s">
        <v>85</v>
      </c>
      <c r="B67" s="569"/>
      <c r="AI67" s="625"/>
      <c r="AM67" s="625"/>
      <c r="AN67" s="558"/>
      <c r="AQ67" s="625"/>
      <c r="AR67" s="558"/>
      <c r="AU67" s="625"/>
      <c r="AV67" s="558"/>
      <c r="AY67" s="625"/>
      <c r="AZ67" s="558"/>
      <c r="BC67" s="625"/>
      <c r="BD67" s="558"/>
      <c r="BG67" s="625"/>
      <c r="BH67" s="625"/>
      <c r="BI67" s="558"/>
    </row>
    <row r="68" spans="1:63" s="57" customFormat="1" hidden="1" outlineLevel="2">
      <c r="A68" s="569" t="s">
        <v>87</v>
      </c>
      <c r="B68" s="569"/>
      <c r="AI68" s="625"/>
      <c r="AM68" s="625"/>
      <c r="AN68" s="558"/>
      <c r="AQ68" s="625"/>
      <c r="AR68" s="558"/>
      <c r="AU68" s="625"/>
      <c r="AV68" s="558"/>
      <c r="AY68" s="625"/>
      <c r="AZ68" s="558"/>
      <c r="BC68" s="625"/>
      <c r="BD68" s="558"/>
      <c r="BG68" s="625"/>
      <c r="BH68" s="625"/>
      <c r="BI68" s="558"/>
    </row>
    <row r="69" spans="1:63" s="57" customFormat="1" hidden="1" outlineLevel="2">
      <c r="A69" s="569" t="s">
        <v>88</v>
      </c>
      <c r="B69" s="569"/>
      <c r="AI69" s="625"/>
      <c r="AM69" s="625"/>
      <c r="AN69" s="558"/>
      <c r="AQ69" s="625"/>
      <c r="AR69" s="558"/>
      <c r="AU69" s="625"/>
      <c r="AV69" s="558"/>
      <c r="AY69" s="625"/>
      <c r="AZ69" s="558"/>
      <c r="BC69" s="625"/>
      <c r="BD69" s="558"/>
      <c r="BG69" s="625"/>
      <c r="BH69" s="625"/>
      <c r="BI69" s="558"/>
    </row>
    <row r="70" spans="1:63" outlineLevel="1" collapsed="1">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L70" s="57"/>
      <c r="AM70" s="57"/>
      <c r="AN70" s="57"/>
      <c r="AO70" s="57"/>
      <c r="AP70" s="57"/>
      <c r="AQ70" s="556"/>
      <c r="AU70" s="556"/>
      <c r="AW70" s="496"/>
      <c r="AY70" s="556"/>
      <c r="AZ70" s="627"/>
      <c r="BA70" s="496"/>
      <c r="BC70" s="556"/>
      <c r="BD70" s="629"/>
      <c r="BG70" s="556"/>
      <c r="BH70" s="556"/>
    </row>
    <row r="71" spans="1:63" outlineLevel="2">
      <c r="A71" s="565" t="s">
        <v>354</v>
      </c>
      <c r="B71" s="566"/>
      <c r="C71" s="566"/>
      <c r="D71" s="566"/>
      <c r="E71" s="566"/>
      <c r="F71" s="566"/>
      <c r="G71" s="566"/>
      <c r="H71" s="566"/>
      <c r="I71" s="566"/>
      <c r="J71" s="566"/>
      <c r="K71" s="566"/>
      <c r="L71" s="566"/>
      <c r="M71" s="566"/>
      <c r="N71" s="566"/>
      <c r="O71" s="566"/>
      <c r="P71" s="566"/>
      <c r="Q71" s="566"/>
      <c r="R71" s="566"/>
      <c r="S71" s="566"/>
      <c r="T71" s="566"/>
      <c r="U71" s="566"/>
      <c r="V71" s="566"/>
      <c r="W71" s="566"/>
      <c r="X71" s="566"/>
      <c r="Y71" s="566"/>
      <c r="Z71" s="566"/>
      <c r="AA71" s="566"/>
      <c r="AB71" s="566"/>
      <c r="AC71" s="566"/>
      <c r="AD71" s="566"/>
      <c r="AE71" s="566"/>
      <c r="AF71" s="566"/>
      <c r="AG71" s="566"/>
      <c r="AH71" s="420"/>
      <c r="AI71" s="420"/>
      <c r="AJ71" s="420"/>
      <c r="AK71" s="420"/>
      <c r="AL71" s="420"/>
      <c r="AM71" s="420"/>
      <c r="AN71" s="420"/>
      <c r="AO71" s="420"/>
      <c r="AP71" s="420"/>
      <c r="AQ71" s="420"/>
      <c r="AR71" s="420"/>
      <c r="AS71" s="420"/>
      <c r="AT71" s="420"/>
      <c r="AU71" s="420"/>
      <c r="AV71" s="420"/>
      <c r="AW71" s="420"/>
      <c r="AX71" s="420"/>
      <c r="AY71" s="420"/>
      <c r="AZ71" s="420"/>
      <c r="BA71" s="420"/>
      <c r="BC71" s="420"/>
      <c r="BD71" s="628"/>
      <c r="BE71" s="420"/>
      <c r="BG71" s="420"/>
      <c r="BH71" s="420"/>
      <c r="BI71" s="420"/>
      <c r="BJ71" s="420"/>
    </row>
    <row r="72" spans="1:63" outlineLevel="2">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BD72" s="629"/>
    </row>
    <row r="73" spans="1:63" outlineLevel="2">
      <c r="A73" s="569" t="s">
        <v>79</v>
      </c>
      <c r="B73" s="79"/>
      <c r="C73" s="570">
        <v>13.72</v>
      </c>
      <c r="D73" s="596">
        <f t="shared" ref="D73:D79" si="68">C73/C11*100</f>
        <v>3.0069519326021967</v>
      </c>
      <c r="E73" s="571" t="s">
        <v>90</v>
      </c>
      <c r="F73" s="79"/>
      <c r="G73" s="570">
        <f>15.94+0.972</f>
        <v>16.911999999999999</v>
      </c>
      <c r="H73" s="596">
        <f t="shared" ref="H73:H79" si="69">G73/G11*100</f>
        <v>3.301094053463201</v>
      </c>
      <c r="I73" s="602">
        <f t="shared" ref="I73:I79" si="70">(G73/C73-1)*100</f>
        <v>23.265306122448969</v>
      </c>
      <c r="J73" s="79"/>
      <c r="K73" s="570">
        <v>18.725000000000001</v>
      </c>
      <c r="L73" s="596">
        <f t="shared" ref="L73:L79" si="71">K73/K11*100</f>
        <v>3.5229087844130342</v>
      </c>
      <c r="M73" s="602">
        <f t="shared" ref="M73:M79" si="72">(K73/G73-1)*100</f>
        <v>10.720198675496695</v>
      </c>
      <c r="N73" s="79"/>
      <c r="O73" s="570">
        <f>21.345</f>
        <v>21.344999999999999</v>
      </c>
      <c r="P73" s="596">
        <f t="shared" ref="P73:P79" si="73">O73/O11*100</f>
        <v>3.6766289042112863</v>
      </c>
      <c r="Q73" s="602">
        <f t="shared" ref="Q73:Q79" si="74">(O73/K73-1)*100</f>
        <v>13.991989319092113</v>
      </c>
      <c r="R73" s="79"/>
      <c r="S73" s="570">
        <v>22.628</v>
      </c>
      <c r="T73" s="596">
        <f t="shared" ref="T73:T79" si="75">S73/S11*100</f>
        <v>3.4380070862935521</v>
      </c>
      <c r="U73" s="602">
        <f t="shared" ref="U73:U79" si="76">(S73/O73-1)*100</f>
        <v>6.0107753572265166</v>
      </c>
      <c r="V73" s="79"/>
      <c r="W73" s="570">
        <f>34.984+10.933</f>
        <v>45.917000000000002</v>
      </c>
      <c r="X73" s="596">
        <f t="shared" ref="X73:X79" si="77">W73/W11*100</f>
        <v>6.9124417025709581</v>
      </c>
      <c r="Y73" s="602">
        <f t="shared" ref="Y73:Y79" si="78">(W73/S73-1)*100</f>
        <v>102.92115962524306</v>
      </c>
      <c r="Z73" s="79"/>
      <c r="AA73" s="570">
        <f>30.757+10.751</f>
        <v>41.508000000000003</v>
      </c>
      <c r="AB73" s="596">
        <f t="shared" ref="AB73:AB79" si="79">AA73/AA11*100</f>
        <v>6.0547271011323804</v>
      </c>
      <c r="AC73" s="602">
        <f t="shared" ref="AC73:AC79" si="80">(AA73/W73-1)*100</f>
        <v>-9.6021081516649573</v>
      </c>
      <c r="AD73" s="79"/>
      <c r="AE73" s="570">
        <f>30.379+
10.682</f>
        <v>41.061</v>
      </c>
      <c r="AF73" s="596">
        <f t="shared" ref="AF73:AF79" si="81">AE73/AE11*100</f>
        <v>5.7554753477940928</v>
      </c>
      <c r="AG73" s="602">
        <f t="shared" ref="AG73:AG79" si="82">(AE73/AA73-1)*100</f>
        <v>-1.0769008383926026</v>
      </c>
      <c r="AI73" s="574">
        <v>39.679000000000002</v>
      </c>
      <c r="AJ73" s="598">
        <f t="shared" ref="AJ73:AJ79" si="83">AI73/AI11*100</f>
        <v>4.7803547527055832</v>
      </c>
      <c r="AK73" s="599" t="s">
        <v>90</v>
      </c>
      <c r="AM73" s="574">
        <v>36.728999999999999</v>
      </c>
      <c r="AN73" s="598">
        <f t="shared" ref="AN73:AN79" si="84">AM73/AM11*100</f>
        <v>4.105275864612743</v>
      </c>
      <c r="AO73" s="599">
        <f t="shared" ref="AO73:AO79" si="85">(AM73/AI73-1)*100</f>
        <v>-7.4346631719549467</v>
      </c>
      <c r="AQ73" s="574">
        <v>36.619999999999997</v>
      </c>
      <c r="AR73" s="598">
        <f t="shared" ref="AR73:AR79" si="86">AQ73/AQ11*100</f>
        <v>3.9415293176805895</v>
      </c>
      <c r="AS73" s="599">
        <f t="shared" ref="AS73:AS79" si="87">(AQ73/AM73-1)*100</f>
        <v>-0.29676822129652836</v>
      </c>
      <c r="AU73" s="574">
        <f>39.93774883</f>
        <v>39.937748829999997</v>
      </c>
      <c r="AV73" s="598">
        <f t="shared" ref="AV73:AV79" si="88">AU73/AU11*100</f>
        <v>4.0652344246100078</v>
      </c>
      <c r="AW73" s="599">
        <f t="shared" ref="AW73:AW79" si="89">(AU73/AQ73-1)*100</f>
        <v>9.0599367285636223</v>
      </c>
      <c r="AY73" s="574">
        <f>44.04290831-0.1</f>
        <v>43.94290831</v>
      </c>
      <c r="AZ73" s="598">
        <f t="shared" ref="AZ73:AZ79" si="90">AY73/AY11*100</f>
        <v>4.1260427324030893</v>
      </c>
      <c r="BA73" s="599">
        <f t="shared" ref="BA73:BA79" si="91">(AY73/AU73-1)*100</f>
        <v>10.028505855571535</v>
      </c>
      <c r="BB73" s="559"/>
      <c r="BC73" s="822">
        <v>41.207999999999998</v>
      </c>
      <c r="BD73" s="598">
        <f t="shared" ref="BD73:BD79" si="92">BC73/BC11*100</f>
        <v>3.652320501582512</v>
      </c>
      <c r="BE73" s="599">
        <f t="shared" ref="BE73:BE79" si="93">(BC73/AY73-1)*100</f>
        <v>-6.2237762933356482</v>
      </c>
      <c r="BF73" s="559"/>
      <c r="BG73" s="822">
        <v>42.155000000000001</v>
      </c>
      <c r="BH73" s="822"/>
      <c r="BI73" s="598">
        <f t="shared" ref="BI73:BI79" si="94">BG73/BG11*100</f>
        <v>3.56322043110276</v>
      </c>
      <c r="BJ73" s="599">
        <f t="shared" ref="BJ73:BJ79" si="95">(BG73/BC73-1)*100</f>
        <v>2.2980974568045154</v>
      </c>
      <c r="BK73" s="559"/>
    </row>
    <row r="74" spans="1:63" outlineLevel="2">
      <c r="A74" s="569" t="s">
        <v>80</v>
      </c>
      <c r="B74" s="79"/>
      <c r="C74" s="581">
        <f>13.958+0.847</f>
        <v>14.805</v>
      </c>
      <c r="D74" s="596">
        <f t="shared" si="68"/>
        <v>1.9726270515721056</v>
      </c>
      <c r="E74" s="571" t="s">
        <v>90</v>
      </c>
      <c r="F74" s="79"/>
      <c r="G74" s="581">
        <v>17.785</v>
      </c>
      <c r="H74" s="596">
        <f t="shared" si="69"/>
        <v>2.2490139619697236</v>
      </c>
      <c r="I74" s="602">
        <f t="shared" si="70"/>
        <v>20.128335021952036</v>
      </c>
      <c r="J74" s="79"/>
      <c r="K74" s="581">
        <v>19.888000000000002</v>
      </c>
      <c r="L74" s="596">
        <f t="shared" si="71"/>
        <v>2.5045808592495575</v>
      </c>
      <c r="M74" s="602">
        <f t="shared" si="72"/>
        <v>11.824571267922423</v>
      </c>
      <c r="N74" s="79"/>
      <c r="O74" s="581">
        <v>22.826000000000001</v>
      </c>
      <c r="P74" s="596">
        <f t="shared" si="73"/>
        <v>2.5939638576945017</v>
      </c>
      <c r="Q74" s="602">
        <f t="shared" si="74"/>
        <v>14.77272727272727</v>
      </c>
      <c r="R74" s="79"/>
      <c r="S74" s="581">
        <f>22.435+0.458</f>
        <v>22.892999999999997</v>
      </c>
      <c r="T74" s="596">
        <f t="shared" si="75"/>
        <v>2.3998716881602973</v>
      </c>
      <c r="U74" s="602">
        <f t="shared" si="76"/>
        <v>0.29352492771399508</v>
      </c>
      <c r="V74" s="79"/>
      <c r="W74" s="581">
        <f>34.59+10.889</f>
        <v>45.478999999999999</v>
      </c>
      <c r="X74" s="596">
        <f t="shared" si="77"/>
        <v>4.5620377550027538</v>
      </c>
      <c r="Y74" s="602">
        <f t="shared" si="78"/>
        <v>98.658978727121863</v>
      </c>
      <c r="Z74" s="79"/>
      <c r="AA74" s="581">
        <f>30.845+10.629</f>
        <v>41.473999999999997</v>
      </c>
      <c r="AB74" s="596">
        <f t="shared" si="79"/>
        <v>4.3398688433329742</v>
      </c>
      <c r="AC74" s="602">
        <f t="shared" si="80"/>
        <v>-8.8062622309197707</v>
      </c>
      <c r="AD74" s="79"/>
      <c r="AE74" s="581">
        <f>31.334+11.083</f>
        <v>42.417000000000002</v>
      </c>
      <c r="AF74" s="596">
        <f t="shared" si="81"/>
        <v>4.1984891496715804</v>
      </c>
      <c r="AG74" s="602">
        <f t="shared" si="82"/>
        <v>2.2737136519265233</v>
      </c>
      <c r="AI74" s="582">
        <v>37.665999999999997</v>
      </c>
      <c r="AJ74" s="598">
        <f t="shared" si="83"/>
        <v>5.3733498055573783</v>
      </c>
      <c r="AK74" s="599" t="s">
        <v>90</v>
      </c>
      <c r="AM74" s="582">
        <v>35.506</v>
      </c>
      <c r="AN74" s="598">
        <f t="shared" si="84"/>
        <v>4.8721783876500853</v>
      </c>
      <c r="AO74" s="599">
        <f t="shared" si="85"/>
        <v>-5.7346147719428586</v>
      </c>
      <c r="AQ74" s="582">
        <v>37.366999999999997</v>
      </c>
      <c r="AR74" s="598">
        <f t="shared" si="86"/>
        <v>4.7100330371627113</v>
      </c>
      <c r="AS74" s="599">
        <f t="shared" si="87"/>
        <v>5.2413676561707812</v>
      </c>
      <c r="AU74" s="582">
        <f>40.05380365-0.1</f>
        <v>39.953803649999998</v>
      </c>
      <c r="AV74" s="598">
        <f t="shared" si="88"/>
        <v>4.6233131008008579</v>
      </c>
      <c r="AW74" s="599">
        <f t="shared" si="89"/>
        <v>6.922695560253711</v>
      </c>
      <c r="AY74" s="582">
        <f>40.90046167-0.2</f>
        <v>40.700461669999996</v>
      </c>
      <c r="AZ74" s="598">
        <f t="shared" si="90"/>
        <v>4.2239209417712518</v>
      </c>
      <c r="BA74" s="599">
        <f t="shared" si="91"/>
        <v>1.8688033473378551</v>
      </c>
      <c r="BB74" s="559"/>
      <c r="BC74" s="583">
        <v>40.548999999999999</v>
      </c>
      <c r="BD74" s="598">
        <f t="shared" si="92"/>
        <v>3.8855632672499794</v>
      </c>
      <c r="BE74" s="599">
        <f t="shared" si="93"/>
        <v>-0.37213747408579856</v>
      </c>
      <c r="BF74" s="559"/>
      <c r="BG74" s="583">
        <v>41.746000000000002</v>
      </c>
      <c r="BH74" s="583"/>
      <c r="BI74" s="598">
        <f t="shared" si="94"/>
        <v>3.6484306312258679</v>
      </c>
      <c r="BJ74" s="599">
        <f t="shared" si="95"/>
        <v>2.9519840193346303</v>
      </c>
      <c r="BK74" s="559"/>
    </row>
    <row r="75" spans="1:63" outlineLevel="2">
      <c r="A75" s="569" t="s">
        <v>81</v>
      </c>
      <c r="B75" s="79"/>
      <c r="C75" s="581">
        <f>15.102+1.28</f>
        <v>16.382000000000001</v>
      </c>
      <c r="D75" s="596">
        <f t="shared" si="68"/>
        <v>2.0801245382826976</v>
      </c>
      <c r="E75" s="571" t="s">
        <v>90</v>
      </c>
      <c r="F75" s="79"/>
      <c r="G75" s="581">
        <v>17.791</v>
      </c>
      <c r="H75" s="596">
        <f t="shared" si="69"/>
        <v>2.2028106234136073</v>
      </c>
      <c r="I75" s="602">
        <f t="shared" si="70"/>
        <v>8.600903430594542</v>
      </c>
      <c r="J75" s="79"/>
      <c r="K75" s="581">
        <v>21.530999999999999</v>
      </c>
      <c r="L75" s="596">
        <f t="shared" si="71"/>
        <v>2.5100958758463752</v>
      </c>
      <c r="M75" s="602">
        <f t="shared" si="72"/>
        <v>21.02186498791523</v>
      </c>
      <c r="N75" s="79"/>
      <c r="O75" s="581">
        <f>20.625</f>
        <v>20.625</v>
      </c>
      <c r="P75" s="596">
        <f t="shared" si="73"/>
        <v>2.1140381357104858</v>
      </c>
      <c r="Q75" s="602">
        <f t="shared" si="74"/>
        <v>-4.2078863034694098</v>
      </c>
      <c r="R75" s="79"/>
      <c r="S75" s="581">
        <f>22.916+0.009</f>
        <v>22.925000000000001</v>
      </c>
      <c r="T75" s="596">
        <f t="shared" si="75"/>
        <v>2.2213501545497709</v>
      </c>
      <c r="U75" s="602">
        <f t="shared" si="76"/>
        <v>11.151515151515156</v>
      </c>
      <c r="V75" s="79"/>
      <c r="W75" s="581">
        <f>34.216+10.726</f>
        <v>44.942</v>
      </c>
      <c r="X75" s="596">
        <f t="shared" si="77"/>
        <v>4.50267403252922</v>
      </c>
      <c r="Y75" s="602">
        <f t="shared" si="78"/>
        <v>96.039258451472193</v>
      </c>
      <c r="Z75" s="79"/>
      <c r="AA75" s="581">
        <f>32.399+10.756</f>
        <v>43.155000000000001</v>
      </c>
      <c r="AB75" s="596">
        <f t="shared" si="79"/>
        <v>4.3362445941383578</v>
      </c>
      <c r="AC75" s="602">
        <f t="shared" si="80"/>
        <v>-3.9762360375595218</v>
      </c>
      <c r="AD75" s="79"/>
      <c r="AE75" s="581">
        <f>32.567+11.242</f>
        <v>43.808999999999997</v>
      </c>
      <c r="AF75" s="596">
        <f t="shared" si="81"/>
        <v>4.2558834244080144</v>
      </c>
      <c r="AG75" s="602">
        <f t="shared" si="82"/>
        <v>1.51546750086895</v>
      </c>
      <c r="AI75" s="582">
        <v>36.21</v>
      </c>
      <c r="AJ75" s="598">
        <f t="shared" si="83"/>
        <v>4.1507426860497905</v>
      </c>
      <c r="AK75" s="599" t="s">
        <v>90</v>
      </c>
      <c r="AM75" s="582">
        <v>36.96</v>
      </c>
      <c r="AN75" s="598">
        <f t="shared" si="84"/>
        <v>4.3067586746928992</v>
      </c>
      <c r="AO75" s="599">
        <f t="shared" si="85"/>
        <v>2.0712510356255098</v>
      </c>
      <c r="AQ75" s="582">
        <v>39.188000000000002</v>
      </c>
      <c r="AR75" s="598">
        <f t="shared" si="86"/>
        <v>4.360700284756355</v>
      </c>
      <c r="AS75" s="599">
        <f t="shared" si="87"/>
        <v>6.0281385281385269</v>
      </c>
      <c r="AU75" s="582">
        <f>41.86560093-1</f>
        <v>40.865600929999999</v>
      </c>
      <c r="AV75" s="598">
        <f t="shared" si="88"/>
        <v>4.2221160691491626</v>
      </c>
      <c r="AW75" s="599">
        <f t="shared" si="89"/>
        <v>4.2809046902112735</v>
      </c>
      <c r="AY75" s="582">
        <v>41.070999999999998</v>
      </c>
      <c r="AZ75" s="598">
        <f t="shared" si="90"/>
        <v>3.8582360577997972</v>
      </c>
      <c r="BA75" s="599">
        <f t="shared" si="91"/>
        <v>0.50262094604172081</v>
      </c>
      <c r="BB75" s="559"/>
      <c r="BC75" s="583">
        <v>42.584000000000003</v>
      </c>
      <c r="BD75" s="598">
        <f t="shared" si="92"/>
        <v>3.6796245027184158</v>
      </c>
      <c r="BE75" s="599">
        <f t="shared" si="93"/>
        <v>3.6838645272820436</v>
      </c>
      <c r="BF75" s="559"/>
      <c r="BG75" s="582">
        <v>38</v>
      </c>
      <c r="BH75" s="582"/>
      <c r="BI75" s="598">
        <f t="shared" si="94"/>
        <v>3.0872071012262712</v>
      </c>
      <c r="BJ75" s="599">
        <f t="shared" si="95"/>
        <v>-10.764606424948342</v>
      </c>
      <c r="BK75" s="559"/>
    </row>
    <row r="76" spans="1:63" outlineLevel="2">
      <c r="A76" s="569" t="s">
        <v>82</v>
      </c>
      <c r="B76" s="79"/>
      <c r="C76" s="585">
        <f>16.835+0.777</f>
        <v>17.612000000000002</v>
      </c>
      <c r="D76" s="596">
        <f t="shared" si="68"/>
        <v>2.892946840541335</v>
      </c>
      <c r="E76" s="571" t="s">
        <v>90</v>
      </c>
      <c r="F76" s="79"/>
      <c r="G76" s="585">
        <v>17.3</v>
      </c>
      <c r="H76" s="596">
        <f t="shared" si="69"/>
        <v>2.8388672099350507</v>
      </c>
      <c r="I76" s="602">
        <f t="shared" si="70"/>
        <v>-1.771519418578249</v>
      </c>
      <c r="J76" s="79"/>
      <c r="K76" s="585">
        <v>23.132999999999999</v>
      </c>
      <c r="L76" s="596">
        <f t="shared" si="71"/>
        <v>3.3779679331795212</v>
      </c>
      <c r="M76" s="602">
        <f t="shared" si="72"/>
        <v>33.716763005780322</v>
      </c>
      <c r="N76" s="79"/>
      <c r="O76" s="585">
        <v>25.061</v>
      </c>
      <c r="P76" s="596">
        <f t="shared" si="73"/>
        <v>3.2815499401592785</v>
      </c>
      <c r="Q76" s="602">
        <f t="shared" si="74"/>
        <v>8.3344140405481326</v>
      </c>
      <c r="R76" s="79"/>
      <c r="S76" s="586">
        <f>S77-SUM(S73:S75)</f>
        <v>38.706999999999994</v>
      </c>
      <c r="T76" s="596">
        <f t="shared" si="75"/>
        <v>4.683661937063933</v>
      </c>
      <c r="U76" s="602">
        <f t="shared" si="76"/>
        <v>54.451139220302444</v>
      </c>
      <c r="V76" s="79"/>
      <c r="W76" s="585">
        <f>W77-SUM(W73:W75)</f>
        <v>37.748999999999995</v>
      </c>
      <c r="X76" s="596">
        <f t="shared" si="77"/>
        <v>4.8250166163914292</v>
      </c>
      <c r="Y76" s="602">
        <f t="shared" si="78"/>
        <v>-2.4750045211460403</v>
      </c>
      <c r="Z76" s="79"/>
      <c r="AA76" s="585">
        <f>AA77-SUM(AA73:AA75)</f>
        <v>40.528999999999996</v>
      </c>
      <c r="AB76" s="596">
        <f t="shared" si="79"/>
        <v>5.1461541294049065</v>
      </c>
      <c r="AC76" s="602">
        <f t="shared" si="80"/>
        <v>7.364433494927014</v>
      </c>
      <c r="AD76" s="79"/>
      <c r="AE76" s="586">
        <f>AE77-SUM(AE73:AE75)</f>
        <v>32.319999999999993</v>
      </c>
      <c r="AF76" s="596">
        <f t="shared" si="81"/>
        <v>3.9497723870336974</v>
      </c>
      <c r="AG76" s="602">
        <f t="shared" si="82"/>
        <v>-20.254632485380853</v>
      </c>
      <c r="AI76" s="557">
        <f>AI77-SUM(AI73:AI75)</f>
        <v>42.832999999999998</v>
      </c>
      <c r="AJ76" s="598">
        <f t="shared" si="83"/>
        <v>3.8260181381468299</v>
      </c>
      <c r="AK76" s="599" t="s">
        <v>90</v>
      </c>
      <c r="AM76" s="557">
        <f>AM77-SUM(AM73:AM75)</f>
        <v>37.563999999999993</v>
      </c>
      <c r="AN76" s="598">
        <f t="shared" si="84"/>
        <v>3.1619848011932765</v>
      </c>
      <c r="AO76" s="599">
        <f t="shared" si="85"/>
        <v>-12.301263044848609</v>
      </c>
      <c r="AQ76" s="557">
        <f>AQ77-SUM(AQ73:AQ75)</f>
        <v>39.894999999999996</v>
      </c>
      <c r="AR76" s="598">
        <f t="shared" si="86"/>
        <v>3.2354966298768648</v>
      </c>
      <c r="AS76" s="599">
        <f t="shared" si="87"/>
        <v>6.2054094345650235</v>
      </c>
      <c r="AU76" s="557">
        <f>AU77-SUM(AU73:AU75)</f>
        <v>43.052031691999986</v>
      </c>
      <c r="AV76" s="598">
        <f t="shared" si="88"/>
        <v>3.4099610937635658</v>
      </c>
      <c r="AW76" s="599">
        <f t="shared" si="89"/>
        <v>7.9133517784183205</v>
      </c>
      <c r="AY76" s="587">
        <v>41.884</v>
      </c>
      <c r="AZ76" s="598">
        <f t="shared" si="90"/>
        <v>3.1390783173209162</v>
      </c>
      <c r="BA76" s="599">
        <f t="shared" si="91"/>
        <v>-2.7130698508173623</v>
      </c>
      <c r="BB76" s="559"/>
      <c r="BC76" s="818">
        <v>43.238999999999997</v>
      </c>
      <c r="BD76" s="598">
        <f t="shared" si="92"/>
        <v>2.911007552367705</v>
      </c>
      <c r="BE76" s="599">
        <f t="shared" si="93"/>
        <v>3.2351255849488947</v>
      </c>
      <c r="BF76" s="559"/>
      <c r="BG76" s="587">
        <v>37</v>
      </c>
      <c r="BH76" s="1199"/>
      <c r="BI76" s="598">
        <f t="shared" si="94"/>
        <v>2.4013982628155164</v>
      </c>
      <c r="BJ76" s="599">
        <f t="shared" si="95"/>
        <v>-14.429103355766781</v>
      </c>
      <c r="BK76" s="559"/>
    </row>
    <row r="77" spans="1:63" outlineLevel="2">
      <c r="A77" s="569" t="s">
        <v>85</v>
      </c>
      <c r="B77" s="79"/>
      <c r="C77" s="590">
        <f>'yrP&amp;L'!$D26</f>
        <v>59.853999999999999</v>
      </c>
      <c r="D77" s="596">
        <f t="shared" si="68"/>
        <v>2.3437625427947921</v>
      </c>
      <c r="E77" s="571" t="s">
        <v>90</v>
      </c>
      <c r="F77" s="79"/>
      <c r="G77" s="590">
        <f>'yrP&amp;L'!$E26</f>
        <v>69.147000000000006</v>
      </c>
      <c r="H77" s="596">
        <f t="shared" si="69"/>
        <v>2.5819154274926368</v>
      </c>
      <c r="I77" s="602">
        <f t="shared" si="70"/>
        <v>15.526113542954523</v>
      </c>
      <c r="J77" s="79"/>
      <c r="K77" s="590">
        <f>'yrP&amp;L'!$F26</f>
        <v>83.915000000000006</v>
      </c>
      <c r="L77" s="596">
        <f t="shared" si="71"/>
        <v>2.9341319459013415</v>
      </c>
      <c r="M77" s="602">
        <f t="shared" si="72"/>
        <v>21.357398007144202</v>
      </c>
      <c r="N77" s="79"/>
      <c r="O77" s="590">
        <f>'yrP&amp;L'!G26</f>
        <v>89.093000000000004</v>
      </c>
      <c r="P77" s="596">
        <f t="shared" si="73"/>
        <v>2.7842954647732387</v>
      </c>
      <c r="Q77" s="602">
        <f t="shared" si="74"/>
        <v>6.1705297026753314</v>
      </c>
      <c r="R77" s="79"/>
      <c r="S77" s="590">
        <f>'yrP&amp;L'!H26</f>
        <v>107.15299999999999</v>
      </c>
      <c r="T77" s="596">
        <f t="shared" si="75"/>
        <v>3.0874897782889992</v>
      </c>
      <c r="U77" s="602">
        <f t="shared" si="76"/>
        <v>20.270952824576561</v>
      </c>
      <c r="V77" s="79"/>
      <c r="W77" s="590">
        <f>'yrP&amp;L'!I26</f>
        <v>174.08699999999999</v>
      </c>
      <c r="X77" s="596">
        <f t="shared" si="77"/>
        <v>5.0582497613786428</v>
      </c>
      <c r="Y77" s="602">
        <f t="shared" si="78"/>
        <v>62.465819902382577</v>
      </c>
      <c r="Z77" s="79"/>
      <c r="AA77" s="590">
        <f>'yrP&amp;L'!J26</f>
        <v>166.666</v>
      </c>
      <c r="AB77" s="596">
        <f t="shared" si="79"/>
        <v>4.8676201593879389</v>
      </c>
      <c r="AC77" s="602">
        <f t="shared" si="80"/>
        <v>-4.2628111231740373</v>
      </c>
      <c r="AD77" s="590"/>
      <c r="AE77" s="590">
        <f>'yrP&amp;L'!K26</f>
        <v>159.607</v>
      </c>
      <c r="AF77" s="596">
        <f t="shared" si="81"/>
        <v>4.4690730468193269</v>
      </c>
      <c r="AG77" s="602">
        <f t="shared" si="82"/>
        <v>-4.2354169416677685</v>
      </c>
      <c r="AI77" s="574">
        <v>156.38800000000001</v>
      </c>
      <c r="AJ77" s="598">
        <f t="shared" si="83"/>
        <v>4.4391659858855483</v>
      </c>
      <c r="AK77" s="599" t="s">
        <v>90</v>
      </c>
      <c r="AM77" s="574">
        <v>146.75899999999999</v>
      </c>
      <c r="AN77" s="598">
        <f t="shared" si="84"/>
        <v>3.9993165471350842</v>
      </c>
      <c r="AO77" s="599">
        <f t="shared" si="85"/>
        <v>-6.1571220298232703</v>
      </c>
      <c r="AQ77" s="574">
        <v>153.07</v>
      </c>
      <c r="AR77" s="598">
        <f t="shared" si="86"/>
        <v>3.9715796077666212</v>
      </c>
      <c r="AS77" s="599">
        <f t="shared" si="87"/>
        <v>4.3002473442855349</v>
      </c>
      <c r="AU77" s="574">
        <f>175.309185102-11.5</f>
        <v>163.80918510199999</v>
      </c>
      <c r="AV77" s="598">
        <f t="shared" si="88"/>
        <v>4.0178516595314377</v>
      </c>
      <c r="AW77" s="599">
        <f t="shared" si="89"/>
        <v>7.0158653570261853</v>
      </c>
      <c r="AY77" s="574">
        <v>168.19499999999999</v>
      </c>
      <c r="AZ77" s="598">
        <f t="shared" si="90"/>
        <v>3.7988681204733235</v>
      </c>
      <c r="BA77" s="599">
        <f t="shared" si="91"/>
        <v>2.6773925377072461</v>
      </c>
      <c r="BC77" s="559">
        <f>SUM(BC73:BC76)</f>
        <v>167.58</v>
      </c>
      <c r="BD77" s="598">
        <f t="shared" si="92"/>
        <v>3.4807323869707036</v>
      </c>
      <c r="BE77" s="599">
        <f t="shared" si="93"/>
        <v>-0.36564701685541934</v>
      </c>
      <c r="BG77" s="559">
        <f>SUM(BG73:BG76)</f>
        <v>158.90100000000001</v>
      </c>
      <c r="BH77" s="559"/>
      <c r="BI77" s="598">
        <f t="shared" si="94"/>
        <v>3.1163584844826331</v>
      </c>
      <c r="BJ77" s="599">
        <f t="shared" si="95"/>
        <v>-5.1790189760114629</v>
      </c>
    </row>
    <row r="78" spans="1:63" hidden="1" outlineLevel="3">
      <c r="A78" s="569" t="s">
        <v>87</v>
      </c>
      <c r="B78" s="79"/>
      <c r="C78" s="591">
        <f>C73+C74</f>
        <v>28.524999999999999</v>
      </c>
      <c r="D78" s="596">
        <f t="shared" si="68"/>
        <v>2.3636930124179854</v>
      </c>
      <c r="E78" s="571" t="s">
        <v>90</v>
      </c>
      <c r="F78" s="79"/>
      <c r="G78" s="591">
        <f>G73+G74</f>
        <v>34.697000000000003</v>
      </c>
      <c r="H78" s="596">
        <f t="shared" si="69"/>
        <v>2.6626383425446583</v>
      </c>
      <c r="I78" s="602">
        <f t="shared" si="70"/>
        <v>21.637160385626665</v>
      </c>
      <c r="J78" s="79"/>
      <c r="K78" s="591">
        <f>K73+K74</f>
        <v>38.613</v>
      </c>
      <c r="L78" s="596">
        <f t="shared" si="71"/>
        <v>2.9129004078196359</v>
      </c>
      <c r="M78" s="602">
        <f t="shared" si="72"/>
        <v>11.286278352595325</v>
      </c>
      <c r="N78" s="79"/>
      <c r="O78" s="591">
        <f>O73+O74</f>
        <v>44.170999999999999</v>
      </c>
      <c r="P78" s="596">
        <f t="shared" si="73"/>
        <v>3.0243234453364369</v>
      </c>
      <c r="Q78" s="602">
        <f t="shared" si="74"/>
        <v>14.394115971304998</v>
      </c>
      <c r="R78" s="79"/>
      <c r="S78" s="591">
        <f>S73+S74</f>
        <v>45.521000000000001</v>
      </c>
      <c r="T78" s="596">
        <f t="shared" si="75"/>
        <v>2.8237117098340176</v>
      </c>
      <c r="U78" s="602">
        <f t="shared" si="76"/>
        <v>3.0563039098050693</v>
      </c>
      <c r="V78" s="79"/>
      <c r="W78" s="591">
        <f>W73+W74</f>
        <v>91.396000000000001</v>
      </c>
      <c r="X78" s="596">
        <f t="shared" si="77"/>
        <v>5.5019152198424361</v>
      </c>
      <c r="Y78" s="602">
        <f t="shared" si="78"/>
        <v>100.77766305661125</v>
      </c>
      <c r="Z78" s="79"/>
      <c r="AA78" s="591">
        <f>AA73+AA74</f>
        <v>82.981999999999999</v>
      </c>
      <c r="AB78" s="596">
        <f t="shared" si="79"/>
        <v>5.0561845676146326</v>
      </c>
      <c r="AC78" s="602">
        <f t="shared" si="80"/>
        <v>-9.2060921703356886</v>
      </c>
      <c r="AD78" s="79"/>
      <c r="AE78" s="591">
        <f>AE73+AE74</f>
        <v>83.478000000000009</v>
      </c>
      <c r="AF78" s="596">
        <f t="shared" si="81"/>
        <v>4.8429063471555951</v>
      </c>
      <c r="AG78" s="602">
        <f t="shared" si="82"/>
        <v>0.59771998746718236</v>
      </c>
      <c r="AI78" s="556">
        <f>AI73+AI74</f>
        <v>77.344999999999999</v>
      </c>
      <c r="AJ78" s="598">
        <f t="shared" si="83"/>
        <v>5.0518575512680757</v>
      </c>
      <c r="AK78" s="599" t="s">
        <v>90</v>
      </c>
      <c r="AM78" s="556">
        <f>AM73+AM74</f>
        <v>72.234999999999999</v>
      </c>
      <c r="AN78" s="598">
        <f t="shared" si="84"/>
        <v>4.4495351811105888</v>
      </c>
      <c r="AO78" s="599">
        <f t="shared" si="85"/>
        <v>-6.6067619109186122</v>
      </c>
      <c r="AQ78" s="556">
        <f>AQ73+AQ74</f>
        <v>73.986999999999995</v>
      </c>
      <c r="AR78" s="598">
        <f t="shared" si="86"/>
        <v>4.2955011234128531</v>
      </c>
      <c r="AS78" s="599">
        <f t="shared" si="87"/>
        <v>2.4254170416003307</v>
      </c>
      <c r="AU78" s="556">
        <f>AU73+AU74</f>
        <v>79.891552480000001</v>
      </c>
      <c r="AV78" s="598">
        <f t="shared" si="88"/>
        <v>4.3264064843540737</v>
      </c>
      <c r="AW78" s="599">
        <f t="shared" si="89"/>
        <v>7.9805269574384718</v>
      </c>
      <c r="AY78" s="556">
        <f>AY73+AY74</f>
        <v>84.643369979999989</v>
      </c>
      <c r="AZ78" s="598">
        <f t="shared" si="90"/>
        <v>4.1725345543626933</v>
      </c>
      <c r="BA78" s="599">
        <f t="shared" si="91"/>
        <v>5.9478347240649265</v>
      </c>
      <c r="BC78" s="556">
        <f>BC73+BC74</f>
        <v>81.757000000000005</v>
      </c>
      <c r="BD78" s="598">
        <f t="shared" si="92"/>
        <v>3.7643944102953708</v>
      </c>
      <c r="BE78" s="599">
        <f t="shared" si="93"/>
        <v>-3.4100366994863185</v>
      </c>
      <c r="BG78" s="556">
        <f>BG73+BG74</f>
        <v>83.90100000000001</v>
      </c>
      <c r="BH78" s="556"/>
      <c r="BI78" s="598">
        <f t="shared" si="94"/>
        <v>3.605114474985144</v>
      </c>
      <c r="BJ78" s="599">
        <f t="shared" si="95"/>
        <v>2.622405420942564</v>
      </c>
    </row>
    <row r="79" spans="1:63" hidden="1" outlineLevel="3">
      <c r="A79" s="569" t="s">
        <v>88</v>
      </c>
      <c r="B79" s="79"/>
      <c r="C79" s="591">
        <f>C73+C74+C75</f>
        <v>44.906999999999996</v>
      </c>
      <c r="D79" s="596">
        <f t="shared" si="68"/>
        <v>2.2517144709521464</v>
      </c>
      <c r="E79" s="571" t="s">
        <v>90</v>
      </c>
      <c r="F79" s="79"/>
      <c r="G79" s="591">
        <f>G73+G74+G75</f>
        <v>52.488</v>
      </c>
      <c r="H79" s="596">
        <f t="shared" si="69"/>
        <v>2.4866919719759175</v>
      </c>
      <c r="I79" s="602">
        <f t="shared" si="70"/>
        <v>16.881555214109166</v>
      </c>
      <c r="J79" s="79"/>
      <c r="K79" s="591">
        <f>K73+K74+K75</f>
        <v>60.143999999999998</v>
      </c>
      <c r="L79" s="596">
        <f t="shared" si="71"/>
        <v>2.7546508549658735</v>
      </c>
      <c r="M79" s="602">
        <f t="shared" si="72"/>
        <v>14.586191129401005</v>
      </c>
      <c r="N79" s="79"/>
      <c r="O79" s="591">
        <f>O73+O74+O75</f>
        <v>64.795999999999992</v>
      </c>
      <c r="P79" s="596">
        <f t="shared" si="73"/>
        <v>2.6597749067584617</v>
      </c>
      <c r="Q79" s="602">
        <f t="shared" si="74"/>
        <v>7.7347698856078617</v>
      </c>
      <c r="R79" s="79"/>
      <c r="S79" s="591">
        <f>S73+S74+S75</f>
        <v>68.445999999999998</v>
      </c>
      <c r="T79" s="596">
        <f t="shared" si="75"/>
        <v>2.5886038799937072</v>
      </c>
      <c r="U79" s="602">
        <f t="shared" si="76"/>
        <v>5.633063769368496</v>
      </c>
      <c r="V79" s="79"/>
      <c r="W79" s="591">
        <f>W73+W74+W75</f>
        <v>136.33799999999999</v>
      </c>
      <c r="X79" s="596">
        <f t="shared" si="77"/>
        <v>5.1268668081834026</v>
      </c>
      <c r="Y79" s="602">
        <f t="shared" si="78"/>
        <v>99.190602810975065</v>
      </c>
      <c r="Z79" s="79"/>
      <c r="AA79" s="591">
        <f>AA73+AA74+AA75</f>
        <v>126.137</v>
      </c>
      <c r="AB79" s="596">
        <f t="shared" si="79"/>
        <v>4.7844154977177338</v>
      </c>
      <c r="AC79" s="602">
        <f t="shared" si="80"/>
        <v>-7.4821399756487494</v>
      </c>
      <c r="AD79" s="79"/>
      <c r="AE79" s="591">
        <f>AE73+AE74+AE75</f>
        <v>127.28700000000001</v>
      </c>
      <c r="AF79" s="596">
        <f t="shared" si="81"/>
        <v>4.6234197767455649</v>
      </c>
      <c r="AG79" s="602">
        <f t="shared" si="82"/>
        <v>0.91170711210826205</v>
      </c>
      <c r="AI79" s="556">
        <f>AI73+AI74+AI75</f>
        <v>113.55500000000001</v>
      </c>
      <c r="AJ79" s="598">
        <f t="shared" si="83"/>
        <v>4.7247747457242779</v>
      </c>
      <c r="AK79" s="599" t="s">
        <v>90</v>
      </c>
      <c r="AM79" s="556">
        <f>AM73+AM74+AM75</f>
        <v>109.19499999999999</v>
      </c>
      <c r="AN79" s="598">
        <f t="shared" si="84"/>
        <v>4.4001605406803801</v>
      </c>
      <c r="AO79" s="599">
        <f t="shared" si="85"/>
        <v>-3.8395491171679064</v>
      </c>
      <c r="AQ79" s="556">
        <f>AQ73+AQ74+AQ75</f>
        <v>113.175</v>
      </c>
      <c r="AR79" s="598">
        <f t="shared" si="86"/>
        <v>4.3178551848408278</v>
      </c>
      <c r="AS79" s="599">
        <f t="shared" si="87"/>
        <v>3.6448555336782817</v>
      </c>
      <c r="AU79" s="556">
        <f>AU73+AU74+AU75</f>
        <v>120.75715341</v>
      </c>
      <c r="AV79" s="598">
        <f t="shared" si="88"/>
        <v>4.2905414416661509</v>
      </c>
      <c r="AW79" s="599">
        <f t="shared" si="89"/>
        <v>6.6994949502982237</v>
      </c>
      <c r="AY79" s="556">
        <f>AY73+AY74+AY75</f>
        <v>125.71436997999999</v>
      </c>
      <c r="AZ79" s="598">
        <f t="shared" si="90"/>
        <v>4.0643670562719079</v>
      </c>
      <c r="BA79" s="599">
        <f t="shared" si="91"/>
        <v>4.105112144511236</v>
      </c>
      <c r="BC79" s="556">
        <f>BC73+BC74+BC75</f>
        <v>124.34100000000001</v>
      </c>
      <c r="BD79" s="598">
        <f t="shared" si="92"/>
        <v>3.7349262963249994</v>
      </c>
      <c r="BE79" s="599">
        <f t="shared" si="93"/>
        <v>-1.0924526609157437</v>
      </c>
      <c r="BG79" s="556">
        <f>BG73+BG74+BG75</f>
        <v>121.90100000000001</v>
      </c>
      <c r="BH79" s="556"/>
      <c r="BI79" s="598">
        <f t="shared" si="94"/>
        <v>3.4259532236156693</v>
      </c>
      <c r="BJ79" s="599">
        <f t="shared" si="95"/>
        <v>-1.9623454853990197</v>
      </c>
    </row>
    <row r="80" spans="1:63" outlineLevel="2" collapsed="1">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M80" s="630"/>
      <c r="AY80" s="631"/>
      <c r="BC80" s="631"/>
      <c r="BD80" s="496"/>
    </row>
    <row r="81" spans="1:63" outlineLevel="2">
      <c r="A81" s="565" t="s">
        <v>367</v>
      </c>
      <c r="B81" s="566"/>
      <c r="C81" s="566"/>
      <c r="D81" s="566"/>
      <c r="E81" s="566"/>
      <c r="F81" s="566"/>
      <c r="G81" s="566"/>
      <c r="H81" s="566"/>
      <c r="I81" s="566"/>
      <c r="J81" s="566"/>
      <c r="K81" s="566"/>
      <c r="L81" s="566"/>
      <c r="M81" s="566"/>
      <c r="N81" s="566"/>
      <c r="O81" s="566"/>
      <c r="P81" s="566"/>
      <c r="Q81" s="566"/>
      <c r="R81" s="566"/>
      <c r="S81" s="566"/>
      <c r="T81" s="566"/>
      <c r="U81" s="566"/>
      <c r="V81" s="566"/>
      <c r="W81" s="566"/>
      <c r="X81" s="566"/>
      <c r="Y81" s="566"/>
      <c r="Z81" s="566"/>
      <c r="AA81" s="566"/>
      <c r="AB81" s="566"/>
      <c r="AC81" s="566"/>
      <c r="AD81" s="566"/>
      <c r="AE81" s="566"/>
      <c r="AF81" s="566"/>
      <c r="AG81" s="566"/>
      <c r="AH81" s="420"/>
      <c r="AI81" s="420"/>
      <c r="AJ81" s="420"/>
      <c r="AK81" s="420"/>
      <c r="AL81" s="420"/>
      <c r="AM81" s="420"/>
      <c r="AN81" s="420"/>
      <c r="AO81" s="420"/>
      <c r="AP81" s="420"/>
      <c r="AQ81" s="420"/>
      <c r="AR81" s="420"/>
      <c r="AS81" s="420"/>
      <c r="AT81" s="420"/>
      <c r="AU81" s="420"/>
      <c r="AV81" s="420"/>
      <c r="AW81" s="420"/>
      <c r="AX81" s="420"/>
      <c r="AY81" s="420"/>
      <c r="AZ81" s="420"/>
      <c r="BA81" s="420"/>
      <c r="BC81" s="631"/>
      <c r="BD81" s="420"/>
      <c r="BE81" s="420"/>
      <c r="BG81" s="420"/>
      <c r="BH81" s="420"/>
      <c r="BI81" s="420"/>
      <c r="BJ81" s="420"/>
    </row>
    <row r="82" spans="1:63" outlineLevel="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row>
    <row r="83" spans="1:63" outlineLevel="2">
      <c r="A83" s="569" t="s">
        <v>79</v>
      </c>
      <c r="B83" s="79"/>
      <c r="C83" s="570"/>
      <c r="D83" s="596"/>
      <c r="E83" s="571"/>
      <c r="F83" s="79"/>
      <c r="G83" s="570"/>
      <c r="H83" s="596"/>
      <c r="I83" s="602"/>
      <c r="J83" s="79"/>
      <c r="K83" s="570"/>
      <c r="L83" s="596"/>
      <c r="M83" s="602"/>
      <c r="N83" s="79"/>
      <c r="O83" s="570"/>
      <c r="P83" s="596"/>
      <c r="Q83" s="602"/>
      <c r="R83" s="79"/>
      <c r="S83" s="570"/>
      <c r="T83" s="596"/>
      <c r="U83" s="602"/>
      <c r="V83" s="79"/>
      <c r="W83" s="570"/>
      <c r="X83" s="596"/>
      <c r="Y83" s="602"/>
      <c r="Z83" s="79"/>
      <c r="AA83" s="570"/>
      <c r="AB83" s="596"/>
      <c r="AC83" s="602"/>
      <c r="AD83" s="79"/>
      <c r="AE83" s="570"/>
      <c r="AF83" s="596"/>
      <c r="AG83" s="602"/>
      <c r="AI83" s="625">
        <f>(5.023+9.386+15.25)</f>
        <v>29.658999999999999</v>
      </c>
      <c r="AJ83" s="625"/>
      <c r="AK83" s="625"/>
      <c r="AL83" s="57"/>
      <c r="AM83" s="632">
        <f>(0.185+0.963)</f>
        <v>1.1479999999999999</v>
      </c>
      <c r="AN83" s="632"/>
      <c r="AO83" s="625"/>
      <c r="AP83" s="57"/>
      <c r="AQ83" s="632">
        <f>((0.009+37.764))</f>
        <v>37.773000000000003</v>
      </c>
      <c r="AR83" s="598"/>
      <c r="AS83" s="599"/>
      <c r="AU83" s="574">
        <f>1</f>
        <v>1</v>
      </c>
      <c r="AV83" s="598">
        <f t="shared" ref="AV83:AV89" si="96">AU83/AU11*100</f>
        <v>0.10178927314892447</v>
      </c>
      <c r="AW83" s="599"/>
      <c r="AY83" s="574">
        <f>1.1+8.9+0.1</f>
        <v>10.1</v>
      </c>
      <c r="AZ83" s="598">
        <f t="shared" ref="AZ83:AZ89" si="97">AY83/AY11*100</f>
        <v>0.94834486837521748</v>
      </c>
      <c r="BA83" s="599">
        <f t="shared" ref="BA83:BA89" si="98">(AY83/AU83-1)*100</f>
        <v>910</v>
      </c>
      <c r="BB83" s="559"/>
      <c r="BC83" s="822">
        <f>0.424+0.828+0.019+3.681</f>
        <v>4.952</v>
      </c>
      <c r="BD83" s="598">
        <f t="shared" ref="BD83:BD89" si="99">BC83/BC11*100</f>
        <v>0.43890242486499226</v>
      </c>
      <c r="BE83" s="599">
        <f t="shared" ref="BE83:BE89" si="100">(BC83/AY83-1)*100</f>
        <v>-50.970297029702969</v>
      </c>
      <c r="BF83" s="559"/>
      <c r="BG83" s="822">
        <f>0.259+0.46+1.715+0.649</f>
        <v>3.0830000000000002</v>
      </c>
      <c r="BH83" s="822"/>
      <c r="BI83" s="598">
        <f t="shared" ref="BI83:BI89" si="101">BG83/BG11*100</f>
        <v>0.26059562540836934</v>
      </c>
      <c r="BJ83" s="599">
        <f t="shared" ref="BJ83:BJ89" si="102">(BG83/BC83-1)*100</f>
        <v>-37.742326332794832</v>
      </c>
      <c r="BK83" s="559"/>
    </row>
    <row r="84" spans="1:63" outlineLevel="2">
      <c r="A84" s="569" t="s">
        <v>80</v>
      </c>
      <c r="B84" s="79"/>
      <c r="C84" s="581"/>
      <c r="D84" s="596"/>
      <c r="E84" s="571"/>
      <c r="F84" s="79"/>
      <c r="G84" s="581"/>
      <c r="H84" s="596"/>
      <c r="I84" s="602"/>
      <c r="J84" s="79"/>
      <c r="K84" s="581"/>
      <c r="L84" s="596"/>
      <c r="M84" s="602"/>
      <c r="N84" s="79"/>
      <c r="O84" s="581"/>
      <c r="P84" s="596"/>
      <c r="Q84" s="602"/>
      <c r="R84" s="79"/>
      <c r="S84" s="581"/>
      <c r="T84" s="596"/>
      <c r="U84" s="602"/>
      <c r="V84" s="79"/>
      <c r="W84" s="581"/>
      <c r="X84" s="596"/>
      <c r="Y84" s="602"/>
      <c r="Z84" s="79"/>
      <c r="AA84" s="581"/>
      <c r="AB84" s="596"/>
      <c r="AC84" s="602"/>
      <c r="AD84" s="79"/>
      <c r="AE84" s="581"/>
      <c r="AF84" s="596"/>
      <c r="AG84" s="602"/>
      <c r="AI84" s="633">
        <f>(0.042+0.081)</f>
        <v>0.123</v>
      </c>
      <c r="AJ84" s="633"/>
      <c r="AK84" s="67"/>
      <c r="AL84" s="67"/>
      <c r="AM84" s="634">
        <f>(0.073+1.19)</f>
        <v>1.2629999999999999</v>
      </c>
      <c r="AN84" s="634"/>
      <c r="AO84" s="635"/>
      <c r="AP84" s="67"/>
      <c r="AQ84" s="634">
        <f>((0.025+5.19))</f>
        <v>5.2150000000000007</v>
      </c>
      <c r="AR84" s="598"/>
      <c r="AS84" s="599"/>
      <c r="AU84" s="582">
        <f>1.1+6.5+0.1</f>
        <v>7.6999999999999993</v>
      </c>
      <c r="AV84" s="598">
        <f t="shared" si="96"/>
        <v>0.89101681502022911</v>
      </c>
      <c r="AW84" s="599"/>
      <c r="AY84" s="582">
        <f>1.1+2.8+7.2+0.2</f>
        <v>11.299999999999999</v>
      </c>
      <c r="AZ84" s="598">
        <f t="shared" si="97"/>
        <v>1.1727215044638373</v>
      </c>
      <c r="BA84" s="599">
        <f t="shared" si="98"/>
        <v>46.753246753246749</v>
      </c>
      <c r="BB84" s="559"/>
      <c r="BC84" s="583">
        <f>0.917+0.963+0.829</f>
        <v>2.7089999999999996</v>
      </c>
      <c r="BD84" s="598">
        <f t="shared" si="99"/>
        <v>0.25958694150238459</v>
      </c>
      <c r="BE84" s="599">
        <f t="shared" si="100"/>
        <v>-76.026548672566378</v>
      </c>
      <c r="BF84" s="559"/>
      <c r="BG84" s="583">
        <f>-0.012+0.335+0.188+-0.048</f>
        <v>0.46300000000000002</v>
      </c>
      <c r="BH84" s="583"/>
      <c r="BI84" s="598">
        <f t="shared" si="101"/>
        <v>4.0464317114396034E-2</v>
      </c>
      <c r="BJ84" s="599">
        <f t="shared" si="102"/>
        <v>-82.908822443706171</v>
      </c>
      <c r="BK84" s="559"/>
    </row>
    <row r="85" spans="1:63" outlineLevel="2">
      <c r="A85" s="569" t="s">
        <v>81</v>
      </c>
      <c r="B85" s="79"/>
      <c r="C85" s="581"/>
      <c r="D85" s="596"/>
      <c r="E85" s="571"/>
      <c r="F85" s="79"/>
      <c r="G85" s="581"/>
      <c r="H85" s="596"/>
      <c r="I85" s="602"/>
      <c r="J85" s="79"/>
      <c r="K85" s="581"/>
      <c r="L85" s="596"/>
      <c r="M85" s="602"/>
      <c r="N85" s="79"/>
      <c r="O85" s="581"/>
      <c r="P85" s="596"/>
      <c r="Q85" s="602"/>
      <c r="R85" s="79"/>
      <c r="S85" s="581"/>
      <c r="T85" s="596"/>
      <c r="U85" s="602"/>
      <c r="V85" s="79"/>
      <c r="W85" s="581"/>
      <c r="X85" s="596"/>
      <c r="Y85" s="602"/>
      <c r="Z85" s="79"/>
      <c r="AA85" s="581"/>
      <c r="AB85" s="596"/>
      <c r="AC85" s="602"/>
      <c r="AD85" s="79"/>
      <c r="AE85" s="581"/>
      <c r="AF85" s="596"/>
      <c r="AG85" s="602"/>
      <c r="AI85" s="633">
        <f>(6.437+1.19)</f>
        <v>7.6270000000000007</v>
      </c>
      <c r="AJ85" s="633"/>
      <c r="AK85" s="67"/>
      <c r="AL85" s="67"/>
      <c r="AM85" s="634">
        <f>(0.252)</f>
        <v>0.252</v>
      </c>
      <c r="AN85" s="634"/>
      <c r="AO85" s="635"/>
      <c r="AP85" s="67"/>
      <c r="AQ85" s="634">
        <f>((0.431))</f>
        <v>0.43099999999999999</v>
      </c>
      <c r="AR85" s="598"/>
      <c r="AS85" s="599"/>
      <c r="AU85" s="582">
        <f>1+0.1+1</f>
        <v>2.1</v>
      </c>
      <c r="AV85" s="598">
        <f t="shared" si="96"/>
        <v>0.21696594552471793</v>
      </c>
      <c r="AW85" s="599"/>
      <c r="AY85" s="582">
        <f>10.506+1.768+0.243+0.7</f>
        <v>13.217000000000001</v>
      </c>
      <c r="AZ85" s="598">
        <f t="shared" si="97"/>
        <v>1.2416134492936604</v>
      </c>
      <c r="BA85" s="599">
        <f t="shared" si="98"/>
        <v>529.38095238095241</v>
      </c>
      <c r="BB85" s="559"/>
      <c r="BC85" s="583">
        <f>0.589+0.628+0.006+70.302</f>
        <v>71.525000000000006</v>
      </c>
      <c r="BD85" s="598">
        <f t="shared" si="99"/>
        <v>6.1803762576774064</v>
      </c>
      <c r="BE85" s="599">
        <f t="shared" si="100"/>
        <v>441.15911326322157</v>
      </c>
      <c r="BF85" s="559"/>
      <c r="BG85" s="582">
        <v>3</v>
      </c>
      <c r="BH85" s="582"/>
      <c r="BI85" s="598">
        <f t="shared" si="101"/>
        <v>0.24372687641260035</v>
      </c>
      <c r="BJ85" s="599">
        <f t="shared" si="102"/>
        <v>-95.805662355819649</v>
      </c>
      <c r="BK85" s="559"/>
    </row>
    <row r="86" spans="1:63" outlineLevel="2">
      <c r="A86" s="569" t="s">
        <v>82</v>
      </c>
      <c r="B86" s="79"/>
      <c r="C86" s="585"/>
      <c r="D86" s="596"/>
      <c r="E86" s="571"/>
      <c r="F86" s="79"/>
      <c r="G86" s="585"/>
      <c r="H86" s="596"/>
      <c r="I86" s="602"/>
      <c r="J86" s="79"/>
      <c r="K86" s="585"/>
      <c r="L86" s="596"/>
      <c r="M86" s="602"/>
      <c r="N86" s="79"/>
      <c r="O86" s="585"/>
      <c r="P86" s="596"/>
      <c r="Q86" s="602"/>
      <c r="R86" s="79"/>
      <c r="S86" s="586"/>
      <c r="T86" s="596"/>
      <c r="U86" s="602"/>
      <c r="V86" s="79"/>
      <c r="W86" s="585"/>
      <c r="X86" s="596"/>
      <c r="Y86" s="602"/>
      <c r="Z86" s="79"/>
      <c r="AA86" s="585"/>
      <c r="AB86" s="596"/>
      <c r="AC86" s="602"/>
      <c r="AD86" s="79"/>
      <c r="AE86" s="586"/>
      <c r="AF86" s="596"/>
      <c r="AG86" s="602"/>
      <c r="AI86" s="636">
        <f>AI87-SUM(AI83:AI85)</f>
        <v>41.43399999999999</v>
      </c>
      <c r="AJ86" s="636"/>
      <c r="AK86" s="67"/>
      <c r="AL86" s="67"/>
      <c r="AM86" s="636">
        <f>AM87-SUM(AM83:AM85)</f>
        <v>6.7459999999999996</v>
      </c>
      <c r="AN86" s="637"/>
      <c r="AO86" s="635"/>
      <c r="AP86" s="67"/>
      <c r="AQ86" s="636">
        <f>AQ87-SUM(AQ83:AQ85)</f>
        <v>-0.10799999999999699</v>
      </c>
      <c r="AR86" s="598"/>
      <c r="AS86" s="599"/>
      <c r="AU86" s="557">
        <f>AU87-SUM(AU83:AU85)</f>
        <v>11.4</v>
      </c>
      <c r="AV86" s="598">
        <f t="shared" si="96"/>
        <v>0.90294359966589488</v>
      </c>
      <c r="AW86" s="599"/>
      <c r="AY86" s="587">
        <f>1.063+1.386-0.007+2.799+15.476</f>
        <v>20.716999999999999</v>
      </c>
      <c r="AZ86" s="598">
        <f t="shared" si="97"/>
        <v>1.5526760934948289</v>
      </c>
      <c r="BA86" s="599">
        <f t="shared" si="98"/>
        <v>81.728070175438575</v>
      </c>
      <c r="BB86" s="559"/>
      <c r="BC86" s="818">
        <f>0.482+0.521+1.726+0.364</f>
        <v>3.093</v>
      </c>
      <c r="BD86" s="598">
        <f t="shared" si="99"/>
        <v>0.20823206733442756</v>
      </c>
      <c r="BE86" s="599">
        <f t="shared" si="100"/>
        <v>-85.070232176473425</v>
      </c>
      <c r="BF86" s="559"/>
      <c r="BG86" s="587">
        <v>3</v>
      </c>
      <c r="BH86" s="1199"/>
      <c r="BI86" s="598">
        <f t="shared" si="101"/>
        <v>0.19470796725531211</v>
      </c>
      <c r="BJ86" s="599">
        <f t="shared" si="102"/>
        <v>-3.0067895247332665</v>
      </c>
      <c r="BK86" s="559"/>
    </row>
    <row r="87" spans="1:63" outlineLevel="2">
      <c r="A87" s="569" t="s">
        <v>85</v>
      </c>
      <c r="B87" s="79"/>
      <c r="C87" s="590"/>
      <c r="D87" s="596"/>
      <c r="E87" s="571"/>
      <c r="F87" s="79"/>
      <c r="G87" s="590"/>
      <c r="H87" s="596"/>
      <c r="I87" s="602"/>
      <c r="J87" s="79"/>
      <c r="K87" s="590"/>
      <c r="L87" s="596"/>
      <c r="M87" s="602"/>
      <c r="N87" s="79"/>
      <c r="O87" s="590"/>
      <c r="P87" s="596"/>
      <c r="Q87" s="602"/>
      <c r="R87" s="79"/>
      <c r="S87" s="590"/>
      <c r="T87" s="596"/>
      <c r="U87" s="602"/>
      <c r="V87" s="79"/>
      <c r="W87" s="590"/>
      <c r="X87" s="596"/>
      <c r="Y87" s="602"/>
      <c r="Z87" s="79"/>
      <c r="AA87" s="590"/>
      <c r="AB87" s="596"/>
      <c r="AC87" s="602"/>
      <c r="AD87" s="590"/>
      <c r="AE87" s="590"/>
      <c r="AF87" s="596"/>
      <c r="AG87" s="602"/>
      <c r="AI87" s="625">
        <f>(7.452+56.141+15.25)</f>
        <v>78.842999999999989</v>
      </c>
      <c r="AJ87" s="625"/>
      <c r="AK87" s="57"/>
      <c r="AL87" s="57"/>
      <c r="AM87" s="632">
        <f>(2.08+4.289+3.04)</f>
        <v>9.4089999999999989</v>
      </c>
      <c r="AN87" s="632"/>
      <c r="AO87" s="638"/>
      <c r="AP87" s="57"/>
      <c r="AQ87" s="632">
        <f>((37.764+1.735+4.285-0.473))</f>
        <v>43.311000000000007</v>
      </c>
      <c r="AR87" s="598"/>
      <c r="AS87" s="599"/>
      <c r="AU87" s="574">
        <f>4.3+6.4+11.5</f>
        <v>22.2</v>
      </c>
      <c r="AV87" s="598">
        <f t="shared" si="96"/>
        <v>0.54451346416293778</v>
      </c>
      <c r="AW87" s="599"/>
      <c r="AY87" s="574">
        <f>23.026+10.418+2.171+3.18+16.094</f>
        <v>54.889000000000003</v>
      </c>
      <c r="AZ87" s="598">
        <f t="shared" si="97"/>
        <v>1.2397281266664304</v>
      </c>
      <c r="BA87" s="599">
        <f t="shared" si="98"/>
        <v>147.24774774774775</v>
      </c>
      <c r="BC87" s="559">
        <f>SUM(BC83:BC86)</f>
        <v>82.279000000000011</v>
      </c>
      <c r="BD87" s="598">
        <f t="shared" si="99"/>
        <v>1.7089818598135968</v>
      </c>
      <c r="BE87" s="599">
        <f t="shared" si="100"/>
        <v>49.900708703018836</v>
      </c>
      <c r="BG87" s="559">
        <f>SUM(BG83:BG86)</f>
        <v>9.5459999999999994</v>
      </c>
      <c r="BH87" s="559"/>
      <c r="BI87" s="598">
        <f t="shared" si="101"/>
        <v>0.18721567575327538</v>
      </c>
      <c r="BJ87" s="599">
        <f t="shared" si="102"/>
        <v>-88.398011643311179</v>
      </c>
    </row>
    <row r="88" spans="1:63" outlineLevel="3">
      <c r="A88" s="569" t="s">
        <v>87</v>
      </c>
      <c r="B88" s="79"/>
      <c r="C88" s="591"/>
      <c r="D88" s="596"/>
      <c r="E88" s="571"/>
      <c r="F88" s="79"/>
      <c r="G88" s="591"/>
      <c r="H88" s="596"/>
      <c r="I88" s="602"/>
      <c r="J88" s="79"/>
      <c r="K88" s="591"/>
      <c r="L88" s="596"/>
      <c r="M88" s="602"/>
      <c r="N88" s="79"/>
      <c r="O88" s="591"/>
      <c r="P88" s="596"/>
      <c r="Q88" s="602"/>
      <c r="R88" s="79"/>
      <c r="S88" s="591"/>
      <c r="T88" s="596"/>
      <c r="U88" s="602"/>
      <c r="V88" s="79"/>
      <c r="W88" s="591"/>
      <c r="X88" s="596"/>
      <c r="Y88" s="602"/>
      <c r="Z88" s="79"/>
      <c r="AA88" s="591"/>
      <c r="AB88" s="596"/>
      <c r="AC88" s="602"/>
      <c r="AD88" s="79"/>
      <c r="AE88" s="591"/>
      <c r="AF88" s="596"/>
      <c r="AG88" s="602"/>
      <c r="AI88" s="556"/>
      <c r="AJ88" s="598"/>
      <c r="AK88" s="599"/>
      <c r="AM88" s="556"/>
      <c r="AN88" s="598"/>
      <c r="AO88" s="599"/>
      <c r="AQ88" s="556"/>
      <c r="AR88" s="598"/>
      <c r="AS88" s="599"/>
      <c r="AU88" s="556">
        <f>AU83+AU84</f>
        <v>8.6999999999999993</v>
      </c>
      <c r="AV88" s="598">
        <f t="shared" si="96"/>
        <v>0.47113537345895418</v>
      </c>
      <c r="AW88" s="599"/>
      <c r="AY88" s="556">
        <f>AY83+AY84</f>
        <v>21.4</v>
      </c>
      <c r="AZ88" s="598">
        <f t="shared" si="97"/>
        <v>1.0549230197765058</v>
      </c>
      <c r="BA88" s="599">
        <f t="shared" si="98"/>
        <v>145.97701149425285</v>
      </c>
      <c r="BC88" s="556">
        <f>BC83+BC84</f>
        <v>7.6609999999999996</v>
      </c>
      <c r="BD88" s="598">
        <f t="shared" si="99"/>
        <v>0.35274075097267305</v>
      </c>
      <c r="BE88" s="599">
        <f t="shared" si="100"/>
        <v>-64.200934579439249</v>
      </c>
      <c r="BG88" s="556">
        <f>BG83+BG84</f>
        <v>3.5460000000000003</v>
      </c>
      <c r="BH88" s="556"/>
      <c r="BI88" s="598">
        <f t="shared" si="101"/>
        <v>0.15236690776388029</v>
      </c>
      <c r="BJ88" s="599">
        <f t="shared" si="102"/>
        <v>-53.713614410651346</v>
      </c>
    </row>
    <row r="89" spans="1:63" outlineLevel="3">
      <c r="A89" s="569" t="s">
        <v>88</v>
      </c>
      <c r="B89" s="79"/>
      <c r="C89" s="591"/>
      <c r="D89" s="596"/>
      <c r="E89" s="571"/>
      <c r="F89" s="79"/>
      <c r="G89" s="591"/>
      <c r="H89" s="596"/>
      <c r="I89" s="602"/>
      <c r="J89" s="79"/>
      <c r="K89" s="591"/>
      <c r="L89" s="596"/>
      <c r="M89" s="602"/>
      <c r="N89" s="79"/>
      <c r="O89" s="591"/>
      <c r="P89" s="596"/>
      <c r="Q89" s="602"/>
      <c r="R89" s="79"/>
      <c r="S89" s="591"/>
      <c r="T89" s="596"/>
      <c r="U89" s="602"/>
      <c r="V89" s="79"/>
      <c r="W89" s="591"/>
      <c r="X89" s="596"/>
      <c r="Y89" s="602"/>
      <c r="Z89" s="79"/>
      <c r="AA89" s="591"/>
      <c r="AB89" s="596"/>
      <c r="AC89" s="602"/>
      <c r="AD89" s="79"/>
      <c r="AE89" s="591"/>
      <c r="AF89" s="596"/>
      <c r="AG89" s="602"/>
      <c r="AI89" s="556">
        <f>7.452-3.097-2.147</f>
        <v>2.2080000000000006</v>
      </c>
      <c r="AJ89" s="598"/>
      <c r="AK89" s="599"/>
      <c r="AM89" s="556"/>
      <c r="AN89" s="598"/>
      <c r="AO89" s="599"/>
      <c r="AQ89" s="556"/>
      <c r="AR89" s="598"/>
      <c r="AS89" s="599"/>
      <c r="AU89" s="556">
        <f>AU83+AU84+AU85</f>
        <v>10.799999999999999</v>
      </c>
      <c r="AV89" s="598">
        <f t="shared" si="96"/>
        <v>0.38372755784219365</v>
      </c>
      <c r="AW89" s="599"/>
      <c r="AY89" s="556">
        <f>AY83+AY84+AY85</f>
        <v>34.616999999999997</v>
      </c>
      <c r="AZ89" s="598">
        <f t="shared" si="97"/>
        <v>1.1191735233557478</v>
      </c>
      <c r="BA89" s="599">
        <f t="shared" si="98"/>
        <v>220.5277777777778</v>
      </c>
      <c r="BC89" s="556">
        <f>BC83+BC84+BC85</f>
        <v>79.186000000000007</v>
      </c>
      <c r="BD89" s="598">
        <f t="shared" si="99"/>
        <v>2.3785708149427092</v>
      </c>
      <c r="BE89" s="599">
        <f t="shared" si="100"/>
        <v>128.74888060779389</v>
      </c>
      <c r="BG89" s="556">
        <f>BG83+BG84+BG85</f>
        <v>6.5460000000000003</v>
      </c>
      <c r="BH89" s="556"/>
      <c r="BI89" s="598">
        <f t="shared" si="101"/>
        <v>0.18397133577073338</v>
      </c>
      <c r="BJ89" s="599">
        <f t="shared" si="102"/>
        <v>-91.73338721491173</v>
      </c>
    </row>
    <row r="90" spans="1:63" outlineLevel="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M90" s="630"/>
    </row>
    <row r="91" spans="1:63" outlineLevel="2">
      <c r="A91" s="565" t="s">
        <v>628</v>
      </c>
      <c r="B91" s="566"/>
      <c r="C91" s="566"/>
      <c r="D91" s="566"/>
      <c r="E91" s="566"/>
      <c r="F91" s="566"/>
      <c r="G91" s="566"/>
      <c r="H91" s="566"/>
      <c r="I91" s="566"/>
      <c r="J91" s="566"/>
      <c r="K91" s="566"/>
      <c r="L91" s="566"/>
      <c r="M91" s="566"/>
      <c r="N91" s="566"/>
      <c r="O91" s="566"/>
      <c r="P91" s="566"/>
      <c r="Q91" s="566"/>
      <c r="R91" s="566"/>
      <c r="S91" s="566"/>
      <c r="T91" s="566"/>
      <c r="U91" s="566"/>
      <c r="V91" s="566"/>
      <c r="W91" s="566"/>
      <c r="X91" s="566"/>
      <c r="Y91" s="566"/>
      <c r="Z91" s="566"/>
      <c r="AA91" s="566"/>
      <c r="AB91" s="566"/>
      <c r="AC91" s="566"/>
      <c r="AD91" s="566"/>
      <c r="AE91" s="566"/>
      <c r="AF91" s="566"/>
      <c r="AG91" s="566"/>
      <c r="AH91" s="420"/>
      <c r="AI91" s="420"/>
      <c r="AJ91" s="420"/>
      <c r="AK91" s="420"/>
      <c r="AL91" s="420"/>
      <c r="AM91" s="420"/>
      <c r="AN91" s="420"/>
      <c r="AO91" s="420"/>
      <c r="AP91" s="420"/>
      <c r="AQ91" s="420"/>
      <c r="AR91" s="420"/>
      <c r="AS91" s="420"/>
      <c r="AT91" s="420"/>
      <c r="AU91" s="420"/>
      <c r="AV91" s="420"/>
      <c r="AW91" s="420"/>
      <c r="AX91" s="420"/>
      <c r="AY91" s="420"/>
      <c r="AZ91" s="420"/>
      <c r="BA91" s="420"/>
      <c r="BC91" s="420"/>
      <c r="BD91" s="420"/>
      <c r="BE91" s="420"/>
      <c r="BG91" s="420"/>
      <c r="BH91" s="420"/>
      <c r="BI91" s="420"/>
      <c r="BJ91" s="420"/>
    </row>
    <row r="92" spans="1:63" outlineLevel="1">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M92" s="555"/>
    </row>
    <row r="93" spans="1:63" outlineLevel="1">
      <c r="A93" s="569" t="s">
        <v>79</v>
      </c>
      <c r="B93" s="79"/>
      <c r="C93" s="590">
        <f>C11-C21-C31-C53-C73</f>
        <v>-32.663000000000011</v>
      </c>
      <c r="D93" s="596">
        <f t="shared" ref="D93:D99" si="103">C93/C11*100</f>
        <v>-7.1586057561651302</v>
      </c>
      <c r="E93" s="571" t="s">
        <v>90</v>
      </c>
      <c r="F93" s="79"/>
      <c r="G93" s="590">
        <f>G11-G21-G31-G53-G73</f>
        <v>-25.378999999999927</v>
      </c>
      <c r="H93" s="596">
        <f t="shared" ref="H93:H99" si="104">G93/G11*100</f>
        <v>-4.9537881967148971</v>
      </c>
      <c r="I93" s="602">
        <f t="shared" ref="I93:I99" si="105">(G93/C93-1)*100</f>
        <v>-22.30046229678867</v>
      </c>
      <c r="J93" s="79"/>
      <c r="K93" s="590">
        <f>K11-K21-K31-K53-K73</f>
        <v>-24.955000000000048</v>
      </c>
      <c r="L93" s="596">
        <f t="shared" ref="L93:L99" si="106">K93/K11*100</f>
        <v>-4.6950167538065388</v>
      </c>
      <c r="M93" s="602">
        <f t="shared" ref="M93:M99" si="107">(K93/G93-1)*100</f>
        <v>-1.6706726033329899</v>
      </c>
      <c r="N93" s="79"/>
      <c r="O93" s="590">
        <f>O11-O21-O31-O53-O73</f>
        <v>-27.513000000000016</v>
      </c>
      <c r="P93" s="596">
        <f t="shared" ref="P93:P99" si="108">O93/O11*100</f>
        <v>-4.7390532228421263</v>
      </c>
      <c r="Q93" s="602">
        <f t="shared" ref="Q93:Q99" si="109">(O93/K93-1)*100</f>
        <v>10.250450811460476</v>
      </c>
      <c r="R93" s="79"/>
      <c r="S93" s="590">
        <f>S11-S21-S31-S53-S73</f>
        <v>-24.185999999999964</v>
      </c>
      <c r="T93" s="596">
        <f t="shared" ref="T93:T99" si="110">S93/S11*100</f>
        <v>-3.6747233246020743</v>
      </c>
      <c r="U93" s="602">
        <f t="shared" ref="U93:U99" si="111">(S93/O93-1)*100</f>
        <v>-12.092465380002359</v>
      </c>
      <c r="V93" s="79"/>
      <c r="W93" s="590">
        <f>W11-W21-W31-W53-W73</f>
        <v>-54.644000000000027</v>
      </c>
      <c r="X93" s="596">
        <f t="shared" ref="X93:X99" si="112">W93/W11*100</f>
        <v>-8.2262226276822883</v>
      </c>
      <c r="Y93" s="602">
        <f t="shared" ref="Y93:Y99" si="113">(W93/S93-1)*100</f>
        <v>125.93235756222651</v>
      </c>
      <c r="Z93" s="79"/>
      <c r="AA93" s="590">
        <f>AA11-AA21-AA31-AA53-AA73</f>
        <v>-49.970999999999954</v>
      </c>
      <c r="AB93" s="596">
        <f t="shared" ref="AB93:AB99" si="114">AA93/AA11*100</f>
        <v>-7.2892157649293114</v>
      </c>
      <c r="AC93" s="602">
        <f t="shared" ref="AC93:AC99" si="115">(AA93/W93-1)*100</f>
        <v>-8.5517165654052985</v>
      </c>
      <c r="AD93" s="79"/>
      <c r="AE93" s="590">
        <f>AE11-AE21-AE31-AE53-AE73</f>
        <v>-30.033000000000008</v>
      </c>
      <c r="AF93" s="596">
        <f t="shared" ref="AF93:AF99" si="116">AE93/AE11*100</f>
        <v>-4.2096926796790148</v>
      </c>
      <c r="AG93" s="602">
        <f t="shared" ref="AG93:AG99" si="117">(AE93/AA93-1)*100</f>
        <v>-39.899141502071132</v>
      </c>
      <c r="AI93" s="559">
        <f>AI62-AI73-AI83</f>
        <v>-45.63300000000001</v>
      </c>
      <c r="AJ93" s="598">
        <f t="shared" ref="AJ93:AJ99" si="118">AI93/AI11*100</f>
        <v>-5.4976669883367499</v>
      </c>
      <c r="AK93" s="599">
        <f t="shared" ref="AK93:AK99" si="119">(AI93/AE93-1)*100</f>
        <v>51.942862850864046</v>
      </c>
      <c r="AM93" s="559">
        <f>AM62-AM73-AM83</f>
        <v>36.166000000000018</v>
      </c>
      <c r="AN93" s="598">
        <f t="shared" ref="AN93:AN99" si="120">AM93/AM11*100</f>
        <v>4.0423481967814139</v>
      </c>
      <c r="AO93" s="599">
        <f t="shared" ref="AO93:AO99" si="121">(AM93/AI93-1)*100</f>
        <v>-179.25404860517608</v>
      </c>
      <c r="AQ93" s="559">
        <f>AQ62-AQ73-AQ83</f>
        <v>-1.3839999999999577</v>
      </c>
      <c r="AR93" s="598">
        <f t="shared" ref="AR93:AR99" si="122">AQ93/AQ11*100</f>
        <v>-0.14896440676323783</v>
      </c>
      <c r="AS93" s="599">
        <f t="shared" ref="AS93:AS99" si="123">(AQ93/AM93-1)*100</f>
        <v>-103.82679865066626</v>
      </c>
      <c r="AU93" s="559">
        <f>AU62-AU73-AU83</f>
        <v>23.788830730000051</v>
      </c>
      <c r="AV93" s="598">
        <f t="shared" ref="AV93:AV99" si="124">AU93/AU11*100</f>
        <v>2.4214477890695028</v>
      </c>
      <c r="AW93" s="599">
        <f t="shared" ref="AW93:AW99" si="125">(AU93/AQ93-1)*100</f>
        <v>-1818.8461510116169</v>
      </c>
      <c r="AY93" s="559">
        <f>AY62-AY73-AY83</f>
        <v>25.590250510000857</v>
      </c>
      <c r="AZ93" s="598">
        <f t="shared" ref="AZ93:AZ99" si="126">AY93/AY11*100</f>
        <v>2.4028101734253076</v>
      </c>
      <c r="BA93" s="599">
        <f t="shared" ref="BA93:BA99" si="127">(AY93/AU93-1)*100</f>
        <v>7.5725444451081758</v>
      </c>
      <c r="BC93" s="559">
        <f>BC62-BC73-BC83</f>
        <v>46.111999999999981</v>
      </c>
      <c r="BD93" s="598">
        <f t="shared" ref="BD93:BD99" si="128">BC93/BC11*100</f>
        <v>4.086968621844612</v>
      </c>
      <c r="BE93" s="599">
        <f t="shared" ref="BE93:BE99" si="129">(BC93/AY93-1)*100</f>
        <v>80.193624841535154</v>
      </c>
      <c r="BG93" s="559">
        <f>BG62-BG73-BG83</f>
        <v>56.144000000000048</v>
      </c>
      <c r="BH93" s="559"/>
      <c r="BI93" s="598">
        <f t="shared" ref="BI93:BI99" si="130">BG93/BG11*100</f>
        <v>4.745663572146448</v>
      </c>
      <c r="BJ93" s="599">
        <f t="shared" ref="BJ93:BJ99" si="131">(BG93/BC93-1)*100</f>
        <v>21.755725190839858</v>
      </c>
    </row>
    <row r="94" spans="1:63" outlineLevel="1">
      <c r="A94" s="569" t="s">
        <v>80</v>
      </c>
      <c r="B94" s="79"/>
      <c r="C94" s="639">
        <f>C12-C22-C32-C54-C74</f>
        <v>66.491000000000071</v>
      </c>
      <c r="D94" s="596">
        <f t="shared" si="103"/>
        <v>8.8593005934536304</v>
      </c>
      <c r="E94" s="571" t="s">
        <v>90</v>
      </c>
      <c r="F94" s="79"/>
      <c r="G94" s="639">
        <f>G12-G22-G32-G54-G74</f>
        <v>67.476000000000084</v>
      </c>
      <c r="H94" s="596">
        <f t="shared" si="104"/>
        <v>8.5327222995709455</v>
      </c>
      <c r="I94" s="602">
        <f t="shared" si="105"/>
        <v>1.4814034982178148</v>
      </c>
      <c r="J94" s="79"/>
      <c r="K94" s="639">
        <f>K12-K22-K32-K54-K74</f>
        <v>47.110000000000014</v>
      </c>
      <c r="L94" s="596">
        <f t="shared" si="106"/>
        <v>5.9327636906298613</v>
      </c>
      <c r="M94" s="602">
        <f t="shared" si="107"/>
        <v>-30.182583437073983</v>
      </c>
      <c r="N94" s="79"/>
      <c r="O94" s="639">
        <f>O12-O22-O32-O54-O74</f>
        <v>69.835999999999984</v>
      </c>
      <c r="P94" s="596">
        <f t="shared" si="108"/>
        <v>7.9362157174254451</v>
      </c>
      <c r="Q94" s="602">
        <f t="shared" si="109"/>
        <v>48.24028868605383</v>
      </c>
      <c r="R94" s="79"/>
      <c r="S94" s="639">
        <f>S12-S22-S32-S54-S74</f>
        <v>75.548000000000016</v>
      </c>
      <c r="T94" s="596">
        <f t="shared" si="110"/>
        <v>7.9196918838568209</v>
      </c>
      <c r="U94" s="602">
        <f t="shared" si="111"/>
        <v>8.1791626095424128</v>
      </c>
      <c r="V94" s="79"/>
      <c r="W94" s="639">
        <f>W12-W22-W32-W54-W74</f>
        <v>64.053999999999888</v>
      </c>
      <c r="X94" s="596">
        <f t="shared" si="112"/>
        <v>6.4253120420182039</v>
      </c>
      <c r="Y94" s="602">
        <f t="shared" si="113"/>
        <v>-15.214168475671263</v>
      </c>
      <c r="Z94" s="79"/>
      <c r="AA94" s="639">
        <f>AA12-AA22-AA32-AA54-AA74</f>
        <v>80.461999999999932</v>
      </c>
      <c r="AB94" s="596">
        <f t="shared" si="114"/>
        <v>8.4196008794005284</v>
      </c>
      <c r="AC94" s="602">
        <f t="shared" si="115"/>
        <v>25.615886595685012</v>
      </c>
      <c r="AD94" s="79"/>
      <c r="AE94" s="639">
        <f>AE12-AE22-AE32-AE54-AE74</f>
        <v>59.030000000000015</v>
      </c>
      <c r="AF94" s="596">
        <f t="shared" si="116"/>
        <v>5.8428652310421159</v>
      </c>
      <c r="AG94" s="602">
        <f t="shared" si="117"/>
        <v>-26.636176083119899</v>
      </c>
      <c r="AI94" s="562">
        <f>AI63-AI74-AI84</f>
        <v>-11.610000000000065</v>
      </c>
      <c r="AJ94" s="598">
        <f t="shared" si="118"/>
        <v>-1.6562574003749144</v>
      </c>
      <c r="AK94" s="599">
        <f t="shared" si="119"/>
        <v>-119.66796544130113</v>
      </c>
      <c r="AM94" s="562">
        <f>AM63-AM74-AM84</f>
        <v>-38.912999999999975</v>
      </c>
      <c r="AN94" s="598">
        <f t="shared" si="120"/>
        <v>-5.3396912521440791</v>
      </c>
      <c r="AO94" s="599">
        <f t="shared" si="121"/>
        <v>235.16795865632866</v>
      </c>
      <c r="AQ94" s="562">
        <f>AQ63-AQ74-AQ84</f>
        <v>-23.585000000000047</v>
      </c>
      <c r="AR94" s="598">
        <f t="shared" si="122"/>
        <v>-2.9728404523104017</v>
      </c>
      <c r="AS94" s="599">
        <f t="shared" si="123"/>
        <v>-39.390435073111654</v>
      </c>
      <c r="AU94" s="562">
        <f>AU63-AU74-AU84</f>
        <v>-19.695054249999998</v>
      </c>
      <c r="AV94" s="598">
        <f t="shared" si="124"/>
        <v>-2.2790421440890425</v>
      </c>
      <c r="AW94" s="599">
        <f t="shared" si="125"/>
        <v>-16.49330400678415</v>
      </c>
      <c r="AY94" s="562">
        <f>AY63-AY74-AY84</f>
        <v>-8.0922257621528946</v>
      </c>
      <c r="AZ94" s="598">
        <f t="shared" si="126"/>
        <v>-0.83981656373920044</v>
      </c>
      <c r="BA94" s="599">
        <f t="shared" si="127"/>
        <v>-58.912396688864696</v>
      </c>
      <c r="BC94" s="562">
        <f>BC63-BC74-BC84</f>
        <v>14.782999999999848</v>
      </c>
      <c r="BD94" s="598">
        <f t="shared" si="128"/>
        <v>1.4165646940678156</v>
      </c>
      <c r="BE94" s="599">
        <f t="shared" si="129"/>
        <v>-282.68150734424029</v>
      </c>
      <c r="BG94" s="562">
        <f>BG63-BG74-BG84</f>
        <v>33.232000000000113</v>
      </c>
      <c r="BH94" s="562"/>
      <c r="BI94" s="598">
        <f t="shared" si="130"/>
        <v>2.904341655174111</v>
      </c>
      <c r="BJ94" s="599">
        <f t="shared" si="131"/>
        <v>124.79875532706792</v>
      </c>
    </row>
    <row r="95" spans="1:63" outlineLevel="1">
      <c r="A95" s="569" t="s">
        <v>81</v>
      </c>
      <c r="B95" s="79"/>
      <c r="C95" s="639">
        <f>C13-C23-C33-C55-C75</f>
        <v>59.84099999999998</v>
      </c>
      <c r="D95" s="596">
        <f t="shared" si="103"/>
        <v>7.5983843544973046</v>
      </c>
      <c r="E95" s="571" t="s">
        <v>90</v>
      </c>
      <c r="F95" s="79"/>
      <c r="G95" s="639">
        <f>G13-G23-G33-G55-G75</f>
        <v>60.094000000000023</v>
      </c>
      <c r="H95" s="596">
        <f t="shared" si="104"/>
        <v>7.4405992694855465</v>
      </c>
      <c r="I95" s="602">
        <f t="shared" si="105"/>
        <v>0.42278705235547775</v>
      </c>
      <c r="J95" s="79"/>
      <c r="K95" s="639">
        <f>K13-K23-K33-K55-K75</f>
        <v>62.876999999999974</v>
      </c>
      <c r="L95" s="596">
        <f t="shared" si="106"/>
        <v>7.3302353994516025</v>
      </c>
      <c r="M95" s="602">
        <f t="shared" si="107"/>
        <v>4.6310779778346411</v>
      </c>
      <c r="N95" s="79"/>
      <c r="O95" s="639">
        <f>O13-O23-O33-O55-O75</f>
        <v>110.56899999999999</v>
      </c>
      <c r="P95" s="596">
        <f t="shared" si="108"/>
        <v>11.333191884963526</v>
      </c>
      <c r="Q95" s="602">
        <f t="shared" si="109"/>
        <v>75.849674761836667</v>
      </c>
      <c r="R95" s="79"/>
      <c r="S95" s="639">
        <f>S13-S23-S33-S55-S75</f>
        <v>96.014999999999958</v>
      </c>
      <c r="T95" s="596">
        <f t="shared" si="110"/>
        <v>9.3035086189354921</v>
      </c>
      <c r="U95" s="602">
        <f t="shared" si="111"/>
        <v>-13.162821405638137</v>
      </c>
      <c r="V95" s="79"/>
      <c r="W95" s="639">
        <f>W13-W23-W33-W55-W75</f>
        <v>77.807999999999993</v>
      </c>
      <c r="X95" s="596">
        <f t="shared" si="112"/>
        <v>7.7954710765660966</v>
      </c>
      <c r="Y95" s="602">
        <f t="shared" si="113"/>
        <v>-18.962662084049342</v>
      </c>
      <c r="Z95" s="79"/>
      <c r="AA95" s="639">
        <f>AA13-AA23-AA33-AA55-AA75</f>
        <v>74.286000000000016</v>
      </c>
      <c r="AB95" s="596">
        <f t="shared" si="114"/>
        <v>7.4643092554782093</v>
      </c>
      <c r="AC95" s="602">
        <f t="shared" si="115"/>
        <v>-4.526526835286826</v>
      </c>
      <c r="AD95" s="79"/>
      <c r="AE95" s="639">
        <f>AE13-AE23-AE33-AE55-AE75</f>
        <v>83.976000000000028</v>
      </c>
      <c r="AF95" s="596">
        <f t="shared" si="116"/>
        <v>8.1579599271402579</v>
      </c>
      <c r="AG95" s="602">
        <f t="shared" si="117"/>
        <v>13.04418059930541</v>
      </c>
      <c r="AI95" s="562">
        <f>AI64-AI75-AI85</f>
        <v>34.04899999999985</v>
      </c>
      <c r="AJ95" s="598">
        <f t="shared" si="118"/>
        <v>3.9030278298069239</v>
      </c>
      <c r="AK95" s="599">
        <f t="shared" si="119"/>
        <v>-59.45389158807297</v>
      </c>
      <c r="AM95" s="562">
        <f>AM64-AM75-AM85</f>
        <v>19.49499999999988</v>
      </c>
      <c r="AN95" s="598">
        <f t="shared" si="120"/>
        <v>2.2716520661022064</v>
      </c>
      <c r="AO95" s="599">
        <f t="shared" si="121"/>
        <v>-42.744280301917925</v>
      </c>
      <c r="AQ95" s="562">
        <f>AQ64-AQ75-AQ85</f>
        <v>11.139999999999977</v>
      </c>
      <c r="AR95" s="598">
        <f t="shared" si="122"/>
        <v>1.239619301117324</v>
      </c>
      <c r="AS95" s="599">
        <f t="shared" si="123"/>
        <v>-42.85714285714262</v>
      </c>
      <c r="AU95" s="562">
        <f>AU64-AU75-AU85</f>
        <v>5.7394311199999297</v>
      </c>
      <c r="AV95" s="598">
        <f t="shared" si="124"/>
        <v>0.59298147605941698</v>
      </c>
      <c r="AW95" s="599">
        <f t="shared" si="125"/>
        <v>-48.479074326750968</v>
      </c>
      <c r="AY95" s="562">
        <f>AY64-AY75-AY85</f>
        <v>8.1839999999999957</v>
      </c>
      <c r="AZ95" s="598">
        <f t="shared" si="126"/>
        <v>0.76881020420816459</v>
      </c>
      <c r="BA95" s="599">
        <f t="shared" si="127"/>
        <v>42.592529274923962</v>
      </c>
      <c r="BC95" s="562">
        <f>BC64-BC75-BC85</f>
        <v>-41.599000000000146</v>
      </c>
      <c r="BD95" s="598">
        <f t="shared" si="128"/>
        <v>-3.5945120159821506</v>
      </c>
      <c r="BE95" s="599">
        <f t="shared" si="129"/>
        <v>-608.29667644183974</v>
      </c>
      <c r="BG95" s="562">
        <f>BG64-BG75-BG85</f>
        <v>37.198730000000012</v>
      </c>
      <c r="BH95" s="562"/>
      <c r="BI95" s="598">
        <f t="shared" si="130"/>
        <v>3.0221100898052309</v>
      </c>
      <c r="BJ95" s="599">
        <f t="shared" si="131"/>
        <v>-189.42217360994226</v>
      </c>
    </row>
    <row r="96" spans="1:63" outlineLevel="1">
      <c r="A96" s="569" t="s">
        <v>82</v>
      </c>
      <c r="B96" s="79"/>
      <c r="C96" s="640">
        <f>C14-C24-C34-C56-C76</f>
        <v>14.813000000000038</v>
      </c>
      <c r="D96" s="596">
        <f t="shared" si="103"/>
        <v>2.4331831449545143</v>
      </c>
      <c r="E96" s="571" t="s">
        <v>90</v>
      </c>
      <c r="F96" s="79"/>
      <c r="G96" s="640">
        <f>G14-G24-G34-G56-G76</f>
        <v>7.9870000000000054</v>
      </c>
      <c r="H96" s="596">
        <f t="shared" si="104"/>
        <v>1.310637711315102</v>
      </c>
      <c r="I96" s="602">
        <f t="shared" si="105"/>
        <v>-46.081144940255278</v>
      </c>
      <c r="J96" s="79"/>
      <c r="K96" s="640">
        <f>K14-K24-K34-K56-K76</f>
        <v>35.454000000000065</v>
      </c>
      <c r="L96" s="596">
        <f t="shared" si="106"/>
        <v>5.1771268362489504</v>
      </c>
      <c r="M96" s="602">
        <f t="shared" si="107"/>
        <v>343.89633153875099</v>
      </c>
      <c r="N96" s="79"/>
      <c r="O96" s="640">
        <f>O14-O24-O34-O56-O76</f>
        <v>26.490999999999943</v>
      </c>
      <c r="P96" s="596">
        <f t="shared" si="108"/>
        <v>3.4687977121726692</v>
      </c>
      <c r="Q96" s="602">
        <f t="shared" si="109"/>
        <v>-25.280645343261988</v>
      </c>
      <c r="R96" s="79"/>
      <c r="S96" s="640">
        <f>S14-S24-S34-S56-S76</f>
        <v>-10.712999999999354</v>
      </c>
      <c r="T96" s="596">
        <f t="shared" si="110"/>
        <v>-1.2963048113199911</v>
      </c>
      <c r="U96" s="602">
        <f t="shared" si="111"/>
        <v>-140.44014948472832</v>
      </c>
      <c r="V96" s="79"/>
      <c r="W96" s="640">
        <f>W14-W24-W34-W56-W76</f>
        <v>-1.1079999999997909</v>
      </c>
      <c r="X96" s="596">
        <f t="shared" si="112"/>
        <v>-0.14162278235080919</v>
      </c>
      <c r="Y96" s="602">
        <f t="shared" si="113"/>
        <v>-89.657425557734925</v>
      </c>
      <c r="Z96" s="79"/>
      <c r="AA96" s="640">
        <f>AA14-AA24-AA34-AA56-AA76</f>
        <v>-20.80199999999979</v>
      </c>
      <c r="AB96" s="596">
        <f t="shared" si="114"/>
        <v>-2.6413259197088452</v>
      </c>
      <c r="AC96" s="602">
        <f t="shared" si="115"/>
        <v>1777.4368231050285</v>
      </c>
      <c r="AD96" s="79"/>
      <c r="AE96" s="640">
        <f>AE14-AE24-AE34-AE56-AE76</f>
        <v>-10.22900000000012</v>
      </c>
      <c r="AF96" s="596">
        <f t="shared" si="116"/>
        <v>-1.250068742171045</v>
      </c>
      <c r="AG96" s="602">
        <f t="shared" si="117"/>
        <v>-50.826843572732315</v>
      </c>
      <c r="AI96" s="557">
        <f>AI65-AI76-AI86</f>
        <v>62.685000000000095</v>
      </c>
      <c r="AJ96" s="598">
        <f t="shared" si="118"/>
        <v>5.5992796906528701</v>
      </c>
      <c r="AK96" s="599">
        <f t="shared" si="119"/>
        <v>-712.81650210186103</v>
      </c>
      <c r="AM96" s="557">
        <f>AM65-AM76-AM86</f>
        <v>135.68899999999974</v>
      </c>
      <c r="AN96" s="598">
        <f t="shared" si="120"/>
        <v>11.421748367828606</v>
      </c>
      <c r="AO96" s="599">
        <f t="shared" si="121"/>
        <v>116.4616734465973</v>
      </c>
      <c r="AQ96" s="557">
        <f>AQ65-AQ76-AQ86</f>
        <v>132.5300000000002</v>
      </c>
      <c r="AR96" s="598">
        <f t="shared" si="122"/>
        <v>10.748223295089147</v>
      </c>
      <c r="AS96" s="599">
        <f t="shared" si="123"/>
        <v>-2.3281179756646009</v>
      </c>
      <c r="AU96" s="557">
        <f>AU65-AU76-AU86</f>
        <v>135.64485265499479</v>
      </c>
      <c r="AV96" s="598">
        <f t="shared" si="124"/>
        <v>10.74382908179394</v>
      </c>
      <c r="AW96" s="599">
        <f t="shared" si="125"/>
        <v>2.3503000490414205</v>
      </c>
      <c r="AY96" s="557">
        <f>AY65-AY76-AY86</f>
        <v>132.16700000000009</v>
      </c>
      <c r="AZ96" s="598">
        <f t="shared" si="126"/>
        <v>9.9055143722030792</v>
      </c>
      <c r="BA96" s="599">
        <f t="shared" si="127"/>
        <v>-2.5639400146207025</v>
      </c>
      <c r="BC96" s="557">
        <f>BC65-BC76-BC86</f>
        <v>178.76500000000007</v>
      </c>
      <c r="BD96" s="598">
        <f t="shared" si="128"/>
        <v>12.035113325909782</v>
      </c>
      <c r="BE96" s="599">
        <f t="shared" si="129"/>
        <v>35.256909818638519</v>
      </c>
      <c r="BG96" s="557">
        <f>BG65-BG76-BG86</f>
        <v>189.63212139999956</v>
      </c>
      <c r="BH96" s="624"/>
      <c r="BI96" s="598">
        <f t="shared" si="130"/>
        <v>12.307628294702162</v>
      </c>
      <c r="BJ96" s="599">
        <f t="shared" si="131"/>
        <v>6.0789983497885336</v>
      </c>
    </row>
    <row r="97" spans="1:66" outlineLevel="1">
      <c r="A97" s="569" t="s">
        <v>85</v>
      </c>
      <c r="B97" s="79"/>
      <c r="C97" s="590">
        <f>C15-C25-C35-C57-C77</f>
        <v>115.77400000000002</v>
      </c>
      <c r="D97" s="596">
        <f t="shared" si="103"/>
        <v>4.53347753917072</v>
      </c>
      <c r="E97" s="571" t="s">
        <v>90</v>
      </c>
      <c r="F97" s="79"/>
      <c r="G97" s="590">
        <f>G15-G25-G35-G57-G77</f>
        <v>116.11200000000007</v>
      </c>
      <c r="H97" s="596">
        <f t="shared" si="104"/>
        <v>4.3355657384561184</v>
      </c>
      <c r="I97" s="602">
        <f t="shared" si="105"/>
        <v>0.29194810579236119</v>
      </c>
      <c r="J97" s="79"/>
      <c r="K97" s="590">
        <f>K15-K25-K35-K57-K77</f>
        <v>120.843</v>
      </c>
      <c r="L97" s="596">
        <f t="shared" si="106"/>
        <v>4.2253388159274961</v>
      </c>
      <c r="M97" s="602">
        <f t="shared" si="107"/>
        <v>4.0745142620917107</v>
      </c>
      <c r="N97" s="79"/>
      <c r="O97" s="590">
        <f>O15-O25-O35-O57-O77</f>
        <v>180.44800000000004</v>
      </c>
      <c r="P97" s="596">
        <f t="shared" si="108"/>
        <v>5.6392819640982053</v>
      </c>
      <c r="Q97" s="602">
        <f t="shared" si="109"/>
        <v>49.324329915675747</v>
      </c>
      <c r="R97" s="79"/>
      <c r="S97" s="590">
        <f>S15-S25-S35-S57-S77</f>
        <v>136.66400000000016</v>
      </c>
      <c r="T97" s="596">
        <f t="shared" si="110"/>
        <v>3.9378151153965666</v>
      </c>
      <c r="U97" s="602">
        <f t="shared" si="111"/>
        <v>-24.264053910267702</v>
      </c>
      <c r="V97" s="79"/>
      <c r="W97" s="590">
        <f>W15-W25-W35-W57-W77</f>
        <v>86.11000000000007</v>
      </c>
      <c r="X97" s="596">
        <f t="shared" si="112"/>
        <v>2.5020012232522553</v>
      </c>
      <c r="Y97" s="602">
        <f t="shared" si="113"/>
        <v>-36.991453491775474</v>
      </c>
      <c r="Z97" s="79"/>
      <c r="AA97" s="590">
        <f>AA15-AA25-AA35-AA57-AA77</f>
        <v>83.974999999999966</v>
      </c>
      <c r="AB97" s="596">
        <f t="shared" si="114"/>
        <v>2.4525602275485223</v>
      </c>
      <c r="AC97" s="602">
        <f t="shared" si="115"/>
        <v>-2.4793868307979361</v>
      </c>
      <c r="AD97" s="79"/>
      <c r="AE97" s="590">
        <f>AE15-AE25-AE35-AE57-AE77</f>
        <v>102.74400000000006</v>
      </c>
      <c r="AF97" s="596">
        <f t="shared" si="116"/>
        <v>2.8768815974387416</v>
      </c>
      <c r="AG97" s="602">
        <f t="shared" si="117"/>
        <v>22.350699612980172</v>
      </c>
      <c r="AI97" s="559">
        <f>AI66-AI77-AI87</f>
        <v>39.490999999999872</v>
      </c>
      <c r="AJ97" s="598">
        <f t="shared" si="118"/>
        <v>1.1209754197803261</v>
      </c>
      <c r="AK97" s="599">
        <f t="shared" si="119"/>
        <v>-61.563692283734483</v>
      </c>
      <c r="AM97" s="559">
        <f>AM66-AM77-AM87</f>
        <v>152.4369999999997</v>
      </c>
      <c r="AN97" s="598">
        <f t="shared" si="120"/>
        <v>4.1540472236498598</v>
      </c>
      <c r="AO97" s="599">
        <f t="shared" si="121"/>
        <v>286.00440606720571</v>
      </c>
      <c r="AQ97" s="559">
        <f>AQ66-AQ77-AQ87</f>
        <v>118.70100000000016</v>
      </c>
      <c r="AR97" s="598">
        <f t="shared" si="122"/>
        <v>3.0798358334193923</v>
      </c>
      <c r="AS97" s="599">
        <f t="shared" si="123"/>
        <v>-22.131109901139222</v>
      </c>
      <c r="AU97" s="559">
        <f>AU66-AU77-AU87</f>
        <v>145.4780602549948</v>
      </c>
      <c r="AV97" s="598">
        <f t="shared" si="124"/>
        <v>3.568232547259091</v>
      </c>
      <c r="AW97" s="599">
        <f t="shared" si="125"/>
        <v>22.55841168565944</v>
      </c>
      <c r="AY97" s="559">
        <f>AY66-AY77-AY87</f>
        <v>160.09699999999981</v>
      </c>
      <c r="AZ97" s="598">
        <f t="shared" si="126"/>
        <v>3.6159659293285586</v>
      </c>
      <c r="BA97" s="599">
        <f t="shared" si="127"/>
        <v>10.04889652733949</v>
      </c>
      <c r="BC97" s="559">
        <f>BC66-BC77-BC87</f>
        <v>198.06099999999981</v>
      </c>
      <c r="BD97" s="598">
        <f t="shared" si="128"/>
        <v>4.1138401795906665</v>
      </c>
      <c r="BE97" s="599">
        <f t="shared" si="129"/>
        <v>23.713123918624369</v>
      </c>
      <c r="BG97" s="559">
        <f>BG66-BG77-BG87</f>
        <v>316.20685139999972</v>
      </c>
      <c r="BH97" s="559"/>
      <c r="BI97" s="598">
        <f t="shared" si="130"/>
        <v>6.2014329942034863</v>
      </c>
      <c r="BJ97" s="599">
        <f t="shared" si="131"/>
        <v>59.651244515578547</v>
      </c>
    </row>
    <row r="98" spans="1:66" outlineLevel="2">
      <c r="A98" s="569" t="s">
        <v>87</v>
      </c>
      <c r="B98" s="79"/>
      <c r="C98" s="591">
        <f>C93+C94</f>
        <v>33.82800000000006</v>
      </c>
      <c r="D98" s="596">
        <f t="shared" si="103"/>
        <v>2.8031203233681246</v>
      </c>
      <c r="E98" s="571" t="s">
        <v>90</v>
      </c>
      <c r="F98" s="79"/>
      <c r="G98" s="591">
        <f>G93+G94</f>
        <v>42.097000000000158</v>
      </c>
      <c r="H98" s="596">
        <f t="shared" si="104"/>
        <v>3.2305123297721097</v>
      </c>
      <c r="I98" s="602">
        <f t="shared" si="105"/>
        <v>24.444247369043648</v>
      </c>
      <c r="J98" s="79"/>
      <c r="K98" s="591">
        <f>K93+K94</f>
        <v>22.154999999999966</v>
      </c>
      <c r="L98" s="596">
        <f t="shared" si="106"/>
        <v>1.6713362995686412</v>
      </c>
      <c r="M98" s="602">
        <f t="shared" si="107"/>
        <v>-47.371546666033495</v>
      </c>
      <c r="N98" s="79"/>
      <c r="O98" s="591">
        <f>O93+O94</f>
        <v>42.322999999999965</v>
      </c>
      <c r="P98" s="596">
        <f t="shared" si="108"/>
        <v>2.8977936016158545</v>
      </c>
      <c r="Q98" s="602">
        <f t="shared" si="109"/>
        <v>91.031369893929281</v>
      </c>
      <c r="R98" s="79"/>
      <c r="S98" s="591">
        <f>S93+S94</f>
        <v>51.362000000000052</v>
      </c>
      <c r="T98" s="596">
        <f t="shared" si="110"/>
        <v>3.186034595911666</v>
      </c>
      <c r="U98" s="602">
        <f t="shared" si="111"/>
        <v>21.357181674267167</v>
      </c>
      <c r="V98" s="79"/>
      <c r="W98" s="591">
        <f>W93+W94</f>
        <v>9.4099999999998616</v>
      </c>
      <c r="X98" s="596">
        <f t="shared" si="112"/>
        <v>0.56646923518224612</v>
      </c>
      <c r="Y98" s="602">
        <f t="shared" si="113"/>
        <v>-81.679062341809399</v>
      </c>
      <c r="Z98" s="79"/>
      <c r="AA98" s="591">
        <f>AA93+AA94</f>
        <v>30.490999999999978</v>
      </c>
      <c r="AB98" s="596">
        <f t="shared" si="114"/>
        <v>1.8578501801732625</v>
      </c>
      <c r="AC98" s="602">
        <f t="shared" si="115"/>
        <v>224.02763018066341</v>
      </c>
      <c r="AD98" s="79"/>
      <c r="AE98" s="591">
        <f>AE93+AE94</f>
        <v>28.997000000000007</v>
      </c>
      <c r="AF98" s="596">
        <f t="shared" si="116"/>
        <v>1.6822367012682478</v>
      </c>
      <c r="AG98" s="602">
        <f t="shared" si="117"/>
        <v>-4.8998065002786806</v>
      </c>
      <c r="AI98" s="556">
        <f>AI93+AI94</f>
        <v>-57.243000000000073</v>
      </c>
      <c r="AJ98" s="598">
        <f t="shared" si="118"/>
        <v>-3.7388775202952846</v>
      </c>
      <c r="AK98" s="599">
        <f t="shared" si="119"/>
        <v>-297.41007690450755</v>
      </c>
      <c r="AM98" s="556">
        <f>AM93+AM94</f>
        <v>-2.7469999999999573</v>
      </c>
      <c r="AN98" s="598">
        <f t="shared" si="120"/>
        <v>-0.16920984484682766</v>
      </c>
      <c r="AO98" s="599">
        <f t="shared" si="121"/>
        <v>-95.201159967157636</v>
      </c>
      <c r="AQ98" s="556">
        <f>AQ93+AQ94</f>
        <v>-24.969000000000005</v>
      </c>
      <c r="AR98" s="598">
        <f t="shared" si="122"/>
        <v>-1.4496380114141072</v>
      </c>
      <c r="AS98" s="599">
        <f t="shared" si="123"/>
        <v>808.95522388061136</v>
      </c>
      <c r="AU98" s="556">
        <f>AU93+AU94</f>
        <v>4.0937764800000522</v>
      </c>
      <c r="AV98" s="598">
        <f t="shared" si="124"/>
        <v>0.22169228859336867</v>
      </c>
      <c r="AW98" s="599">
        <f t="shared" si="125"/>
        <v>-116.39543626096381</v>
      </c>
      <c r="AY98" s="556">
        <f>AY93+AY94</f>
        <v>17.498024747847964</v>
      </c>
      <c r="AZ98" s="598">
        <f t="shared" si="126"/>
        <v>0.86257332276279475</v>
      </c>
      <c r="BA98" s="599">
        <f t="shared" si="127"/>
        <v>327.42990081001545</v>
      </c>
      <c r="BC98" s="556">
        <f>BC93+BC94</f>
        <v>60.894999999999825</v>
      </c>
      <c r="BD98" s="598">
        <f t="shared" si="128"/>
        <v>2.8038308354628465</v>
      </c>
      <c r="BE98" s="599">
        <f t="shared" si="129"/>
        <v>248.0107090801157</v>
      </c>
      <c r="BG98" s="556">
        <f>BG93+BG94</f>
        <v>89.376000000000161</v>
      </c>
      <c r="BH98" s="556"/>
      <c r="BI98" s="598">
        <f t="shared" si="130"/>
        <v>3.8403679493244747</v>
      </c>
      <c r="BJ98" s="599">
        <f t="shared" si="131"/>
        <v>46.770670826833751</v>
      </c>
    </row>
    <row r="99" spans="1:66" outlineLevel="2">
      <c r="A99" s="569" t="s">
        <v>88</v>
      </c>
      <c r="B99" s="79"/>
      <c r="C99" s="591">
        <f>C93+C94+C95</f>
        <v>93.66900000000004</v>
      </c>
      <c r="D99" s="596">
        <f t="shared" si="103"/>
        <v>4.6967252940436159</v>
      </c>
      <c r="E99" s="571" t="s">
        <v>90</v>
      </c>
      <c r="F99" s="79"/>
      <c r="G99" s="591">
        <f>G93+G94+G95</f>
        <v>102.19100000000017</v>
      </c>
      <c r="H99" s="596">
        <f t="shared" si="104"/>
        <v>4.841440697077263</v>
      </c>
      <c r="I99" s="602">
        <f t="shared" si="105"/>
        <v>9.0979940001496118</v>
      </c>
      <c r="J99" s="79"/>
      <c r="K99" s="591">
        <f>K93+K94+K95</f>
        <v>85.03199999999994</v>
      </c>
      <c r="L99" s="596">
        <f t="shared" si="106"/>
        <v>3.8945442853727386</v>
      </c>
      <c r="M99" s="602">
        <f t="shared" si="107"/>
        <v>-16.791106848939929</v>
      </c>
      <c r="N99" s="79"/>
      <c r="O99" s="591">
        <f>O93+O94+O95</f>
        <v>152.89199999999994</v>
      </c>
      <c r="P99" s="596">
        <f t="shared" si="108"/>
        <v>6.2759785333062936</v>
      </c>
      <c r="Q99" s="602">
        <f t="shared" si="109"/>
        <v>79.805249788315052</v>
      </c>
      <c r="R99" s="79"/>
      <c r="S99" s="591">
        <f>S93+S94+S95</f>
        <v>147.37700000000001</v>
      </c>
      <c r="T99" s="596">
        <f t="shared" si="110"/>
        <v>5.5737468080213981</v>
      </c>
      <c r="U99" s="602">
        <f t="shared" si="111"/>
        <v>-3.607121366716326</v>
      </c>
      <c r="V99" s="79"/>
      <c r="W99" s="591">
        <f>W93+W94+W95</f>
        <v>87.217999999999847</v>
      </c>
      <c r="X99" s="596">
        <f t="shared" si="112"/>
        <v>3.279753768400147</v>
      </c>
      <c r="Y99" s="602">
        <f t="shared" si="113"/>
        <v>-40.819802275796192</v>
      </c>
      <c r="Z99" s="79"/>
      <c r="AA99" s="591">
        <f>AA93+AA94+AA95</f>
        <v>104.77699999999999</v>
      </c>
      <c r="AB99" s="596">
        <f t="shared" si="114"/>
        <v>3.9742240786158773</v>
      </c>
      <c r="AC99" s="602">
        <f t="shared" si="115"/>
        <v>20.13231213740303</v>
      </c>
      <c r="AD99" s="79"/>
      <c r="AE99" s="591">
        <f>AE93+AE94+AE95</f>
        <v>112.97300000000004</v>
      </c>
      <c r="AF99" s="596">
        <f t="shared" si="116"/>
        <v>4.103495270045463</v>
      </c>
      <c r="AG99" s="602">
        <f t="shared" si="117"/>
        <v>7.8223274191855596</v>
      </c>
      <c r="AI99" s="556">
        <f>AI93+AI94+AI95</f>
        <v>-23.194000000000223</v>
      </c>
      <c r="AJ99" s="598">
        <f t="shared" si="118"/>
        <v>-0.96505152086944612</v>
      </c>
      <c r="AK99" s="599">
        <f t="shared" si="119"/>
        <v>-120.53056925106019</v>
      </c>
      <c r="AM99" s="556">
        <f>AM93+AM94+AM95</f>
        <v>16.747999999999923</v>
      </c>
      <c r="AN99" s="598">
        <f t="shared" si="120"/>
        <v>0.67488336219895306</v>
      </c>
      <c r="AO99" s="599">
        <f t="shared" si="121"/>
        <v>-172.20832974044907</v>
      </c>
      <c r="AQ99" s="556">
        <f>AQ93+AQ94+AQ95</f>
        <v>-13.829000000000027</v>
      </c>
      <c r="AR99" s="598">
        <f t="shared" si="122"/>
        <v>-0.52760432384505351</v>
      </c>
      <c r="AS99" s="599">
        <f t="shared" si="123"/>
        <v>-182.5710532600913</v>
      </c>
      <c r="AU99" s="556">
        <f>AU93+AU94+AU95</f>
        <v>9.833207599999982</v>
      </c>
      <c r="AV99" s="598">
        <f t="shared" si="124"/>
        <v>0.34937710537993438</v>
      </c>
      <c r="AW99" s="599">
        <f t="shared" si="125"/>
        <v>-171.10570250921947</v>
      </c>
      <c r="AY99" s="556">
        <f>AY93+AY94+AY95</f>
        <v>25.682024747847962</v>
      </c>
      <c r="AZ99" s="598">
        <f t="shared" si="126"/>
        <v>0.83030424716060081</v>
      </c>
      <c r="BA99" s="599">
        <f t="shared" si="127"/>
        <v>161.17647254643549</v>
      </c>
      <c r="BC99" s="556">
        <f>BC93+BC94+BC95</f>
        <v>19.29599999999968</v>
      </c>
      <c r="BD99" s="598">
        <f t="shared" si="128"/>
        <v>0.57960880010524274</v>
      </c>
      <c r="BE99" s="599">
        <f t="shared" si="129"/>
        <v>-24.865737069205974</v>
      </c>
      <c r="BG99" s="556">
        <f>BG93+BG94+BG95</f>
        <v>126.57473000000017</v>
      </c>
      <c r="BH99" s="556"/>
      <c r="BI99" s="598">
        <f t="shared" si="130"/>
        <v>3.5573055534555378</v>
      </c>
      <c r="BJ99" s="599">
        <f t="shared" si="131"/>
        <v>555.96356757878459</v>
      </c>
    </row>
    <row r="100" spans="1:66" outlineLevel="2">
      <c r="A100" s="569"/>
      <c r="B100" s="79"/>
      <c r="C100" s="591"/>
      <c r="D100" s="596"/>
      <c r="E100" s="571"/>
      <c r="F100" s="79"/>
      <c r="G100" s="591"/>
      <c r="H100" s="596"/>
      <c r="I100" s="602"/>
      <c r="J100" s="79"/>
      <c r="K100" s="591"/>
      <c r="L100" s="596"/>
      <c r="M100" s="602"/>
      <c r="N100" s="79"/>
      <c r="O100" s="591"/>
      <c r="P100" s="596"/>
      <c r="Q100" s="602"/>
      <c r="R100" s="79"/>
      <c r="S100" s="591"/>
      <c r="T100" s="596"/>
      <c r="U100" s="602"/>
      <c r="V100" s="79"/>
      <c r="W100" s="591"/>
      <c r="X100" s="596"/>
      <c r="Y100" s="602"/>
      <c r="Z100" s="79"/>
      <c r="AA100" s="591"/>
      <c r="AB100" s="596"/>
      <c r="AC100" s="602"/>
      <c r="AD100" s="79"/>
      <c r="AE100" s="591"/>
      <c r="AF100" s="596"/>
      <c r="AG100" s="602"/>
      <c r="AI100" s="556"/>
      <c r="AJ100" s="598"/>
      <c r="AK100" s="599"/>
      <c r="AM100" s="556"/>
      <c r="AN100" s="598"/>
      <c r="AO100" s="599"/>
      <c r="AQ100" s="556"/>
      <c r="AR100" s="598"/>
      <c r="AS100" s="599"/>
      <c r="AU100" s="556"/>
      <c r="AV100" s="598"/>
      <c r="AW100" s="599"/>
      <c r="AY100" s="556"/>
      <c r="AZ100" s="598"/>
      <c r="BA100" s="599"/>
      <c r="BC100" s="556"/>
      <c r="BD100" s="598"/>
      <c r="BE100" s="599"/>
      <c r="BG100" s="556"/>
      <c r="BH100" s="556"/>
      <c r="BI100" s="598"/>
      <c r="BJ100" s="599"/>
    </row>
    <row r="101" spans="1:66" hidden="1" outlineLevel="3">
      <c r="A101" s="565" t="s">
        <v>359</v>
      </c>
      <c r="B101" s="566"/>
      <c r="C101" s="566"/>
      <c r="D101" s="566"/>
      <c r="E101" s="566"/>
      <c r="F101" s="566"/>
      <c r="G101" s="566"/>
      <c r="H101" s="566"/>
      <c r="I101" s="566"/>
      <c r="J101" s="566"/>
      <c r="K101" s="566"/>
      <c r="L101" s="566"/>
      <c r="M101" s="566"/>
      <c r="N101" s="566"/>
      <c r="O101" s="566"/>
      <c r="P101" s="566"/>
      <c r="Q101" s="566"/>
      <c r="R101" s="566"/>
      <c r="S101" s="566"/>
      <c r="T101" s="566"/>
      <c r="U101" s="566"/>
      <c r="V101" s="566"/>
      <c r="W101" s="566"/>
      <c r="X101" s="566"/>
      <c r="Y101" s="566"/>
      <c r="Z101" s="566"/>
      <c r="AA101" s="566"/>
      <c r="AB101" s="566"/>
      <c r="AC101" s="566"/>
      <c r="AD101" s="566"/>
      <c r="AE101" s="566"/>
      <c r="AF101" s="566"/>
      <c r="AG101" s="566"/>
      <c r="AH101" s="420"/>
      <c r="AI101" s="420"/>
      <c r="AJ101" s="420"/>
      <c r="AK101" s="420"/>
      <c r="AL101" s="420"/>
      <c r="AM101" s="420"/>
      <c r="AN101" s="420"/>
      <c r="AO101" s="420"/>
      <c r="AP101" s="420"/>
      <c r="AQ101" s="420"/>
      <c r="AR101" s="420"/>
      <c r="AS101" s="420"/>
      <c r="AT101" s="420"/>
      <c r="AU101" s="420"/>
      <c r="AV101" s="420"/>
      <c r="AW101" s="420"/>
      <c r="AX101" s="420"/>
      <c r="AY101" s="420"/>
      <c r="AZ101" s="420"/>
      <c r="BA101" s="420"/>
      <c r="BC101" s="1191"/>
      <c r="BD101" s="420"/>
      <c r="BE101" s="420"/>
      <c r="BG101" s="1191"/>
      <c r="BH101" s="1191"/>
      <c r="BI101" s="420"/>
      <c r="BJ101" s="420"/>
    </row>
    <row r="102" spans="1:66" hidden="1" outlineLevel="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M102" s="555"/>
    </row>
    <row r="103" spans="1:66" hidden="1" outlineLevel="2">
      <c r="A103" s="569" t="s">
        <v>79</v>
      </c>
      <c r="B103" s="79"/>
      <c r="C103" s="828">
        <f>C11-C21-C41-C53-C73-C83</f>
        <v>-32.663000000000011</v>
      </c>
      <c r="D103" s="829">
        <f t="shared" ref="D103:D109" si="132">C103/C11*100</f>
        <v>-7.1586057561651302</v>
      </c>
      <c r="E103" s="571" t="s">
        <v>90</v>
      </c>
      <c r="F103" s="79"/>
      <c r="G103" s="828">
        <f>G11-G21-G41-G53-G73-G83</f>
        <v>-25.378999999999927</v>
      </c>
      <c r="H103" s="829">
        <f t="shared" ref="H103:H109" si="133">G103/G11*100</f>
        <v>-4.9537881967148971</v>
      </c>
      <c r="I103" s="602">
        <f>(G103/C103-1)*100</f>
        <v>-22.30046229678867</v>
      </c>
      <c r="J103" s="79"/>
      <c r="K103" s="828">
        <f>K11-K21-K41-K53-K73-K83</f>
        <v>-24.955000000000048</v>
      </c>
      <c r="L103" s="829">
        <f t="shared" ref="L103:L109" si="134">K103/K11*100</f>
        <v>-4.6950167538065388</v>
      </c>
      <c r="M103" s="602">
        <f>(K103/G103-1)*100</f>
        <v>-1.6706726033329899</v>
      </c>
      <c r="N103" s="79"/>
      <c r="O103" s="828">
        <f>O11-O21-O41-O53-O73-O83</f>
        <v>-27.513000000000016</v>
      </c>
      <c r="P103" s="829">
        <f t="shared" ref="P103:P109" si="135">O103/O11*100</f>
        <v>-4.7390532228421263</v>
      </c>
      <c r="Q103" s="602">
        <f>(O103/K103-1)*100</f>
        <v>10.250450811460476</v>
      </c>
      <c r="R103" s="79"/>
      <c r="S103" s="828">
        <f>S11-S21-S41-S53-S73-S83</f>
        <v>-24.185999999999964</v>
      </c>
      <c r="T103" s="829">
        <f t="shared" ref="T103:T109" si="136">S103/S11*100</f>
        <v>-3.6747233246020743</v>
      </c>
      <c r="U103" s="602">
        <f>(S103/O103-1)*100</f>
        <v>-12.092465380002359</v>
      </c>
      <c r="V103" s="79"/>
      <c r="W103" s="828">
        <f>W11-W21-W41-W53-W73-W83</f>
        <v>-54.644000000000027</v>
      </c>
      <c r="X103" s="829">
        <f t="shared" ref="X103:X109" si="137">W103/W11*100</f>
        <v>-8.2262226276822883</v>
      </c>
      <c r="Y103" s="602">
        <f>(W103/S103-1)*100</f>
        <v>125.93235756222651</v>
      </c>
      <c r="Z103" s="79"/>
      <c r="AA103" s="828">
        <f>AA11-AA21-AA41-AA53-AA73-AA83</f>
        <v>-49.970999999999954</v>
      </c>
      <c r="AB103" s="829">
        <f t="shared" ref="AB103:AB109" si="138">AA103/AA11*100</f>
        <v>-7.2892157649293114</v>
      </c>
      <c r="AC103" s="602">
        <f>(AA103/W103-1)*100</f>
        <v>-8.5517165654052985</v>
      </c>
      <c r="AD103" s="79"/>
      <c r="AE103" s="828">
        <f>AE11-AE21-AE41-AE53-AE73-AE83</f>
        <v>-30.033000000000008</v>
      </c>
      <c r="AF103" s="829">
        <f t="shared" ref="AF103:AF109" si="139">AE103/AE11*100</f>
        <v>-4.2096926796790148</v>
      </c>
      <c r="AG103" s="602">
        <f>(AE103/AA103-1)*100</f>
        <v>-39.899141502071132</v>
      </c>
      <c r="AI103" s="559">
        <f>AI11-AI21-AI41-AI53-AI73-AI83</f>
        <v>-45.63300000000001</v>
      </c>
      <c r="AJ103" s="598">
        <f t="shared" ref="AJ103:AJ109" si="140">AI103/AI11*100</f>
        <v>-5.4976669883367499</v>
      </c>
      <c r="AK103" s="599">
        <f>(AI103/AE103-1)*100</f>
        <v>51.942862850864046</v>
      </c>
      <c r="AM103" s="559">
        <f>AM72-AM83-AM93</f>
        <v>-37.314000000000021</v>
      </c>
      <c r="AN103" s="598">
        <f t="shared" ref="AN103:AN109" si="141">AM103/AM21*100</f>
        <v>-6.7554625393543661</v>
      </c>
      <c r="AO103" s="599">
        <f>(AM103/AI103-1)*100</f>
        <v>-18.23022812438364</v>
      </c>
      <c r="AQ103" s="559">
        <f>AQ72-AQ83-AQ93</f>
        <v>-36.389000000000046</v>
      </c>
      <c r="AR103" s="598">
        <f t="shared" ref="AR103:AR109" si="142">AQ103/AQ21*100</f>
        <v>-6.3032757494764526</v>
      </c>
      <c r="AS103" s="599">
        <f>(AQ103/AM103-1)*100</f>
        <v>-2.4789623197726707</v>
      </c>
      <c r="AU103" s="559">
        <f>AU72-AU83-AU93</f>
        <v>-24.788830730000051</v>
      </c>
      <c r="AV103" s="598">
        <f t="shared" ref="AV103:AV109" si="143">AU103/AU21*100</f>
        <v>-3.9989407500372991</v>
      </c>
      <c r="AW103" s="599">
        <f>(AU103/AQ103-1)*100</f>
        <v>-31.878230426777264</v>
      </c>
      <c r="AY103" s="559">
        <f>AY72-AY83-AY93</f>
        <v>-35.690250510000858</v>
      </c>
      <c r="AZ103" s="598">
        <f t="shared" ref="AZ103:AZ109" si="144">AY103/AY21*100</f>
        <v>-5.3456290060073091</v>
      </c>
      <c r="BA103" s="599">
        <f t="shared" ref="BA103:BA109" si="145">(AY103/AU103-1)*100</f>
        <v>43.97714397560366</v>
      </c>
      <c r="BC103" s="559">
        <f>BC72-BC83-BC93</f>
        <v>-51.063999999999979</v>
      </c>
      <c r="BD103" s="598">
        <f t="shared" ref="BD103:BD109" si="146">BC103/BC21*100</f>
        <v>-7.3109307463122457</v>
      </c>
      <c r="BE103" s="599">
        <f t="shared" ref="BE103:BE109" si="147">(BC103/AY103-1)*100</f>
        <v>43.075487760141115</v>
      </c>
      <c r="BG103" s="559">
        <f>BG72-BG83-BG93</f>
        <v>-59.227000000000046</v>
      </c>
      <c r="BH103" s="559"/>
      <c r="BI103" s="598">
        <f t="shared" ref="BI103:BI109" si="148">BG103/BG21*100</f>
        <v>-8.3075477255831647</v>
      </c>
      <c r="BJ103" s="599">
        <f t="shared" ref="BJ103:BJ109" si="149">(BG103/BC103-1)*100</f>
        <v>15.98582171392775</v>
      </c>
    </row>
    <row r="104" spans="1:66" hidden="1" outlineLevel="2">
      <c r="A104" s="569" t="s">
        <v>80</v>
      </c>
      <c r="B104" s="79"/>
      <c r="C104" s="830">
        <f>C12-C22-C42-C54-C74-C84</f>
        <v>66.491000000000071</v>
      </c>
      <c r="D104" s="829">
        <f t="shared" si="132"/>
        <v>8.8593005934536304</v>
      </c>
      <c r="E104" s="571" t="s">
        <v>90</v>
      </c>
      <c r="F104" s="79"/>
      <c r="G104" s="830">
        <f>G12-G22-G42-G54-G74-G84</f>
        <v>67.476000000000084</v>
      </c>
      <c r="H104" s="829">
        <f t="shared" si="133"/>
        <v>8.5327222995709455</v>
      </c>
      <c r="I104" s="602">
        <f t="shared" ref="I104:I109" si="150">(G104/C104-1)*100</f>
        <v>1.4814034982178148</v>
      </c>
      <c r="J104" s="79"/>
      <c r="K104" s="830">
        <f>K12-K22-K42-K54-K74-K84</f>
        <v>47.110000000000014</v>
      </c>
      <c r="L104" s="829">
        <f t="shared" si="134"/>
        <v>5.9327636906298613</v>
      </c>
      <c r="M104" s="602">
        <f t="shared" ref="M104:M109" si="151">(K104/G104-1)*100</f>
        <v>-30.182583437073983</v>
      </c>
      <c r="N104" s="79"/>
      <c r="O104" s="830">
        <f>O12-O22-O42-O54-O74-O84</f>
        <v>69.835999999999984</v>
      </c>
      <c r="P104" s="829">
        <f t="shared" si="135"/>
        <v>7.9362157174254451</v>
      </c>
      <c r="Q104" s="602">
        <f t="shared" ref="Q104:Q109" si="152">(O104/K104-1)*100</f>
        <v>48.24028868605383</v>
      </c>
      <c r="R104" s="79"/>
      <c r="S104" s="830">
        <f>S12-S22-S42-S54-S74-S84</f>
        <v>75.548000000000016</v>
      </c>
      <c r="T104" s="829">
        <f t="shared" si="136"/>
        <v>7.9196918838568209</v>
      </c>
      <c r="U104" s="602">
        <f t="shared" ref="U104:U109" si="153">(S104/O104-1)*100</f>
        <v>8.1791626095424128</v>
      </c>
      <c r="V104" s="79"/>
      <c r="W104" s="830">
        <f>W12-W22-W42-W54-W74-W84</f>
        <v>64.053999999999888</v>
      </c>
      <c r="X104" s="829">
        <f t="shared" si="137"/>
        <v>6.4253120420182039</v>
      </c>
      <c r="Y104" s="602">
        <f t="shared" ref="Y104:Y109" si="154">(W104/S104-1)*100</f>
        <v>-15.214168475671263</v>
      </c>
      <c r="Z104" s="79"/>
      <c r="AA104" s="830">
        <f>AA12-AA22-AA42-AA54-AA74-AA84</f>
        <v>80.461999999999932</v>
      </c>
      <c r="AB104" s="829">
        <f t="shared" si="138"/>
        <v>8.4196008794005284</v>
      </c>
      <c r="AC104" s="602">
        <f t="shared" ref="AC104:AC109" si="155">(AA104/W104-1)*100</f>
        <v>25.615886595685012</v>
      </c>
      <c r="AD104" s="79"/>
      <c r="AE104" s="830">
        <f>AE12-AE22-AE42-AE54-AE74-AE84</f>
        <v>59.030000000000015</v>
      </c>
      <c r="AF104" s="829">
        <f t="shared" si="139"/>
        <v>5.8428652310421159</v>
      </c>
      <c r="AG104" s="602">
        <f t="shared" ref="AG104:AG109" si="156">(AE104/AA104-1)*100</f>
        <v>-26.636176083119899</v>
      </c>
      <c r="AI104" s="562">
        <f>AI12-AI22-AI42-AI54-AI74-AI84</f>
        <v>-11.610000000000065</v>
      </c>
      <c r="AJ104" s="598">
        <f t="shared" si="140"/>
        <v>-1.6562574003749144</v>
      </c>
      <c r="AK104" s="599">
        <f t="shared" ref="AK104:AK109" si="157">(AI104/AE104-1)*100</f>
        <v>-119.66796544130113</v>
      </c>
      <c r="AM104" s="562">
        <f>AM73-AM84-AM94</f>
        <v>74.378999999999976</v>
      </c>
      <c r="AN104" s="598">
        <f t="shared" si="141"/>
        <v>15.845952602111682</v>
      </c>
      <c r="AO104" s="599">
        <f t="shared" ref="AO104:AO109" si="158">(AM104/AI104-1)*100</f>
        <v>-740.64599483203756</v>
      </c>
      <c r="AQ104" s="562">
        <f>AQ73-AQ84-AQ94</f>
        <v>54.990000000000045</v>
      </c>
      <c r="AR104" s="598">
        <f t="shared" si="142"/>
        <v>10.84502014582303</v>
      </c>
      <c r="AS104" s="599">
        <f t="shared" ref="AS104:AS109" si="159">(AQ104/AM104-1)*100</f>
        <v>-26.067841729520346</v>
      </c>
      <c r="AU104" s="562">
        <f>AU73-AU84-AU94</f>
        <v>51.932803079999999</v>
      </c>
      <c r="AV104" s="598">
        <f t="shared" si="143"/>
        <v>9.5543890798486171</v>
      </c>
      <c r="AW104" s="599">
        <f t="shared" ref="AW104:AW109" si="160">(AU104/AQ104-1)*100</f>
        <v>-5.5595506819422491</v>
      </c>
      <c r="AY104" s="562">
        <f>AY73-AY84-AY94</f>
        <v>40.735134072152896</v>
      </c>
      <c r="AZ104" s="598">
        <f t="shared" si="144"/>
        <v>6.8058892867592116</v>
      </c>
      <c r="BA104" s="599">
        <f t="shared" si="145"/>
        <v>-21.561842118550068</v>
      </c>
      <c r="BC104" s="562">
        <f>BC73-BC84-BC94</f>
        <v>23.716000000000147</v>
      </c>
      <c r="BD104" s="598">
        <f t="shared" si="146"/>
        <v>3.6767453145372433</v>
      </c>
      <c r="BE104" s="599">
        <f t="shared" si="147"/>
        <v>-41.779987865038763</v>
      </c>
      <c r="BG104" s="562">
        <f>BG73-BG84-BG94</f>
        <v>8.4599999999998872</v>
      </c>
      <c r="BH104" s="562"/>
      <c r="BI104" s="598">
        <f t="shared" si="148"/>
        <v>1.2156657063003222</v>
      </c>
      <c r="BJ104" s="599">
        <f t="shared" si="149"/>
        <v>-64.327879912296197</v>
      </c>
    </row>
    <row r="105" spans="1:66" hidden="1" outlineLevel="2">
      <c r="A105" s="569" t="s">
        <v>81</v>
      </c>
      <c r="B105" s="79"/>
      <c r="C105" s="830">
        <f>C13-C23-C43-C55-C75-C85</f>
        <v>59.84099999999998</v>
      </c>
      <c r="D105" s="829">
        <f t="shared" si="132"/>
        <v>7.5983843544973046</v>
      </c>
      <c r="E105" s="571" t="s">
        <v>90</v>
      </c>
      <c r="F105" s="79"/>
      <c r="G105" s="830">
        <f>G13-G23-G43-G55-G75-G85</f>
        <v>60.094000000000023</v>
      </c>
      <c r="H105" s="829">
        <f t="shared" si="133"/>
        <v>7.4405992694855465</v>
      </c>
      <c r="I105" s="602">
        <f t="shared" si="150"/>
        <v>0.42278705235547775</v>
      </c>
      <c r="J105" s="79"/>
      <c r="K105" s="830">
        <f>K13-K23-K43-K55-K75-K85</f>
        <v>62.876999999999974</v>
      </c>
      <c r="L105" s="829">
        <f t="shared" si="134"/>
        <v>7.3302353994516025</v>
      </c>
      <c r="M105" s="602">
        <f t="shared" si="151"/>
        <v>4.6310779778346411</v>
      </c>
      <c r="N105" s="79"/>
      <c r="O105" s="830">
        <f>O13-O23-O43-O55-O75-O85</f>
        <v>110.56899999999999</v>
      </c>
      <c r="P105" s="829">
        <f t="shared" si="135"/>
        <v>11.333191884963526</v>
      </c>
      <c r="Q105" s="602">
        <f t="shared" si="152"/>
        <v>75.849674761836667</v>
      </c>
      <c r="R105" s="79"/>
      <c r="S105" s="830">
        <f>S13-S23-S43-S55-S75-S85</f>
        <v>96.014999999999958</v>
      </c>
      <c r="T105" s="829">
        <f t="shared" si="136"/>
        <v>9.3035086189354921</v>
      </c>
      <c r="U105" s="602">
        <f t="shared" si="153"/>
        <v>-13.162821405638137</v>
      </c>
      <c r="V105" s="79"/>
      <c r="W105" s="830">
        <f>W13-W23-W43-W55-W75-W85</f>
        <v>77.807999999999993</v>
      </c>
      <c r="X105" s="829">
        <f t="shared" si="137"/>
        <v>7.7954710765660966</v>
      </c>
      <c r="Y105" s="602">
        <f t="shared" si="154"/>
        <v>-18.962662084049342</v>
      </c>
      <c r="Z105" s="79"/>
      <c r="AA105" s="830">
        <f>AA13-AA23-AA43-AA55-AA75-AA85</f>
        <v>74.286000000000016</v>
      </c>
      <c r="AB105" s="829">
        <f t="shared" si="138"/>
        <v>7.4643092554782093</v>
      </c>
      <c r="AC105" s="602">
        <f t="shared" si="155"/>
        <v>-4.526526835286826</v>
      </c>
      <c r="AD105" s="79"/>
      <c r="AE105" s="830">
        <f>AE13-AE23-AE43-AE55-AE75-AE85</f>
        <v>83.976000000000028</v>
      </c>
      <c r="AF105" s="829">
        <f t="shared" si="139"/>
        <v>8.1579599271402579</v>
      </c>
      <c r="AG105" s="602">
        <f t="shared" si="156"/>
        <v>13.04418059930541</v>
      </c>
      <c r="AI105" s="562">
        <f>AI13-AI23-AI43-AI55-AI75-AI85</f>
        <v>34.04899999999985</v>
      </c>
      <c r="AJ105" s="598">
        <f t="shared" si="140"/>
        <v>3.9030278298069239</v>
      </c>
      <c r="AK105" s="599">
        <f t="shared" si="157"/>
        <v>-59.45389158807297</v>
      </c>
      <c r="AM105" s="562">
        <f>AM74-AM85-AM95</f>
        <v>15.759000000000118</v>
      </c>
      <c r="AN105" s="598">
        <f t="shared" si="141"/>
        <v>2.9886156104388415</v>
      </c>
      <c r="AO105" s="599">
        <f t="shared" si="158"/>
        <v>-53.716702399482543</v>
      </c>
      <c r="AQ105" s="562">
        <f>AQ74-AQ85-AQ95</f>
        <v>25.796000000000021</v>
      </c>
      <c r="AR105" s="598">
        <f t="shared" si="142"/>
        <v>4.7699086735193923</v>
      </c>
      <c r="AS105" s="599">
        <f t="shared" si="159"/>
        <v>63.69058950440909</v>
      </c>
      <c r="AU105" s="562">
        <f>AU74-AU85-AU95</f>
        <v>32.114372530000068</v>
      </c>
      <c r="AV105" s="598">
        <f t="shared" si="143"/>
        <v>5.4030124727806328</v>
      </c>
      <c r="AW105" s="599">
        <f t="shared" si="160"/>
        <v>24.493613467204376</v>
      </c>
      <c r="AY105" s="562">
        <f>AY74-AY85-AY95</f>
        <v>19.299461669999999</v>
      </c>
      <c r="AZ105" s="598">
        <f t="shared" si="144"/>
        <v>2.970807030695604</v>
      </c>
      <c r="BA105" s="599">
        <f t="shared" si="145"/>
        <v>-39.903973985569387</v>
      </c>
      <c r="BC105" s="562">
        <f>BC74-BC85-BC95</f>
        <v>10.62300000000014</v>
      </c>
      <c r="BD105" s="598">
        <f t="shared" si="146"/>
        <v>1.5206344207618401</v>
      </c>
      <c r="BE105" s="599">
        <f t="shared" si="147"/>
        <v>-44.957013922761192</v>
      </c>
      <c r="BG105" s="562">
        <f>BG74-BG85-BG95</f>
        <v>1.5472699999999904</v>
      </c>
      <c r="BH105" s="562"/>
      <c r="BI105" s="598">
        <f t="shared" si="148"/>
        <v>0.20915767280472647</v>
      </c>
      <c r="BJ105" s="599">
        <f t="shared" si="149"/>
        <v>-85.434717123223479</v>
      </c>
    </row>
    <row r="106" spans="1:66" hidden="1" outlineLevel="2">
      <c r="A106" s="569" t="s">
        <v>82</v>
      </c>
      <c r="B106" s="79"/>
      <c r="C106" s="831">
        <f>C14-C24-C44-C56-C76-C86</f>
        <v>14.813000000000038</v>
      </c>
      <c r="D106" s="829">
        <f t="shared" si="132"/>
        <v>2.4331831449545143</v>
      </c>
      <c r="E106" s="571" t="s">
        <v>90</v>
      </c>
      <c r="F106" s="79"/>
      <c r="G106" s="831">
        <f>G14-G24-G44-G56-G76-G86</f>
        <v>7.9870000000000054</v>
      </c>
      <c r="H106" s="829">
        <f t="shared" si="133"/>
        <v>1.310637711315102</v>
      </c>
      <c r="I106" s="602">
        <f t="shared" si="150"/>
        <v>-46.081144940255278</v>
      </c>
      <c r="J106" s="79"/>
      <c r="K106" s="831">
        <f>K14-K24-K44-K56-K76-K86</f>
        <v>35.454000000000065</v>
      </c>
      <c r="L106" s="829">
        <f t="shared" si="134"/>
        <v>5.1771268362489504</v>
      </c>
      <c r="M106" s="602">
        <f t="shared" si="151"/>
        <v>343.89633153875099</v>
      </c>
      <c r="N106" s="79"/>
      <c r="O106" s="831">
        <f>O14-O24-O44-O56-O76-O86</f>
        <v>26.490999999999943</v>
      </c>
      <c r="P106" s="829">
        <f t="shared" si="135"/>
        <v>3.4687977121726692</v>
      </c>
      <c r="Q106" s="602">
        <f t="shared" si="152"/>
        <v>-25.280645343261988</v>
      </c>
      <c r="R106" s="79"/>
      <c r="S106" s="831" t="e">
        <f>S14-S24-S44-S56-S76-S86</f>
        <v>#VALUE!</v>
      </c>
      <c r="T106" s="829" t="e">
        <f t="shared" si="136"/>
        <v>#VALUE!</v>
      </c>
      <c r="U106" s="602" t="e">
        <f t="shared" si="153"/>
        <v>#VALUE!</v>
      </c>
      <c r="V106" s="79"/>
      <c r="W106" s="831" t="e">
        <f>W14-W24-W44-W56-W76-W86</f>
        <v>#VALUE!</v>
      </c>
      <c r="X106" s="829" t="e">
        <f t="shared" si="137"/>
        <v>#VALUE!</v>
      </c>
      <c r="Y106" s="602" t="e">
        <f t="shared" si="154"/>
        <v>#VALUE!</v>
      </c>
      <c r="Z106" s="79"/>
      <c r="AA106" s="831">
        <f>AA14-AA24-AA44-AA56-AA76-AA86</f>
        <v>1069.947556616539</v>
      </c>
      <c r="AB106" s="829">
        <f t="shared" si="138"/>
        <v>135.85617796463995</v>
      </c>
      <c r="AC106" s="602" t="e">
        <f t="shared" si="155"/>
        <v>#VALUE!</v>
      </c>
      <c r="AD106" s="79"/>
      <c r="AE106" s="831">
        <f>AE14-AE24-AE44-AE56-AE76-AE86</f>
        <v>1104.9364677371436</v>
      </c>
      <c r="AF106" s="829">
        <f t="shared" si="139"/>
        <v>135.0324118098614</v>
      </c>
      <c r="AG106" s="602">
        <f t="shared" si="156"/>
        <v>3.2701519718638217</v>
      </c>
      <c r="AI106" s="557">
        <f>AI14-AI24-AI44-AI56-AI76-AI86</f>
        <v>62.685000000000123</v>
      </c>
      <c r="AJ106" s="598">
        <f t="shared" si="140"/>
        <v>5.5992796906528728</v>
      </c>
      <c r="AK106" s="599">
        <f t="shared" si="157"/>
        <v>-94.326823140485544</v>
      </c>
      <c r="AM106" s="557">
        <f>AM75-AM86-AM96</f>
        <v>-105.47499999999974</v>
      </c>
      <c r="AN106" s="598">
        <f t="shared" si="141"/>
        <v>-14.997070967888671</v>
      </c>
      <c r="AO106" s="599">
        <f t="shared" si="158"/>
        <v>-268.26194464385344</v>
      </c>
      <c r="AQ106" s="557">
        <f>AQ75-AQ86-AQ96</f>
        <v>-93.234000000000208</v>
      </c>
      <c r="AR106" s="598">
        <f t="shared" si="142"/>
        <v>-12.628182814326436</v>
      </c>
      <c r="AS106" s="599">
        <f t="shared" si="159"/>
        <v>-11.605593742592612</v>
      </c>
      <c r="AU106" s="557">
        <f>AU75-AU86-AU96</f>
        <v>-106.1792517249948</v>
      </c>
      <c r="AV106" s="598">
        <f t="shared" si="143"/>
        <v>-14.345452795178238</v>
      </c>
      <c r="AW106" s="599">
        <f t="shared" si="160"/>
        <v>13.884689839537678</v>
      </c>
      <c r="AY106" s="557">
        <f>AY75-AY86-AY96</f>
        <v>-111.81300000000009</v>
      </c>
      <c r="AZ106" s="598">
        <f t="shared" si="144"/>
        <v>-14.36542523395706</v>
      </c>
      <c r="BA106" s="599">
        <f t="shared" si="145"/>
        <v>5.3058843262492994</v>
      </c>
      <c r="BC106" s="557">
        <f>BC75-BC86-BC96</f>
        <v>-139.27400000000006</v>
      </c>
      <c r="BD106" s="598">
        <f t="shared" si="146"/>
        <v>-16.218394137464038</v>
      </c>
      <c r="BE106" s="599">
        <f t="shared" si="147"/>
        <v>24.559756021213943</v>
      </c>
      <c r="BG106" s="557">
        <f>BG75-BG86-BG96</f>
        <v>-154.63212139999956</v>
      </c>
      <c r="BH106" s="624"/>
      <c r="BI106" s="598">
        <f t="shared" si="148"/>
        <v>-17.423672471163517</v>
      </c>
      <c r="BJ106" s="599">
        <f t="shared" si="149"/>
        <v>11.027270990995808</v>
      </c>
    </row>
    <row r="107" spans="1:66" hidden="1" outlineLevel="2">
      <c r="A107" s="569" t="s">
        <v>85</v>
      </c>
      <c r="B107" s="79"/>
      <c r="C107" s="828" t="e">
        <f>C15-C25-C45-C57-C77-C87</f>
        <v>#VALUE!</v>
      </c>
      <c r="D107" s="829" t="e">
        <f t="shared" si="132"/>
        <v>#VALUE!</v>
      </c>
      <c r="E107" s="571" t="s">
        <v>90</v>
      </c>
      <c r="F107" s="79"/>
      <c r="G107" s="828" t="e">
        <f>G15-G25-G45-G57-G77-G87</f>
        <v>#VALUE!</v>
      </c>
      <c r="H107" s="829" t="e">
        <f t="shared" si="133"/>
        <v>#VALUE!</v>
      </c>
      <c r="I107" s="602" t="e">
        <f t="shared" si="150"/>
        <v>#VALUE!</v>
      </c>
      <c r="J107" s="79"/>
      <c r="K107" s="828" t="e">
        <f>K15-K25-K45-K57-K77-K87</f>
        <v>#VALUE!</v>
      </c>
      <c r="L107" s="829" t="e">
        <f t="shared" si="134"/>
        <v>#VALUE!</v>
      </c>
      <c r="M107" s="602" t="e">
        <f t="shared" si="151"/>
        <v>#VALUE!</v>
      </c>
      <c r="N107" s="79"/>
      <c r="O107" s="828" t="e">
        <f>O15-O25-O45-O57-O77-O87</f>
        <v>#VALUE!</v>
      </c>
      <c r="P107" s="829" t="e">
        <f t="shared" si="135"/>
        <v>#VALUE!</v>
      </c>
      <c r="Q107" s="602" t="e">
        <f t="shared" si="152"/>
        <v>#VALUE!</v>
      </c>
      <c r="R107" s="79"/>
      <c r="S107" s="828" t="e">
        <f>S15-S25-S45-S57-S77-S87</f>
        <v>#VALUE!</v>
      </c>
      <c r="T107" s="829" t="e">
        <f t="shared" si="136"/>
        <v>#VALUE!</v>
      </c>
      <c r="U107" s="602" t="e">
        <f t="shared" si="153"/>
        <v>#VALUE!</v>
      </c>
      <c r="V107" s="79"/>
      <c r="W107" s="828" t="e">
        <f>W15-W25-W45-W57-W77-W87</f>
        <v>#VALUE!</v>
      </c>
      <c r="X107" s="829" t="e">
        <f t="shared" si="137"/>
        <v>#VALUE!</v>
      </c>
      <c r="Y107" s="602" t="e">
        <f t="shared" si="154"/>
        <v>#VALUE!</v>
      </c>
      <c r="Z107" s="79"/>
      <c r="AA107" s="828">
        <f>AA15-AA25-AA45-AA57-AA77-AA87</f>
        <v>1174.7245566165388</v>
      </c>
      <c r="AB107" s="829">
        <f t="shared" si="138"/>
        <v>34.308814836347686</v>
      </c>
      <c r="AC107" s="602" t="e">
        <f t="shared" si="155"/>
        <v>#VALUE!</v>
      </c>
      <c r="AD107" s="79"/>
      <c r="AE107" s="828">
        <f>AE15-AE25-AE45-AE57-AE77-AE87</f>
        <v>1217.909467737144</v>
      </c>
      <c r="AF107" s="829">
        <f t="shared" si="139"/>
        <v>34.102053016034027</v>
      </c>
      <c r="AG107" s="602">
        <f t="shared" si="156"/>
        <v>3.6761733529251384</v>
      </c>
      <c r="AI107" s="559">
        <f>AI15-AI25-AI45-AI57-AI77-AI87</f>
        <v>39.490999999999872</v>
      </c>
      <c r="AJ107" s="598">
        <f t="shared" si="140"/>
        <v>1.1209754197803261</v>
      </c>
      <c r="AK107" s="599">
        <f t="shared" si="157"/>
        <v>-96.757476557483898</v>
      </c>
      <c r="AM107" s="559">
        <f>AM76-AM87-AM97</f>
        <v>-124.2819999999997</v>
      </c>
      <c r="AN107" s="598">
        <f t="shared" si="141"/>
        <v>-5.5178911232998704</v>
      </c>
      <c r="AO107" s="599">
        <f t="shared" si="158"/>
        <v>-414.70968068673903</v>
      </c>
      <c r="AQ107" s="559">
        <f>AQ76-AQ87-AQ97</f>
        <v>-122.11700000000017</v>
      </c>
      <c r="AR107" s="598">
        <f t="shared" si="142"/>
        <v>-5.1668652452501993</v>
      </c>
      <c r="AS107" s="599">
        <f t="shared" si="159"/>
        <v>-1.7420060829400286</v>
      </c>
      <c r="AU107" s="559">
        <f>AU76-AU87-AU97</f>
        <v>-124.62602856299482</v>
      </c>
      <c r="AV107" s="598">
        <f t="shared" si="143"/>
        <v>-4.9890867813562236</v>
      </c>
      <c r="AW107" s="599">
        <f t="shared" si="160"/>
        <v>2.0546103842991936</v>
      </c>
      <c r="AY107" s="559">
        <f>AY76-AY87-AY97</f>
        <v>-173.1019999999998</v>
      </c>
      <c r="AZ107" s="598">
        <f t="shared" si="144"/>
        <v>-6.4207997382747504</v>
      </c>
      <c r="BA107" s="599">
        <f t="shared" si="145"/>
        <v>38.897148529852885</v>
      </c>
      <c r="BC107" s="559">
        <f>BC76-BC87-BC97</f>
        <v>-237.10099999999983</v>
      </c>
      <c r="BD107" s="598">
        <f t="shared" si="146"/>
        <v>-8.1735882176723127</v>
      </c>
      <c r="BE107" s="599">
        <f t="shared" si="147"/>
        <v>36.97184319071998</v>
      </c>
      <c r="BG107" s="559">
        <f>BG76-BG87-BG97</f>
        <v>-288.75285139999971</v>
      </c>
      <c r="BH107" s="559"/>
      <c r="BI107" s="598">
        <f t="shared" si="148"/>
        <v>-9.510680200655278</v>
      </c>
      <c r="BJ107" s="599">
        <f t="shared" si="149"/>
        <v>21.78474633173202</v>
      </c>
    </row>
    <row r="108" spans="1:66" hidden="1" outlineLevel="3">
      <c r="A108" s="569" t="s">
        <v>87</v>
      </c>
      <c r="B108" s="79"/>
      <c r="C108" s="832">
        <f>C103+C104</f>
        <v>33.82800000000006</v>
      </c>
      <c r="D108" s="829">
        <f t="shared" si="132"/>
        <v>2.8031203233681246</v>
      </c>
      <c r="E108" s="571" t="s">
        <v>90</v>
      </c>
      <c r="F108" s="79"/>
      <c r="G108" s="832">
        <f>G103+G104</f>
        <v>42.097000000000158</v>
      </c>
      <c r="H108" s="829">
        <f t="shared" si="133"/>
        <v>3.2305123297721097</v>
      </c>
      <c r="I108" s="602">
        <f t="shared" si="150"/>
        <v>24.444247369043648</v>
      </c>
      <c r="J108" s="79"/>
      <c r="K108" s="832">
        <f>K103+K104</f>
        <v>22.154999999999966</v>
      </c>
      <c r="L108" s="829">
        <f t="shared" si="134"/>
        <v>1.6713362995686412</v>
      </c>
      <c r="M108" s="602">
        <f t="shared" si="151"/>
        <v>-47.371546666033495</v>
      </c>
      <c r="N108" s="79"/>
      <c r="O108" s="832">
        <f>O103+O104</f>
        <v>42.322999999999965</v>
      </c>
      <c r="P108" s="829">
        <f t="shared" si="135"/>
        <v>2.8977936016158545</v>
      </c>
      <c r="Q108" s="602">
        <f t="shared" si="152"/>
        <v>91.031369893929281</v>
      </c>
      <c r="R108" s="79"/>
      <c r="S108" s="832">
        <f>S103+S104</f>
        <v>51.362000000000052</v>
      </c>
      <c r="T108" s="829">
        <f t="shared" si="136"/>
        <v>3.186034595911666</v>
      </c>
      <c r="U108" s="602">
        <f t="shared" si="153"/>
        <v>21.357181674267167</v>
      </c>
      <c r="V108" s="79"/>
      <c r="W108" s="832">
        <f>W103+W104</f>
        <v>9.4099999999998616</v>
      </c>
      <c r="X108" s="829">
        <f t="shared" si="137"/>
        <v>0.56646923518224612</v>
      </c>
      <c r="Y108" s="602">
        <f t="shared" si="154"/>
        <v>-81.679062341809399</v>
      </c>
      <c r="Z108" s="79"/>
      <c r="AA108" s="832">
        <f>AA103+AA104</f>
        <v>30.490999999999978</v>
      </c>
      <c r="AB108" s="829">
        <f t="shared" si="138"/>
        <v>1.8578501801732625</v>
      </c>
      <c r="AC108" s="602">
        <f t="shared" si="155"/>
        <v>224.02763018066341</v>
      </c>
      <c r="AD108" s="79"/>
      <c r="AE108" s="832">
        <f>AE103+AE104</f>
        <v>28.997000000000007</v>
      </c>
      <c r="AF108" s="829">
        <f t="shared" si="139"/>
        <v>1.6822367012682478</v>
      </c>
      <c r="AG108" s="602">
        <f t="shared" si="156"/>
        <v>-4.8998065002786806</v>
      </c>
      <c r="AI108" s="556">
        <f>AI103+AI104</f>
        <v>-57.243000000000073</v>
      </c>
      <c r="AJ108" s="598">
        <f t="shared" si="140"/>
        <v>-3.7388775202952846</v>
      </c>
      <c r="AK108" s="599">
        <f>(AI108/AE108-1)*100</f>
        <v>-297.41007690450755</v>
      </c>
      <c r="AM108" s="556">
        <f>AM103+AM104</f>
        <v>37.064999999999955</v>
      </c>
      <c r="AN108" s="598">
        <f t="shared" si="141"/>
        <v>3.6276316600782343</v>
      </c>
      <c r="AO108" s="599">
        <f t="shared" si="158"/>
        <v>-164.75027514281206</v>
      </c>
      <c r="AQ108" s="556">
        <f>AQ103+AQ104</f>
        <v>18.600999999999999</v>
      </c>
      <c r="AR108" s="598">
        <f t="shared" si="142"/>
        <v>1.7153960507434827</v>
      </c>
      <c r="AS108" s="599">
        <f t="shared" si="159"/>
        <v>-49.815189531903357</v>
      </c>
      <c r="AU108" s="556">
        <f>AU103+AU104</f>
        <v>27.143972349999949</v>
      </c>
      <c r="AV108" s="598">
        <f t="shared" si="143"/>
        <v>2.3330906680913848</v>
      </c>
      <c r="AW108" s="599">
        <f t="shared" si="160"/>
        <v>45.927489651093765</v>
      </c>
      <c r="AY108" s="556">
        <f>AY103+AY104</f>
        <v>5.0448835621520374</v>
      </c>
      <c r="AZ108" s="598">
        <f t="shared" si="144"/>
        <v>0.39843314778241878</v>
      </c>
      <c r="BA108" s="599">
        <f t="shared" si="145"/>
        <v>-81.414350497037518</v>
      </c>
      <c r="BC108" s="556">
        <f>BC103+BC104</f>
        <v>-27.347999999999832</v>
      </c>
      <c r="BD108" s="598">
        <f t="shared" si="146"/>
        <v>-2.0355968940548657</v>
      </c>
      <c r="BE108" s="599">
        <f t="shared" si="147"/>
        <v>-642.09378002638709</v>
      </c>
      <c r="BG108" s="556">
        <f>BG103+BG104</f>
        <v>-50.767000000000159</v>
      </c>
      <c r="BH108" s="556"/>
      <c r="BI108" s="598">
        <f t="shared" si="148"/>
        <v>-3.6034482146723139</v>
      </c>
      <c r="BJ108" s="599">
        <f t="shared" si="149"/>
        <v>85.633318707036963</v>
      </c>
    </row>
    <row r="109" spans="1:66" hidden="1" outlineLevel="3">
      <c r="A109" s="569" t="s">
        <v>88</v>
      </c>
      <c r="B109" s="79"/>
      <c r="C109" s="832">
        <f>C103+C104+C105</f>
        <v>93.66900000000004</v>
      </c>
      <c r="D109" s="829">
        <f t="shared" si="132"/>
        <v>4.6967252940436159</v>
      </c>
      <c r="E109" s="571" t="s">
        <v>90</v>
      </c>
      <c r="F109" s="79"/>
      <c r="G109" s="832">
        <f>G103+G104+G105</f>
        <v>102.19100000000017</v>
      </c>
      <c r="H109" s="829">
        <f t="shared" si="133"/>
        <v>4.841440697077263</v>
      </c>
      <c r="I109" s="602">
        <f t="shared" si="150"/>
        <v>9.0979940001496118</v>
      </c>
      <c r="J109" s="79"/>
      <c r="K109" s="832">
        <f>K103+K104+K105</f>
        <v>85.03199999999994</v>
      </c>
      <c r="L109" s="829">
        <f t="shared" si="134"/>
        <v>3.8945442853727386</v>
      </c>
      <c r="M109" s="602">
        <f t="shared" si="151"/>
        <v>-16.791106848939929</v>
      </c>
      <c r="N109" s="79"/>
      <c r="O109" s="832">
        <f>O103+O104+O105</f>
        <v>152.89199999999994</v>
      </c>
      <c r="P109" s="829">
        <f t="shared" si="135"/>
        <v>6.2759785333062936</v>
      </c>
      <c r="Q109" s="602">
        <f t="shared" si="152"/>
        <v>79.805249788315052</v>
      </c>
      <c r="R109" s="79"/>
      <c r="S109" s="832">
        <f>S103+S104+S105</f>
        <v>147.37700000000001</v>
      </c>
      <c r="T109" s="829">
        <f t="shared" si="136"/>
        <v>5.5737468080213981</v>
      </c>
      <c r="U109" s="602">
        <f t="shared" si="153"/>
        <v>-3.607121366716326</v>
      </c>
      <c r="V109" s="79"/>
      <c r="W109" s="832">
        <f>W103+W104+W105</f>
        <v>87.217999999999847</v>
      </c>
      <c r="X109" s="829">
        <f t="shared" si="137"/>
        <v>3.279753768400147</v>
      </c>
      <c r="Y109" s="602">
        <f t="shared" si="154"/>
        <v>-40.819802275796192</v>
      </c>
      <c r="Z109" s="79"/>
      <c r="AA109" s="832">
        <f>AA103+AA104+AA105</f>
        <v>104.77699999999999</v>
      </c>
      <c r="AB109" s="829">
        <f t="shared" si="138"/>
        <v>3.9742240786158773</v>
      </c>
      <c r="AC109" s="602">
        <f t="shared" si="155"/>
        <v>20.13231213740303</v>
      </c>
      <c r="AD109" s="79"/>
      <c r="AE109" s="832">
        <f>AE103+AE104+AE105</f>
        <v>112.97300000000004</v>
      </c>
      <c r="AF109" s="829">
        <f t="shared" si="139"/>
        <v>4.103495270045463</v>
      </c>
      <c r="AG109" s="602">
        <f t="shared" si="156"/>
        <v>7.8223274191855596</v>
      </c>
      <c r="AI109" s="556">
        <f>AI103+AI104+AI105</f>
        <v>-23.194000000000223</v>
      </c>
      <c r="AJ109" s="598">
        <f t="shared" si="140"/>
        <v>-0.96505152086944612</v>
      </c>
      <c r="AK109" s="599">
        <f t="shared" si="157"/>
        <v>-120.53056925106019</v>
      </c>
      <c r="AM109" s="556">
        <f>AM103+AM104+AM105</f>
        <v>52.824000000000069</v>
      </c>
      <c r="AN109" s="598">
        <f t="shared" si="141"/>
        <v>3.4101076665448753</v>
      </c>
      <c r="AO109" s="599">
        <f t="shared" si="158"/>
        <v>-327.74855566094493</v>
      </c>
      <c r="AQ109" s="556">
        <f>AQ103+AQ104+AQ105</f>
        <v>44.39700000000002</v>
      </c>
      <c r="AR109" s="598">
        <f t="shared" si="142"/>
        <v>2.7318490514489944</v>
      </c>
      <c r="AS109" s="599">
        <f t="shared" si="159"/>
        <v>-15.952975920036415</v>
      </c>
      <c r="AU109" s="556">
        <f>AU103+AU104+AU105</f>
        <v>59.258344880000017</v>
      </c>
      <c r="AV109" s="598">
        <f t="shared" si="143"/>
        <v>3.3711402160394184</v>
      </c>
      <c r="AW109" s="599">
        <f t="shared" si="160"/>
        <v>33.47375921796516</v>
      </c>
      <c r="AY109" s="556">
        <f>AY103+AY104+AY105</f>
        <v>24.344345232152037</v>
      </c>
      <c r="AZ109" s="598">
        <f t="shared" si="144"/>
        <v>1.270702604712481</v>
      </c>
      <c r="BA109" s="599">
        <f t="shared" si="145"/>
        <v>-58.918283523695969</v>
      </c>
      <c r="BC109" s="556">
        <f>BC103+BC104+BC105</f>
        <v>-16.724999999999692</v>
      </c>
      <c r="BD109" s="598">
        <f t="shared" si="146"/>
        <v>-0.81901866628011721</v>
      </c>
      <c r="BE109" s="599">
        <f t="shared" si="147"/>
        <v>-168.7017861458466</v>
      </c>
      <c r="BG109" s="556">
        <f>BG103+BG104+BG105</f>
        <v>-49.219730000000169</v>
      </c>
      <c r="BH109" s="556"/>
      <c r="BI109" s="598">
        <f t="shared" si="148"/>
        <v>-2.2907734577259204</v>
      </c>
      <c r="BJ109" s="599">
        <f t="shared" si="149"/>
        <v>194.28837070254752</v>
      </c>
    </row>
    <row r="110" spans="1:66" outlineLevel="2" collapsed="1">
      <c r="A110" s="569"/>
      <c r="B110" s="79"/>
      <c r="C110" s="591"/>
      <c r="D110" s="596"/>
      <c r="E110" s="571"/>
      <c r="F110" s="79"/>
      <c r="G110" s="591"/>
      <c r="H110" s="596"/>
      <c r="I110" s="602"/>
      <c r="J110" s="79"/>
      <c r="K110" s="591"/>
      <c r="L110" s="596"/>
      <c r="M110" s="602"/>
      <c r="N110" s="79"/>
      <c r="O110" s="591"/>
      <c r="P110" s="596"/>
      <c r="Q110" s="602"/>
      <c r="R110" s="79"/>
      <c r="S110" s="591"/>
      <c r="T110" s="596"/>
      <c r="U110" s="602"/>
      <c r="V110" s="79"/>
      <c r="W110" s="591"/>
      <c r="X110" s="596"/>
      <c r="Y110" s="602"/>
      <c r="Z110" s="79"/>
      <c r="AA110" s="591"/>
      <c r="AB110" s="596"/>
      <c r="AC110" s="602"/>
      <c r="AD110" s="79"/>
      <c r="AE110" s="591"/>
      <c r="AF110" s="596"/>
      <c r="AG110" s="602"/>
      <c r="AI110" s="556"/>
      <c r="AJ110" s="598"/>
      <c r="AK110" s="599"/>
      <c r="AM110" s="556"/>
      <c r="AN110" s="598"/>
      <c r="AO110" s="599"/>
      <c r="AQ110" s="556"/>
      <c r="AR110" s="598"/>
      <c r="AS110" s="599"/>
      <c r="AU110" s="556"/>
      <c r="AV110" s="598"/>
      <c r="AW110" s="599"/>
      <c r="AY110" s="556"/>
      <c r="AZ110" s="598"/>
      <c r="BA110" s="599"/>
      <c r="BC110" s="556"/>
      <c r="BD110" s="598"/>
      <c r="BE110" s="599"/>
      <c r="BG110" s="556"/>
      <c r="BH110" s="556"/>
      <c r="BI110" s="598"/>
      <c r="BJ110" s="599"/>
    </row>
    <row r="111" spans="1:66" outlineLevel="2">
      <c r="A111" s="565" t="s">
        <v>355</v>
      </c>
      <c r="B111" s="566"/>
      <c r="C111" s="566"/>
      <c r="D111" s="566"/>
      <c r="E111" s="566"/>
      <c r="F111" s="566"/>
      <c r="G111" s="566"/>
      <c r="H111" s="566"/>
      <c r="I111" s="566"/>
      <c r="J111" s="566"/>
      <c r="K111" s="566"/>
      <c r="L111" s="566"/>
      <c r="M111" s="566"/>
      <c r="N111" s="566"/>
      <c r="O111" s="566"/>
      <c r="P111" s="566"/>
      <c r="Q111" s="566"/>
      <c r="R111" s="566"/>
      <c r="S111" s="566"/>
      <c r="T111" s="566"/>
      <c r="U111" s="566"/>
      <c r="V111" s="566"/>
      <c r="W111" s="566"/>
      <c r="X111" s="566"/>
      <c r="Y111" s="566"/>
      <c r="Z111" s="566"/>
      <c r="AA111" s="566"/>
      <c r="AB111" s="566"/>
      <c r="AC111" s="566"/>
      <c r="AD111" s="566"/>
      <c r="AE111" s="566"/>
      <c r="AF111" s="566"/>
      <c r="AG111" s="566"/>
      <c r="AH111" s="420"/>
      <c r="AI111" s="420"/>
      <c r="AJ111" s="420"/>
      <c r="AK111" s="420"/>
      <c r="AL111" s="420"/>
      <c r="AM111" s="420"/>
      <c r="AN111" s="420"/>
      <c r="AO111" s="420"/>
      <c r="AP111" s="420"/>
      <c r="AQ111" s="420"/>
      <c r="AR111" s="420"/>
      <c r="AS111" s="420"/>
      <c r="AT111" s="420"/>
      <c r="AU111" s="420"/>
      <c r="AV111" s="420"/>
      <c r="AW111" s="420"/>
      <c r="AX111" s="420"/>
      <c r="AY111" s="420"/>
      <c r="AZ111" s="420"/>
      <c r="BA111" s="420"/>
      <c r="BC111" s="420"/>
      <c r="BD111" s="420"/>
      <c r="BE111" s="420"/>
      <c r="BG111" s="641"/>
      <c r="BH111" s="641"/>
      <c r="BI111" s="420"/>
      <c r="BJ111" s="420"/>
    </row>
    <row r="112" spans="1:66" outlineLevel="1">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BG112" s="57"/>
      <c r="BH112" s="57"/>
      <c r="BI112" s="57"/>
      <c r="BJ112" s="57"/>
      <c r="BK112" s="57"/>
      <c r="BL112" s="57"/>
      <c r="BM112" s="57"/>
      <c r="BN112" s="57"/>
    </row>
    <row r="113" spans="1:66" outlineLevel="1">
      <c r="A113" s="569" t="s">
        <v>79</v>
      </c>
      <c r="B113" s="79"/>
      <c r="C113" s="604">
        <v>0.313</v>
      </c>
      <c r="D113" s="596">
        <f t="shared" ref="D113:D119" si="161">C113/C11*100</f>
        <v>6.8598830532397057E-2</v>
      </c>
      <c r="E113" s="603"/>
      <c r="F113" s="79"/>
      <c r="G113" s="604">
        <v>0.45</v>
      </c>
      <c r="H113" s="596">
        <f t="shared" ref="H113:H119" si="162">G113/G11*100</f>
        <v>8.7836584913578555E-2</v>
      </c>
      <c r="I113" s="603"/>
      <c r="J113" s="79"/>
      <c r="K113" s="604">
        <v>0.78100000000000003</v>
      </c>
      <c r="L113" s="596">
        <f t="shared" ref="L113:L119" si="163">K113/K11*100</f>
        <v>0.14693680964627928</v>
      </c>
      <c r="M113" s="603"/>
      <c r="N113" s="79"/>
      <c r="O113" s="604">
        <v>1.794</v>
      </c>
      <c r="P113" s="596">
        <f t="shared" ref="P113:P119" si="164">O113/O11*100</f>
        <v>0.30901252069126478</v>
      </c>
      <c r="Q113" s="603"/>
      <c r="R113" s="79"/>
      <c r="S113" s="604">
        <v>1.7629999999999999</v>
      </c>
      <c r="T113" s="596">
        <f t="shared" ref="T113:T119" si="165">S113/S11*100</f>
        <v>0.26786311177017552</v>
      </c>
      <c r="U113" s="603"/>
      <c r="V113" s="79"/>
      <c r="W113" s="604">
        <v>35.414000000000001</v>
      </c>
      <c r="X113" s="596">
        <f t="shared" ref="X113:X119" si="166">W113/W11*100</f>
        <v>5.3312980041128109</v>
      </c>
      <c r="Y113" s="603"/>
      <c r="Z113" s="79"/>
      <c r="AA113" s="604">
        <v>33.225000000000001</v>
      </c>
      <c r="AB113" s="596">
        <f t="shared" ref="AB113:AB119" si="167">AA113/AA11*100</f>
        <v>4.8464948428043595</v>
      </c>
      <c r="AC113" s="603"/>
      <c r="AD113" s="79"/>
      <c r="AE113" s="604">
        <v>26.373999999999999</v>
      </c>
      <c r="AF113" s="596">
        <f t="shared" ref="AF113:AF119" si="168">AE113/AE11*100</f>
        <v>3.6968146616673097</v>
      </c>
      <c r="AG113" s="602"/>
      <c r="AI113" s="574">
        <v>20.917999999999999</v>
      </c>
      <c r="AJ113" s="598">
        <f t="shared" ref="AJ113:AJ119" si="169">AI113/AI11*100</f>
        <v>2.5201104039188333</v>
      </c>
      <c r="AK113" s="607"/>
      <c r="AM113" s="606">
        <f>27.365</f>
        <v>27.364999999999998</v>
      </c>
      <c r="AN113" s="598">
        <f t="shared" ref="AN113:AN119" si="170">AM113/AM11*100</f>
        <v>3.0586423271836347</v>
      </c>
      <c r="AO113" s="607"/>
      <c r="AQ113" s="606">
        <f>30.854</f>
        <v>30.853999999999999</v>
      </c>
      <c r="AR113" s="598">
        <f t="shared" ref="AR113:AR119" si="171">AQ113/AQ11*100</f>
        <v>3.3209160449950001</v>
      </c>
      <c r="AS113" s="599"/>
      <c r="AU113" s="606">
        <v>29.457967570000005</v>
      </c>
      <c r="AV113" s="598">
        <f t="shared" ref="AV113:AV119" si="172">AU113/AU11*100</f>
        <v>2.9985051073948887</v>
      </c>
      <c r="AW113" s="607"/>
      <c r="AY113" s="606">
        <v>34.228103110000006</v>
      </c>
      <c r="AZ113" s="598">
        <f t="shared" ref="AZ113:AZ119" si="173">AY113/AY11*100</f>
        <v>3.2138659345134983</v>
      </c>
      <c r="BA113" s="607"/>
      <c r="BC113" s="824">
        <v>26.552</v>
      </c>
      <c r="BD113" s="598">
        <f t="shared" ref="BD113:BD119" si="174">BC113/BC11*100</f>
        <v>2.3533394961662508</v>
      </c>
      <c r="BE113" s="607"/>
      <c r="BG113" s="824">
        <v>14.803000000000001</v>
      </c>
      <c r="BH113" s="824"/>
      <c r="BI113" s="598">
        <f t="shared" ref="BI113:BI119" si="175">BG113/BG11*100</f>
        <v>1.2512478244956509</v>
      </c>
      <c r="BJ113" s="607"/>
    </row>
    <row r="114" spans="1:66" outlineLevel="1">
      <c r="A114" s="569" t="s">
        <v>80</v>
      </c>
      <c r="B114" s="79"/>
      <c r="C114" s="608">
        <v>0.22900000000000001</v>
      </c>
      <c r="D114" s="596">
        <f t="shared" si="161"/>
        <v>3.0512096913881268E-2</v>
      </c>
      <c r="E114" s="603"/>
      <c r="F114" s="79"/>
      <c r="G114" s="608">
        <v>0.61299999999999999</v>
      </c>
      <c r="H114" s="596">
        <f t="shared" si="162"/>
        <v>7.7517321264404873E-2</v>
      </c>
      <c r="I114" s="603"/>
      <c r="J114" s="79"/>
      <c r="K114" s="608">
        <v>1.6859999999999999</v>
      </c>
      <c r="L114" s="596">
        <f t="shared" si="163"/>
        <v>0.21232518748465173</v>
      </c>
      <c r="M114" s="603"/>
      <c r="N114" s="79"/>
      <c r="O114" s="608">
        <v>1.778</v>
      </c>
      <c r="P114" s="596">
        <f t="shared" si="164"/>
        <v>0.20205326114872621</v>
      </c>
      <c r="Q114" s="603"/>
      <c r="R114" s="79"/>
      <c r="S114" s="608">
        <v>1.5309999999999999</v>
      </c>
      <c r="T114" s="596">
        <f t="shared" si="165"/>
        <v>0.1604946295624608</v>
      </c>
      <c r="U114" s="603"/>
      <c r="V114" s="79"/>
      <c r="W114" s="608">
        <v>35.216000000000001</v>
      </c>
      <c r="X114" s="596">
        <f t="shared" si="166"/>
        <v>3.5325473642819101</v>
      </c>
      <c r="Y114" s="603"/>
      <c r="Z114" s="79"/>
      <c r="AA114" s="608">
        <v>33.685000000000002</v>
      </c>
      <c r="AB114" s="596">
        <f t="shared" si="167"/>
        <v>3.5248223462330919</v>
      </c>
      <c r="AC114" s="603"/>
      <c r="AD114" s="79"/>
      <c r="AE114" s="608">
        <v>27.763999999999999</v>
      </c>
      <c r="AF114" s="596">
        <f t="shared" si="168"/>
        <v>2.7481163861537059</v>
      </c>
      <c r="AG114" s="602"/>
      <c r="AI114" s="582">
        <v>16.765999999999998</v>
      </c>
      <c r="AJ114" s="598">
        <f t="shared" si="169"/>
        <v>2.3918011692235708</v>
      </c>
      <c r="AK114" s="607"/>
      <c r="AM114" s="609">
        <v>26.056999999999999</v>
      </c>
      <c r="AN114" s="598">
        <f t="shared" si="170"/>
        <v>3.5755746140651801</v>
      </c>
      <c r="AO114" s="607"/>
      <c r="AQ114" s="609">
        <f>32.31</f>
        <v>32.31</v>
      </c>
      <c r="AR114" s="598">
        <f t="shared" si="171"/>
        <v>4.0726086501653125</v>
      </c>
      <c r="AS114" s="599"/>
      <c r="AU114" s="609">
        <v>27.634452080000003</v>
      </c>
      <c r="AV114" s="598">
        <f t="shared" si="172"/>
        <v>3.1977612307987986</v>
      </c>
      <c r="AW114" s="607"/>
      <c r="AY114" s="609">
        <v>33.046364505555552</v>
      </c>
      <c r="AZ114" s="598">
        <f t="shared" si="173"/>
        <v>3.4295736548686251</v>
      </c>
      <c r="BA114" s="607"/>
      <c r="BC114" s="642">
        <v>25.545999999999999</v>
      </c>
      <c r="BD114" s="598">
        <f t="shared" si="174"/>
        <v>2.4479173154743141</v>
      </c>
      <c r="BE114" s="607"/>
      <c r="BG114" s="642">
        <v>14.598000000000001</v>
      </c>
      <c r="BH114" s="642"/>
      <c r="BI114" s="598">
        <f t="shared" si="175"/>
        <v>1.2758058342029228</v>
      </c>
      <c r="BJ114" s="607"/>
    </row>
    <row r="115" spans="1:66" outlineLevel="1">
      <c r="A115" s="569" t="s">
        <v>81</v>
      </c>
      <c r="B115" s="79"/>
      <c r="C115" s="608">
        <v>0.109</v>
      </c>
      <c r="D115" s="596">
        <f t="shared" si="161"/>
        <v>1.3840408660286536E-2</v>
      </c>
      <c r="E115" s="603"/>
      <c r="F115" s="79"/>
      <c r="G115" s="608">
        <v>1.04</v>
      </c>
      <c r="H115" s="596">
        <f t="shared" si="162"/>
        <v>0.12876864978641739</v>
      </c>
      <c r="I115" s="603"/>
      <c r="J115" s="79"/>
      <c r="K115" s="608">
        <v>1.63</v>
      </c>
      <c r="L115" s="596">
        <f t="shared" si="163"/>
        <v>0.19002630057264369</v>
      </c>
      <c r="M115" s="603"/>
      <c r="N115" s="79"/>
      <c r="O115" s="608">
        <v>1.78</v>
      </c>
      <c r="P115" s="596">
        <f t="shared" si="164"/>
        <v>0.18244789728798377</v>
      </c>
      <c r="Q115" s="603"/>
      <c r="R115" s="79"/>
      <c r="S115" s="608">
        <v>0.89400000000000002</v>
      </c>
      <c r="T115" s="596">
        <f t="shared" si="165"/>
        <v>8.6625388796837302E-2</v>
      </c>
      <c r="U115" s="603"/>
      <c r="V115" s="79"/>
      <c r="W115" s="608">
        <v>31.713999999999999</v>
      </c>
      <c r="X115" s="596">
        <f t="shared" si="166"/>
        <v>3.1773798288378723</v>
      </c>
      <c r="Y115" s="603"/>
      <c r="Z115" s="79"/>
      <c r="AA115" s="608">
        <v>29.902999999999999</v>
      </c>
      <c r="AB115" s="596">
        <f t="shared" si="167"/>
        <v>3.0046743621485184</v>
      </c>
      <c r="AC115" s="603"/>
      <c r="AD115" s="79"/>
      <c r="AE115" s="608">
        <v>21.562000000000001</v>
      </c>
      <c r="AF115" s="596">
        <f t="shared" si="168"/>
        <v>2.094669095324833</v>
      </c>
      <c r="AG115" s="602"/>
      <c r="AI115" s="582">
        <v>20.587</v>
      </c>
      <c r="AJ115" s="598">
        <f t="shared" si="169"/>
        <v>2.359882344040515</v>
      </c>
      <c r="AK115" s="607"/>
      <c r="AM115" s="609">
        <v>24.928000000000001</v>
      </c>
      <c r="AN115" s="598">
        <f t="shared" si="170"/>
        <v>2.9047316082993668</v>
      </c>
      <c r="AO115" s="607"/>
      <c r="AQ115" s="609">
        <f>34.812</f>
        <v>34.811999999999998</v>
      </c>
      <c r="AR115" s="598">
        <f t="shared" si="171"/>
        <v>3.8737546777824385</v>
      </c>
      <c r="AS115" s="599"/>
      <c r="AU115" s="609">
        <v>27.3366984</v>
      </c>
      <c r="AV115" s="598">
        <f t="shared" si="172"/>
        <v>2.824348864704783</v>
      </c>
      <c r="AW115" s="607"/>
      <c r="AY115" s="609">
        <v>32.719000000000001</v>
      </c>
      <c r="AZ115" s="598">
        <f t="shared" si="173"/>
        <v>3.073643825939266</v>
      </c>
      <c r="BA115" s="607"/>
      <c r="BC115" s="642">
        <v>16.623999999999999</v>
      </c>
      <c r="BD115" s="598">
        <f t="shared" si="174"/>
        <v>1.4364568319836308</v>
      </c>
      <c r="BE115" s="607"/>
      <c r="BG115" s="610">
        <v>15</v>
      </c>
      <c r="BH115" s="610"/>
      <c r="BI115" s="598">
        <f t="shared" si="175"/>
        <v>1.2186343820630017</v>
      </c>
      <c r="BJ115" s="607"/>
    </row>
    <row r="116" spans="1:66" outlineLevel="1">
      <c r="A116" s="569" t="s">
        <v>82</v>
      </c>
      <c r="B116" s="79"/>
      <c r="C116" s="611">
        <v>0.314</v>
      </c>
      <c r="D116" s="596">
        <f t="shared" si="161"/>
        <v>5.1577635017600452E-2</v>
      </c>
      <c r="E116" s="603"/>
      <c r="F116" s="79"/>
      <c r="G116" s="611">
        <v>0.68100000000000005</v>
      </c>
      <c r="H116" s="596">
        <f t="shared" si="162"/>
        <v>0.11174962832172079</v>
      </c>
      <c r="I116" s="603"/>
      <c r="J116" s="79"/>
      <c r="K116" s="611">
        <v>1.768</v>
      </c>
      <c r="L116" s="596">
        <f t="shared" si="163"/>
        <v>0.25817003008089717</v>
      </c>
      <c r="M116" s="603"/>
      <c r="N116" s="79"/>
      <c r="O116" s="611">
        <v>1.78</v>
      </c>
      <c r="P116" s="596">
        <f t="shared" si="164"/>
        <v>0.23307764628241157</v>
      </c>
      <c r="Q116" s="603"/>
      <c r="R116" s="79"/>
      <c r="S116" s="612">
        <f>S117-SUM(S113:S115)</f>
        <v>18.514000000000003</v>
      </c>
      <c r="T116" s="596">
        <f t="shared" si="165"/>
        <v>2.2402489757098634</v>
      </c>
      <c r="U116" s="603"/>
      <c r="V116" s="79"/>
      <c r="W116" s="611">
        <f>W117-SUM(W113:W115)</f>
        <v>31.968999999999994</v>
      </c>
      <c r="X116" s="596">
        <f t="shared" si="166"/>
        <v>4.0862262896876107</v>
      </c>
      <c r="Y116" s="603"/>
      <c r="Z116" s="79"/>
      <c r="AA116" s="611">
        <f>AA117-SUM(AA113:AA115)</f>
        <v>36.180000000000007</v>
      </c>
      <c r="AB116" s="596">
        <f t="shared" si="167"/>
        <v>4.5939415332692528</v>
      </c>
      <c r="AC116" s="603"/>
      <c r="AD116" s="79"/>
      <c r="AE116" s="612">
        <f>AE117-SUM(AE113:AE115)</f>
        <v>27.015999999999991</v>
      </c>
      <c r="AF116" s="596">
        <f t="shared" si="168"/>
        <v>3.3015795423298999</v>
      </c>
      <c r="AG116" s="602"/>
      <c r="AI116" s="557">
        <f>AI117-SUM(AI113:AI115)</f>
        <v>26.152000000000001</v>
      </c>
      <c r="AJ116" s="598">
        <f t="shared" si="169"/>
        <v>2.3360032299585809</v>
      </c>
      <c r="AK116" s="607"/>
      <c r="AM116" s="557">
        <f>AM117-SUM(AM113:AM115)</f>
        <v>20.959000000000003</v>
      </c>
      <c r="AN116" s="598">
        <f t="shared" si="170"/>
        <v>1.7642434098660928</v>
      </c>
      <c r="AO116" s="607"/>
      <c r="AQ116" s="557">
        <f>AQ117-SUM(AQ113:AQ115)</f>
        <v>31.14500000000001</v>
      </c>
      <c r="AR116" s="598">
        <f t="shared" si="171"/>
        <v>2.5258689694827674</v>
      </c>
      <c r="AS116" s="599"/>
      <c r="AU116" s="557">
        <f>AU117-SUM(AU113:AU115)</f>
        <v>27.257206503999996</v>
      </c>
      <c r="AV116" s="598">
        <f t="shared" si="172"/>
        <v>2.1589228208384563</v>
      </c>
      <c r="AW116" s="607"/>
      <c r="AY116" s="614">
        <v>27.39</v>
      </c>
      <c r="AZ116" s="598">
        <f t="shared" si="173"/>
        <v>2.05279713282924</v>
      </c>
      <c r="BA116" s="607"/>
      <c r="BC116" s="819">
        <v>15.023</v>
      </c>
      <c r="BD116" s="598">
        <f t="shared" si="174"/>
        <v>1.0114032808163935</v>
      </c>
      <c r="BE116" s="607"/>
      <c r="BG116" s="643">
        <v>17</v>
      </c>
      <c r="BH116" s="1200"/>
      <c r="BI116" s="598">
        <f t="shared" si="175"/>
        <v>1.103345147780102</v>
      </c>
      <c r="BJ116" s="607"/>
    </row>
    <row r="117" spans="1:66" outlineLevel="1">
      <c r="A117" s="569" t="s">
        <v>85</v>
      </c>
      <c r="B117" s="79"/>
      <c r="C117" s="590">
        <f>'yrP&amp;L'!$D35</f>
        <v>0.96499999999999997</v>
      </c>
      <c r="D117" s="596">
        <f t="shared" si="161"/>
        <v>3.7787463725013772E-2</v>
      </c>
      <c r="E117" s="603"/>
      <c r="F117" s="79"/>
      <c r="G117" s="590">
        <f>'yrP&amp;L'!$E35</f>
        <v>2.7789999999999999</v>
      </c>
      <c r="H117" s="596">
        <f t="shared" si="162"/>
        <v>0.10376651153342931</v>
      </c>
      <c r="I117" s="603"/>
      <c r="J117" s="79"/>
      <c r="K117" s="590">
        <f>'yrP&amp;L'!$F35</f>
        <v>5.8630000000000004</v>
      </c>
      <c r="L117" s="596">
        <f t="shared" si="163"/>
        <v>0.20500286717296748</v>
      </c>
      <c r="M117" s="603"/>
      <c r="N117" s="79"/>
      <c r="O117" s="590">
        <f>'yrP&amp;L'!$G35</f>
        <v>7.3339999999999996</v>
      </c>
      <c r="P117" s="596">
        <f t="shared" si="164"/>
        <v>0.22919895994799738</v>
      </c>
      <c r="Q117" s="603"/>
      <c r="R117" s="79"/>
      <c r="S117" s="590">
        <f>'yrP&amp;L'!$H35</f>
        <v>22.702000000000002</v>
      </c>
      <c r="T117" s="596">
        <f t="shared" si="165"/>
        <v>0.65413187635172942</v>
      </c>
      <c r="U117" s="603"/>
      <c r="V117" s="79"/>
      <c r="W117" s="590">
        <f>'yrP&amp;L'!$I35</f>
        <v>134.31299999999999</v>
      </c>
      <c r="X117" s="596">
        <f t="shared" si="166"/>
        <v>3.9025814690358827</v>
      </c>
      <c r="Y117" s="603"/>
      <c r="Z117" s="79"/>
      <c r="AA117" s="590">
        <f>'yrP&amp;L'!J35</f>
        <v>132.99299999999999</v>
      </c>
      <c r="AB117" s="596">
        <f t="shared" si="167"/>
        <v>3.8841719838328159</v>
      </c>
      <c r="AC117" s="603"/>
      <c r="AD117" s="590"/>
      <c r="AE117" s="590">
        <f>'yrP&amp;L'!K35</f>
        <v>102.71599999999999</v>
      </c>
      <c r="AF117" s="596">
        <f t="shared" si="168"/>
        <v>2.8760975839223466</v>
      </c>
      <c r="AG117" s="602"/>
      <c r="AI117" s="574">
        <v>84.423000000000002</v>
      </c>
      <c r="AJ117" s="598">
        <f t="shared" si="169"/>
        <v>2.396396846474254</v>
      </c>
      <c r="AK117" s="607"/>
      <c r="AM117" s="574">
        <v>99.308999999999997</v>
      </c>
      <c r="AN117" s="598">
        <f t="shared" si="170"/>
        <v>2.706260787954661</v>
      </c>
      <c r="AO117" s="607"/>
      <c r="AQ117" s="574">
        <f>129.121</f>
        <v>129.12100000000001</v>
      </c>
      <c r="AR117" s="598">
        <f t="shared" si="171"/>
        <v>3.3501948816517539</v>
      </c>
      <c r="AS117" s="599"/>
      <c r="AU117" s="574">
        <v>111.68632455400001</v>
      </c>
      <c r="AV117" s="598">
        <f t="shared" si="172"/>
        <v>2.7394012379515642</v>
      </c>
      <c r="AW117" s="607"/>
      <c r="AY117" s="574">
        <v>127.739</v>
      </c>
      <c r="AZ117" s="598">
        <f t="shared" si="173"/>
        <v>2.8851250919536366</v>
      </c>
      <c r="BA117" s="607"/>
      <c r="BC117" s="822">
        <f>SUM(BC113:BC116)</f>
        <v>83.74499999999999</v>
      </c>
      <c r="BD117" s="598">
        <f t="shared" si="174"/>
        <v>1.7394315177638235</v>
      </c>
      <c r="BE117" s="607"/>
      <c r="BG117" s="625">
        <f>SUM(BG113:BG116)</f>
        <v>61.401000000000003</v>
      </c>
      <c r="BH117" s="625"/>
      <c r="BI117" s="598">
        <f t="shared" si="175"/>
        <v>1.2041933487247918</v>
      </c>
      <c r="BJ117" s="607"/>
    </row>
    <row r="118" spans="1:66" hidden="1" outlineLevel="2">
      <c r="A118" s="569" t="s">
        <v>87</v>
      </c>
      <c r="B118" s="79"/>
      <c r="C118" s="591">
        <f>C113+C114</f>
        <v>0.54200000000000004</v>
      </c>
      <c r="D118" s="596">
        <f t="shared" si="161"/>
        <v>4.4912238833673908E-2</v>
      </c>
      <c r="E118" s="603"/>
      <c r="F118" s="79"/>
      <c r="G118" s="591">
        <f>G113+G114</f>
        <v>1.0629999999999999</v>
      </c>
      <c r="H118" s="596">
        <f t="shared" si="162"/>
        <v>8.157433086794165E-2</v>
      </c>
      <c r="I118" s="603"/>
      <c r="J118" s="79"/>
      <c r="K118" s="591">
        <f>K113+K114</f>
        <v>2.4670000000000001</v>
      </c>
      <c r="L118" s="596">
        <f t="shared" si="163"/>
        <v>0.186106371069097</v>
      </c>
      <c r="M118" s="603"/>
      <c r="N118" s="79"/>
      <c r="O118" s="591">
        <f>O113+O114</f>
        <v>3.5720000000000001</v>
      </c>
      <c r="P118" s="596">
        <f t="shared" si="164"/>
        <v>0.24456958970233306</v>
      </c>
      <c r="Q118" s="603"/>
      <c r="R118" s="79"/>
      <c r="S118" s="591">
        <f>S113+S114</f>
        <v>3.2939999999999996</v>
      </c>
      <c r="T118" s="596">
        <f t="shared" si="165"/>
        <v>0.20433000971404963</v>
      </c>
      <c r="U118" s="603"/>
      <c r="V118" s="79"/>
      <c r="W118" s="591">
        <f>W113+W114</f>
        <v>70.63</v>
      </c>
      <c r="X118" s="596">
        <f t="shared" si="166"/>
        <v>4.2518301892585155</v>
      </c>
      <c r="Y118" s="602"/>
      <c r="Z118" s="79"/>
      <c r="AA118" s="591">
        <f>AA113+AA114</f>
        <v>66.91</v>
      </c>
      <c r="AB118" s="596">
        <f t="shared" si="167"/>
        <v>4.0768999231049516</v>
      </c>
      <c r="AC118" s="602"/>
      <c r="AD118" s="79"/>
      <c r="AE118" s="591">
        <f>AE113+AE114</f>
        <v>54.137999999999998</v>
      </c>
      <c r="AF118" s="596">
        <f t="shared" si="168"/>
        <v>3.1407707877801281</v>
      </c>
      <c r="AG118" s="602"/>
      <c r="AI118" s="556">
        <f>AI113+AI114</f>
        <v>37.683999999999997</v>
      </c>
      <c r="AJ118" s="598">
        <f t="shared" si="169"/>
        <v>2.4613640178678149</v>
      </c>
      <c r="AK118" s="599"/>
      <c r="AM118" s="556">
        <f>AM113+AM114</f>
        <v>53.421999999999997</v>
      </c>
      <c r="AN118" s="598">
        <f t="shared" si="170"/>
        <v>3.2906910562094529</v>
      </c>
      <c r="AO118" s="599"/>
      <c r="AQ118" s="556">
        <f>AQ113+AQ114</f>
        <v>63.164000000000001</v>
      </c>
      <c r="AR118" s="598">
        <f t="shared" si="171"/>
        <v>3.6671446735135831</v>
      </c>
      <c r="AS118" s="599"/>
      <c r="AU118" s="556">
        <f>AU113+AU114</f>
        <v>57.092419650000011</v>
      </c>
      <c r="AV118" s="598">
        <f t="shared" si="172"/>
        <v>3.0917538452273665</v>
      </c>
      <c r="AW118" s="599"/>
      <c r="AY118" s="556">
        <f>AY113+AY114</f>
        <v>67.274467615555551</v>
      </c>
      <c r="AZ118" s="598">
        <f t="shared" si="173"/>
        <v>3.3163263799466645</v>
      </c>
      <c r="BC118" s="556">
        <f>BC113+BC114</f>
        <v>52.097999999999999</v>
      </c>
      <c r="BD118" s="598">
        <f t="shared" si="174"/>
        <v>2.3987844464396715</v>
      </c>
      <c r="BG118" s="558">
        <f>BG113+BG114</f>
        <v>29.401000000000003</v>
      </c>
      <c r="BH118" s="558"/>
      <c r="BI118" s="598">
        <f t="shared" si="175"/>
        <v>1.2633218993699504</v>
      </c>
    </row>
    <row r="119" spans="1:66" hidden="1" outlineLevel="2">
      <c r="A119" s="569" t="s">
        <v>88</v>
      </c>
      <c r="B119" s="79"/>
      <c r="C119" s="591">
        <f>C113+C114+C115</f>
        <v>0.65100000000000002</v>
      </c>
      <c r="D119" s="596">
        <f t="shared" si="161"/>
        <v>3.2642263357379631E-2</v>
      </c>
      <c r="E119" s="603"/>
      <c r="F119" s="79"/>
      <c r="G119" s="591">
        <f>G113+G114+G115</f>
        <v>2.1029999999999998</v>
      </c>
      <c r="H119" s="596">
        <f t="shared" si="162"/>
        <v>9.9632548717142083E-2</v>
      </c>
      <c r="I119" s="603"/>
      <c r="J119" s="79"/>
      <c r="K119" s="591">
        <f>K113+K114+K115</f>
        <v>4.0969999999999995</v>
      </c>
      <c r="L119" s="596">
        <f t="shared" si="163"/>
        <v>0.18764639120768795</v>
      </c>
      <c r="M119" s="603"/>
      <c r="N119" s="79"/>
      <c r="O119" s="591">
        <f>O113+O114+O115</f>
        <v>5.3520000000000003</v>
      </c>
      <c r="P119" s="596">
        <f t="shared" si="164"/>
        <v>0.21969126645118969</v>
      </c>
      <c r="Q119" s="603"/>
      <c r="R119" s="79"/>
      <c r="S119" s="591">
        <f>S113+S114+S115</f>
        <v>4.1879999999999997</v>
      </c>
      <c r="T119" s="596">
        <f t="shared" si="165"/>
        <v>0.15838870130341648</v>
      </c>
      <c r="U119" s="603"/>
      <c r="V119" s="79"/>
      <c r="W119" s="591">
        <f>W113+W114+W115</f>
        <v>102.34399999999999</v>
      </c>
      <c r="X119" s="596">
        <f t="shared" si="166"/>
        <v>3.8485532765386186</v>
      </c>
      <c r="Y119" s="602"/>
      <c r="Z119" s="79"/>
      <c r="AA119" s="591">
        <f>AA113+AA114+AA115</f>
        <v>96.812999999999988</v>
      </c>
      <c r="AB119" s="596">
        <f t="shared" si="167"/>
        <v>3.6721470907073015</v>
      </c>
      <c r="AC119" s="602"/>
      <c r="AD119" s="79"/>
      <c r="AE119" s="591">
        <f>AE113+AE114+AE115</f>
        <v>75.7</v>
      </c>
      <c r="AF119" s="596">
        <f t="shared" si="168"/>
        <v>2.7496356823527872</v>
      </c>
      <c r="AG119" s="602"/>
      <c r="AI119" s="556">
        <f>AI113+AI114+AI115</f>
        <v>58.271000000000001</v>
      </c>
      <c r="AJ119" s="598">
        <f t="shared" si="169"/>
        <v>2.4245286355343172</v>
      </c>
      <c r="AK119" s="599"/>
      <c r="AM119" s="556">
        <f>AM113+AM114+AM115</f>
        <v>78.349999999999994</v>
      </c>
      <c r="AN119" s="598">
        <f t="shared" si="170"/>
        <v>3.157219454758073</v>
      </c>
      <c r="AO119" s="599"/>
      <c r="AQ119" s="556">
        <f>AQ113+AQ114+AQ115</f>
        <v>97.975999999999999</v>
      </c>
      <c r="AR119" s="598">
        <f t="shared" si="171"/>
        <v>3.7379825897058976</v>
      </c>
      <c r="AS119" s="599"/>
      <c r="AU119" s="556">
        <f>AU113+AU114+AU115</f>
        <v>84.429118050000014</v>
      </c>
      <c r="AV119" s="598">
        <f t="shared" si="172"/>
        <v>2.9997943777867389</v>
      </c>
      <c r="AW119" s="599"/>
      <c r="AY119" s="556">
        <f>AY113+AY114+AY115</f>
        <v>99.993467615555545</v>
      </c>
      <c r="AZ119" s="598">
        <f t="shared" si="173"/>
        <v>3.2328058891255793</v>
      </c>
      <c r="BC119" s="556">
        <f>BC113+BC114+BC115</f>
        <v>68.721999999999994</v>
      </c>
      <c r="BD119" s="598">
        <f t="shared" si="174"/>
        <v>2.0642555949851342</v>
      </c>
      <c r="BG119" s="558">
        <f>BG113+BG114+BG115</f>
        <v>44.401000000000003</v>
      </c>
      <c r="BH119" s="558"/>
      <c r="BI119" s="598">
        <f t="shared" si="175"/>
        <v>1.2478630124589571</v>
      </c>
    </row>
    <row r="120" spans="1:66" outlineLevel="1" collapsed="1">
      <c r="A120" s="569"/>
      <c r="B120" s="79"/>
      <c r="C120" s="591"/>
      <c r="D120" s="596"/>
      <c r="E120" s="603"/>
      <c r="F120" s="79"/>
      <c r="G120" s="591"/>
      <c r="H120" s="596"/>
      <c r="I120" s="603"/>
      <c r="J120" s="79"/>
      <c r="K120" s="591"/>
      <c r="L120" s="596"/>
      <c r="M120" s="603"/>
      <c r="N120" s="79"/>
      <c r="O120" s="591"/>
      <c r="P120" s="596"/>
      <c r="Q120" s="603"/>
      <c r="R120" s="79"/>
      <c r="S120" s="591"/>
      <c r="T120" s="596"/>
      <c r="U120" s="603"/>
      <c r="V120" s="79"/>
      <c r="W120" s="591"/>
      <c r="X120" s="596"/>
      <c r="Y120" s="602"/>
      <c r="Z120" s="79"/>
      <c r="AA120" s="591"/>
      <c r="AB120" s="596"/>
      <c r="AC120" s="602"/>
      <c r="AD120" s="79"/>
      <c r="AE120" s="591"/>
      <c r="AF120" s="596"/>
      <c r="AG120" s="602"/>
      <c r="AI120" s="556"/>
      <c r="AJ120" s="598"/>
      <c r="AK120" s="599"/>
      <c r="AM120" s="556"/>
      <c r="AN120" s="598"/>
      <c r="AO120" s="599"/>
      <c r="AQ120" s="556"/>
      <c r="AR120" s="598"/>
      <c r="AS120" s="599"/>
      <c r="AU120" s="556"/>
      <c r="AV120" s="598"/>
      <c r="AW120" s="599"/>
      <c r="AY120" s="556"/>
      <c r="AZ120" s="598"/>
      <c r="BC120" s="556"/>
      <c r="BD120" s="598"/>
      <c r="BG120" s="558"/>
      <c r="BH120" s="558"/>
      <c r="BI120" s="598"/>
    </row>
    <row r="121" spans="1:66" outlineLevel="1">
      <c r="A121" s="565" t="s">
        <v>356</v>
      </c>
      <c r="B121" s="566"/>
      <c r="C121" s="566"/>
      <c r="D121" s="566"/>
      <c r="E121" s="566"/>
      <c r="F121" s="566"/>
      <c r="G121" s="566"/>
      <c r="H121" s="566"/>
      <c r="I121" s="566"/>
      <c r="J121" s="566"/>
      <c r="K121" s="566"/>
      <c r="L121" s="566"/>
      <c r="M121" s="566"/>
      <c r="N121" s="566"/>
      <c r="O121" s="566"/>
      <c r="P121" s="566"/>
      <c r="Q121" s="566"/>
      <c r="R121" s="566"/>
      <c r="S121" s="566"/>
      <c r="T121" s="566"/>
      <c r="U121" s="566"/>
      <c r="V121" s="566"/>
      <c r="W121" s="566"/>
      <c r="X121" s="566"/>
      <c r="Y121" s="566"/>
      <c r="Z121" s="566"/>
      <c r="AA121" s="566"/>
      <c r="AB121" s="566"/>
      <c r="AC121" s="566"/>
      <c r="AD121" s="566"/>
      <c r="AE121" s="566"/>
      <c r="AF121" s="566"/>
      <c r="AG121" s="566"/>
      <c r="AH121" s="420"/>
      <c r="AI121" s="420"/>
      <c r="AJ121" s="420"/>
      <c r="AK121" s="420"/>
      <c r="AL121" s="420"/>
      <c r="AM121" s="420"/>
      <c r="AN121" s="420"/>
      <c r="AO121" s="420"/>
      <c r="AP121" s="420"/>
      <c r="AQ121" s="420"/>
      <c r="AR121" s="420"/>
      <c r="AS121" s="420"/>
      <c r="AT121" s="420"/>
      <c r="AU121" s="420"/>
      <c r="AV121" s="420"/>
      <c r="AW121" s="420"/>
      <c r="AX121" s="420"/>
      <c r="AY121" s="420"/>
      <c r="AZ121" s="420"/>
      <c r="BA121" s="420"/>
      <c r="BB121" s="420"/>
      <c r="BC121" s="420"/>
      <c r="BD121" s="420"/>
      <c r="BE121" s="420"/>
      <c r="BF121" s="420"/>
      <c r="BG121" s="641"/>
      <c r="BH121" s="641"/>
      <c r="BI121" s="420"/>
      <c r="BJ121" s="420"/>
      <c r="BK121" s="420"/>
    </row>
    <row r="122" spans="1:66" outlineLevel="1">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row>
    <row r="123" spans="1:66" outlineLevel="1">
      <c r="A123" s="569" t="s">
        <v>79</v>
      </c>
      <c r="B123" s="79"/>
      <c r="C123" s="590">
        <f>C93-C113-C53</f>
        <v>-32.976000000000013</v>
      </c>
      <c r="D123" s="596">
        <f t="shared" ref="D123:D129" si="176">C123/C11*100</f>
        <v>-7.2272045866975274</v>
      </c>
      <c r="E123" s="571" t="s">
        <v>90</v>
      </c>
      <c r="F123" s="79"/>
      <c r="G123" s="590">
        <f>G93-G113-G53</f>
        <v>-25.828999999999926</v>
      </c>
      <c r="H123" s="596">
        <f t="shared" ref="H123:H129" si="177">G123/G11*100</f>
        <v>-5.0416247816284754</v>
      </c>
      <c r="I123" s="602">
        <f>(G123/C123-1)*100</f>
        <v>-21.67333818534718</v>
      </c>
      <c r="J123" s="79"/>
      <c r="K123" s="590">
        <f>K93-K113-K53</f>
        <v>-25.736000000000047</v>
      </c>
      <c r="L123" s="596">
        <f t="shared" ref="L123:L129" si="178">K123/K11*100</f>
        <v>-4.841953563452817</v>
      </c>
      <c r="M123" s="602">
        <f>(K123/G123-1)*100</f>
        <v>-0.36006039722745742</v>
      </c>
      <c r="N123" s="79"/>
      <c r="O123" s="590">
        <f>O93-O113-O53</f>
        <v>-28.555000000000017</v>
      </c>
      <c r="P123" s="596">
        <f t="shared" ref="P123:P129" si="179">O123/O11*100</f>
        <v>-4.9185354115602413</v>
      </c>
      <c r="Q123" s="602">
        <f>(O123/K123-1)*100</f>
        <v>10.953528131799683</v>
      </c>
      <c r="R123" s="79"/>
      <c r="S123" s="590">
        <f>S93-S113-S53</f>
        <v>-25.829999999999963</v>
      </c>
      <c r="T123" s="596">
        <f t="shared" ref="T123:T129" si="180">S123/S11*100</f>
        <v>-3.924506056167683</v>
      </c>
      <c r="U123" s="602">
        <f>(S123/O123-1)*100</f>
        <v>-9.5429872176503334</v>
      </c>
      <c r="V123" s="79"/>
      <c r="W123" s="590">
        <f>W93-W113-W53</f>
        <v>-89.077000000000027</v>
      </c>
      <c r="X123" s="596">
        <f t="shared" ref="X123:X129" si="181">W123/W11*100</f>
        <v>-13.409838829625487</v>
      </c>
      <c r="Y123" s="602">
        <f>(W123/S123-1)*100</f>
        <v>244.85869144405791</v>
      </c>
      <c r="Z123" s="79"/>
      <c r="AA123" s="590">
        <f>AA93-AA113-AA53</f>
        <v>-82.543999999999954</v>
      </c>
      <c r="AB123" s="596">
        <f t="shared" ref="AB123:AB129" si="182">AA123/AA11*100</f>
        <v>-12.040604072368481</v>
      </c>
      <c r="AC123" s="602">
        <f>(AA123/W123-1)*100</f>
        <v>-7.3341042019826386</v>
      </c>
      <c r="AD123" s="79"/>
      <c r="AE123" s="590">
        <f>AE93-AE113-AE53</f>
        <v>-53.865000000000009</v>
      </c>
      <c r="AF123" s="596">
        <f t="shared" ref="AF123:AF129" si="183">AE123/AE11*100</f>
        <v>-7.5501979885762367</v>
      </c>
      <c r="AG123" s="602">
        <f>(AE123/AA123-1)*100</f>
        <v>-34.743894165535906</v>
      </c>
      <c r="AI123" s="559">
        <f>AI93-AI113</f>
        <v>-66.551000000000016</v>
      </c>
      <c r="AJ123" s="598">
        <f t="shared" ref="AJ123:AJ129" si="184">AI123/AI11*100</f>
        <v>-8.0177773922555851</v>
      </c>
      <c r="AK123" s="599" t="s">
        <v>90</v>
      </c>
      <c r="AM123" s="559">
        <f>AM93-AM113</f>
        <v>8.8010000000000197</v>
      </c>
      <c r="AN123" s="598">
        <f t="shared" ref="AN123:AN129" si="185">AM123/AM11*100</f>
        <v>0.98370586959777917</v>
      </c>
      <c r="AO123" s="599">
        <f>(AM123/AI123-1)*100</f>
        <v>-113.2244444110532</v>
      </c>
      <c r="AQ123" s="559">
        <f>AQ93-AQ113</f>
        <v>-32.237999999999957</v>
      </c>
      <c r="AR123" s="598">
        <f t="shared" ref="AR123:AR129" si="186">AQ123/AQ11*100</f>
        <v>-3.4698804517582378</v>
      </c>
      <c r="AS123" s="599">
        <f>(AQ123/AM123-1)*100</f>
        <v>-466.29928417225182</v>
      </c>
      <c r="AU123" s="559">
        <f>AU93-AU113</f>
        <v>-5.669136839999954</v>
      </c>
      <c r="AV123" s="598">
        <f t="shared" ref="AV123:AV129" si="187">AU123/AU11*100</f>
        <v>-0.57705731832538576</v>
      </c>
      <c r="AW123" s="599">
        <f>(AU123/AQ123-1)*100</f>
        <v>-82.414737762888635</v>
      </c>
      <c r="AY123" s="630">
        <f>AY93-AY113</f>
        <v>-8.6378525999991496</v>
      </c>
      <c r="AZ123" s="598">
        <f t="shared" ref="AZ123:AZ129" si="188">AY123/AY11*100</f>
        <v>-0.81105576108819055</v>
      </c>
      <c r="BA123" s="599">
        <f t="shared" ref="BA123:BA129" si="189">(AY123/AU123-1)*100</f>
        <v>52.36627451030482</v>
      </c>
      <c r="BC123" s="559">
        <f>BC93-BC113</f>
        <v>19.559999999999981</v>
      </c>
      <c r="BD123" s="598">
        <f t="shared" ref="BD123:BD129" si="190">BC123/BC11*100</f>
        <v>1.7336291256783605</v>
      </c>
      <c r="BE123" s="599">
        <f t="shared" ref="BE123:BE129" si="191">(BC123/AY123-1)*100</f>
        <v>-326.44516994885868</v>
      </c>
      <c r="BG123" s="559">
        <f>BG93-BG113</f>
        <v>41.341000000000051</v>
      </c>
      <c r="BH123" s="559"/>
      <c r="BI123" s="598">
        <f t="shared" ref="BI123:BI129" si="192">BG123/BG11*100</f>
        <v>3.4944157476507973</v>
      </c>
      <c r="BJ123" s="599">
        <f t="shared" ref="BJ123:BJ129" si="193">(BG123/BC123-1)*100</f>
        <v>111.35480572597186</v>
      </c>
    </row>
    <row r="124" spans="1:66" outlineLevel="1">
      <c r="A124" s="569" t="s">
        <v>80</v>
      </c>
      <c r="B124" s="79"/>
      <c r="C124" s="639">
        <f>C94-C114-C54</f>
        <v>66.262000000000072</v>
      </c>
      <c r="D124" s="596">
        <f t="shared" si="176"/>
        <v>8.828788496539751</v>
      </c>
      <c r="E124" s="571" t="s">
        <v>90</v>
      </c>
      <c r="F124" s="79"/>
      <c r="G124" s="639">
        <f>G94-G114-G54</f>
        <v>66.863000000000085</v>
      </c>
      <c r="H124" s="596">
        <f t="shared" si="177"/>
        <v>8.4552049783065399</v>
      </c>
      <c r="I124" s="602">
        <f t="shared" ref="I124:I129" si="194">(G124/C124-1)*100</f>
        <v>0.90700552352782626</v>
      </c>
      <c r="J124" s="79"/>
      <c r="K124" s="639">
        <f>K94-K114-K54</f>
        <v>45.424000000000014</v>
      </c>
      <c r="L124" s="596">
        <f t="shared" si="178"/>
        <v>5.7204385031452105</v>
      </c>
      <c r="M124" s="602">
        <f t="shared" ref="M124:M129" si="195">(K124/G124-1)*100</f>
        <v>-32.064071309992137</v>
      </c>
      <c r="N124" s="79"/>
      <c r="O124" s="639">
        <f>O94-O114-O54</f>
        <v>72.900999999999982</v>
      </c>
      <c r="P124" s="596">
        <f t="shared" si="179"/>
        <v>8.2845246293606767</v>
      </c>
      <c r="Q124" s="602">
        <f t="shared" ref="Q124:Q129" si="196">(O124/K124-1)*100</f>
        <v>60.49004931313835</v>
      </c>
      <c r="R124" s="79"/>
      <c r="S124" s="639">
        <f>S94-S114-S54</f>
        <v>71.406000000000006</v>
      </c>
      <c r="T124" s="596">
        <f t="shared" si="180"/>
        <v>7.4854862955826755</v>
      </c>
      <c r="U124" s="602">
        <f t="shared" ref="U124:U129" si="197">(S124/O124-1)*100</f>
        <v>-2.0507263274851861</v>
      </c>
      <c r="V124" s="79"/>
      <c r="W124" s="639">
        <f>W94-W114-W54</f>
        <v>29.519999999999886</v>
      </c>
      <c r="X124" s="596">
        <f t="shared" si="181"/>
        <v>2.961176686551612</v>
      </c>
      <c r="Y124" s="602">
        <f t="shared" ref="Y124:Y129" si="198">(W124/S124-1)*100</f>
        <v>-58.658936223846901</v>
      </c>
      <c r="Z124" s="79"/>
      <c r="AA124" s="639">
        <f>AA94-AA114-AA54</f>
        <v>48.625999999999927</v>
      </c>
      <c r="AB124" s="596">
        <f t="shared" si="182"/>
        <v>5.0882592075977451</v>
      </c>
      <c r="AC124" s="602">
        <f t="shared" ref="AC124:AC129" si="199">(AA124/W124-1)*100</f>
        <v>64.722222222222612</v>
      </c>
      <c r="AD124" s="79"/>
      <c r="AE124" s="639">
        <f>AE94-AE114-AE54</f>
        <v>31.562000000000015</v>
      </c>
      <c r="AF124" s="596">
        <f t="shared" si="183"/>
        <v>3.1240473051355462</v>
      </c>
      <c r="AG124" s="602">
        <f t="shared" ref="AG124:AG129" si="200">(AE124/AA124-1)*100</f>
        <v>-35.092337432649067</v>
      </c>
      <c r="AI124" s="562">
        <f>AI94-AI114</f>
        <v>-28.376000000000062</v>
      </c>
      <c r="AJ124" s="598">
        <f t="shared" si="184"/>
        <v>-4.048058569598485</v>
      </c>
      <c r="AK124" s="599" t="s">
        <v>90</v>
      </c>
      <c r="AM124" s="562">
        <f>AM94-AM114</f>
        <v>-64.96999999999997</v>
      </c>
      <c r="AN124" s="598">
        <f t="shared" si="185"/>
        <v>-8.9152658662092588</v>
      </c>
      <c r="AO124" s="599">
        <f t="shared" ref="AO124:AO129" si="201">(AM124/AI124-1)*100</f>
        <v>128.96109388215331</v>
      </c>
      <c r="AQ124" s="562">
        <f>AQ94-AQ114</f>
        <v>-55.895000000000053</v>
      </c>
      <c r="AR124" s="598">
        <f t="shared" si="186"/>
        <v>-7.0454491024757147</v>
      </c>
      <c r="AS124" s="599">
        <f t="shared" ref="AS124:AS129" si="202">(AQ124/AM124-1)*100</f>
        <v>-13.967985223949398</v>
      </c>
      <c r="AU124" s="562">
        <f>AU94-AU114</f>
        <v>-47.329506330000001</v>
      </c>
      <c r="AV124" s="598">
        <f t="shared" si="187"/>
        <v>-5.4768033748878411</v>
      </c>
      <c r="AW124" s="644">
        <f t="shared" ref="AW124:AW129" si="203">(AU124/AQ124-1)*100</f>
        <v>-15.324257393326857</v>
      </c>
      <c r="AX124" s="57"/>
      <c r="AY124" s="562">
        <f>AY94-AY114</f>
        <v>-41.138590267708445</v>
      </c>
      <c r="AZ124" s="645">
        <f t="shared" si="188"/>
        <v>-4.2693902186078256</v>
      </c>
      <c r="BA124" s="644">
        <f t="shared" si="189"/>
        <v>-13.080457715164084</v>
      </c>
      <c r="BB124" s="57"/>
      <c r="BC124" s="1193">
        <f>BC94-BC114</f>
        <v>-10.763000000000151</v>
      </c>
      <c r="BD124" s="645">
        <f t="shared" si="190"/>
        <v>-1.0313526214064985</v>
      </c>
      <c r="BE124" s="599">
        <f t="shared" si="191"/>
        <v>-73.837217245510416</v>
      </c>
      <c r="BF124" s="57"/>
      <c r="BG124" s="1193">
        <f>BG94-BG114</f>
        <v>18.634000000000114</v>
      </c>
      <c r="BH124" s="1193"/>
      <c r="BI124" s="645">
        <f t="shared" si="192"/>
        <v>1.6285358209711882</v>
      </c>
      <c r="BJ124" s="599">
        <f t="shared" si="193"/>
        <v>-273.13016816872482</v>
      </c>
    </row>
    <row r="125" spans="1:66" outlineLevel="1">
      <c r="A125" s="569" t="s">
        <v>81</v>
      </c>
      <c r="B125" s="79"/>
      <c r="C125" s="639">
        <f>C95-C115-C55</f>
        <v>59.731999999999978</v>
      </c>
      <c r="D125" s="596">
        <f t="shared" si="176"/>
        <v>7.5845439458370194</v>
      </c>
      <c r="E125" s="571" t="s">
        <v>90</v>
      </c>
      <c r="F125" s="79"/>
      <c r="G125" s="639">
        <f>G95-G115-G55</f>
        <v>59.054000000000023</v>
      </c>
      <c r="H125" s="596">
        <f t="shared" si="177"/>
        <v>7.3118306196991307</v>
      </c>
      <c r="I125" s="602">
        <f t="shared" si="194"/>
        <v>-1.1350699792405328</v>
      </c>
      <c r="J125" s="79"/>
      <c r="K125" s="639">
        <f>K95-K115-K55</f>
        <v>62.678999999999974</v>
      </c>
      <c r="L125" s="596">
        <f t="shared" si="178"/>
        <v>7.307152450056889</v>
      </c>
      <c r="M125" s="602">
        <f t="shared" si="195"/>
        <v>6.1384495546448203</v>
      </c>
      <c r="N125" s="79"/>
      <c r="O125" s="639">
        <f>O95-O115-O55</f>
        <v>112.19499999999999</v>
      </c>
      <c r="P125" s="596">
        <f t="shared" si="179"/>
        <v>11.499854964171538</v>
      </c>
      <c r="Q125" s="602">
        <f t="shared" si="196"/>
        <v>78.999345873418591</v>
      </c>
      <c r="R125" s="79"/>
      <c r="S125" s="639">
        <f>S95-S115-S55</f>
        <v>98.712999999999951</v>
      </c>
      <c r="T125" s="596">
        <f t="shared" si="180"/>
        <v>9.564935127854806</v>
      </c>
      <c r="U125" s="602">
        <f t="shared" si="197"/>
        <v>-12.016578278889467</v>
      </c>
      <c r="V125" s="79"/>
      <c r="W125" s="639">
        <f>W95-W115-W55</f>
        <v>49.297999999999995</v>
      </c>
      <c r="X125" s="596">
        <f t="shared" si="181"/>
        <v>4.9390953775004549</v>
      </c>
      <c r="Y125" s="602">
        <f t="shared" si="198"/>
        <v>-50.059262711091733</v>
      </c>
      <c r="Z125" s="79"/>
      <c r="AA125" s="639">
        <f>AA95-AA115-AA55</f>
        <v>52.416000000000018</v>
      </c>
      <c r="AB125" s="596">
        <f t="shared" si="182"/>
        <v>5.266796353756372</v>
      </c>
      <c r="AC125" s="602">
        <f t="shared" si="199"/>
        <v>6.3248001947341148</v>
      </c>
      <c r="AD125" s="79"/>
      <c r="AE125" s="639">
        <f>AE95-AE115-AE55</f>
        <v>60.849000000000032</v>
      </c>
      <c r="AF125" s="596">
        <f t="shared" si="183"/>
        <v>5.9112568306010953</v>
      </c>
      <c r="AG125" s="602">
        <f t="shared" si="200"/>
        <v>16.088598901098926</v>
      </c>
      <c r="AI125" s="562">
        <f>AI95-AI115</f>
        <v>13.461999999999851</v>
      </c>
      <c r="AJ125" s="598">
        <f t="shared" si="184"/>
        <v>1.5431454857664089</v>
      </c>
      <c r="AK125" s="599" t="s">
        <v>90</v>
      </c>
      <c r="AM125" s="562">
        <f>AM95-AM115</f>
        <v>-5.4330000000001206</v>
      </c>
      <c r="AN125" s="598">
        <f t="shared" si="185"/>
        <v>-0.63307954219716023</v>
      </c>
      <c r="AO125" s="599">
        <f t="shared" si="201"/>
        <v>-140.35804486703447</v>
      </c>
      <c r="AQ125" s="562">
        <f>AQ95-AQ115</f>
        <v>-23.672000000000018</v>
      </c>
      <c r="AR125" s="598">
        <f t="shared" si="186"/>
        <v>-2.6341353766651148</v>
      </c>
      <c r="AS125" s="599">
        <f t="shared" si="202"/>
        <v>335.70771212956919</v>
      </c>
      <c r="AU125" s="562">
        <f>AU95-AU115</f>
        <v>-21.597267280000068</v>
      </c>
      <c r="AV125" s="598">
        <f t="shared" si="187"/>
        <v>-2.2313673886453658</v>
      </c>
      <c r="AW125" s="644">
        <f t="shared" si="203"/>
        <v>-8.7645011828318182</v>
      </c>
      <c r="AX125" s="57"/>
      <c r="AY125" s="562">
        <f>AY95-AY115</f>
        <v>-24.535000000000004</v>
      </c>
      <c r="AZ125" s="645">
        <f t="shared" si="188"/>
        <v>-2.3048336217311007</v>
      </c>
      <c r="BA125" s="644">
        <f t="shared" si="189"/>
        <v>13.602335341380867</v>
      </c>
      <c r="BB125" s="57"/>
      <c r="BC125" s="562">
        <f>BC95-BC115</f>
        <v>-58.223000000000141</v>
      </c>
      <c r="BD125" s="645">
        <f t="shared" si="190"/>
        <v>-5.0309688479657808</v>
      </c>
      <c r="BE125" s="599">
        <f t="shared" si="191"/>
        <v>137.30588954554773</v>
      </c>
      <c r="BF125" s="57"/>
      <c r="BG125" s="562">
        <f>BG95-BG115</f>
        <v>22.198730000000012</v>
      </c>
      <c r="BH125" s="562"/>
      <c r="BI125" s="645">
        <f t="shared" si="192"/>
        <v>1.803475707742229</v>
      </c>
      <c r="BJ125" s="599">
        <f t="shared" si="193"/>
        <v>-138.1270803634302</v>
      </c>
    </row>
    <row r="126" spans="1:66" outlineLevel="1">
      <c r="A126" s="569" t="s">
        <v>82</v>
      </c>
      <c r="B126" s="79"/>
      <c r="C126" s="640">
        <f>C96-C116-C56</f>
        <v>14.499000000000038</v>
      </c>
      <c r="D126" s="596">
        <f t="shared" si="176"/>
        <v>2.3816055099369136</v>
      </c>
      <c r="E126" s="571" t="s">
        <v>90</v>
      </c>
      <c r="F126" s="79"/>
      <c r="G126" s="640">
        <f>G96-G116-G56</f>
        <v>7.3060000000000054</v>
      </c>
      <c r="H126" s="596">
        <f t="shared" si="177"/>
        <v>1.1988880829933812</v>
      </c>
      <c r="I126" s="602">
        <f t="shared" si="194"/>
        <v>-49.610317952962369</v>
      </c>
      <c r="J126" s="79"/>
      <c r="K126" s="640">
        <f>K96-K116-K56</f>
        <v>42.158000000000065</v>
      </c>
      <c r="L126" s="596">
        <f t="shared" si="178"/>
        <v>6.1560702082299086</v>
      </c>
      <c r="M126" s="602">
        <f t="shared" si="195"/>
        <v>477.03257596496076</v>
      </c>
      <c r="N126" s="79"/>
      <c r="O126" s="640">
        <f>O96-O116-O56</f>
        <v>30.328999999999944</v>
      </c>
      <c r="P126" s="596">
        <f t="shared" si="179"/>
        <v>3.9713550191568805</v>
      </c>
      <c r="Q126" s="602">
        <f t="shared" si="196"/>
        <v>-28.058731438873053</v>
      </c>
      <c r="R126" s="79"/>
      <c r="S126" s="640">
        <f>S96-S116-S56</f>
        <v>-21.878999999999358</v>
      </c>
      <c r="T126" s="596">
        <f t="shared" si="180"/>
        <v>-2.6474239677840905</v>
      </c>
      <c r="U126" s="602">
        <f t="shared" si="197"/>
        <v>-172.13887698242411</v>
      </c>
      <c r="V126" s="79"/>
      <c r="W126" s="640">
        <f>W96-W116-W56</f>
        <v>-31.763999999999786</v>
      </c>
      <c r="X126" s="596">
        <f t="shared" si="181"/>
        <v>-4.0600235185847673</v>
      </c>
      <c r="Y126" s="602">
        <f t="shared" si="198"/>
        <v>45.180309886195523</v>
      </c>
      <c r="Z126" s="79"/>
      <c r="AA126" s="640">
        <f>AA96-AA116-AA56</f>
        <v>-54.654999999999802</v>
      </c>
      <c r="AB126" s="596">
        <f t="shared" si="182"/>
        <v>-6.9397975262805449</v>
      </c>
      <c r="AC126" s="602">
        <f t="shared" si="199"/>
        <v>72.065860722831417</v>
      </c>
      <c r="AD126" s="79"/>
      <c r="AE126" s="640">
        <f>AE96-AE116-AE56</f>
        <v>-32.52000000000011</v>
      </c>
      <c r="AF126" s="596">
        <f t="shared" si="183"/>
        <v>-3.9742140478445638</v>
      </c>
      <c r="AG126" s="602">
        <f t="shared" si="200"/>
        <v>-40.499496843838209</v>
      </c>
      <c r="AI126" s="588">
        <f>AI96-AI116</f>
        <v>36.533000000000094</v>
      </c>
      <c r="AJ126" s="598">
        <f t="shared" si="184"/>
        <v>3.2632764606942892</v>
      </c>
      <c r="AK126" s="599" t="s">
        <v>90</v>
      </c>
      <c r="AM126" s="588">
        <f>AM96-AM116</f>
        <v>114.72999999999973</v>
      </c>
      <c r="AN126" s="598">
        <f t="shared" si="185"/>
        <v>9.6575049579625141</v>
      </c>
      <c r="AO126" s="599">
        <f t="shared" si="201"/>
        <v>214.04483617551099</v>
      </c>
      <c r="AQ126" s="588">
        <f>AQ96-AQ116</f>
        <v>101.38500000000019</v>
      </c>
      <c r="AR126" s="598">
        <f t="shared" si="186"/>
        <v>8.2223543256063802</v>
      </c>
      <c r="AS126" s="599">
        <f t="shared" si="202"/>
        <v>-11.631656933669987</v>
      </c>
      <c r="AU126" s="588">
        <f>AU96-AU116</f>
        <v>108.3876461509948</v>
      </c>
      <c r="AV126" s="598">
        <f t="shared" si="187"/>
        <v>8.5849062609554849</v>
      </c>
      <c r="AW126" s="644">
        <f t="shared" si="203"/>
        <v>6.9069844168216044</v>
      </c>
      <c r="AX126" s="57"/>
      <c r="AY126" s="588">
        <f>AY96-AY116</f>
        <v>104.77700000000009</v>
      </c>
      <c r="AZ126" s="645">
        <f t="shared" si="188"/>
        <v>7.8527172393738391</v>
      </c>
      <c r="BA126" s="644">
        <f t="shared" si="189"/>
        <v>-3.3312340282440678</v>
      </c>
      <c r="BB126" s="57"/>
      <c r="BC126" s="588">
        <f>BC96-BC116</f>
        <v>163.74200000000008</v>
      </c>
      <c r="BD126" s="645">
        <f t="shared" si="190"/>
        <v>11.02371004509339</v>
      </c>
      <c r="BE126" s="599">
        <f t="shared" si="191"/>
        <v>56.27666377162921</v>
      </c>
      <c r="BF126" s="57"/>
      <c r="BG126" s="588">
        <f>BG96-BG116</f>
        <v>172.63212139999956</v>
      </c>
      <c r="BH126" s="761"/>
      <c r="BI126" s="645">
        <f t="shared" si="192"/>
        <v>11.204283146922061</v>
      </c>
      <c r="BJ126" s="599">
        <f t="shared" si="193"/>
        <v>5.4293470215335704</v>
      </c>
    </row>
    <row r="127" spans="1:66" outlineLevel="1">
      <c r="A127" s="569" t="s">
        <v>85</v>
      </c>
      <c r="B127" s="79"/>
      <c r="C127" s="590">
        <f>C97-C117-C57</f>
        <v>121.40400000000001</v>
      </c>
      <c r="D127" s="596">
        <f t="shared" si="176"/>
        <v>4.7539370425612146</v>
      </c>
      <c r="E127" s="571" t="s">
        <v>90</v>
      </c>
      <c r="F127" s="79"/>
      <c r="G127" s="590">
        <f>G97-G117-G57</f>
        <v>119.37400000000007</v>
      </c>
      <c r="H127" s="596">
        <f t="shared" si="177"/>
        <v>4.4573672356213017</v>
      </c>
      <c r="I127" s="602">
        <f t="shared" si="194"/>
        <v>-1.6721030608546239</v>
      </c>
      <c r="J127" s="79"/>
      <c r="K127" s="590">
        <f>K97-K117-K57</f>
        <v>125.315</v>
      </c>
      <c r="L127" s="596">
        <f t="shared" si="178"/>
        <v>4.3817046392257231</v>
      </c>
      <c r="M127" s="602">
        <f t="shared" si="195"/>
        <v>4.9767956171359984</v>
      </c>
      <c r="N127" s="79"/>
      <c r="O127" s="590">
        <f>O97-O117-O57</f>
        <v>187.73300000000003</v>
      </c>
      <c r="P127" s="596">
        <f t="shared" si="179"/>
        <v>5.8669495974798753</v>
      </c>
      <c r="Q127" s="602">
        <f t="shared" si="196"/>
        <v>49.808881618321863</v>
      </c>
      <c r="R127" s="79"/>
      <c r="S127" s="590">
        <f>S97-S117-S57</f>
        <v>122.41000000000017</v>
      </c>
      <c r="T127" s="596">
        <f t="shared" si="180"/>
        <v>3.5271025893848695</v>
      </c>
      <c r="U127" s="602">
        <f t="shared" si="197"/>
        <v>-34.795693884399569</v>
      </c>
      <c r="V127" s="79"/>
      <c r="W127" s="590">
        <f>W97-W117-W57</f>
        <v>-42.022999999999918</v>
      </c>
      <c r="X127" s="596">
        <f t="shared" si="181"/>
        <v>-1.2210149506994452</v>
      </c>
      <c r="Y127" s="602">
        <f t="shared" si="198"/>
        <v>-134.32971162486714</v>
      </c>
      <c r="Z127" s="79"/>
      <c r="AA127" s="590">
        <f>AA97-AA117-AA57</f>
        <v>-36.157000000000025</v>
      </c>
      <c r="AB127" s="596">
        <f t="shared" si="182"/>
        <v>-1.0559954765998454</v>
      </c>
      <c r="AC127" s="602">
        <f t="shared" si="199"/>
        <v>-13.959022440092106</v>
      </c>
      <c r="AD127" s="79"/>
      <c r="AE127" s="590">
        <f>AE97-AE117-AE57</f>
        <v>6.0260000000000629</v>
      </c>
      <c r="AF127" s="596">
        <f t="shared" si="183"/>
        <v>0.16873090892087153</v>
      </c>
      <c r="AG127" s="602">
        <f t="shared" si="200"/>
        <v>-116.66620571396979</v>
      </c>
      <c r="AI127" s="559">
        <f>AI97-AI117</f>
        <v>-44.93200000000013</v>
      </c>
      <c r="AJ127" s="598">
        <f t="shared" si="184"/>
        <v>-1.2754214266939281</v>
      </c>
      <c r="AK127" s="599" t="s">
        <v>90</v>
      </c>
      <c r="AM127" s="559">
        <f>AM97-AM117</f>
        <v>53.127999999999702</v>
      </c>
      <c r="AN127" s="598">
        <f t="shared" si="185"/>
        <v>1.4477864356951982</v>
      </c>
      <c r="AO127" s="599">
        <f t="shared" si="201"/>
        <v>-218.24089735600361</v>
      </c>
      <c r="AQ127" s="559">
        <f>AQ97-AQ117</f>
        <v>-10.419999999999845</v>
      </c>
      <c r="AR127" s="598">
        <f t="shared" si="186"/>
        <v>-0.27035904823236157</v>
      </c>
      <c r="AS127" s="599">
        <f t="shared" si="202"/>
        <v>-119.61301008884186</v>
      </c>
      <c r="AU127" s="559">
        <f>AU97-AU117</f>
        <v>33.791735700994792</v>
      </c>
      <c r="AV127" s="598">
        <f t="shared" si="187"/>
        <v>0.8288313093075268</v>
      </c>
      <c r="AW127" s="644">
        <f t="shared" si="203"/>
        <v>-424.29688772548263</v>
      </c>
      <c r="AX127" s="57"/>
      <c r="AY127" s="559">
        <f>AY97-AY117</f>
        <v>32.357999999999805</v>
      </c>
      <c r="AZ127" s="645">
        <f t="shared" si="188"/>
        <v>0.73084083737492234</v>
      </c>
      <c r="BA127" s="644">
        <f t="shared" si="189"/>
        <v>-4.2428590045843091</v>
      </c>
      <c r="BB127" s="57"/>
      <c r="BC127" s="559">
        <f>BC97-BC117</f>
        <v>114.31599999999982</v>
      </c>
      <c r="BD127" s="645">
        <f t="shared" si="190"/>
        <v>2.3744086618268425</v>
      </c>
      <c r="BE127" s="599">
        <f t="shared" si="191"/>
        <v>253.28512268990821</v>
      </c>
      <c r="BF127" s="57"/>
      <c r="BG127" s="559">
        <f>BG97-BG117</f>
        <v>254.80585139999971</v>
      </c>
      <c r="BH127" s="559"/>
      <c r="BI127" s="645">
        <f t="shared" si="192"/>
        <v>4.9972396454786949</v>
      </c>
      <c r="BJ127" s="599">
        <f t="shared" si="193"/>
        <v>122.896052521082</v>
      </c>
    </row>
    <row r="128" spans="1:66" hidden="1" outlineLevel="2">
      <c r="A128" s="569" t="s">
        <v>87</v>
      </c>
      <c r="B128" s="79"/>
      <c r="C128" s="591">
        <f>C123+C124</f>
        <v>33.286000000000058</v>
      </c>
      <c r="D128" s="596">
        <f t="shared" si="176"/>
        <v>2.7582080845344503</v>
      </c>
      <c r="E128" s="571" t="s">
        <v>90</v>
      </c>
      <c r="F128" s="79"/>
      <c r="G128" s="591">
        <f>G123+G124</f>
        <v>41.034000000000162</v>
      </c>
      <c r="H128" s="596">
        <f t="shared" si="177"/>
        <v>3.1489379989041688</v>
      </c>
      <c r="I128" s="602">
        <f t="shared" si="194"/>
        <v>23.27705341585078</v>
      </c>
      <c r="J128" s="79"/>
      <c r="K128" s="591">
        <f>K123+K124</f>
        <v>19.687999999999967</v>
      </c>
      <c r="L128" s="596">
        <f t="shared" si="178"/>
        <v>1.485229928499544</v>
      </c>
      <c r="M128" s="602">
        <f t="shared" si="195"/>
        <v>-52.020275868792012</v>
      </c>
      <c r="N128" s="79"/>
      <c r="O128" s="591">
        <f>O123+O124</f>
        <v>44.345999999999961</v>
      </c>
      <c r="P128" s="596">
        <f t="shared" si="179"/>
        <v>3.0363054381130046</v>
      </c>
      <c r="Q128" s="602">
        <f t="shared" si="196"/>
        <v>125.24380333197907</v>
      </c>
      <c r="R128" s="79"/>
      <c r="S128" s="591">
        <f>S123+S124</f>
        <v>45.576000000000043</v>
      </c>
      <c r="T128" s="596">
        <f t="shared" si="180"/>
        <v>2.8271234130927554</v>
      </c>
      <c r="U128" s="602">
        <f t="shared" si="197"/>
        <v>2.77364362061987</v>
      </c>
      <c r="V128" s="79"/>
      <c r="W128" s="591">
        <f>W123+W124</f>
        <v>-59.557000000000144</v>
      </c>
      <c r="X128" s="596">
        <f t="shared" si="181"/>
        <v>-3.5852506099627637</v>
      </c>
      <c r="Y128" s="602">
        <f t="shared" si="198"/>
        <v>-230.67623310514324</v>
      </c>
      <c r="Z128" s="79"/>
      <c r="AA128" s="591">
        <f>AA123+AA124</f>
        <v>-33.918000000000028</v>
      </c>
      <c r="AB128" s="596">
        <f t="shared" si="182"/>
        <v>-2.0666610610054379</v>
      </c>
      <c r="AC128" s="602">
        <f t="shared" si="199"/>
        <v>-43.049515590107049</v>
      </c>
      <c r="AD128" s="79"/>
      <c r="AE128" s="591">
        <f>AE123+AE124</f>
        <v>-22.302999999999994</v>
      </c>
      <c r="AF128" s="596">
        <f t="shared" si="183"/>
        <v>-1.293889890277812</v>
      </c>
      <c r="AG128" s="602">
        <f t="shared" si="200"/>
        <v>-34.244354030308465</v>
      </c>
      <c r="AI128" s="556">
        <f>AI123+AI124</f>
        <v>-94.927000000000078</v>
      </c>
      <c r="AJ128" s="598">
        <f t="shared" si="184"/>
        <v>-6.2002415381631</v>
      </c>
      <c r="AK128" s="599" t="s">
        <v>90</v>
      </c>
      <c r="AM128" s="556">
        <f>AM123+AM124</f>
        <v>-56.168999999999954</v>
      </c>
      <c r="AN128" s="598">
        <f t="shared" si="185"/>
        <v>-3.4599009010562809</v>
      </c>
      <c r="AO128" s="599">
        <f t="shared" si="201"/>
        <v>-40.829268806556719</v>
      </c>
      <c r="AQ128" s="556">
        <f>AQ123+AQ124</f>
        <v>-88.13300000000001</v>
      </c>
      <c r="AR128" s="598">
        <f t="shared" si="186"/>
        <v>-5.1167826849276903</v>
      </c>
      <c r="AS128" s="599">
        <f t="shared" si="202"/>
        <v>56.906834730901522</v>
      </c>
      <c r="AU128" s="556">
        <f>AU123+AU124</f>
        <v>-52.998643169999951</v>
      </c>
      <c r="AV128" s="598">
        <f t="shared" si="187"/>
        <v>-2.8700615566339973</v>
      </c>
      <c r="AW128" s="644">
        <f t="shared" si="203"/>
        <v>-39.865154743399245</v>
      </c>
      <c r="AX128" s="57"/>
      <c r="AY128" s="558">
        <f>AY123+AY124</f>
        <v>-49.776442867707594</v>
      </c>
      <c r="AZ128" s="645">
        <f t="shared" si="188"/>
        <v>-2.4537530571838695</v>
      </c>
      <c r="BA128" s="644">
        <f t="shared" si="189"/>
        <v>-6.079778857652518</v>
      </c>
      <c r="BB128" s="57"/>
      <c r="BC128" s="558">
        <f>BC123+BC124</f>
        <v>8.7969999999998301</v>
      </c>
      <c r="BD128" s="645">
        <f t="shared" si="190"/>
        <v>0.40504638902317519</v>
      </c>
      <c r="BE128" s="599">
        <f t="shared" si="191"/>
        <v>-117.67301858708525</v>
      </c>
      <c r="BF128" s="57"/>
      <c r="BG128" s="558">
        <f>BG123+BG124</f>
        <v>59.975000000000165</v>
      </c>
      <c r="BH128" s="558"/>
      <c r="BI128" s="645">
        <f t="shared" si="192"/>
        <v>2.5770460499545247</v>
      </c>
      <c r="BJ128" s="599">
        <f t="shared" si="193"/>
        <v>581.76651131068922</v>
      </c>
      <c r="BN128" s="559"/>
    </row>
    <row r="129" spans="1:63" hidden="1" outlineLevel="2">
      <c r="A129" s="569" t="s">
        <v>88</v>
      </c>
      <c r="B129" s="79"/>
      <c r="C129" s="591">
        <f>C123+C124+C125</f>
        <v>93.018000000000029</v>
      </c>
      <c r="D129" s="596">
        <f t="shared" si="176"/>
        <v>4.6640830306862364</v>
      </c>
      <c r="E129" s="571" t="s">
        <v>90</v>
      </c>
      <c r="F129" s="79"/>
      <c r="G129" s="591">
        <f>G123+G124+G125</f>
        <v>100.08800000000019</v>
      </c>
      <c r="H129" s="596">
        <f t="shared" si="177"/>
        <v>4.7418081483601222</v>
      </c>
      <c r="I129" s="602">
        <f t="shared" si="194"/>
        <v>7.6006794383884468</v>
      </c>
      <c r="J129" s="79"/>
      <c r="K129" s="591">
        <f>K123+K124+K125</f>
        <v>82.366999999999933</v>
      </c>
      <c r="L129" s="596">
        <f t="shared" si="178"/>
        <v>3.7724848192832861</v>
      </c>
      <c r="M129" s="602">
        <f t="shared" si="195"/>
        <v>-17.705419231076881</v>
      </c>
      <c r="N129" s="79"/>
      <c r="O129" s="591">
        <f>O123+O124+O125</f>
        <v>156.54099999999994</v>
      </c>
      <c r="P129" s="596">
        <f t="shared" si="179"/>
        <v>6.425764301482749</v>
      </c>
      <c r="Q129" s="602">
        <f t="shared" si="196"/>
        <v>90.053055228428946</v>
      </c>
      <c r="R129" s="79"/>
      <c r="S129" s="591">
        <f>S123+S124+S125</f>
        <v>144.28899999999999</v>
      </c>
      <c r="T129" s="596">
        <f t="shared" si="180"/>
        <v>5.4569597235837302</v>
      </c>
      <c r="U129" s="602">
        <f t="shared" si="197"/>
        <v>-7.8267035473134516</v>
      </c>
      <c r="V129" s="79"/>
      <c r="W129" s="591">
        <f>W123+W124+W125</f>
        <v>-10.25900000000015</v>
      </c>
      <c r="X129" s="596">
        <f t="shared" si="181"/>
        <v>-0.3857803883374723</v>
      </c>
      <c r="Y129" s="602">
        <f t="shared" si="198"/>
        <v>-107.11003610808874</v>
      </c>
      <c r="Z129" s="79"/>
      <c r="AA129" s="591">
        <f>AA123+AA124+AA125</f>
        <v>18.49799999999999</v>
      </c>
      <c r="AB129" s="596">
        <f t="shared" si="182"/>
        <v>0.70163487221657872</v>
      </c>
      <c r="AC129" s="602">
        <f t="shared" si="199"/>
        <v>-280.30997173213495</v>
      </c>
      <c r="AD129" s="79"/>
      <c r="AE129" s="591">
        <f>AE123+AE124+AE125</f>
        <v>38.546000000000035</v>
      </c>
      <c r="AF129" s="596">
        <f t="shared" si="183"/>
        <v>1.4000985074236543</v>
      </c>
      <c r="AG129" s="602">
        <f t="shared" si="200"/>
        <v>108.3792842469459</v>
      </c>
      <c r="AI129" s="556">
        <f>AI123+AI124+AI125</f>
        <v>-81.465000000000231</v>
      </c>
      <c r="AJ129" s="598">
        <f t="shared" si="184"/>
        <v>-3.3895801564037633</v>
      </c>
      <c r="AK129" s="599" t="s">
        <v>90</v>
      </c>
      <c r="AM129" s="556">
        <f>AM123+AM124+AM125</f>
        <v>-61.602000000000075</v>
      </c>
      <c r="AN129" s="598">
        <f t="shared" si="185"/>
        <v>-2.4823360925591205</v>
      </c>
      <c r="AO129" s="599">
        <f t="shared" si="201"/>
        <v>-24.382250046032162</v>
      </c>
      <c r="AQ129" s="556">
        <f>AQ123+AQ124+AQ125</f>
        <v>-111.80500000000004</v>
      </c>
      <c r="AR129" s="598">
        <f t="shared" si="186"/>
        <v>-4.2655869135509512</v>
      </c>
      <c r="AS129" s="599">
        <f t="shared" si="202"/>
        <v>81.49573065809534</v>
      </c>
      <c r="AU129" s="556">
        <f>AU123+AU124+AU125</f>
        <v>-74.595910450000019</v>
      </c>
      <c r="AV129" s="598">
        <f t="shared" si="187"/>
        <v>-2.6504172724068038</v>
      </c>
      <c r="AW129" s="644">
        <f t="shared" si="203"/>
        <v>-33.280344841465059</v>
      </c>
      <c r="AX129" s="57"/>
      <c r="AY129" s="558">
        <f>AY123+AY124+AY125</f>
        <v>-74.311442867707598</v>
      </c>
      <c r="AZ129" s="645">
        <f t="shared" si="188"/>
        <v>-2.402501641964979</v>
      </c>
      <c r="BA129" s="644">
        <f t="shared" si="189"/>
        <v>-0.38134474205940849</v>
      </c>
      <c r="BB129" s="57"/>
      <c r="BC129" s="558">
        <f>BC123+BC124+BC125</f>
        <v>-49.426000000000315</v>
      </c>
      <c r="BD129" s="645">
        <f t="shared" si="190"/>
        <v>-1.4846467948798914</v>
      </c>
      <c r="BE129" s="599">
        <f t="shared" si="191"/>
        <v>-33.488036172315226</v>
      </c>
      <c r="BF129" s="57"/>
      <c r="BG129" s="558">
        <f>BG123+BG124+BG125</f>
        <v>82.173730000000177</v>
      </c>
      <c r="BH129" s="558"/>
      <c r="BI129" s="645">
        <f t="shared" si="192"/>
        <v>2.3094425409965811</v>
      </c>
      <c r="BJ129" s="599">
        <f t="shared" si="193"/>
        <v>-266.25607979605803</v>
      </c>
    </row>
    <row r="130" spans="1:63" outlineLevel="1" collapsed="1">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row>
    <row r="131" spans="1:63" outlineLevel="2">
      <c r="A131" s="565" t="s">
        <v>358</v>
      </c>
      <c r="B131" s="566"/>
      <c r="C131" s="566"/>
      <c r="D131" s="566"/>
      <c r="E131" s="566"/>
      <c r="F131" s="566"/>
      <c r="G131" s="566"/>
      <c r="H131" s="566"/>
      <c r="I131" s="566"/>
      <c r="J131" s="566"/>
      <c r="K131" s="566"/>
      <c r="L131" s="566"/>
      <c r="M131" s="566"/>
      <c r="N131" s="566"/>
      <c r="O131" s="566"/>
      <c r="P131" s="566"/>
      <c r="Q131" s="566"/>
      <c r="R131" s="566"/>
      <c r="S131" s="566"/>
      <c r="T131" s="566"/>
      <c r="U131" s="566"/>
      <c r="V131" s="566"/>
      <c r="W131" s="566"/>
      <c r="X131" s="566"/>
      <c r="Y131" s="566"/>
      <c r="Z131" s="566"/>
      <c r="AA131" s="566"/>
      <c r="AB131" s="566"/>
      <c r="AC131" s="566"/>
      <c r="AD131" s="566"/>
      <c r="AE131" s="566"/>
      <c r="AF131" s="566"/>
      <c r="AG131" s="566"/>
      <c r="AH131" s="420"/>
      <c r="AI131" s="420"/>
      <c r="AJ131" s="420"/>
      <c r="AK131" s="420"/>
      <c r="AL131" s="420"/>
      <c r="AM131" s="420"/>
      <c r="AN131" s="420"/>
      <c r="AO131" s="420"/>
      <c r="AP131" s="420"/>
      <c r="AQ131" s="420"/>
      <c r="AR131" s="420"/>
      <c r="AS131" s="420"/>
      <c r="AT131" s="420"/>
      <c r="AU131" s="420"/>
      <c r="AV131" s="420"/>
      <c r="AW131" s="420"/>
      <c r="AX131" s="420"/>
      <c r="AY131" s="420"/>
      <c r="AZ131" s="420"/>
      <c r="BA131" s="420"/>
      <c r="BC131" s="420"/>
      <c r="BD131" s="420"/>
      <c r="BE131" s="420"/>
      <c r="BG131" s="420"/>
      <c r="BH131" s="420"/>
      <c r="BI131" s="420"/>
      <c r="BJ131" s="420"/>
    </row>
    <row r="132" spans="1:63" outlineLevel="1">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row>
    <row r="133" spans="1:63" outlineLevel="1">
      <c r="A133" s="569" t="s">
        <v>79</v>
      </c>
      <c r="B133" s="79"/>
      <c r="C133" s="646">
        <v>-12.398999999999999</v>
      </c>
      <c r="D133" s="596">
        <f>(C133/C123)*100</f>
        <v>37.600072780203767</v>
      </c>
      <c r="E133" s="571" t="s">
        <v>90</v>
      </c>
      <c r="F133" s="79"/>
      <c r="G133" s="646">
        <v>-9.766</v>
      </c>
      <c r="H133" s="596">
        <f>(G133/G123)*100</f>
        <v>37.810213326106421</v>
      </c>
      <c r="I133" s="602">
        <f>(G133/C133-1)*100</f>
        <v>-21.235583514799572</v>
      </c>
      <c r="J133" s="79"/>
      <c r="K133" s="646">
        <v>-9.9610000000000003</v>
      </c>
      <c r="L133" s="596">
        <f>(K133/K123)*100</f>
        <v>38.704538389804092</v>
      </c>
      <c r="M133" s="602">
        <f>(K133/G133-1)*100</f>
        <v>1.9967233258243011</v>
      </c>
      <c r="N133" s="79"/>
      <c r="O133" s="646">
        <v>-11.89</v>
      </c>
      <c r="P133" s="596">
        <f>(O133/O123)*100</f>
        <v>41.638942391875304</v>
      </c>
      <c r="Q133" s="602">
        <f>(O133/K133-1)*100</f>
        <v>19.365525549643614</v>
      </c>
      <c r="R133" s="79"/>
      <c r="S133" s="646">
        <v>-10.042</v>
      </c>
      <c r="T133" s="596">
        <f>(S133/S123)*100</f>
        <v>38.87727448703064</v>
      </c>
      <c r="U133" s="602">
        <f>(S133/O133-1)*100</f>
        <v>-15.542472666105978</v>
      </c>
      <c r="V133" s="79"/>
      <c r="W133" s="646">
        <v>-38.25</v>
      </c>
      <c r="X133" s="596">
        <f>(W133/W123)*100</f>
        <v>42.940377426271645</v>
      </c>
      <c r="Y133" s="602">
        <f>(W133/S133-1)*100</f>
        <v>280.9002190798646</v>
      </c>
      <c r="Z133" s="79"/>
      <c r="AA133" s="646">
        <v>-33.353999999999999</v>
      </c>
      <c r="AB133" s="596">
        <f>(AA133/AA123)*100</f>
        <v>40.407540220973075</v>
      </c>
      <c r="AC133" s="602">
        <f>(AA133/W133-1)*100</f>
        <v>-12.8</v>
      </c>
      <c r="AD133" s="79"/>
      <c r="AE133" s="647">
        <v>-23.939</v>
      </c>
      <c r="AF133" s="596">
        <f>(AE133/AE123)*100</f>
        <v>44.442587951359876</v>
      </c>
      <c r="AG133" s="602">
        <f>(AE133/AA133-1)*100</f>
        <v>-28.227498950650599</v>
      </c>
      <c r="AH133" s="57"/>
      <c r="AI133" s="451">
        <f>-35.477</f>
        <v>-35.476999999999997</v>
      </c>
      <c r="AJ133" s="645">
        <f>(AI133/AI123)*100</f>
        <v>53.307989361542262</v>
      </c>
      <c r="AK133" s="644">
        <f>(AI133/AE133-1)*100</f>
        <v>48.197501984209843</v>
      </c>
      <c r="AL133" s="57"/>
      <c r="AM133" s="451">
        <f>3.588</f>
        <v>3.5880000000000001</v>
      </c>
      <c r="AN133" s="645">
        <f>(AM133/AM123)*100</f>
        <v>40.768094534711871</v>
      </c>
      <c r="AO133" s="644">
        <f>(AM133/AI133-1)*100</f>
        <v>-110.11359472334188</v>
      </c>
      <c r="AP133" s="65"/>
      <c r="AQ133" s="451">
        <f>-11.181</f>
        <v>-11.180999999999999</v>
      </c>
      <c r="AR133" s="645">
        <f>(AQ133/AQ123)*100</f>
        <v>34.682672622371157</v>
      </c>
      <c r="AS133" s="644">
        <f>(AQ133/AM133-1)*100</f>
        <v>-411.62207357859535</v>
      </c>
      <c r="AT133" s="65"/>
      <c r="AU133" s="451">
        <v>-1.7172039999999993</v>
      </c>
      <c r="AV133" s="645">
        <f>(AU133/AU123)*100</f>
        <v>30.290396024379845</v>
      </c>
      <c r="AW133" s="644">
        <f>(AU133/AQ133-1)*100</f>
        <v>-84.641767283785001</v>
      </c>
      <c r="AY133" s="606">
        <v>-3.0838910000000004</v>
      </c>
      <c r="AZ133" s="645">
        <f>(AY133/AY123)*100</f>
        <v>35.702056318954831</v>
      </c>
      <c r="BA133" s="644">
        <f>(AY133/AU133-1)*100</f>
        <v>79.587923158809431</v>
      </c>
      <c r="BB133" s="644"/>
      <c r="BC133" s="824">
        <v>7.7859999999999996</v>
      </c>
      <c r="BD133" s="645">
        <f t="shared" ref="BD133:BD139" si="204">(BC133/BC123)*100</f>
        <v>39.80572597137018</v>
      </c>
      <c r="BE133" s="644">
        <f>(BC133/AY133-1)*100</f>
        <v>-352.47325537770297</v>
      </c>
      <c r="BF133" s="644"/>
      <c r="BG133" s="824">
        <v>15.646000000000001</v>
      </c>
      <c r="BH133" s="824"/>
      <c r="BI133" s="645">
        <f>(BG133/BG123)*100</f>
        <v>37.846205945671322</v>
      </c>
      <c r="BJ133" s="644">
        <f t="shared" ref="BJ133:BJ139" si="205">(BG133/BC133-1)*100</f>
        <v>100.95042383765733</v>
      </c>
      <c r="BK133" s="644"/>
    </row>
    <row r="134" spans="1:63" outlineLevel="1">
      <c r="A134" s="569" t="s">
        <v>80</v>
      </c>
      <c r="B134" s="79"/>
      <c r="C134" s="650">
        <v>24.997</v>
      </c>
      <c r="D134" s="596">
        <f t="shared" ref="D134:D139" si="206">(C134/C124)*100</f>
        <v>37.724487639974605</v>
      </c>
      <c r="E134" s="571" t="s">
        <v>90</v>
      </c>
      <c r="F134" s="79"/>
      <c r="G134" s="650">
        <v>25.282</v>
      </c>
      <c r="H134" s="596">
        <f t="shared" ref="H134:H139" si="207">(G134/G124)*100</f>
        <v>37.811644706339784</v>
      </c>
      <c r="I134" s="602">
        <f>(G134/C134-1)*100</f>
        <v>1.1401368164179804</v>
      </c>
      <c r="J134" s="79"/>
      <c r="K134" s="650">
        <v>17.581</v>
      </c>
      <c r="L134" s="596">
        <f t="shared" ref="L134:L139" si="208">(K134/K124)*100</f>
        <v>38.704209228601606</v>
      </c>
      <c r="M134" s="602">
        <f>(K134/G134-1)*100</f>
        <v>-30.460406613400835</v>
      </c>
      <c r="N134" s="79"/>
      <c r="O134" s="650">
        <v>26.585000000000001</v>
      </c>
      <c r="P134" s="596">
        <f t="shared" ref="P134:P139" si="209">(O134/O124)*100</f>
        <v>36.467263823541522</v>
      </c>
      <c r="Q134" s="602">
        <f>(O134/K134-1)*100</f>
        <v>51.214379159319719</v>
      </c>
      <c r="R134" s="79"/>
      <c r="S134" s="650">
        <v>28.643999999999998</v>
      </c>
      <c r="T134" s="596">
        <f t="shared" ref="T134:T139" si="210">(S134/S124)*100</f>
        <v>40.114276111251151</v>
      </c>
      <c r="U134" s="602">
        <f>(S134/O134-1)*100</f>
        <v>7.7449689674628397</v>
      </c>
      <c r="V134" s="79"/>
      <c r="W134" s="650">
        <v>13.414</v>
      </c>
      <c r="X134" s="596">
        <f t="shared" ref="X134:X139" si="211">(W134/W124)*100</f>
        <v>45.440379403794211</v>
      </c>
      <c r="Y134" s="602">
        <f t="shared" ref="Y134:Y139" si="212">(W134/S134-1)*100</f>
        <v>-53.16994833123865</v>
      </c>
      <c r="Z134" s="79"/>
      <c r="AA134" s="650">
        <v>16.777999999999999</v>
      </c>
      <c r="AB134" s="596">
        <f t="shared" ref="AB134:AB139" si="213">(AA134/AA124)*100</f>
        <v>34.504174721342537</v>
      </c>
      <c r="AC134" s="602">
        <f t="shared" ref="AC134:AC139" si="214">(AA134/W134-1)*100</f>
        <v>25.078276427612934</v>
      </c>
      <c r="AD134" s="79"/>
      <c r="AE134" s="651">
        <v>13.089</v>
      </c>
      <c r="AF134" s="596">
        <f t="shared" ref="AF134:AF139" si="215">(AE134/AE124)*100</f>
        <v>41.470755972371819</v>
      </c>
      <c r="AG134" s="602">
        <f t="shared" ref="AG134:AG139" si="216">(AE134/AA134-1)*100</f>
        <v>-21.987125998331138</v>
      </c>
      <c r="AH134" s="57"/>
      <c r="AI134" s="648">
        <f>-15.856</f>
        <v>-15.856</v>
      </c>
      <c r="AJ134" s="645">
        <f t="shared" ref="AJ134:AJ139" si="217">(AI134/AI124)*100</f>
        <v>55.878206935438278</v>
      </c>
      <c r="AK134" s="644">
        <f t="shared" ref="AK134:AK139" si="218">(AI134/AE134-1)*100</f>
        <v>-221.13988845595537</v>
      </c>
      <c r="AL134" s="57"/>
      <c r="AM134" s="648">
        <f>-24.491</f>
        <v>-24.491</v>
      </c>
      <c r="AN134" s="645">
        <f t="shared" ref="AN134:AN139" si="219">(AM134/AM124)*100</f>
        <v>37.695859627520413</v>
      </c>
      <c r="AO134" s="644">
        <f t="shared" ref="AO134:AO139" si="220">(AM134/AI134-1)*100</f>
        <v>54.45887991927345</v>
      </c>
      <c r="AP134" s="65"/>
      <c r="AQ134" s="648">
        <f>-23.132</f>
        <v>-23.132000000000001</v>
      </c>
      <c r="AR134" s="645">
        <f t="shared" ref="AR134:AR139" si="221">(AQ134/AQ124)*100</f>
        <v>41.384739243223869</v>
      </c>
      <c r="AS134" s="644">
        <f t="shared" ref="AS134:AS139" si="222">(AQ134/AM134-1)*100</f>
        <v>-5.5489771752888721</v>
      </c>
      <c r="AT134" s="65"/>
      <c r="AU134" s="648">
        <v>-16.04417188</v>
      </c>
      <c r="AV134" s="645">
        <f t="shared" ref="AV134:AV139" si="223">(AU134/AU124)*100</f>
        <v>33.898878572985112</v>
      </c>
      <c r="AW134" s="644">
        <f t="shared" ref="AW134:AW139" si="224">(AU134/AQ134-1)*100</f>
        <v>-30.640792495244686</v>
      </c>
      <c r="AY134" s="609">
        <v>-14.176720155696387</v>
      </c>
      <c r="AZ134" s="645">
        <f t="shared" ref="AZ134:AZ139" si="225">(AY134/AY124)*100</f>
        <v>34.460879829478117</v>
      </c>
      <c r="BA134" s="644">
        <f t="shared" ref="BA134:BA139" si="226">(AY134/AU134-1)*100</f>
        <v>-11.639439780818483</v>
      </c>
      <c r="BB134" s="644"/>
      <c r="BC134" s="652">
        <v>-4.2930000000000001</v>
      </c>
      <c r="BD134" s="645">
        <f t="shared" si="204"/>
        <v>39.886648703892405</v>
      </c>
      <c r="BE134" s="644">
        <f t="shared" ref="BE134:BE139" si="227">(BC134/AY134-1)*100</f>
        <v>-69.71796048132461</v>
      </c>
      <c r="BF134" s="644"/>
      <c r="BG134" s="652">
        <v>7.6859999999999999</v>
      </c>
      <c r="BH134" s="652"/>
      <c r="BI134" s="645">
        <f>(BG134/BG124)*100</f>
        <v>41.247182569496367</v>
      </c>
      <c r="BJ134" s="644">
        <f t="shared" si="205"/>
        <v>-279.03563941299791</v>
      </c>
      <c r="BK134" s="644"/>
    </row>
    <row r="135" spans="1:63" outlineLevel="1">
      <c r="A135" s="569" t="s">
        <v>81</v>
      </c>
      <c r="B135" s="79"/>
      <c r="C135" s="650">
        <v>22.425999999999998</v>
      </c>
      <c r="D135" s="596">
        <f t="shared" si="206"/>
        <v>37.544364829572103</v>
      </c>
      <c r="E135" s="571" t="s">
        <v>90</v>
      </c>
      <c r="F135" s="79"/>
      <c r="G135" s="650">
        <v>22.327999999999999</v>
      </c>
      <c r="H135" s="596">
        <f t="shared" si="207"/>
        <v>37.809462525823804</v>
      </c>
      <c r="I135" s="602">
        <f>(G135/C135-1)*100</f>
        <v>-0.43699277624186239</v>
      </c>
      <c r="J135" s="79"/>
      <c r="K135" s="650">
        <v>23.606999999999999</v>
      </c>
      <c r="L135" s="596">
        <f t="shared" si="208"/>
        <v>37.66333221653187</v>
      </c>
      <c r="M135" s="602">
        <f>(K135/G135-1)*100</f>
        <v>5.7282336080257901</v>
      </c>
      <c r="N135" s="79"/>
      <c r="O135" s="650">
        <v>42.673999999999999</v>
      </c>
      <c r="P135" s="596">
        <f t="shared" si="209"/>
        <v>38.035563082133791</v>
      </c>
      <c r="Q135" s="602">
        <f>(O135/K135-1)*100</f>
        <v>80.768416147752788</v>
      </c>
      <c r="R135" s="79"/>
      <c r="S135" s="650">
        <v>36.811</v>
      </c>
      <c r="T135" s="596">
        <f t="shared" si="210"/>
        <v>37.290934324759675</v>
      </c>
      <c r="U135" s="602">
        <f>(S135/O135-1)*100</f>
        <v>-13.739044851666115</v>
      </c>
      <c r="V135" s="79"/>
      <c r="W135" s="650">
        <v>15.042</v>
      </c>
      <c r="X135" s="596">
        <f t="shared" si="211"/>
        <v>30.512394011927462</v>
      </c>
      <c r="Y135" s="602">
        <f t="shared" si="212"/>
        <v>-59.137214419602834</v>
      </c>
      <c r="Z135" s="79"/>
      <c r="AA135" s="650">
        <v>17.109000000000002</v>
      </c>
      <c r="AB135" s="596">
        <f t="shared" si="213"/>
        <v>32.640796703296694</v>
      </c>
      <c r="AC135" s="602">
        <f t="shared" si="214"/>
        <v>13.74152373354609</v>
      </c>
      <c r="AD135" s="79"/>
      <c r="AE135" s="651">
        <v>-99.944000000000003</v>
      </c>
      <c r="AF135" s="596">
        <f t="shared" si="215"/>
        <v>-164.24920705352585</v>
      </c>
      <c r="AG135" s="602">
        <f t="shared" si="216"/>
        <v>-684.16038342392881</v>
      </c>
      <c r="AH135" s="57"/>
      <c r="AI135" s="648">
        <f>5.951</f>
        <v>5.9509999999999996</v>
      </c>
      <c r="AJ135" s="645">
        <f t="shared" si="217"/>
        <v>44.205912940128258</v>
      </c>
      <c r="AK135" s="644">
        <f t="shared" si="218"/>
        <v>-105.95433442727928</v>
      </c>
      <c r="AL135" s="57"/>
      <c r="AM135" s="648">
        <f>-2.638</f>
        <v>-2.6379999999999999</v>
      </c>
      <c r="AN135" s="645">
        <f t="shared" si="219"/>
        <v>48.555126081353606</v>
      </c>
      <c r="AO135" s="644">
        <f t="shared" si="220"/>
        <v>-144.32868425474709</v>
      </c>
      <c r="AP135" s="65"/>
      <c r="AQ135" s="648">
        <f>-13.395</f>
        <v>-13.395</v>
      </c>
      <c r="AR135" s="645">
        <f t="shared" si="221"/>
        <v>56.585839810746833</v>
      </c>
      <c r="AS135" s="644">
        <f t="shared" si="222"/>
        <v>407.77103866565579</v>
      </c>
      <c r="AT135" s="65"/>
      <c r="AU135" s="648">
        <v>-14.20327412</v>
      </c>
      <c r="AV135" s="645">
        <f t="shared" si="223"/>
        <v>65.76421885167295</v>
      </c>
      <c r="AW135" s="644">
        <f t="shared" si="224"/>
        <v>6.0341479656588204</v>
      </c>
      <c r="AY135" s="609">
        <v>-7.6779999999999999</v>
      </c>
      <c r="AZ135" s="645">
        <f t="shared" si="225"/>
        <v>31.294069696352146</v>
      </c>
      <c r="BA135" s="644">
        <f t="shared" si="226"/>
        <v>-45.942041707211658</v>
      </c>
      <c r="BB135" s="644"/>
      <c r="BC135" s="652">
        <v>-24.009</v>
      </c>
      <c r="BD135" s="645">
        <f t="shared" si="204"/>
        <v>41.236281194716767</v>
      </c>
      <c r="BE135" s="644">
        <f t="shared" si="227"/>
        <v>212.6986194321438</v>
      </c>
      <c r="BF135" s="644"/>
      <c r="BG135" s="648">
        <f>BG125*BI135%</f>
        <v>8.657504700000004</v>
      </c>
      <c r="BH135" s="648"/>
      <c r="BI135" s="649">
        <v>39</v>
      </c>
      <c r="BJ135" s="644">
        <f t="shared" si="205"/>
        <v>-136.05941396976135</v>
      </c>
      <c r="BK135" s="644"/>
    </row>
    <row r="136" spans="1:63" outlineLevel="1">
      <c r="A136" s="569" t="s">
        <v>82</v>
      </c>
      <c r="B136" s="79"/>
      <c r="C136" s="653">
        <v>5.6289999999999996</v>
      </c>
      <c r="D136" s="596">
        <f t="shared" si="206"/>
        <v>38.823367128767394</v>
      </c>
      <c r="E136" s="571" t="s">
        <v>90</v>
      </c>
      <c r="F136" s="79"/>
      <c r="G136" s="653">
        <v>2.6619999999999999</v>
      </c>
      <c r="H136" s="596">
        <f t="shared" si="207"/>
        <v>36.435806186695842</v>
      </c>
      <c r="I136" s="602">
        <f>(G136/C136-1)*100</f>
        <v>-52.709184579854316</v>
      </c>
      <c r="J136" s="79"/>
      <c r="K136" s="653">
        <v>11.177</v>
      </c>
      <c r="L136" s="596">
        <f t="shared" si="208"/>
        <v>26.512168508942509</v>
      </c>
      <c r="M136" s="602">
        <f>(K136/G136-1)*100</f>
        <v>319.87227648384675</v>
      </c>
      <c r="N136" s="79"/>
      <c r="O136" s="653">
        <v>8.8339999999999996</v>
      </c>
      <c r="P136" s="596">
        <f t="shared" si="209"/>
        <v>29.127237957070847</v>
      </c>
      <c r="Q136" s="602">
        <f>(O136/K136-1)*100</f>
        <v>-20.962691240941222</v>
      </c>
      <c r="R136" s="79"/>
      <c r="S136" s="586">
        <f>S137-SUM(S133:S135)</f>
        <v>-8.6239999999999952</v>
      </c>
      <c r="T136" s="596">
        <f t="shared" si="210"/>
        <v>39.416792357969967</v>
      </c>
      <c r="U136" s="602">
        <f>(S136/O136-1)*100</f>
        <v>-197.62282091917584</v>
      </c>
      <c r="V136" s="79"/>
      <c r="W136" s="653">
        <f>W137-SUM(W133:W135)</f>
        <v>-15.631000000000002</v>
      </c>
      <c r="X136" s="596">
        <f t="shared" si="211"/>
        <v>49.209797254754143</v>
      </c>
      <c r="Y136" s="602">
        <f t="shared" si="212"/>
        <v>81.250000000000128</v>
      </c>
      <c r="Z136" s="79"/>
      <c r="AA136" s="653">
        <f>AA137-SUM(AA133:AA135)</f>
        <v>-25.837</v>
      </c>
      <c r="AB136" s="596">
        <f t="shared" si="213"/>
        <v>47.272893605342773</v>
      </c>
      <c r="AC136" s="602">
        <f t="shared" si="214"/>
        <v>65.293327362292857</v>
      </c>
      <c r="AD136" s="79"/>
      <c r="AE136" s="586">
        <f>AE137-SUM(AE133:AE135)</f>
        <v>-36.595000000000013</v>
      </c>
      <c r="AF136" s="596">
        <f t="shared" si="215"/>
        <v>112.53075030750273</v>
      </c>
      <c r="AG136" s="602">
        <f t="shared" si="216"/>
        <v>41.637961063591035</v>
      </c>
      <c r="AH136" s="57"/>
      <c r="AI136" s="654">
        <f>AI137-SUM(AI133:AI135)</f>
        <v>15.628999999999998</v>
      </c>
      <c r="AJ136" s="645">
        <f t="shared" si="217"/>
        <v>42.780499822078554</v>
      </c>
      <c r="AK136" s="644">
        <f t="shared" si="218"/>
        <v>-142.70802022134168</v>
      </c>
      <c r="AL136" s="57"/>
      <c r="AM136" s="654">
        <f>AM137-SUM(AM133:AM135)</f>
        <v>45.670999999999992</v>
      </c>
      <c r="AN136" s="645">
        <f t="shared" si="219"/>
        <v>39.807373834219554</v>
      </c>
      <c r="AO136" s="644">
        <f t="shared" si="220"/>
        <v>192.21959178450314</v>
      </c>
      <c r="AP136" s="65"/>
      <c r="AQ136" s="654">
        <f>AQ137-SUM(AQ133:AQ135)</f>
        <v>43.56</v>
      </c>
      <c r="AR136" s="645">
        <f t="shared" si="221"/>
        <v>42.964935641366985</v>
      </c>
      <c r="AS136" s="644">
        <f t="shared" si="222"/>
        <v>-4.6221891353375071</v>
      </c>
      <c r="AT136" s="65"/>
      <c r="AU136" s="654">
        <v>37.499505870995534</v>
      </c>
      <c r="AV136" s="645">
        <f t="shared" si="223"/>
        <v>34.597583029670176</v>
      </c>
      <c r="AW136" s="644">
        <f t="shared" si="224"/>
        <v>-13.91298009413331</v>
      </c>
      <c r="AY136" s="614">
        <v>41.192999999999998</v>
      </c>
      <c r="AZ136" s="645">
        <f t="shared" si="225"/>
        <v>39.314925985664757</v>
      </c>
      <c r="BA136" s="644">
        <f t="shared" si="226"/>
        <v>9.8494474612830665</v>
      </c>
      <c r="BB136" s="644"/>
      <c r="BC136" s="820">
        <v>59.597000000000001</v>
      </c>
      <c r="BD136" s="645">
        <f t="shared" si="204"/>
        <v>36.396892672619103</v>
      </c>
      <c r="BE136" s="644">
        <f t="shared" si="227"/>
        <v>44.677493748937948</v>
      </c>
      <c r="BF136" s="644"/>
      <c r="BG136" s="654">
        <f>BG126*BI136%</f>
        <v>67.671791588799834</v>
      </c>
      <c r="BH136" s="1201"/>
      <c r="BI136" s="649">
        <v>39.200000000000003</v>
      </c>
      <c r="BJ136" s="644">
        <f t="shared" si="205"/>
        <v>13.548990031041551</v>
      </c>
      <c r="BK136" s="644"/>
    </row>
    <row r="137" spans="1:63" outlineLevel="1">
      <c r="A137" s="569" t="s">
        <v>85</v>
      </c>
      <c r="B137" s="79"/>
      <c r="C137" s="646">
        <v>43.414000000000001</v>
      </c>
      <c r="D137" s="596">
        <f t="shared" si="206"/>
        <v>35.759942011795324</v>
      </c>
      <c r="E137" s="571" t="s">
        <v>90</v>
      </c>
      <c r="F137" s="79"/>
      <c r="G137" s="646">
        <v>42.82</v>
      </c>
      <c r="H137" s="596">
        <f t="shared" si="207"/>
        <v>35.870457553571114</v>
      </c>
      <c r="I137" s="602">
        <f>(G137/C137-1)*100</f>
        <v>-1.3682222324595816</v>
      </c>
      <c r="J137" s="79"/>
      <c r="K137" s="646">
        <v>42.640999999999998</v>
      </c>
      <c r="L137" s="596">
        <f t="shared" si="208"/>
        <v>34.02705182938994</v>
      </c>
      <c r="M137" s="602">
        <f>(K137/G137-1)*100</f>
        <v>-0.41802895843064958</v>
      </c>
      <c r="N137" s="79"/>
      <c r="O137" s="646">
        <v>66.203999999999994</v>
      </c>
      <c r="P137" s="596">
        <f t="shared" si="209"/>
        <v>35.264977388099048</v>
      </c>
      <c r="Q137" s="602">
        <f>(O137/K137-1)*100</f>
        <v>55.25902300602705</v>
      </c>
      <c r="R137" s="79"/>
      <c r="S137" s="646">
        <v>46.789000000000001</v>
      </c>
      <c r="T137" s="596">
        <f t="shared" si="210"/>
        <v>38.223184380361033</v>
      </c>
      <c r="U137" s="602">
        <f>(S137/O137-1)*100</f>
        <v>-29.326022596821932</v>
      </c>
      <c r="V137" s="79"/>
      <c r="W137" s="646">
        <v>-25.425000000000001</v>
      </c>
      <c r="X137" s="596">
        <f t="shared" si="211"/>
        <v>60.502581919425189</v>
      </c>
      <c r="Y137" s="602">
        <f t="shared" si="212"/>
        <v>-154.33969522751073</v>
      </c>
      <c r="Z137" s="79"/>
      <c r="AA137" s="646">
        <v>-25.303999999999998</v>
      </c>
      <c r="AB137" s="596">
        <f t="shared" si="213"/>
        <v>69.983682274524938</v>
      </c>
      <c r="AC137" s="602">
        <f t="shared" si="214"/>
        <v>-0.47590953785644485</v>
      </c>
      <c r="AD137" s="79"/>
      <c r="AE137" s="647">
        <f>-147.389</f>
        <v>-147.38900000000001</v>
      </c>
      <c r="AF137" s="596">
        <f t="shared" si="215"/>
        <v>-2445.8845004978175</v>
      </c>
      <c r="AG137" s="602">
        <f t="shared" si="216"/>
        <v>482.47312677837505</v>
      </c>
      <c r="AH137" s="57"/>
      <c r="AI137" s="451">
        <f>-29.753</f>
        <v>-29.753</v>
      </c>
      <c r="AJ137" s="645">
        <f t="shared" si="217"/>
        <v>66.217840291996595</v>
      </c>
      <c r="AK137" s="644">
        <f t="shared" si="218"/>
        <v>-79.813283216522265</v>
      </c>
      <c r="AL137" s="57"/>
      <c r="AM137" s="451">
        <f>22.13</f>
        <v>22.13</v>
      </c>
      <c r="AN137" s="645">
        <f t="shared" si="219"/>
        <v>41.65411835566956</v>
      </c>
      <c r="AO137" s="644">
        <f t="shared" si="220"/>
        <v>-174.37905421302054</v>
      </c>
      <c r="AP137" s="65"/>
      <c r="AQ137" s="451">
        <f>-4.148</f>
        <v>-4.1479999999999997</v>
      </c>
      <c r="AR137" s="645">
        <f t="shared" si="221"/>
        <v>39.808061420346078</v>
      </c>
      <c r="AS137" s="644">
        <f t="shared" si="222"/>
        <v>-118.7437867148667</v>
      </c>
      <c r="AT137" s="65"/>
      <c r="AU137" s="451">
        <v>5.4798558709955358</v>
      </c>
      <c r="AV137" s="645">
        <f t="shared" si="223"/>
        <v>16.216556377819369</v>
      </c>
      <c r="AW137" s="644">
        <f t="shared" si="224"/>
        <v>-232.10838647530224</v>
      </c>
      <c r="AY137" s="574">
        <v>16.207999999999998</v>
      </c>
      <c r="AZ137" s="645">
        <f t="shared" si="225"/>
        <v>50.089622349960116</v>
      </c>
      <c r="BA137" s="644">
        <f t="shared" si="226"/>
        <v>195.77420248929758</v>
      </c>
      <c r="BB137" s="644"/>
      <c r="BC137" s="451">
        <f>SUM(BC133:BC136)</f>
        <v>39.081000000000003</v>
      </c>
      <c r="BD137" s="645">
        <f t="shared" si="204"/>
        <v>34.186815493894173</v>
      </c>
      <c r="BE137" s="644">
        <f t="shared" si="227"/>
        <v>141.12166831194477</v>
      </c>
      <c r="BF137" s="644"/>
      <c r="BG137" s="451">
        <f>SUM(BG133:BG136)</f>
        <v>99.661296288799832</v>
      </c>
      <c r="BH137" s="451"/>
      <c r="BI137" s="645">
        <f>(BG137/BG127)*100</f>
        <v>39.112640365683511</v>
      </c>
      <c r="BJ137" s="644">
        <f t="shared" si="205"/>
        <v>155.01214474757509</v>
      </c>
      <c r="BK137" s="644"/>
    </row>
    <row r="138" spans="1:63" hidden="1" outlineLevel="2">
      <c r="A138" s="569" t="s">
        <v>87</v>
      </c>
      <c r="B138" s="79"/>
      <c r="C138" s="655">
        <f>C133+C134</f>
        <v>12.598000000000001</v>
      </c>
      <c r="D138" s="596">
        <f t="shared" si="206"/>
        <v>37.847743796190528</v>
      </c>
      <c r="E138" s="571" t="s">
        <v>90</v>
      </c>
      <c r="F138" s="79"/>
      <c r="G138" s="655">
        <f>G133+G134</f>
        <v>15.516</v>
      </c>
      <c r="H138" s="596">
        <f t="shared" si="207"/>
        <v>37.812545693814734</v>
      </c>
      <c r="I138" s="603" t="s">
        <v>90</v>
      </c>
      <c r="J138" s="79"/>
      <c r="K138" s="655">
        <f>K133+K134</f>
        <v>7.6199999999999992</v>
      </c>
      <c r="L138" s="596">
        <f t="shared" si="208"/>
        <v>38.703778951645731</v>
      </c>
      <c r="M138" s="603" t="s">
        <v>90</v>
      </c>
      <c r="N138" s="79"/>
      <c r="O138" s="655">
        <f>O133+O134</f>
        <v>14.695</v>
      </c>
      <c r="P138" s="596">
        <f t="shared" si="209"/>
        <v>33.137148784557823</v>
      </c>
      <c r="Q138" s="603" t="s">
        <v>90</v>
      </c>
      <c r="R138" s="79"/>
      <c r="S138" s="655">
        <f>S133+S134</f>
        <v>18.601999999999997</v>
      </c>
      <c r="T138" s="596">
        <f t="shared" si="210"/>
        <v>40.815341407758424</v>
      </c>
      <c r="U138" s="603" t="s">
        <v>90</v>
      </c>
      <c r="V138" s="79"/>
      <c r="W138" s="655">
        <f>W133+W134</f>
        <v>-24.835999999999999</v>
      </c>
      <c r="X138" s="596">
        <f t="shared" si="211"/>
        <v>41.701227395604107</v>
      </c>
      <c r="Y138" s="602">
        <f t="shared" si="212"/>
        <v>-233.51252553488874</v>
      </c>
      <c r="Z138" s="79"/>
      <c r="AA138" s="655">
        <f>AA133+AA134</f>
        <v>-16.576000000000001</v>
      </c>
      <c r="AB138" s="596">
        <f t="shared" si="213"/>
        <v>48.870806061678131</v>
      </c>
      <c r="AC138" s="602">
        <f t="shared" si="214"/>
        <v>-33.258173618940248</v>
      </c>
      <c r="AD138" s="79"/>
      <c r="AE138" s="655">
        <f>AE133+AE134</f>
        <v>-10.85</v>
      </c>
      <c r="AF138" s="596">
        <f t="shared" si="215"/>
        <v>48.64816392413578</v>
      </c>
      <c r="AG138" s="602">
        <f t="shared" si="216"/>
        <v>-34.543918918918926</v>
      </c>
      <c r="AH138" s="57"/>
      <c r="AI138" s="656">
        <f>AI133+AI134</f>
        <v>-51.332999999999998</v>
      </c>
      <c r="AJ138" s="645">
        <f t="shared" si="217"/>
        <v>54.076290201944609</v>
      </c>
      <c r="AK138" s="644">
        <f t="shared" si="218"/>
        <v>373.11520737327191</v>
      </c>
      <c r="AL138" s="57"/>
      <c r="AM138" s="656">
        <f>AM133+AM134</f>
        <v>-20.902999999999999</v>
      </c>
      <c r="AN138" s="645">
        <f t="shared" si="219"/>
        <v>37.214477736829956</v>
      </c>
      <c r="AO138" s="644">
        <f t="shared" si="220"/>
        <v>-59.279605711725402</v>
      </c>
      <c r="AP138" s="65"/>
      <c r="AQ138" s="656">
        <f>AQ133+AQ134</f>
        <v>-34.313000000000002</v>
      </c>
      <c r="AR138" s="645">
        <f t="shared" si="221"/>
        <v>38.933203226941096</v>
      </c>
      <c r="AS138" s="644">
        <f t="shared" si="222"/>
        <v>64.153470793666003</v>
      </c>
      <c r="AT138" s="65"/>
      <c r="AU138" s="656">
        <f>AU133+AU134</f>
        <v>-17.761375879999999</v>
      </c>
      <c r="AV138" s="645">
        <f t="shared" si="223"/>
        <v>33.512887911164263</v>
      </c>
      <c r="AW138" s="644">
        <f t="shared" si="224"/>
        <v>-48.23718159298226</v>
      </c>
      <c r="AY138" s="656">
        <f>AY133+AY134</f>
        <v>-17.260611155696388</v>
      </c>
      <c r="AZ138" s="645">
        <f t="shared" si="225"/>
        <v>34.676264837908271</v>
      </c>
      <c r="BA138" s="644">
        <f t="shared" si="226"/>
        <v>-2.8194027742382888</v>
      </c>
      <c r="BB138" s="644"/>
      <c r="BC138" s="656">
        <f>BC133+BC134</f>
        <v>3.4929999999999994</v>
      </c>
      <c r="BD138" s="645">
        <f t="shared" si="204"/>
        <v>39.706718199386913</v>
      </c>
      <c r="BE138" s="644">
        <f t="shared" si="227"/>
        <v>-120.23682689153929</v>
      </c>
      <c r="BF138" s="644"/>
      <c r="BG138" s="656">
        <f>BG133+BG134</f>
        <v>23.332000000000001</v>
      </c>
      <c r="BH138" s="656"/>
      <c r="BI138" s="645">
        <f>(BG138/BG128)*100</f>
        <v>38.902876198415903</v>
      </c>
      <c r="BJ138" s="644">
        <f t="shared" si="205"/>
        <v>567.96450042943047</v>
      </c>
      <c r="BK138" s="644"/>
    </row>
    <row r="139" spans="1:63" hidden="1" outlineLevel="2">
      <c r="A139" s="569" t="s">
        <v>88</v>
      </c>
      <c r="B139" s="79"/>
      <c r="C139" s="655">
        <f>C133+C134+C135</f>
        <v>35.024000000000001</v>
      </c>
      <c r="D139" s="596">
        <f t="shared" si="206"/>
        <v>37.652927390397544</v>
      </c>
      <c r="E139" s="571" t="s">
        <v>90</v>
      </c>
      <c r="F139" s="79"/>
      <c r="G139" s="655">
        <f>G133+G134+G135</f>
        <v>37.844000000000001</v>
      </c>
      <c r="H139" s="596">
        <f t="shared" si="207"/>
        <v>37.810726560626577</v>
      </c>
      <c r="I139" s="603" t="s">
        <v>90</v>
      </c>
      <c r="J139" s="79"/>
      <c r="K139" s="655">
        <f>K133+K134+K135</f>
        <v>31.226999999999997</v>
      </c>
      <c r="L139" s="596">
        <f t="shared" si="208"/>
        <v>37.912027875241328</v>
      </c>
      <c r="M139" s="603" t="s">
        <v>90</v>
      </c>
      <c r="N139" s="79"/>
      <c r="O139" s="655">
        <f>O133+O134+O135</f>
        <v>57.369</v>
      </c>
      <c r="P139" s="596">
        <f t="shared" si="209"/>
        <v>36.64790693811846</v>
      </c>
      <c r="Q139" s="603" t="s">
        <v>90</v>
      </c>
      <c r="R139" s="79"/>
      <c r="S139" s="655">
        <f>S133+S134+S135</f>
        <v>55.412999999999997</v>
      </c>
      <c r="T139" s="596">
        <f t="shared" si="210"/>
        <v>38.404174954431731</v>
      </c>
      <c r="U139" s="603" t="s">
        <v>90</v>
      </c>
      <c r="V139" s="79"/>
      <c r="W139" s="655">
        <f>W133+W134+W135</f>
        <v>-9.7939999999999987</v>
      </c>
      <c r="X139" s="596">
        <f t="shared" si="211"/>
        <v>95.467394482891663</v>
      </c>
      <c r="Y139" s="602">
        <f t="shared" si="212"/>
        <v>-117.67455290274845</v>
      </c>
      <c r="Z139" s="79"/>
      <c r="AA139" s="655">
        <f>AA133+AA134+AA135</f>
        <v>0.53300000000000125</v>
      </c>
      <c r="AB139" s="596">
        <f t="shared" si="213"/>
        <v>2.8813925829819524</v>
      </c>
      <c r="AC139" s="602">
        <f t="shared" si="214"/>
        <v>-105.44210741270166</v>
      </c>
      <c r="AD139" s="79"/>
      <c r="AE139" s="655">
        <f>AE133+AE134+AE135</f>
        <v>-110.794</v>
      </c>
      <c r="AF139" s="596">
        <f t="shared" si="215"/>
        <v>-287.43319670004644</v>
      </c>
      <c r="AG139" s="602">
        <f t="shared" si="216"/>
        <v>-20886.866791744789</v>
      </c>
      <c r="AH139" s="57"/>
      <c r="AI139" s="656">
        <f>AI133+AI134+AI135</f>
        <v>-45.381999999999998</v>
      </c>
      <c r="AJ139" s="645">
        <f t="shared" si="217"/>
        <v>55.707358988522515</v>
      </c>
      <c r="AK139" s="644">
        <f t="shared" si="218"/>
        <v>-59.039298156939914</v>
      </c>
      <c r="AL139" s="57"/>
      <c r="AM139" s="656">
        <f>AM133+AM134+AM135</f>
        <v>-23.540999999999997</v>
      </c>
      <c r="AN139" s="645">
        <f t="shared" si="219"/>
        <v>38.214668354923489</v>
      </c>
      <c r="AO139" s="644">
        <f t="shared" si="220"/>
        <v>-48.127010709091714</v>
      </c>
      <c r="AP139" s="65"/>
      <c r="AQ139" s="656">
        <f>AQ133+AQ134+AQ135</f>
        <v>-47.707999999999998</v>
      </c>
      <c r="AR139" s="645">
        <f t="shared" si="221"/>
        <v>42.670721345199212</v>
      </c>
      <c r="AS139" s="644">
        <f t="shared" si="222"/>
        <v>102.65919034875326</v>
      </c>
      <c r="AT139" s="65"/>
      <c r="AU139" s="656">
        <f>AU133+AU134+AU135</f>
        <v>-31.964649999999999</v>
      </c>
      <c r="AV139" s="645">
        <f t="shared" si="223"/>
        <v>42.850405346852348</v>
      </c>
      <c r="AW139" s="644">
        <f t="shared" si="224"/>
        <v>-32.999392135490901</v>
      </c>
      <c r="AY139" s="656">
        <f>AY133+AY134+AY135</f>
        <v>-24.938611155696389</v>
      </c>
      <c r="AZ139" s="645">
        <f t="shared" si="225"/>
        <v>33.559584087329817</v>
      </c>
      <c r="BA139" s="644">
        <f t="shared" si="226"/>
        <v>-21.980653141215722</v>
      </c>
      <c r="BB139" s="644"/>
      <c r="BC139" s="656">
        <f>BC133+BC134+BC135</f>
        <v>-20.516000000000002</v>
      </c>
      <c r="BD139" s="645">
        <f t="shared" si="204"/>
        <v>41.508517784161917</v>
      </c>
      <c r="BE139" s="644">
        <f t="shared" si="227"/>
        <v>-17.733991392243954</v>
      </c>
      <c r="BF139" s="644"/>
      <c r="BG139" s="656">
        <f>BG133+BG134+BG135</f>
        <v>31.989504700000005</v>
      </c>
      <c r="BH139" s="656"/>
      <c r="BI139" s="645">
        <f>(BG139/BG129)*100</f>
        <v>38.929113598713286</v>
      </c>
      <c r="BJ139" s="644">
        <f t="shared" si="205"/>
        <v>-255.92466708910121</v>
      </c>
      <c r="BK139" s="644"/>
    </row>
    <row r="140" spans="1:63" ht="13.5" customHeight="1" outlineLevel="1" collapsed="1">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row>
    <row r="141" spans="1:63" s="57" customFormat="1" ht="11.25" customHeight="1">
      <c r="A141" s="565" t="s">
        <v>357</v>
      </c>
      <c r="B141" s="566"/>
      <c r="C141" s="566"/>
      <c r="D141" s="566"/>
      <c r="E141" s="566"/>
      <c r="F141" s="566"/>
      <c r="G141" s="566"/>
      <c r="H141" s="566"/>
      <c r="I141" s="566"/>
      <c r="J141" s="566"/>
      <c r="K141" s="566"/>
      <c r="L141" s="566"/>
      <c r="M141" s="566"/>
      <c r="N141" s="566"/>
      <c r="O141" s="566"/>
      <c r="P141" s="566"/>
      <c r="Q141" s="566"/>
      <c r="R141" s="566"/>
      <c r="S141" s="566"/>
      <c r="T141" s="566"/>
      <c r="U141" s="566"/>
      <c r="V141" s="566"/>
      <c r="W141" s="566"/>
      <c r="X141" s="566"/>
      <c r="Y141" s="566"/>
      <c r="Z141" s="566"/>
      <c r="AA141" s="566"/>
      <c r="AB141" s="566"/>
      <c r="AC141" s="566"/>
      <c r="AD141" s="566"/>
      <c r="AE141" s="566"/>
      <c r="AF141" s="566"/>
      <c r="AG141" s="566"/>
      <c r="AH141" s="641"/>
      <c r="AI141" s="66"/>
      <c r="AJ141" s="641"/>
      <c r="AK141" s="641"/>
      <c r="AL141" s="641"/>
      <c r="AM141" s="66"/>
      <c r="AN141" s="66"/>
      <c r="AO141" s="66"/>
      <c r="AP141" s="66"/>
      <c r="AQ141" s="66"/>
      <c r="AR141" s="66"/>
      <c r="AS141" s="66"/>
      <c r="AT141" s="66"/>
      <c r="AU141" s="66"/>
      <c r="AV141" s="66"/>
      <c r="AW141" s="66"/>
    </row>
    <row r="142" spans="1:63" s="57" customFormat="1">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I142" s="65"/>
      <c r="AM142" s="65"/>
      <c r="AN142" s="65"/>
      <c r="AO142" s="65"/>
      <c r="AP142" s="65"/>
      <c r="AQ142" s="65"/>
      <c r="AR142" s="65"/>
      <c r="AS142" s="65"/>
      <c r="AT142" s="65"/>
      <c r="AU142" s="65"/>
      <c r="AV142" s="65"/>
      <c r="AW142" s="65"/>
    </row>
    <row r="143" spans="1:63" s="57" customFormat="1">
      <c r="A143" s="569" t="s">
        <v>79</v>
      </c>
      <c r="B143" s="79"/>
      <c r="C143" s="590" t="e">
        <f>C123-#REF!</f>
        <v>#REF!</v>
      </c>
      <c r="D143" s="596" t="e">
        <f t="shared" ref="D143:D149" si="228">C143/C11*100</f>
        <v>#REF!</v>
      </c>
      <c r="E143" s="571" t="s">
        <v>90</v>
      </c>
      <c r="F143" s="79"/>
      <c r="G143" s="590" t="e">
        <f>G123-#REF!</f>
        <v>#REF!</v>
      </c>
      <c r="H143" s="596" t="e">
        <f t="shared" ref="H143:H149" si="229">G143/G11*100</f>
        <v>#REF!</v>
      </c>
      <c r="I143" s="602" t="e">
        <f>(G143/C143-1)*100</f>
        <v>#REF!</v>
      </c>
      <c r="J143" s="79"/>
      <c r="K143" s="590" t="e">
        <f>K123-#REF!</f>
        <v>#REF!</v>
      </c>
      <c r="L143" s="596" t="e">
        <f t="shared" ref="L143:L149" si="230">K143/K11*100</f>
        <v>#REF!</v>
      </c>
      <c r="M143" s="602" t="e">
        <f>(K143/G143-1)*100</f>
        <v>#REF!</v>
      </c>
      <c r="N143" s="79"/>
      <c r="O143" s="590" t="e">
        <f>O123-#REF!</f>
        <v>#REF!</v>
      </c>
      <c r="P143" s="596" t="e">
        <f t="shared" ref="P143:P149" si="231">O143/O11*100</f>
        <v>#REF!</v>
      </c>
      <c r="Q143" s="602" t="e">
        <f>(O143/K143-1)*100</f>
        <v>#REF!</v>
      </c>
      <c r="R143" s="79"/>
      <c r="S143" s="590" t="e">
        <f>S123-#REF!</f>
        <v>#REF!</v>
      </c>
      <c r="T143" s="596" t="e">
        <f t="shared" ref="T143:T149" si="232">S143/S11*100</f>
        <v>#REF!</v>
      </c>
      <c r="U143" s="602" t="e">
        <f>(S143/O143-1)*100</f>
        <v>#REF!</v>
      </c>
      <c r="V143" s="79"/>
      <c r="W143" s="590" t="e">
        <f>W123-#REF!</f>
        <v>#REF!</v>
      </c>
      <c r="X143" s="596" t="e">
        <f t="shared" ref="X143:X149" si="233">W143/W11*100</f>
        <v>#REF!</v>
      </c>
      <c r="Y143" s="602" t="e">
        <f>(W143/S143-1)*100</f>
        <v>#REF!</v>
      </c>
      <c r="Z143" s="79"/>
      <c r="AA143" s="590" t="e">
        <f>AA123-#REF!</f>
        <v>#REF!</v>
      </c>
      <c r="AB143" s="596" t="e">
        <f t="shared" ref="AB143:AB149" si="234">AA143/AA11*100</f>
        <v>#REF!</v>
      </c>
      <c r="AC143" s="602" t="e">
        <f>(AA143/W143-1)*100</f>
        <v>#REF!</v>
      </c>
      <c r="AD143" s="79"/>
      <c r="AE143" s="590" t="e">
        <f>AE123-#REF!</f>
        <v>#REF!</v>
      </c>
      <c r="AF143" s="596" t="e">
        <f t="shared" ref="AF143:AF149" si="235">AE143/AE11*100</f>
        <v>#REF!</v>
      </c>
      <c r="AG143" s="602" t="e">
        <f>(AE143/AA143-1)*100</f>
        <v>#REF!</v>
      </c>
      <c r="AI143" s="547">
        <f>AI123-AI133</f>
        <v>-31.074000000000019</v>
      </c>
      <c r="AJ143" s="645">
        <f t="shared" ref="AJ143:AJ149" si="236">AI143/AI11*100</f>
        <v>-3.743661472959837</v>
      </c>
      <c r="AK143" s="644" t="s">
        <v>90</v>
      </c>
      <c r="AM143" s="547">
        <f>AM123-AM133</f>
        <v>5.2130000000000196</v>
      </c>
      <c r="AN143" s="645">
        <f t="shared" ref="AN143:AN149" si="237">AM143/AM11*100</f>
        <v>0.58266773073664713</v>
      </c>
      <c r="AO143" s="644">
        <f>(AM143/AI143-1)*100</f>
        <v>-116.77608289888659</v>
      </c>
      <c r="AQ143" s="547">
        <f>AQ123-AQ133</f>
        <v>-21.05699999999996</v>
      </c>
      <c r="AR143" s="645">
        <f t="shared" ref="AR143:AR149" si="238">AQ143/AQ11*100</f>
        <v>-2.2664331742872754</v>
      </c>
      <c r="AS143" s="644">
        <f>(AQ143/AM143-1)*100</f>
        <v>-503.93247650105275</v>
      </c>
      <c r="AU143" s="1365">
        <f>AU123-AU133</f>
        <v>-3.9519328399999547</v>
      </c>
      <c r="AV143" s="645">
        <f t="shared" ref="AV143:AV149" si="239">AU143/AU11*100</f>
        <v>-0.40226437131696019</v>
      </c>
      <c r="AW143" s="644">
        <f>(AU143/AQ143-1)*100</f>
        <v>-81.232213325735088</v>
      </c>
      <c r="AY143" s="1365">
        <f>AY123-AY133</f>
        <v>-5.5539615999991492</v>
      </c>
      <c r="AZ143" s="645">
        <f t="shared" ref="AZ143:AZ149" si="240">AY143/AY11*100</f>
        <v>-0.52149217648635704</v>
      </c>
      <c r="BA143" s="644">
        <f t="shared" ref="BA143:BA149" si="241">(AY143/AU143-1)*100</f>
        <v>40.537853877071782</v>
      </c>
      <c r="BC143" s="1365">
        <f>BC123-BC133</f>
        <v>11.773999999999981</v>
      </c>
      <c r="BD143" s="645">
        <f t="shared" ref="BD143:BD149" si="242">BC143/BC11*100</f>
        <v>1.0435454665509716</v>
      </c>
      <c r="BE143" s="644">
        <f t="shared" ref="BE143:BE149" si="243">(BC143/AY143-1)*100</f>
        <v>-311.99282328494644</v>
      </c>
      <c r="BG143" s="1365">
        <f>BG123-BG133</f>
        <v>25.69500000000005</v>
      </c>
      <c r="BH143" s="547"/>
      <c r="BI143" s="645">
        <f t="shared" ref="BI143:BI149" si="244">BG143/BG11*100</f>
        <v>2.1719119671969067</v>
      </c>
      <c r="BJ143" s="644">
        <f t="shared" ref="BJ143:BJ149" si="245">(BG143/BC143-1)*100</f>
        <v>118.23509427552312</v>
      </c>
    </row>
    <row r="144" spans="1:63" s="57" customFormat="1">
      <c r="A144" s="569" t="s">
        <v>80</v>
      </c>
      <c r="B144" s="79"/>
      <c r="C144" s="639" t="e">
        <f>C124-#REF!</f>
        <v>#REF!</v>
      </c>
      <c r="D144" s="596" t="e">
        <f t="shared" si="228"/>
        <v>#REF!</v>
      </c>
      <c r="E144" s="571" t="s">
        <v>90</v>
      </c>
      <c r="F144" s="79"/>
      <c r="G144" s="639" t="e">
        <f>G124-#REF!</f>
        <v>#REF!</v>
      </c>
      <c r="H144" s="596" t="e">
        <f t="shared" si="229"/>
        <v>#REF!</v>
      </c>
      <c r="I144" s="602" t="e">
        <f t="shared" ref="I144:I149" si="246">(G144/C144-1)*100</f>
        <v>#REF!</v>
      </c>
      <c r="J144" s="79"/>
      <c r="K144" s="639" t="e">
        <f>K124-#REF!</f>
        <v>#REF!</v>
      </c>
      <c r="L144" s="596" t="e">
        <f t="shared" si="230"/>
        <v>#REF!</v>
      </c>
      <c r="M144" s="602" t="e">
        <f t="shared" ref="M144:M149" si="247">(K144/G144-1)*100</f>
        <v>#REF!</v>
      </c>
      <c r="N144" s="79"/>
      <c r="O144" s="639" t="e">
        <f>O124-#REF!</f>
        <v>#REF!</v>
      </c>
      <c r="P144" s="596" t="e">
        <f t="shared" si="231"/>
        <v>#REF!</v>
      </c>
      <c r="Q144" s="602" t="e">
        <f t="shared" ref="Q144:Q149" si="248">(O144/K144-1)*100</f>
        <v>#REF!</v>
      </c>
      <c r="R144" s="79"/>
      <c r="S144" s="639" t="e">
        <f>S124-#REF!</f>
        <v>#REF!</v>
      </c>
      <c r="T144" s="596" t="e">
        <f t="shared" si="232"/>
        <v>#REF!</v>
      </c>
      <c r="U144" s="602" t="e">
        <f t="shared" ref="U144:U149" si="249">(S144/O144-1)*100</f>
        <v>#REF!</v>
      </c>
      <c r="V144" s="79"/>
      <c r="W144" s="639" t="e">
        <f>W124-#REF!</f>
        <v>#REF!</v>
      </c>
      <c r="X144" s="596" t="e">
        <f t="shared" si="233"/>
        <v>#REF!</v>
      </c>
      <c r="Y144" s="602" t="e">
        <f t="shared" ref="Y144:Y149" si="250">(W144/S144-1)*100</f>
        <v>#REF!</v>
      </c>
      <c r="Z144" s="79"/>
      <c r="AA144" s="639" t="e">
        <f>AA124-#REF!</f>
        <v>#REF!</v>
      </c>
      <c r="AB144" s="596" t="e">
        <f t="shared" si="234"/>
        <v>#REF!</v>
      </c>
      <c r="AC144" s="602" t="e">
        <f t="shared" ref="AC144:AC149" si="251">(AA144/W144-1)*100</f>
        <v>#REF!</v>
      </c>
      <c r="AD144" s="79"/>
      <c r="AE144" s="639" t="e">
        <f>AE124-#REF!</f>
        <v>#REF!</v>
      </c>
      <c r="AF144" s="596" t="e">
        <f t="shared" si="235"/>
        <v>#REF!</v>
      </c>
      <c r="AG144" s="602" t="e">
        <f t="shared" ref="AG144:AG149" si="252">(AE144/AA144-1)*100</f>
        <v>#REF!</v>
      </c>
      <c r="AI144" s="549">
        <f>AI124-AI134</f>
        <v>-12.520000000000062</v>
      </c>
      <c r="AJ144" s="645">
        <f t="shared" si="236"/>
        <v>-1.7860760252105008</v>
      </c>
      <c r="AK144" s="644" t="s">
        <v>90</v>
      </c>
      <c r="AM144" s="549">
        <f>AM124-AM134</f>
        <v>-40.478999999999971</v>
      </c>
      <c r="AN144" s="645">
        <f t="shared" si="237"/>
        <v>-5.5545797598627749</v>
      </c>
      <c r="AO144" s="644">
        <f t="shared" ref="AO144:AO149" si="253">(AM144/AI144-1)*100</f>
        <v>223.3146964856212</v>
      </c>
      <c r="AQ144" s="549">
        <f>AQ124-AQ134</f>
        <v>-32.763000000000048</v>
      </c>
      <c r="AR144" s="645">
        <f t="shared" si="238"/>
        <v>-4.1297083629020834</v>
      </c>
      <c r="AS144" s="644">
        <f t="shared" ref="AS144:AS149" si="254">(AQ144/AM144-1)*100</f>
        <v>-19.061735714814908</v>
      </c>
      <c r="AU144" s="1365">
        <f>AU124-AU134</f>
        <v>-31.285334450000001</v>
      </c>
      <c r="AV144" s="645">
        <f t="shared" si="239"/>
        <v>-3.6202284491534611</v>
      </c>
      <c r="AW144" s="644">
        <f t="shared" ref="AW144:AW149" si="255">(AU144/AQ144-1)*100</f>
        <v>-4.5101655831274456</v>
      </c>
      <c r="AY144" s="1365">
        <f>AY124-AY134</f>
        <v>-26.961870112012058</v>
      </c>
      <c r="AZ144" s="645">
        <f t="shared" si="240"/>
        <v>-2.7981207859218893</v>
      </c>
      <c r="BA144" s="644">
        <f t="shared" si="241"/>
        <v>-13.819460184763798</v>
      </c>
      <c r="BC144" s="1365">
        <f>BC124-BC134</f>
        <v>-6.4700000000001507</v>
      </c>
      <c r="BD144" s="645">
        <f t="shared" si="242"/>
        <v>-0.61998062440770307</v>
      </c>
      <c r="BE144" s="644">
        <f t="shared" si="243"/>
        <v>-76.003148249283953</v>
      </c>
      <c r="BG144" s="1365">
        <f>BG124-BG134</f>
        <v>10.948000000000114</v>
      </c>
      <c r="BH144" s="552"/>
      <c r="BI144" s="645">
        <f t="shared" si="244"/>
        <v>0.95681067768555583</v>
      </c>
      <c r="BJ144" s="644">
        <f t="shared" si="245"/>
        <v>-269.21174652240893</v>
      </c>
    </row>
    <row r="145" spans="1:62" s="57" customFormat="1">
      <c r="A145" s="569" t="s">
        <v>81</v>
      </c>
      <c r="B145" s="79"/>
      <c r="C145" s="639" t="e">
        <f>C125-#REF!</f>
        <v>#REF!</v>
      </c>
      <c r="D145" s="596" t="e">
        <f t="shared" si="228"/>
        <v>#REF!</v>
      </c>
      <c r="E145" s="571" t="s">
        <v>90</v>
      </c>
      <c r="F145" s="79"/>
      <c r="G145" s="639" t="e">
        <f>G125-#REF!</f>
        <v>#REF!</v>
      </c>
      <c r="H145" s="596" t="e">
        <f t="shared" si="229"/>
        <v>#REF!</v>
      </c>
      <c r="I145" s="602" t="e">
        <f t="shared" si="246"/>
        <v>#REF!</v>
      </c>
      <c r="J145" s="79"/>
      <c r="K145" s="639" t="e">
        <f>K125-#REF!</f>
        <v>#REF!</v>
      </c>
      <c r="L145" s="596" t="e">
        <f t="shared" si="230"/>
        <v>#REF!</v>
      </c>
      <c r="M145" s="602" t="e">
        <f t="shared" si="247"/>
        <v>#REF!</v>
      </c>
      <c r="N145" s="79"/>
      <c r="O145" s="639" t="e">
        <f>O125-#REF!</f>
        <v>#REF!</v>
      </c>
      <c r="P145" s="596" t="e">
        <f t="shared" si="231"/>
        <v>#REF!</v>
      </c>
      <c r="Q145" s="602" t="e">
        <f t="shared" si="248"/>
        <v>#REF!</v>
      </c>
      <c r="R145" s="79"/>
      <c r="S145" s="639" t="e">
        <f>S125-#REF!</f>
        <v>#REF!</v>
      </c>
      <c r="T145" s="596" t="e">
        <f t="shared" si="232"/>
        <v>#REF!</v>
      </c>
      <c r="U145" s="602" t="e">
        <f t="shared" si="249"/>
        <v>#REF!</v>
      </c>
      <c r="V145" s="79"/>
      <c r="W145" s="639" t="e">
        <f>W125-#REF!</f>
        <v>#REF!</v>
      </c>
      <c r="X145" s="596" t="e">
        <f t="shared" si="233"/>
        <v>#REF!</v>
      </c>
      <c r="Y145" s="602" t="e">
        <f t="shared" si="250"/>
        <v>#REF!</v>
      </c>
      <c r="Z145" s="79"/>
      <c r="AA145" s="639" t="e">
        <f>AA125-#REF!</f>
        <v>#REF!</v>
      </c>
      <c r="AB145" s="596" t="e">
        <f t="shared" si="234"/>
        <v>#REF!</v>
      </c>
      <c r="AC145" s="602" t="e">
        <f t="shared" si="251"/>
        <v>#REF!</v>
      </c>
      <c r="AD145" s="79"/>
      <c r="AE145" s="639" t="e">
        <f>AE125-#REF!</f>
        <v>#REF!</v>
      </c>
      <c r="AF145" s="596" t="e">
        <f t="shared" si="235"/>
        <v>#REF!</v>
      </c>
      <c r="AG145" s="602" t="e">
        <f t="shared" si="252"/>
        <v>#REF!</v>
      </c>
      <c r="AI145" s="549">
        <f>AI125-AI135</f>
        <v>7.5109999999998509</v>
      </c>
      <c r="AJ145" s="645">
        <f t="shared" si="236"/>
        <v>0.86098393578899102</v>
      </c>
      <c r="AK145" s="644" t="s">
        <v>90</v>
      </c>
      <c r="AM145" s="549">
        <f>AM125-AM135</f>
        <v>-2.7950000000001207</v>
      </c>
      <c r="AN145" s="645">
        <f t="shared" si="237"/>
        <v>-0.32568697228807286</v>
      </c>
      <c r="AO145" s="644">
        <f t="shared" si="253"/>
        <v>-137.21208893622921</v>
      </c>
      <c r="AQ145" s="549">
        <f>AQ125-AQ135</f>
        <v>-10.277000000000019</v>
      </c>
      <c r="AR145" s="645">
        <f t="shared" si="238"/>
        <v>-1.1435877520271802</v>
      </c>
      <c r="AS145" s="644">
        <f t="shared" si="254"/>
        <v>267.6923076922925</v>
      </c>
      <c r="AU145" s="1365">
        <f>AU125-AU135</f>
        <v>-7.3939931600000683</v>
      </c>
      <c r="AV145" s="645">
        <f t="shared" si="239"/>
        <v>-0.76392605579176753</v>
      </c>
      <c r="AW145" s="644">
        <f t="shared" si="255"/>
        <v>-28.053000291913456</v>
      </c>
      <c r="AY145" s="1365">
        <f>AY125-AY135</f>
        <v>-16.857000000000003</v>
      </c>
      <c r="AZ145" s="645">
        <f t="shared" si="240"/>
        <v>-1.5835573817616129</v>
      </c>
      <c r="BA145" s="644">
        <f t="shared" si="241"/>
        <v>127.98235858795204</v>
      </c>
      <c r="BC145" s="1365">
        <f>BC125-BC135</f>
        <v>-34.214000000000141</v>
      </c>
      <c r="BD145" s="645">
        <f t="shared" si="242"/>
        <v>-2.9563843870000088</v>
      </c>
      <c r="BE145" s="644">
        <f t="shared" si="243"/>
        <v>102.96612683158411</v>
      </c>
      <c r="BG145" s="1365">
        <f>BG125-BG135</f>
        <v>13.541225300000008</v>
      </c>
      <c r="BH145" s="549"/>
      <c r="BI145" s="645">
        <f t="shared" si="244"/>
        <v>1.1001201817227597</v>
      </c>
      <c r="BJ145" s="644">
        <f t="shared" si="245"/>
        <v>-139.5780244928975</v>
      </c>
    </row>
    <row r="146" spans="1:62" s="57" customFormat="1">
      <c r="A146" s="569" t="s">
        <v>82</v>
      </c>
      <c r="B146" s="79"/>
      <c r="C146" s="640" t="e">
        <f>C126-#REF!</f>
        <v>#REF!</v>
      </c>
      <c r="D146" s="596" t="e">
        <f t="shared" si="228"/>
        <v>#REF!</v>
      </c>
      <c r="E146" s="571" t="s">
        <v>90</v>
      </c>
      <c r="F146" s="79"/>
      <c r="G146" s="640" t="e">
        <f>G126-#REF!</f>
        <v>#REF!</v>
      </c>
      <c r="H146" s="596" t="e">
        <f t="shared" si="229"/>
        <v>#REF!</v>
      </c>
      <c r="I146" s="602" t="e">
        <f t="shared" si="246"/>
        <v>#REF!</v>
      </c>
      <c r="J146" s="79"/>
      <c r="K146" s="640" t="e">
        <f>K126-#REF!</f>
        <v>#REF!</v>
      </c>
      <c r="L146" s="596" t="e">
        <f t="shared" si="230"/>
        <v>#REF!</v>
      </c>
      <c r="M146" s="602" t="e">
        <f t="shared" si="247"/>
        <v>#REF!</v>
      </c>
      <c r="N146" s="79"/>
      <c r="O146" s="640" t="e">
        <f>O126-#REF!</f>
        <v>#REF!</v>
      </c>
      <c r="P146" s="596" t="e">
        <f t="shared" si="231"/>
        <v>#REF!</v>
      </c>
      <c r="Q146" s="602" t="e">
        <f t="shared" si="248"/>
        <v>#REF!</v>
      </c>
      <c r="R146" s="79"/>
      <c r="S146" s="640" t="e">
        <f>S126-#REF!</f>
        <v>#REF!</v>
      </c>
      <c r="T146" s="596" t="e">
        <f t="shared" si="232"/>
        <v>#REF!</v>
      </c>
      <c r="U146" s="602" t="e">
        <f t="shared" si="249"/>
        <v>#REF!</v>
      </c>
      <c r="V146" s="79"/>
      <c r="W146" s="640" t="e">
        <f>W126-#REF!</f>
        <v>#REF!</v>
      </c>
      <c r="X146" s="596" t="e">
        <f t="shared" si="233"/>
        <v>#REF!</v>
      </c>
      <c r="Y146" s="602" t="e">
        <f t="shared" si="250"/>
        <v>#REF!</v>
      </c>
      <c r="Z146" s="79"/>
      <c r="AA146" s="640" t="e">
        <f>AA126-#REF!</f>
        <v>#REF!</v>
      </c>
      <c r="AB146" s="596" t="e">
        <f t="shared" si="234"/>
        <v>#REF!</v>
      </c>
      <c r="AC146" s="602" t="e">
        <f t="shared" si="251"/>
        <v>#REF!</v>
      </c>
      <c r="AD146" s="79"/>
      <c r="AE146" s="640" t="e">
        <f>AE126-#REF!</f>
        <v>#REF!</v>
      </c>
      <c r="AF146" s="596" t="e">
        <f t="shared" si="235"/>
        <v>#REF!</v>
      </c>
      <c r="AG146" s="602" t="e">
        <f t="shared" si="252"/>
        <v>#REF!</v>
      </c>
      <c r="AI146" s="550">
        <f>AI126-AI136</f>
        <v>20.904000000000096</v>
      </c>
      <c r="AJ146" s="645">
        <f t="shared" si="236"/>
        <v>1.8672304802330377</v>
      </c>
      <c r="AK146" s="644" t="s">
        <v>90</v>
      </c>
      <c r="AM146" s="550">
        <f>AM126-AM136</f>
        <v>69.058999999999742</v>
      </c>
      <c r="AN146" s="645">
        <f t="shared" si="237"/>
        <v>5.8131058562880877</v>
      </c>
      <c r="AO146" s="644">
        <f t="shared" si="253"/>
        <v>230.36261002678637</v>
      </c>
      <c r="AQ146" s="550">
        <f>AQ126-AQ136</f>
        <v>57.825000000000188</v>
      </c>
      <c r="AR146" s="645">
        <f t="shared" si="238"/>
        <v>4.6896250814044453</v>
      </c>
      <c r="AS146" s="644">
        <f t="shared" si="254"/>
        <v>-16.267249742972812</v>
      </c>
      <c r="AU146" s="1366">
        <f>AU126-AU136</f>
        <v>70.888140279999263</v>
      </c>
      <c r="AV146" s="645">
        <f t="shared" si="239"/>
        <v>5.6147361893020573</v>
      </c>
      <c r="AW146" s="644">
        <f t="shared" si="255"/>
        <v>22.590817604840517</v>
      </c>
      <c r="AY146" s="1366">
        <f>AY126-AY136</f>
        <v>63.584000000000088</v>
      </c>
      <c r="AZ146" s="645">
        <f t="shared" si="240"/>
        <v>4.7654272688504777</v>
      </c>
      <c r="BA146" s="644">
        <f t="shared" si="241"/>
        <v>-10.303754973890889</v>
      </c>
      <c r="BC146" s="1366">
        <f>BC126-BC136</f>
        <v>104.14500000000007</v>
      </c>
      <c r="BD146" s="645">
        <f t="shared" si="242"/>
        <v>7.0114221314400167</v>
      </c>
      <c r="BE146" s="644">
        <f t="shared" si="243"/>
        <v>63.791205334675261</v>
      </c>
      <c r="BG146" s="1366">
        <f>BG126-BG136</f>
        <v>104.96032981119973</v>
      </c>
      <c r="BH146" s="551"/>
      <c r="BI146" s="645">
        <f t="shared" si="244"/>
        <v>6.8122041533286115</v>
      </c>
      <c r="BJ146" s="644">
        <f t="shared" si="245"/>
        <v>0.78287945767887557</v>
      </c>
    </row>
    <row r="147" spans="1:62" s="57" customFormat="1">
      <c r="A147" s="569" t="s">
        <v>85</v>
      </c>
      <c r="B147" s="79"/>
      <c r="C147" s="590" t="e">
        <f>C127-#REF!</f>
        <v>#REF!</v>
      </c>
      <c r="D147" s="596" t="e">
        <f t="shared" si="228"/>
        <v>#REF!</v>
      </c>
      <c r="E147" s="571" t="s">
        <v>90</v>
      </c>
      <c r="F147" s="79"/>
      <c r="G147" s="590" t="e">
        <f>G127-#REF!</f>
        <v>#REF!</v>
      </c>
      <c r="H147" s="596" t="e">
        <f t="shared" si="229"/>
        <v>#REF!</v>
      </c>
      <c r="I147" s="602" t="e">
        <f t="shared" si="246"/>
        <v>#REF!</v>
      </c>
      <c r="J147" s="79"/>
      <c r="K147" s="590" t="e">
        <f>K127-#REF!</f>
        <v>#REF!</v>
      </c>
      <c r="L147" s="596" t="e">
        <f t="shared" si="230"/>
        <v>#REF!</v>
      </c>
      <c r="M147" s="602" t="e">
        <f t="shared" si="247"/>
        <v>#REF!</v>
      </c>
      <c r="N147" s="79"/>
      <c r="O147" s="590" t="e">
        <f>O127-#REF!</f>
        <v>#REF!</v>
      </c>
      <c r="P147" s="596" t="e">
        <f t="shared" si="231"/>
        <v>#REF!</v>
      </c>
      <c r="Q147" s="602" t="e">
        <f t="shared" si="248"/>
        <v>#REF!</v>
      </c>
      <c r="R147" s="79"/>
      <c r="S147" s="590" t="e">
        <f>S127-#REF!</f>
        <v>#REF!</v>
      </c>
      <c r="T147" s="596" t="e">
        <f t="shared" si="232"/>
        <v>#REF!</v>
      </c>
      <c r="U147" s="602" t="e">
        <f t="shared" si="249"/>
        <v>#REF!</v>
      </c>
      <c r="V147" s="79"/>
      <c r="W147" s="590" t="e">
        <f>W127-#REF!</f>
        <v>#REF!</v>
      </c>
      <c r="X147" s="596" t="e">
        <f t="shared" si="233"/>
        <v>#REF!</v>
      </c>
      <c r="Y147" s="602" t="e">
        <f t="shared" si="250"/>
        <v>#REF!</v>
      </c>
      <c r="Z147" s="79"/>
      <c r="AA147" s="590" t="e">
        <f>AA127-#REF!</f>
        <v>#REF!</v>
      </c>
      <c r="AB147" s="596" t="e">
        <f t="shared" si="234"/>
        <v>#REF!</v>
      </c>
      <c r="AC147" s="602" t="e">
        <f t="shared" si="251"/>
        <v>#REF!</v>
      </c>
      <c r="AD147" s="79"/>
      <c r="AE147" s="590" t="e">
        <f>AE127-#REF!</f>
        <v>#REF!</v>
      </c>
      <c r="AF147" s="596" t="e">
        <f t="shared" si="235"/>
        <v>#REF!</v>
      </c>
      <c r="AG147" s="602" t="e">
        <f t="shared" si="252"/>
        <v>#REF!</v>
      </c>
      <c r="AI147" s="547">
        <f>AI127-AI137</f>
        <v>-15.17900000000013</v>
      </c>
      <c r="AJ147" s="645">
        <f t="shared" si="236"/>
        <v>-0.43086490331583827</v>
      </c>
      <c r="AK147" s="644" t="s">
        <v>90</v>
      </c>
      <c r="AM147" s="547">
        <f>AM127-AM137</f>
        <v>30.997999999999703</v>
      </c>
      <c r="AN147" s="645">
        <f t="shared" si="237"/>
        <v>0.84472376023339046</v>
      </c>
      <c r="AO147" s="644">
        <f t="shared" si="253"/>
        <v>-304.21635153830579</v>
      </c>
      <c r="AQ147" s="547">
        <f>AQ127-AQ137</f>
        <v>-6.2719999999998457</v>
      </c>
      <c r="AR147" s="645">
        <f t="shared" si="238"/>
        <v>-0.16273435225655997</v>
      </c>
      <c r="AS147" s="644">
        <f t="shared" si="254"/>
        <v>-120.23356345570653</v>
      </c>
      <c r="AU147" s="1365">
        <f>AU127-AU137</f>
        <v>28.311879829999256</v>
      </c>
      <c r="AV147" s="645">
        <f t="shared" si="239"/>
        <v>0.6944234127566532</v>
      </c>
      <c r="AW147" s="644">
        <f t="shared" si="255"/>
        <v>-551.40114524872365</v>
      </c>
      <c r="AY147" s="1365">
        <f>AY127-AY137</f>
        <v>16.149999999999807</v>
      </c>
      <c r="AZ147" s="645">
        <f t="shared" si="240"/>
        <v>0.36476542195453754</v>
      </c>
      <c r="BA147" s="644">
        <f t="shared" si="241"/>
        <v>-42.956807894870785</v>
      </c>
      <c r="BC147" s="1367">
        <f>BC127-BC137</f>
        <v>75.234999999999815</v>
      </c>
      <c r="BD147" s="645">
        <f t="shared" si="242"/>
        <v>1.5626739535370586</v>
      </c>
      <c r="BE147" s="644">
        <f t="shared" si="243"/>
        <v>365.85139318885894</v>
      </c>
      <c r="BG147" s="1365">
        <f>BG127-BG137</f>
        <v>155.14455511119988</v>
      </c>
      <c r="BH147" s="547"/>
      <c r="BI147" s="645">
        <f t="shared" si="244"/>
        <v>3.0426872747312554</v>
      </c>
      <c r="BJ147" s="644">
        <f t="shared" si="245"/>
        <v>106.21327189632521</v>
      </c>
    </row>
    <row r="148" spans="1:62" s="57" customFormat="1" hidden="1" outlineLevel="1">
      <c r="A148" s="569" t="s">
        <v>87</v>
      </c>
      <c r="B148" s="79"/>
      <c r="C148" s="591" t="e">
        <f>C143+C144</f>
        <v>#REF!</v>
      </c>
      <c r="D148" s="596" t="e">
        <f t="shared" si="228"/>
        <v>#REF!</v>
      </c>
      <c r="E148" s="571" t="s">
        <v>90</v>
      </c>
      <c r="F148" s="79"/>
      <c r="G148" s="591" t="e">
        <f>G143+G144</f>
        <v>#REF!</v>
      </c>
      <c r="H148" s="596" t="e">
        <f t="shared" si="229"/>
        <v>#REF!</v>
      </c>
      <c r="I148" s="602" t="e">
        <f t="shared" si="246"/>
        <v>#REF!</v>
      </c>
      <c r="J148" s="79"/>
      <c r="K148" s="591" t="e">
        <f>K143+K144</f>
        <v>#REF!</v>
      </c>
      <c r="L148" s="596" t="e">
        <f t="shared" si="230"/>
        <v>#REF!</v>
      </c>
      <c r="M148" s="602" t="e">
        <f t="shared" si="247"/>
        <v>#REF!</v>
      </c>
      <c r="N148" s="79"/>
      <c r="O148" s="591" t="e">
        <f>O143+O144</f>
        <v>#REF!</v>
      </c>
      <c r="P148" s="596" t="e">
        <f t="shared" si="231"/>
        <v>#REF!</v>
      </c>
      <c r="Q148" s="602" t="e">
        <f t="shared" si="248"/>
        <v>#REF!</v>
      </c>
      <c r="R148" s="79"/>
      <c r="S148" s="591" t="e">
        <f>S143+S144</f>
        <v>#REF!</v>
      </c>
      <c r="T148" s="596" t="e">
        <f t="shared" si="232"/>
        <v>#REF!</v>
      </c>
      <c r="U148" s="602" t="e">
        <f t="shared" si="249"/>
        <v>#REF!</v>
      </c>
      <c r="V148" s="79"/>
      <c r="W148" s="591" t="e">
        <f>W143+W144</f>
        <v>#REF!</v>
      </c>
      <c r="X148" s="596" t="e">
        <f t="shared" si="233"/>
        <v>#REF!</v>
      </c>
      <c r="Y148" s="602" t="e">
        <f t="shared" si="250"/>
        <v>#REF!</v>
      </c>
      <c r="Z148" s="79"/>
      <c r="AA148" s="591" t="e">
        <f>AA143+AA144</f>
        <v>#REF!</v>
      </c>
      <c r="AB148" s="596" t="e">
        <f t="shared" si="234"/>
        <v>#REF!</v>
      </c>
      <c r="AC148" s="602" t="e">
        <f t="shared" si="251"/>
        <v>#REF!</v>
      </c>
      <c r="AD148" s="79"/>
      <c r="AE148" s="591" t="e">
        <f>AE143+AE144</f>
        <v>#REF!</v>
      </c>
      <c r="AF148" s="596" t="e">
        <f t="shared" si="235"/>
        <v>#REF!</v>
      </c>
      <c r="AG148" s="602" t="e">
        <f t="shared" si="252"/>
        <v>#REF!</v>
      </c>
      <c r="AI148" s="558">
        <f>AI143+AI144</f>
        <v>-43.594000000000079</v>
      </c>
      <c r="AJ148" s="645">
        <f t="shared" si="236"/>
        <v>-2.8473809307645084</v>
      </c>
      <c r="AK148" s="644" t="s">
        <v>90</v>
      </c>
      <c r="AM148" s="558">
        <f>AM143+AM144</f>
        <v>-35.265999999999948</v>
      </c>
      <c r="AN148" s="645">
        <f t="shared" si="237"/>
        <v>-2.1723168505163115</v>
      </c>
      <c r="AO148" s="644">
        <f t="shared" si="253"/>
        <v>-19.103546359591039</v>
      </c>
      <c r="AQ148" s="558">
        <f>AQ143+AQ144</f>
        <v>-53.820000000000007</v>
      </c>
      <c r="AR148" s="645">
        <f t="shared" si="238"/>
        <v>-3.1246552835238592</v>
      </c>
      <c r="AS148" s="644">
        <f t="shared" si="254"/>
        <v>52.611580559179046</v>
      </c>
      <c r="AU148" s="558">
        <f>AU143+AU144</f>
        <v>-35.237267289999956</v>
      </c>
      <c r="AV148" s="645">
        <f t="shared" si="239"/>
        <v>-1.9082210441778296</v>
      </c>
      <c r="AW148" s="644">
        <f t="shared" si="255"/>
        <v>-34.527559847640376</v>
      </c>
      <c r="AY148" s="558">
        <f>AY143+AY144</f>
        <v>-32.515831712011206</v>
      </c>
      <c r="AZ148" s="645">
        <f t="shared" si="240"/>
        <v>-1.6028831486065203</v>
      </c>
      <c r="BA148" s="644">
        <f t="shared" si="241"/>
        <v>-7.7231743188015951</v>
      </c>
      <c r="BC148" s="558">
        <f>BC143+BC144</f>
        <v>5.3039999999998306</v>
      </c>
      <c r="BD148" s="645">
        <f t="shared" si="242"/>
        <v>0.24421576075695056</v>
      </c>
      <c r="BE148" s="644">
        <f t="shared" si="243"/>
        <v>-116.31205391569472</v>
      </c>
      <c r="BG148" s="558">
        <f>BG143+BG144</f>
        <v>36.643000000000164</v>
      </c>
      <c r="BH148" s="558"/>
      <c r="BI148" s="645">
        <f t="shared" si="244"/>
        <v>1.5745010155645487</v>
      </c>
      <c r="BJ148" s="644">
        <f t="shared" si="245"/>
        <v>590.85595776774755</v>
      </c>
    </row>
    <row r="149" spans="1:62" s="57" customFormat="1" hidden="1" outlineLevel="1">
      <c r="A149" s="569" t="s">
        <v>88</v>
      </c>
      <c r="B149" s="79"/>
      <c r="C149" s="591" t="e">
        <f>C143+C144+C145</f>
        <v>#REF!</v>
      </c>
      <c r="D149" s="596" t="e">
        <f t="shared" si="228"/>
        <v>#REF!</v>
      </c>
      <c r="E149" s="571" t="s">
        <v>90</v>
      </c>
      <c r="F149" s="79"/>
      <c r="G149" s="591" t="e">
        <f>G143+G144+G145</f>
        <v>#REF!</v>
      </c>
      <c r="H149" s="596" t="e">
        <f t="shared" si="229"/>
        <v>#REF!</v>
      </c>
      <c r="I149" s="602" t="e">
        <f t="shared" si="246"/>
        <v>#REF!</v>
      </c>
      <c r="J149" s="79"/>
      <c r="K149" s="591" t="e">
        <f>K143+K144+K145</f>
        <v>#REF!</v>
      </c>
      <c r="L149" s="596" t="e">
        <f t="shared" si="230"/>
        <v>#REF!</v>
      </c>
      <c r="M149" s="602" t="e">
        <f t="shared" si="247"/>
        <v>#REF!</v>
      </c>
      <c r="N149" s="79"/>
      <c r="O149" s="591" t="e">
        <f>O143+O144+O145</f>
        <v>#REF!</v>
      </c>
      <c r="P149" s="596" t="e">
        <f t="shared" si="231"/>
        <v>#REF!</v>
      </c>
      <c r="Q149" s="602" t="e">
        <f t="shared" si="248"/>
        <v>#REF!</v>
      </c>
      <c r="R149" s="79"/>
      <c r="S149" s="591" t="e">
        <f>S143+S144+S145</f>
        <v>#REF!</v>
      </c>
      <c r="T149" s="596" t="e">
        <f t="shared" si="232"/>
        <v>#REF!</v>
      </c>
      <c r="U149" s="602" t="e">
        <f t="shared" si="249"/>
        <v>#REF!</v>
      </c>
      <c r="V149" s="79"/>
      <c r="W149" s="591" t="e">
        <f>W143+W144+W145</f>
        <v>#REF!</v>
      </c>
      <c r="X149" s="596" t="e">
        <f t="shared" si="233"/>
        <v>#REF!</v>
      </c>
      <c r="Y149" s="602" t="e">
        <f t="shared" si="250"/>
        <v>#REF!</v>
      </c>
      <c r="Z149" s="79"/>
      <c r="AA149" s="591" t="e">
        <f>AA143+AA144+AA145</f>
        <v>#REF!</v>
      </c>
      <c r="AB149" s="596" t="e">
        <f t="shared" si="234"/>
        <v>#REF!</v>
      </c>
      <c r="AC149" s="602" t="e">
        <f t="shared" si="251"/>
        <v>#REF!</v>
      </c>
      <c r="AD149" s="79"/>
      <c r="AE149" s="591" t="e">
        <f>AE143+AE144+AE145</f>
        <v>#REF!</v>
      </c>
      <c r="AF149" s="596" t="e">
        <f t="shared" si="235"/>
        <v>#REF!</v>
      </c>
      <c r="AG149" s="602" t="e">
        <f t="shared" si="252"/>
        <v>#REF!</v>
      </c>
      <c r="AI149" s="558">
        <f>AI143+AI144+AI145</f>
        <v>-36.083000000000226</v>
      </c>
      <c r="AJ149" s="645">
        <f t="shared" si="236"/>
        <v>-1.5013345704721957</v>
      </c>
      <c r="AK149" s="644" t="s">
        <v>90</v>
      </c>
      <c r="AM149" s="558">
        <f>AM143+AM144+AM145</f>
        <v>-38.061000000000071</v>
      </c>
      <c r="AN149" s="645">
        <f t="shared" si="237"/>
        <v>-1.5337195873330856</v>
      </c>
      <c r="AO149" s="644">
        <f t="shared" si="253"/>
        <v>5.4818058365430522</v>
      </c>
      <c r="AQ149" s="558">
        <f>AQ143+AQ144+AQ145</f>
        <v>-64.097000000000023</v>
      </c>
      <c r="AR149" s="645">
        <f t="shared" si="238"/>
        <v>-2.4454302079323407</v>
      </c>
      <c r="AS149" s="644">
        <f t="shared" si="254"/>
        <v>68.405979874411884</v>
      </c>
      <c r="AU149" s="558">
        <f>AU143+AU144+AU145</f>
        <v>-42.631260450000028</v>
      </c>
      <c r="AV149" s="645">
        <f t="shared" si="239"/>
        <v>-1.5147027277975007</v>
      </c>
      <c r="AW149" s="644">
        <f t="shared" si="255"/>
        <v>-33.489460583178598</v>
      </c>
      <c r="AY149" s="558">
        <f>AY143+AY144+AY145</f>
        <v>-49.372831712011205</v>
      </c>
      <c r="AZ149" s="645">
        <f t="shared" si="240"/>
        <v>-1.5962320832302621</v>
      </c>
      <c r="BA149" s="644">
        <f t="shared" si="241"/>
        <v>15.813680362366988</v>
      </c>
      <c r="BC149" s="558">
        <f>BC143+BC144+BC145</f>
        <v>-28.910000000000309</v>
      </c>
      <c r="BD149" s="645">
        <f t="shared" si="242"/>
        <v>-0.86839191599518173</v>
      </c>
      <c r="BE149" s="644">
        <f t="shared" si="243"/>
        <v>-41.445529864216368</v>
      </c>
      <c r="BG149" s="558">
        <f>BG143+BG144+BG145</f>
        <v>50.184225300000172</v>
      </c>
      <c r="BH149" s="558"/>
      <c r="BI149" s="645">
        <f t="shared" si="244"/>
        <v>1.4103970307150115</v>
      </c>
      <c r="BJ149" s="644">
        <f t="shared" si="245"/>
        <v>-273.58777343479642</v>
      </c>
    </row>
    <row r="150" spans="1:62" s="57" customFormat="1" collapsed="1">
      <c r="A150" s="79"/>
      <c r="B150" s="79"/>
      <c r="C150" s="79">
        <f>'yrP&amp;L'!D44</f>
        <v>71.39500000000001</v>
      </c>
      <c r="D150" s="79"/>
      <c r="E150" s="79"/>
      <c r="F150" s="79"/>
      <c r="G150" s="79">
        <f>'yrP&amp;L'!E44</f>
        <v>70.513000000000062</v>
      </c>
      <c r="H150" s="79"/>
      <c r="I150" s="79"/>
      <c r="J150" s="79"/>
      <c r="K150" s="79">
        <f>'yrP&amp;L'!F44</f>
        <v>72.338999999999999</v>
      </c>
      <c r="L150" s="79"/>
      <c r="M150" s="79"/>
      <c r="N150" s="79"/>
      <c r="O150" s="79">
        <f>'yrP&amp;L'!G44</f>
        <v>106.60795000000002</v>
      </c>
      <c r="P150" s="79"/>
      <c r="Q150" s="79"/>
      <c r="R150" s="79"/>
      <c r="S150" s="79">
        <f>'yrP&amp;L'!H44</f>
        <v>67.173000000000158</v>
      </c>
      <c r="T150" s="79"/>
      <c r="U150" s="79"/>
      <c r="V150" s="79"/>
      <c r="W150" s="79">
        <f>'yrP&amp;L'!I44</f>
        <v>-31.813769999999923</v>
      </c>
      <c r="X150" s="79"/>
      <c r="Y150" s="79"/>
      <c r="Z150" s="79"/>
      <c r="AA150" s="79">
        <f>'yrP&amp;L'!J44</f>
        <v>-32.553600000000017</v>
      </c>
      <c r="AB150" s="79"/>
      <c r="AC150" s="79"/>
      <c r="AD150" s="79"/>
      <c r="AE150" s="79">
        <f>'yrP&amp;L'!K44</f>
        <v>28.767000000000092</v>
      </c>
      <c r="AF150" s="79"/>
      <c r="AG150" s="79"/>
    </row>
    <row r="151" spans="1:62">
      <c r="A151" s="565" t="s">
        <v>373</v>
      </c>
      <c r="B151" s="566"/>
      <c r="C151" s="566"/>
      <c r="D151" s="566"/>
      <c r="E151" s="566"/>
      <c r="F151" s="566"/>
      <c r="G151" s="566"/>
      <c r="H151" s="566"/>
      <c r="I151" s="566"/>
      <c r="J151" s="566"/>
      <c r="K151" s="566"/>
      <c r="L151" s="566"/>
      <c r="M151" s="566"/>
      <c r="N151" s="566"/>
      <c r="O151" s="566"/>
      <c r="P151" s="566"/>
      <c r="Q151" s="566"/>
      <c r="R151" s="566"/>
      <c r="S151" s="566"/>
      <c r="T151" s="566"/>
      <c r="U151" s="566"/>
      <c r="V151" s="566"/>
      <c r="W151" s="566"/>
      <c r="X151" s="566"/>
      <c r="Y151" s="566"/>
      <c r="Z151" s="566"/>
      <c r="AA151" s="566"/>
      <c r="AB151" s="566"/>
      <c r="AC151" s="566"/>
      <c r="AD151" s="566"/>
      <c r="AE151" s="566"/>
      <c r="AF151" s="566"/>
      <c r="AG151" s="566"/>
      <c r="AH151" s="420"/>
      <c r="AI151" s="420"/>
      <c r="AJ151" s="420"/>
      <c r="AK151" s="420"/>
      <c r="AL151" s="420"/>
      <c r="AM151" s="420"/>
      <c r="AN151" s="420"/>
      <c r="AO151" s="420"/>
      <c r="AP151" s="420"/>
      <c r="AQ151" s="420"/>
      <c r="AR151" s="420"/>
      <c r="AS151" s="420"/>
      <c r="AT151" s="420"/>
      <c r="AU151" s="420"/>
      <c r="AV151" s="420"/>
      <c r="AW151" s="420"/>
      <c r="AX151" s="420"/>
      <c r="AY151" s="420"/>
      <c r="AZ151" s="420"/>
      <c r="BA151" s="420"/>
      <c r="BC151" s="420"/>
      <c r="BD151" s="420"/>
      <c r="BE151" s="420"/>
      <c r="BG151" s="420"/>
      <c r="BH151" s="420"/>
      <c r="BI151" s="420"/>
      <c r="BJ151" s="420"/>
    </row>
    <row r="152" spans="1:62">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Q152" s="567"/>
      <c r="AU152" s="567"/>
    </row>
    <row r="153" spans="1:62">
      <c r="A153" s="569" t="s">
        <v>79</v>
      </c>
      <c r="B153" s="79"/>
      <c r="C153" s="657" t="e">
        <f>C143/C193</f>
        <v>#REF!</v>
      </c>
      <c r="D153" s="602"/>
      <c r="E153" s="603"/>
      <c r="F153" s="79"/>
      <c r="G153" s="657" t="e">
        <f>G143/G193</f>
        <v>#REF!</v>
      </c>
      <c r="H153" s="602"/>
      <c r="I153" s="603"/>
      <c r="J153" s="79"/>
      <c r="K153" s="657" t="e">
        <f>K143/K193</f>
        <v>#REF!</v>
      </c>
      <c r="L153" s="602"/>
      <c r="M153" s="603"/>
      <c r="N153" s="79"/>
      <c r="O153" s="657" t="e">
        <f>O143/O193</f>
        <v>#REF!</v>
      </c>
      <c r="P153" s="602"/>
      <c r="Q153" s="603"/>
      <c r="R153" s="79"/>
      <c r="S153" s="657" t="e">
        <f>S143/S193</f>
        <v>#REF!</v>
      </c>
      <c r="T153" s="602" t="e">
        <f>(S153/O153-1)*100</f>
        <v>#REF!</v>
      </c>
      <c r="U153" s="603"/>
      <c r="V153" s="79"/>
      <c r="W153" s="657" t="s">
        <v>90</v>
      </c>
      <c r="X153" s="602" t="s">
        <v>90</v>
      </c>
      <c r="Y153" s="602"/>
      <c r="Z153" s="79"/>
      <c r="AA153" s="657" t="s">
        <v>90</v>
      </c>
      <c r="AB153" s="602" t="s">
        <v>90</v>
      </c>
      <c r="AC153" s="602"/>
      <c r="AD153" s="79"/>
      <c r="AE153" s="658" t="s">
        <v>90</v>
      </c>
      <c r="AF153" s="602" t="s">
        <v>90</v>
      </c>
      <c r="AG153" s="602"/>
      <c r="AI153" s="659" t="s">
        <v>90</v>
      </c>
      <c r="AJ153" s="599" t="s">
        <v>90</v>
      </c>
      <c r="AK153" s="599"/>
      <c r="AM153" s="659" t="s">
        <v>90</v>
      </c>
      <c r="AN153" s="599" t="s">
        <v>90</v>
      </c>
      <c r="AO153" s="599"/>
      <c r="AQ153" s="659" t="s">
        <v>90</v>
      </c>
      <c r="AR153" s="599" t="s">
        <v>90</v>
      </c>
      <c r="AS153" s="599"/>
      <c r="AU153" s="660">
        <f t="shared" ref="AU153:AU159" si="256">AU143/AU193</f>
        <v>-5.1067177286814397E-2</v>
      </c>
      <c r="AV153" s="599"/>
      <c r="AW153" s="599"/>
      <c r="AY153" s="660">
        <f>AY143/AY193</f>
        <v>-7.1768714994488406E-2</v>
      </c>
      <c r="AZ153" s="661" t="str">
        <f t="shared" ref="AZ153:AZ159" si="257">IF(AU153&lt;0,"       NM",(AY153/AU153-1)*100)</f>
        <v xml:space="preserve">       NM</v>
      </c>
      <c r="BC153" s="660">
        <f t="shared" ref="BC153:BC159" si="258">BC143/BC193</f>
        <v>0.15214452515214266</v>
      </c>
      <c r="BD153" s="661" t="str">
        <f t="shared" ref="BD153:BD159" si="259">IF(AY153&lt;0,"       NM",(BC153/AY153-1)*100)</f>
        <v xml:space="preserve">       NM</v>
      </c>
      <c r="BG153" s="660">
        <f t="shared" ref="BG153:BG159" si="260">BG143/BG193</f>
        <v>0.33587796237957734</v>
      </c>
      <c r="BH153" s="660"/>
      <c r="BI153" s="661">
        <f>IF(BC153&lt;0,"       NM",(BG153/BC153-1)*100)</f>
        <v>120.76243758604095</v>
      </c>
    </row>
    <row r="154" spans="1:62">
      <c r="A154" s="569" t="s">
        <v>80</v>
      </c>
      <c r="B154" s="79"/>
      <c r="C154" s="657" t="e">
        <f>C144/C194</f>
        <v>#REF!</v>
      </c>
      <c r="D154" s="602"/>
      <c r="E154" s="603"/>
      <c r="F154" s="79"/>
      <c r="G154" s="657" t="e">
        <f>G144/G194</f>
        <v>#REF!</v>
      </c>
      <c r="H154" s="602"/>
      <c r="I154" s="603"/>
      <c r="J154" s="79"/>
      <c r="K154" s="657" t="e">
        <f>K144/K194</f>
        <v>#REF!</v>
      </c>
      <c r="L154" s="602"/>
      <c r="M154" s="603"/>
      <c r="N154" s="79"/>
      <c r="O154" s="657" t="e">
        <f>O144/O194</f>
        <v>#REF!</v>
      </c>
      <c r="P154" s="602"/>
      <c r="Q154" s="603"/>
      <c r="R154" s="79"/>
      <c r="S154" s="657" t="e">
        <f>S144/S194</f>
        <v>#REF!</v>
      </c>
      <c r="T154" s="602" t="e">
        <f>(S154/O154-1)*100</f>
        <v>#REF!</v>
      </c>
      <c r="U154" s="603"/>
      <c r="V154" s="79"/>
      <c r="W154" s="657" t="s">
        <v>90</v>
      </c>
      <c r="X154" s="602" t="s">
        <v>90</v>
      </c>
      <c r="Y154" s="602"/>
      <c r="Z154" s="79"/>
      <c r="AA154" s="657" t="s">
        <v>90</v>
      </c>
      <c r="AB154" s="602" t="s">
        <v>90</v>
      </c>
      <c r="AC154" s="602"/>
      <c r="AD154" s="79"/>
      <c r="AE154" s="658" t="s">
        <v>90</v>
      </c>
      <c r="AF154" s="602" t="s">
        <v>90</v>
      </c>
      <c r="AG154" s="602"/>
      <c r="AI154" s="659" t="s">
        <v>90</v>
      </c>
      <c r="AJ154" s="599" t="s">
        <v>90</v>
      </c>
      <c r="AK154" s="599"/>
      <c r="AM154" s="659" t="s">
        <v>90</v>
      </c>
      <c r="AN154" s="599" t="s">
        <v>90</v>
      </c>
      <c r="AO154" s="599"/>
      <c r="AQ154" s="659" t="s">
        <v>90</v>
      </c>
      <c r="AR154" s="599" t="s">
        <v>90</v>
      </c>
      <c r="AS154" s="599"/>
      <c r="AU154" s="662">
        <f t="shared" si="256"/>
        <v>-0.40427147563455312</v>
      </c>
      <c r="AV154" s="599"/>
      <c r="AW154" s="599"/>
      <c r="AY154" s="662">
        <f t="shared" ref="AY154:AY159" si="261">AY144/AY194</f>
        <v>-0.34840334002087897</v>
      </c>
      <c r="AZ154" s="661" t="str">
        <f t="shared" si="257"/>
        <v xml:space="preserve">       NM</v>
      </c>
      <c r="BC154" s="662">
        <f t="shared" si="258"/>
        <v>-8.3605832999353452E-2</v>
      </c>
      <c r="BD154" s="661" t="str">
        <f t="shared" si="259"/>
        <v xml:space="preserve">       NM</v>
      </c>
      <c r="BG154" s="662">
        <f t="shared" si="260"/>
        <v>0.14309053600136079</v>
      </c>
      <c r="BH154" s="662"/>
      <c r="BI154" s="661" t="str">
        <f t="shared" ref="BI154:BI159" si="262">IF(BC154&lt;0,"       NM",(BG154/BC154-1)*100)</f>
        <v xml:space="preserve">       NM</v>
      </c>
    </row>
    <row r="155" spans="1:62">
      <c r="A155" s="569" t="s">
        <v>81</v>
      </c>
      <c r="B155" s="79"/>
      <c r="C155" s="657" t="e">
        <f>C145/C195</f>
        <v>#REF!</v>
      </c>
      <c r="D155" s="602"/>
      <c r="E155" s="603"/>
      <c r="F155" s="79"/>
      <c r="G155" s="657" t="e">
        <f>G145/G195</f>
        <v>#REF!</v>
      </c>
      <c r="H155" s="602"/>
      <c r="I155" s="603"/>
      <c r="J155" s="79"/>
      <c r="K155" s="657" t="e">
        <f>K145/K195</f>
        <v>#REF!</v>
      </c>
      <c r="L155" s="602"/>
      <c r="M155" s="603"/>
      <c r="N155" s="79"/>
      <c r="O155" s="657" t="e">
        <f>O145/O195</f>
        <v>#REF!</v>
      </c>
      <c r="P155" s="602"/>
      <c r="Q155" s="603"/>
      <c r="R155" s="79"/>
      <c r="S155" s="657" t="e">
        <f>S145/S195</f>
        <v>#REF!</v>
      </c>
      <c r="T155" s="602" t="e">
        <f>(S155/O155-1)*100</f>
        <v>#REF!</v>
      </c>
      <c r="U155" s="603"/>
      <c r="V155" s="79"/>
      <c r="W155" s="657" t="s">
        <v>90</v>
      </c>
      <c r="X155" s="602" t="s">
        <v>90</v>
      </c>
      <c r="Y155" s="602"/>
      <c r="Z155" s="79"/>
      <c r="AA155" s="657" t="s">
        <v>90</v>
      </c>
      <c r="AB155" s="602" t="s">
        <v>90</v>
      </c>
      <c r="AC155" s="602"/>
      <c r="AD155" s="79"/>
      <c r="AE155" s="658" t="s">
        <v>90</v>
      </c>
      <c r="AF155" s="602" t="s">
        <v>90</v>
      </c>
      <c r="AG155" s="602"/>
      <c r="AI155" s="659" t="s">
        <v>90</v>
      </c>
      <c r="AJ155" s="599" t="s">
        <v>90</v>
      </c>
      <c r="AK155" s="599"/>
      <c r="AM155" s="659" t="s">
        <v>90</v>
      </c>
      <c r="AN155" s="599" t="s">
        <v>90</v>
      </c>
      <c r="AO155" s="599"/>
      <c r="AQ155" s="659" t="s">
        <v>90</v>
      </c>
      <c r="AR155" s="599" t="s">
        <v>90</v>
      </c>
      <c r="AS155" s="599"/>
      <c r="AU155" s="662">
        <f t="shared" si="256"/>
        <v>-9.5545743019059201E-2</v>
      </c>
      <c r="AV155" s="599"/>
      <c r="AW155" s="599"/>
      <c r="AY155" s="662">
        <f t="shared" si="261"/>
        <v>-0.21782743846523472</v>
      </c>
      <c r="AZ155" s="661" t="str">
        <f t="shared" si="257"/>
        <v xml:space="preserve">       NM</v>
      </c>
      <c r="BC155" s="662">
        <f t="shared" si="258"/>
        <v>-0.46099329003745909</v>
      </c>
      <c r="BD155" s="661" t="str">
        <f t="shared" si="259"/>
        <v xml:space="preserve">       NM</v>
      </c>
      <c r="BG155" s="662">
        <f t="shared" si="260"/>
        <v>0.1774478816946444</v>
      </c>
      <c r="BH155" s="662"/>
      <c r="BI155" s="661" t="str">
        <f t="shared" si="262"/>
        <v xml:space="preserve">       NM</v>
      </c>
    </row>
    <row r="156" spans="1:62">
      <c r="A156" s="569" t="s">
        <v>82</v>
      </c>
      <c r="B156" s="79"/>
      <c r="C156" s="663" t="e">
        <f>C146/C196</f>
        <v>#REF!</v>
      </c>
      <c r="D156" s="602"/>
      <c r="E156" s="603"/>
      <c r="F156" s="79"/>
      <c r="G156" s="663" t="e">
        <f>G146/G196</f>
        <v>#REF!</v>
      </c>
      <c r="H156" s="602"/>
      <c r="I156" s="603"/>
      <c r="J156" s="79"/>
      <c r="K156" s="663" t="e">
        <f>K146/K196</f>
        <v>#REF!</v>
      </c>
      <c r="L156" s="602"/>
      <c r="M156" s="603"/>
      <c r="N156" s="79"/>
      <c r="O156" s="663" t="e">
        <f>O146/O196</f>
        <v>#REF!</v>
      </c>
      <c r="P156" s="602"/>
      <c r="Q156" s="603"/>
      <c r="R156" s="79"/>
      <c r="S156" s="664" t="s">
        <v>90</v>
      </c>
      <c r="T156" s="602" t="s">
        <v>90</v>
      </c>
      <c r="U156" s="603"/>
      <c r="V156" s="79"/>
      <c r="W156" s="663" t="s">
        <v>90</v>
      </c>
      <c r="X156" s="602" t="s">
        <v>90</v>
      </c>
      <c r="Y156" s="602"/>
      <c r="Z156" s="79"/>
      <c r="AA156" s="663" t="s">
        <v>90</v>
      </c>
      <c r="AB156" s="602" t="s">
        <v>90</v>
      </c>
      <c r="AC156" s="602"/>
      <c r="AD156" s="79"/>
      <c r="AE156" s="665" t="s">
        <v>90</v>
      </c>
      <c r="AF156" s="602" t="s">
        <v>90</v>
      </c>
      <c r="AG156" s="602"/>
      <c r="AI156" s="666" t="s">
        <v>90</v>
      </c>
      <c r="AJ156" s="599" t="s">
        <v>90</v>
      </c>
      <c r="AK156" s="599"/>
      <c r="AM156" s="666" t="s">
        <v>90</v>
      </c>
      <c r="AN156" s="599" t="s">
        <v>90</v>
      </c>
      <c r="AO156" s="599"/>
      <c r="AQ156" s="666" t="s">
        <v>90</v>
      </c>
      <c r="AR156" s="599" t="s">
        <v>90</v>
      </c>
      <c r="AS156" s="599"/>
      <c r="AU156" s="667">
        <f t="shared" si="256"/>
        <v>0.9160219502139445</v>
      </c>
      <c r="AV156" s="599"/>
      <c r="AW156" s="599"/>
      <c r="AY156" s="667">
        <f t="shared" si="261"/>
        <v>0.82163729295684296</v>
      </c>
      <c r="AZ156" s="661">
        <f t="shared" si="257"/>
        <v>-10.303754973890877</v>
      </c>
      <c r="BC156" s="667">
        <f t="shared" si="258"/>
        <v>1.3652988987939181</v>
      </c>
      <c r="BD156" s="661">
        <f t="shared" si="259"/>
        <v>66.168078116389893</v>
      </c>
      <c r="BG156" s="667">
        <f t="shared" si="260"/>
        <v>1.3754285726985591</v>
      </c>
      <c r="BH156" s="1202"/>
      <c r="BI156" s="661">
        <f t="shared" si="262"/>
        <v>0.74193818757120056</v>
      </c>
    </row>
    <row r="157" spans="1:62">
      <c r="A157" s="569" t="s">
        <v>85</v>
      </c>
      <c r="B157" s="79"/>
      <c r="C157" s="657" t="e">
        <f>C147/C197</f>
        <v>#REF!</v>
      </c>
      <c r="D157" s="602"/>
      <c r="E157" s="603"/>
      <c r="F157" s="79"/>
      <c r="G157" s="657" t="e">
        <f>G147/G197</f>
        <v>#REF!</v>
      </c>
      <c r="H157" s="602"/>
      <c r="I157" s="603"/>
      <c r="J157" s="79"/>
      <c r="K157" s="657" t="e">
        <f>K147/K197</f>
        <v>#REF!</v>
      </c>
      <c r="L157" s="602"/>
      <c r="M157" s="603"/>
      <c r="N157" s="79"/>
      <c r="O157" s="657" t="e">
        <f>O147/O197</f>
        <v>#REF!</v>
      </c>
      <c r="P157" s="602"/>
      <c r="Q157" s="603"/>
      <c r="R157" s="79"/>
      <c r="S157" s="668" t="s">
        <v>90</v>
      </c>
      <c r="T157" s="602" t="s">
        <v>90</v>
      </c>
      <c r="U157" s="603"/>
      <c r="V157" s="79"/>
      <c r="W157" s="657" t="s">
        <v>90</v>
      </c>
      <c r="X157" s="602" t="s">
        <v>90</v>
      </c>
      <c r="Y157" s="602"/>
      <c r="Z157" s="79"/>
      <c r="AA157" s="657" t="s">
        <v>90</v>
      </c>
      <c r="AB157" s="602" t="s">
        <v>90</v>
      </c>
      <c r="AC157" s="602"/>
      <c r="AD157" s="79"/>
      <c r="AE157" s="658" t="s">
        <v>90</v>
      </c>
      <c r="AF157" s="602" t="s">
        <v>90</v>
      </c>
      <c r="AG157" s="602"/>
      <c r="AI157" s="659" t="s">
        <v>90</v>
      </c>
      <c r="AJ157" s="599" t="s">
        <v>90</v>
      </c>
      <c r="AK157" s="599"/>
      <c r="AM157" s="659" t="s">
        <v>90</v>
      </c>
      <c r="AN157" s="599" t="s">
        <v>90</v>
      </c>
      <c r="AO157" s="599"/>
      <c r="AQ157" s="659" t="s">
        <v>90</v>
      </c>
      <c r="AR157" s="599" t="s">
        <v>90</v>
      </c>
      <c r="AS157" s="599"/>
      <c r="AU157" s="660">
        <f t="shared" si="256"/>
        <v>0.36584826846439356</v>
      </c>
      <c r="AV157" s="599"/>
      <c r="AW157" s="599"/>
      <c r="AY157" s="660">
        <f t="shared" si="261"/>
        <v>0.20869153059343287</v>
      </c>
      <c r="AZ157" s="661">
        <f t="shared" si="257"/>
        <v>-42.956807894870785</v>
      </c>
      <c r="BC157" s="660">
        <f t="shared" si="258"/>
        <v>0.99123847167325174</v>
      </c>
      <c r="BD157" s="661">
        <f t="shared" si="259"/>
        <v>374.97781479419763</v>
      </c>
      <c r="BG157" s="660">
        <f t="shared" si="260"/>
        <v>2.0304619919406859</v>
      </c>
      <c r="BH157" s="660"/>
      <c r="BI157" s="661">
        <f t="shared" si="262"/>
        <v>104.84091870578646</v>
      </c>
    </row>
    <row r="158" spans="1:62" hidden="1" outlineLevel="1">
      <c r="A158" s="569" t="s">
        <v>87</v>
      </c>
      <c r="B158" s="79"/>
      <c r="C158" s="669"/>
      <c r="D158" s="602"/>
      <c r="E158" s="603"/>
      <c r="F158" s="79"/>
      <c r="G158" s="669"/>
      <c r="H158" s="602"/>
      <c r="I158" s="603"/>
      <c r="J158" s="79"/>
      <c r="K158" s="669"/>
      <c r="L158" s="602"/>
      <c r="M158" s="603"/>
      <c r="N158" s="79"/>
      <c r="O158" s="669"/>
      <c r="P158" s="602"/>
      <c r="Q158" s="603"/>
      <c r="R158" s="79"/>
      <c r="S158" s="602"/>
      <c r="T158" s="602"/>
      <c r="U158" s="603"/>
      <c r="V158" s="79"/>
      <c r="W158" s="669"/>
      <c r="X158" s="602"/>
      <c r="Y158" s="602"/>
      <c r="Z158" s="79"/>
      <c r="AA158" s="669"/>
      <c r="AB158" s="602"/>
      <c r="AC158" s="602"/>
      <c r="AD158" s="79"/>
      <c r="AE158" s="658"/>
      <c r="AF158" s="602"/>
      <c r="AG158" s="602"/>
      <c r="AI158" s="659"/>
      <c r="AJ158" s="599"/>
      <c r="AK158" s="599"/>
      <c r="AM158" s="659"/>
      <c r="AN158" s="599"/>
      <c r="AO158" s="599"/>
      <c r="AQ158" s="659"/>
      <c r="AR158" s="599"/>
      <c r="AS158" s="599"/>
      <c r="AU158" s="662">
        <f t="shared" si="256"/>
        <v>-0.45533865292136749</v>
      </c>
      <c r="AV158" s="599"/>
      <c r="AW158" s="599"/>
      <c r="AY158" s="662">
        <f t="shared" si="261"/>
        <v>-0.42017205501536736</v>
      </c>
      <c r="AZ158" s="661" t="str">
        <f t="shared" si="257"/>
        <v xml:space="preserve">       NM</v>
      </c>
      <c r="BC158" s="662">
        <f t="shared" si="258"/>
        <v>6.9881422924898948E-2</v>
      </c>
      <c r="BD158" s="661" t="str">
        <f t="shared" si="259"/>
        <v xml:space="preserve">       NM</v>
      </c>
      <c r="BG158" s="662">
        <f t="shared" si="260"/>
        <v>0.47956706387378589</v>
      </c>
      <c r="BH158" s="662"/>
      <c r="BI158" s="661">
        <f t="shared" si="262"/>
        <v>586.2582984166952</v>
      </c>
    </row>
    <row r="159" spans="1:62" hidden="1" outlineLevel="1">
      <c r="A159" s="569" t="s">
        <v>88</v>
      </c>
      <c r="B159" s="79"/>
      <c r="C159" s="669"/>
      <c r="D159" s="602"/>
      <c r="E159" s="603"/>
      <c r="F159" s="79"/>
      <c r="G159" s="669"/>
      <c r="H159" s="602"/>
      <c r="I159" s="603"/>
      <c r="J159" s="79"/>
      <c r="K159" s="669"/>
      <c r="L159" s="602"/>
      <c r="M159" s="603"/>
      <c r="N159" s="79"/>
      <c r="O159" s="669"/>
      <c r="P159" s="602"/>
      <c r="Q159" s="603"/>
      <c r="R159" s="79"/>
      <c r="S159" s="602"/>
      <c r="T159" s="602"/>
      <c r="U159" s="603"/>
      <c r="V159" s="79"/>
      <c r="W159" s="669"/>
      <c r="X159" s="602"/>
      <c r="Y159" s="602"/>
      <c r="Z159" s="79"/>
      <c r="AA159" s="669"/>
      <c r="AB159" s="602"/>
      <c r="AC159" s="602"/>
      <c r="AD159" s="79"/>
      <c r="AE159" s="658"/>
      <c r="AF159" s="602"/>
      <c r="AG159" s="602"/>
      <c r="AI159" s="659"/>
      <c r="AJ159" s="599"/>
      <c r="AK159" s="599"/>
      <c r="AM159" s="659"/>
      <c r="AN159" s="599"/>
      <c r="AO159" s="599"/>
      <c r="AQ159" s="659"/>
      <c r="AR159" s="599"/>
      <c r="AS159" s="599"/>
      <c r="AU159" s="662">
        <f t="shared" si="256"/>
        <v>-0.55088439594042671</v>
      </c>
      <c r="AV159" s="599"/>
      <c r="AW159" s="599"/>
      <c r="AY159" s="662">
        <f t="shared" si="261"/>
        <v>-0.63799949348060203</v>
      </c>
      <c r="AZ159" s="661" t="str">
        <f t="shared" si="257"/>
        <v xml:space="preserve">       NM</v>
      </c>
      <c r="BC159" s="662">
        <f t="shared" si="258"/>
        <v>-0.38089591567852843</v>
      </c>
      <c r="BD159" s="661" t="str">
        <f t="shared" si="259"/>
        <v xml:space="preserve">       NM</v>
      </c>
      <c r="BG159" s="662">
        <f t="shared" si="260"/>
        <v>0.65678851567561436</v>
      </c>
      <c r="BH159" s="662"/>
      <c r="BI159" s="661" t="str">
        <f t="shared" si="262"/>
        <v xml:space="preserve">       NM</v>
      </c>
    </row>
    <row r="160" spans="1:62" collapsed="1">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row>
    <row r="161" spans="1:62" s="57" customFormat="1">
      <c r="A161" s="565" t="s">
        <v>374</v>
      </c>
      <c r="B161" s="566"/>
      <c r="C161" s="566"/>
      <c r="D161" s="566"/>
      <c r="E161" s="566"/>
      <c r="F161" s="566"/>
      <c r="G161" s="566"/>
      <c r="H161" s="566"/>
      <c r="I161" s="566"/>
      <c r="J161" s="566"/>
      <c r="K161" s="566"/>
      <c r="L161" s="566"/>
      <c r="M161" s="566"/>
      <c r="N161" s="566"/>
      <c r="O161" s="566"/>
      <c r="P161" s="566"/>
      <c r="Q161" s="566"/>
      <c r="R161" s="566"/>
      <c r="S161" s="566"/>
      <c r="T161" s="566"/>
      <c r="U161" s="566"/>
      <c r="V161" s="566"/>
      <c r="W161" s="566"/>
      <c r="X161" s="566"/>
      <c r="Y161" s="566"/>
      <c r="Z161" s="566"/>
      <c r="AA161" s="566"/>
      <c r="AB161" s="566"/>
      <c r="AC161" s="566"/>
      <c r="AD161" s="566"/>
      <c r="AE161" s="566"/>
      <c r="AF161" s="566"/>
      <c r="AG161" s="566"/>
      <c r="AH161" s="641"/>
      <c r="AI161" s="66"/>
      <c r="AJ161" s="641"/>
      <c r="AK161" s="641"/>
      <c r="AL161" s="641"/>
      <c r="AM161" s="66"/>
      <c r="AN161" s="66"/>
      <c r="AO161" s="66"/>
      <c r="AP161" s="66"/>
      <c r="AQ161" s="66"/>
      <c r="AR161" s="66"/>
      <c r="AS161" s="66"/>
      <c r="AT161" s="66"/>
      <c r="AU161" s="66"/>
      <c r="AV161" s="66"/>
      <c r="AW161" s="66"/>
      <c r="AX161" s="66"/>
      <c r="AY161" s="66"/>
      <c r="AZ161" s="66"/>
      <c r="BA161" s="66"/>
      <c r="BC161" s="66"/>
      <c r="BD161" s="66"/>
      <c r="BE161" s="66"/>
      <c r="BG161" s="66"/>
      <c r="BH161" s="66"/>
      <c r="BI161" s="66"/>
      <c r="BJ161" s="66"/>
    </row>
    <row r="162" spans="1:62" s="57" customFormat="1">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W162" s="65"/>
    </row>
    <row r="163" spans="1:62" s="57" customFormat="1">
      <c r="A163" s="569" t="s">
        <v>79</v>
      </c>
      <c r="B163" s="79"/>
      <c r="C163" s="570">
        <v>0</v>
      </c>
      <c r="D163" s="596"/>
      <c r="E163" s="597"/>
      <c r="F163" s="79"/>
      <c r="G163" s="570">
        <v>0</v>
      </c>
      <c r="H163" s="596"/>
      <c r="I163" s="597"/>
      <c r="J163" s="79"/>
      <c r="K163" s="570">
        <f>1.292-0.002</f>
        <v>1.29</v>
      </c>
      <c r="L163" s="596"/>
      <c r="M163" s="597"/>
      <c r="N163" s="79"/>
      <c r="O163" s="570">
        <f>1.264-0.001</f>
        <v>1.2630000000000001</v>
      </c>
      <c r="P163" s="596"/>
      <c r="Q163" s="597"/>
      <c r="R163" s="79"/>
      <c r="S163" s="570">
        <v>0</v>
      </c>
      <c r="T163" s="596"/>
      <c r="U163" s="597"/>
      <c r="V163" s="79"/>
      <c r="W163" s="570">
        <v>0</v>
      </c>
      <c r="X163" s="596"/>
      <c r="Y163" s="602"/>
      <c r="Z163" s="79"/>
      <c r="AA163" s="570">
        <f>(0.553)*(1-0.35)</f>
        <v>0.35945000000000005</v>
      </c>
      <c r="AB163" s="596"/>
      <c r="AC163" s="602"/>
      <c r="AD163" s="79"/>
      <c r="AE163" s="570">
        <v>0</v>
      </c>
      <c r="AF163" s="596"/>
      <c r="AG163" s="597"/>
      <c r="AI163" s="548">
        <f>(5.023+9.386+15.25)*((1-0.35))</f>
        <v>19.27835</v>
      </c>
      <c r="AJ163" s="625"/>
      <c r="AK163" s="625"/>
      <c r="AM163" s="670">
        <f>(0.185+0.963)*(1-0.35)</f>
        <v>0.74619999999999997</v>
      </c>
      <c r="AN163" s="632"/>
      <c r="AO163" s="625"/>
      <c r="AQ163" s="670">
        <f>((0.009+37.764))*((1-0.35))</f>
        <v>24.552450000000004</v>
      </c>
      <c r="AR163" s="645"/>
      <c r="AS163" s="638"/>
      <c r="AU163" s="671">
        <f>(1+0+7.2)-1.7+(-1.7)</f>
        <v>4.7999999999999989</v>
      </c>
      <c r="AV163" s="645"/>
      <c r="AW163" s="672"/>
      <c r="AY163" s="632">
        <f>(1.1+8.9+0.1+8.8)-4.1+(-3.1)</f>
        <v>11.7</v>
      </c>
      <c r="BC163" s="825">
        <f>(6.571+0.424+0.828+3.681+0.019+0.066)+(-4.751)</f>
        <v>6.8380000000000019</v>
      </c>
      <c r="BG163" s="825">
        <f>6.057+0.259+0.46+0.649+1.715+0.073-3.501</f>
        <v>5.7120000000000015</v>
      </c>
      <c r="BH163" s="825"/>
    </row>
    <row r="164" spans="1:62" s="57" customFormat="1">
      <c r="A164" s="569" t="s">
        <v>80</v>
      </c>
      <c r="B164" s="79"/>
      <c r="C164" s="581">
        <v>0</v>
      </c>
      <c r="D164" s="596"/>
      <c r="E164" s="597"/>
      <c r="F164" s="79"/>
      <c r="G164" s="581">
        <v>0</v>
      </c>
      <c r="H164" s="596"/>
      <c r="I164" s="597"/>
      <c r="J164" s="79"/>
      <c r="K164" s="581">
        <f>0.72+0.002</f>
        <v>0.72199999999999998</v>
      </c>
      <c r="L164" s="596"/>
      <c r="M164" s="597"/>
      <c r="N164" s="79"/>
      <c r="O164" s="581">
        <f>-0.222</f>
        <v>-0.222</v>
      </c>
      <c r="P164" s="596"/>
      <c r="Q164" s="597"/>
      <c r="R164" s="79"/>
      <c r="S164" s="581">
        <v>2E-3</v>
      </c>
      <c r="T164" s="596"/>
      <c r="U164" s="597"/>
      <c r="V164" s="79"/>
      <c r="W164" s="581">
        <f>3.677*(1-0.35)</f>
        <v>2.39005</v>
      </c>
      <c r="X164" s="596"/>
      <c r="Y164" s="602"/>
      <c r="Z164" s="79"/>
      <c r="AA164" s="581">
        <f>6.826*(1-0.35)</f>
        <v>4.4368999999999996</v>
      </c>
      <c r="AB164" s="596"/>
      <c r="AC164" s="602"/>
      <c r="AD164" s="79"/>
      <c r="AE164" s="581">
        <v>0</v>
      </c>
      <c r="AF164" s="596"/>
      <c r="AG164" s="597"/>
      <c r="AI164" s="673">
        <f>(0.042+0.081)*((1-0.35))</f>
        <v>7.9950000000000007E-2</v>
      </c>
      <c r="AJ164" s="633"/>
      <c r="AK164" s="67"/>
      <c r="AL164" s="67"/>
      <c r="AM164" s="674">
        <f>(0.073+1.19)*((1-0.35))</f>
        <v>0.82094999999999996</v>
      </c>
      <c r="AN164" s="634"/>
      <c r="AO164" s="635"/>
      <c r="AP164" s="67"/>
      <c r="AQ164" s="674">
        <f>((0.025+5.19))*((1-0.35))</f>
        <v>3.3897500000000007</v>
      </c>
      <c r="AR164" s="67"/>
      <c r="AS164" s="635"/>
      <c r="AT164" s="67"/>
      <c r="AU164" s="634">
        <f>(1.1+6.5+0.1+7)-(-10.8)+(-16)</f>
        <v>9.5</v>
      </c>
      <c r="AV164" s="645"/>
      <c r="AW164" s="672"/>
      <c r="AY164" s="634">
        <f>(1.1+2.8+3.5+3.7+0.2+6.9)-(-9)+(-14.2)</f>
        <v>13.000000000000004</v>
      </c>
      <c r="BC164" s="826">
        <f>(6.535+0.917+0.963+0.829+0.06)+(-3.711)</f>
        <v>5.593</v>
      </c>
      <c r="BG164" s="826">
        <f>5.992-0.012+0.335+0.188+-2.546</f>
        <v>3.9570000000000003</v>
      </c>
      <c r="BH164" s="826"/>
    </row>
    <row r="165" spans="1:62" s="57" customFormat="1">
      <c r="A165" s="569" t="s">
        <v>81</v>
      </c>
      <c r="B165" s="79"/>
      <c r="C165" s="581">
        <v>0</v>
      </c>
      <c r="D165" s="596"/>
      <c r="E165" s="597"/>
      <c r="F165" s="79"/>
      <c r="G165" s="581">
        <v>0</v>
      </c>
      <c r="H165" s="596"/>
      <c r="I165" s="597"/>
      <c r="J165" s="79"/>
      <c r="K165" s="581">
        <f>1.622-0.001</f>
        <v>1.6210000000000002</v>
      </c>
      <c r="L165" s="596"/>
      <c r="M165" s="597"/>
      <c r="N165" s="79"/>
      <c r="O165" s="581">
        <f>-0.603</f>
        <v>-0.60299999999999998</v>
      </c>
      <c r="P165" s="596"/>
      <c r="Q165" s="597"/>
      <c r="R165" s="79"/>
      <c r="S165" s="581">
        <v>0</v>
      </c>
      <c r="T165" s="596"/>
      <c r="U165" s="597"/>
      <c r="V165" s="79"/>
      <c r="W165" s="581">
        <v>0</v>
      </c>
      <c r="X165" s="596"/>
      <c r="Y165" s="602"/>
      <c r="Z165" s="79"/>
      <c r="AA165" s="581">
        <f>0.494*(1-0.35)</f>
        <v>0.3211</v>
      </c>
      <c r="AB165" s="596"/>
      <c r="AC165" s="602"/>
      <c r="AD165" s="79"/>
      <c r="AE165" s="581">
        <f>(28.134+279.3+5.819)*(1-0.35)</f>
        <v>203.61445000000003</v>
      </c>
      <c r="AF165" s="596"/>
      <c r="AG165" s="597"/>
      <c r="AI165" s="673">
        <f>(6.437+1.19)*((1-0.35))</f>
        <v>4.9575500000000003</v>
      </c>
      <c r="AJ165" s="633"/>
      <c r="AK165" s="67"/>
      <c r="AL165" s="67"/>
      <c r="AM165" s="674">
        <f>(0.252)*((1-0.35))</f>
        <v>0.1638</v>
      </c>
      <c r="AN165" s="634"/>
      <c r="AO165" s="635"/>
      <c r="AP165" s="67"/>
      <c r="AQ165" s="674">
        <f>((0.431))*((1-0.35))</f>
        <v>0.28015000000000001</v>
      </c>
      <c r="AR165" s="67"/>
      <c r="AS165" s="635"/>
      <c r="AT165" s="67"/>
      <c r="AU165" s="634">
        <f>(1+0.1+1+7.1)-(-10.7)+(-14.2)</f>
        <v>5.6999999999999993</v>
      </c>
      <c r="AV165" s="645"/>
      <c r="AW165" s="672"/>
      <c r="AY165" s="634">
        <f>(6.835+10.506+1.768+0.243+0.7)+(-6.528)</f>
        <v>13.524000000000001</v>
      </c>
      <c r="BC165" s="826">
        <f>(6.493+0.589+0.628+70.302+0.006+0.028)+(-31.921)</f>
        <v>46.125000000000007</v>
      </c>
      <c r="BG165" s="634">
        <f>(6)*(1-BI135%)</f>
        <v>3.66</v>
      </c>
      <c r="BH165" s="634"/>
    </row>
    <row r="166" spans="1:62" s="57" customFormat="1">
      <c r="A166" s="569" t="s">
        <v>82</v>
      </c>
      <c r="B166" s="79"/>
      <c r="C166" s="675">
        <v>0</v>
      </c>
      <c r="D166" s="596"/>
      <c r="E166" s="597"/>
      <c r="F166" s="79"/>
      <c r="G166" s="675">
        <f>1.931-0.003</f>
        <v>1.9280000000000002</v>
      </c>
      <c r="H166" s="596"/>
      <c r="I166" s="597"/>
      <c r="J166" s="79"/>
      <c r="K166" s="675">
        <f>0.895-0.001</f>
        <v>0.89400000000000002</v>
      </c>
      <c r="L166" s="596"/>
      <c r="M166" s="597"/>
      <c r="N166" s="79"/>
      <c r="O166" s="675">
        <f>0.575-0.001</f>
        <v>0.57399999999999995</v>
      </c>
      <c r="P166" s="596"/>
      <c r="Q166" s="597"/>
      <c r="R166" s="79"/>
      <c r="S166" s="640">
        <f>S167-SUM(S163:S165)</f>
        <v>2E-3</v>
      </c>
      <c r="T166" s="596"/>
      <c r="U166" s="597"/>
      <c r="V166" s="79"/>
      <c r="W166" s="675">
        <f>W167-SUM(W163:W165)</f>
        <v>12.99518</v>
      </c>
      <c r="X166" s="596"/>
      <c r="Y166" s="602"/>
      <c r="Z166" s="79"/>
      <c r="AA166" s="675">
        <f>AA167-SUM(AA163:AA165)</f>
        <v>11.29895</v>
      </c>
      <c r="AB166" s="596"/>
      <c r="AC166" s="602"/>
      <c r="AD166" s="79"/>
      <c r="AE166" s="640">
        <f>AE167-SUM(AE163:AE165)</f>
        <v>16.735549999999961</v>
      </c>
      <c r="AF166" s="596"/>
      <c r="AG166" s="597"/>
      <c r="AI166" s="676">
        <f>AI167-SUM(AI163:AI165)</f>
        <v>26.932099999999995</v>
      </c>
      <c r="AJ166" s="636"/>
      <c r="AK166" s="67"/>
      <c r="AL166" s="67"/>
      <c r="AM166" s="676">
        <f>AM167-SUM(AM163:AM165)</f>
        <v>23.352050000000002</v>
      </c>
      <c r="AN166" s="637"/>
      <c r="AO166" s="635"/>
      <c r="AP166" s="67"/>
      <c r="AQ166" s="676">
        <f>AQ167-SUM(AQ163:AQ165)</f>
        <v>15.399650000000012</v>
      </c>
      <c r="AR166" s="67"/>
      <c r="AS166" s="635"/>
      <c r="AT166" s="67"/>
      <c r="AU166" s="636">
        <f>AU167-SUM(AU163:AU165)</f>
        <v>13.899999999999999</v>
      </c>
      <c r="AV166" s="645"/>
      <c r="AW166" s="672"/>
      <c r="AY166" s="677">
        <f>(6.826+1.063+1.386+15.476+2.799+0.035)+(-10.151)</f>
        <v>17.433999999999997</v>
      </c>
      <c r="BC166" s="827">
        <f>6.361+0.482+0.521+0.364+1.726+0.031-4.699</f>
        <v>4.7860000000000014</v>
      </c>
      <c r="BG166" s="677">
        <f>(6)*(1-BI136%)</f>
        <v>3.6479999999999997</v>
      </c>
      <c r="BH166" s="634"/>
    </row>
    <row r="167" spans="1:62" s="57" customFormat="1">
      <c r="A167" s="569" t="s">
        <v>85</v>
      </c>
      <c r="B167" s="79"/>
      <c r="C167" s="590">
        <f>'yrP&amp;L'!D50</f>
        <v>3.3540000000000001</v>
      </c>
      <c r="D167" s="596"/>
      <c r="E167" s="597"/>
      <c r="F167" s="590"/>
      <c r="G167" s="590">
        <f>'yrP&amp;L'!E50</f>
        <v>4.3929999999999998</v>
      </c>
      <c r="H167" s="596"/>
      <c r="I167" s="597"/>
      <c r="J167" s="590"/>
      <c r="K167" s="590">
        <f>'yrP&amp;L'!F50</f>
        <v>4.3630000000000004</v>
      </c>
      <c r="L167" s="596"/>
      <c r="M167" s="597"/>
      <c r="N167" s="590"/>
      <c r="O167" s="590">
        <f>'yrP&amp;L'!G50</f>
        <v>1.5729500000000001</v>
      </c>
      <c r="P167" s="596"/>
      <c r="Q167" s="597"/>
      <c r="R167" s="590"/>
      <c r="S167" s="590">
        <f>'yrP&amp;L'!H50</f>
        <v>4.0000000000000001E-3</v>
      </c>
      <c r="T167" s="596"/>
      <c r="U167" s="597"/>
      <c r="V167" s="590"/>
      <c r="W167" s="590">
        <f>'yrP&amp;L'!I50</f>
        <v>15.38523</v>
      </c>
      <c r="X167" s="596"/>
      <c r="Y167" s="602"/>
      <c r="Z167" s="590"/>
      <c r="AA167" s="590">
        <f>'yrP&amp;L'!J50</f>
        <v>16.416399999999999</v>
      </c>
      <c r="AB167" s="590"/>
      <c r="AC167" s="602"/>
      <c r="AD167" s="79"/>
      <c r="AE167" s="590">
        <f>'yrP&amp;L'!K50</f>
        <v>220.35</v>
      </c>
      <c r="AF167" s="596"/>
      <c r="AG167" s="597"/>
      <c r="AI167" s="625">
        <f>(7.452+56.141+15.25)*((1-0.35))</f>
        <v>51.247949999999996</v>
      </c>
      <c r="AJ167" s="625"/>
      <c r="AM167" s="632">
        <f>(2.08+4.289+3.04+30.389)-14.715</f>
        <v>25.083000000000002</v>
      </c>
      <c r="AN167" s="632"/>
      <c r="AO167" s="638"/>
      <c r="AQ167" s="632">
        <f>((37.764+1.735+4.285-0.473+29.245))-28.934</f>
        <v>43.622000000000014</v>
      </c>
      <c r="AR167" s="645"/>
      <c r="AS167" s="638"/>
      <c r="AU167" s="632">
        <f>(4.3+6.4+11.5+30.7)-24.5+5.5</f>
        <v>33.9</v>
      </c>
      <c r="AV167" s="645"/>
      <c r="AW167" s="672" t="s">
        <v>369</v>
      </c>
      <c r="AY167" s="632">
        <f>(29.326+23.026+10.418+16.094+3.18+2.909)+(-30.864)</f>
        <v>54.089000000000013</v>
      </c>
      <c r="BC167" s="825">
        <f>SUM(BC163:BC166)</f>
        <v>63.342000000000013</v>
      </c>
      <c r="BG167" s="632">
        <f>SUM(BG163:BG166)</f>
        <v>16.977000000000004</v>
      </c>
      <c r="BH167" s="632"/>
    </row>
    <row r="168" spans="1:62" s="57" customFormat="1" hidden="1" outlineLevel="1">
      <c r="A168" s="569" t="s">
        <v>87</v>
      </c>
      <c r="B168" s="79"/>
      <c r="C168" s="591"/>
      <c r="D168" s="596"/>
      <c r="E168" s="597"/>
      <c r="F168" s="79"/>
      <c r="G168" s="591">
        <f>G163+G164</f>
        <v>0</v>
      </c>
      <c r="H168" s="596"/>
      <c r="I168" s="597"/>
      <c r="J168" s="79"/>
      <c r="K168" s="591">
        <f>K163+K164</f>
        <v>2.012</v>
      </c>
      <c r="L168" s="596"/>
      <c r="M168" s="597"/>
      <c r="N168" s="79"/>
      <c r="O168" s="591">
        <f>O163+O164</f>
        <v>1.0410000000000001</v>
      </c>
      <c r="P168" s="596"/>
      <c r="Q168" s="597"/>
      <c r="R168" s="79"/>
      <c r="S168" s="591">
        <f>S163+S164</f>
        <v>2E-3</v>
      </c>
      <c r="T168" s="596"/>
      <c r="U168" s="597"/>
      <c r="V168" s="79"/>
      <c r="W168" s="591">
        <f>W163+W164</f>
        <v>2.39005</v>
      </c>
      <c r="X168" s="596"/>
      <c r="Y168" s="602"/>
      <c r="Z168" s="79"/>
      <c r="AA168" s="591">
        <f>AA163+AA164</f>
        <v>4.7963499999999994</v>
      </c>
      <c r="AB168" s="596"/>
      <c r="AC168" s="602"/>
      <c r="AD168" s="79"/>
      <c r="AE168" s="591">
        <f>AE163+AE164</f>
        <v>0</v>
      </c>
      <c r="AF168" s="596"/>
      <c r="AG168" s="597"/>
      <c r="AI168" s="558">
        <f>AI163+AI164</f>
        <v>19.3583</v>
      </c>
      <c r="AJ168" s="645"/>
      <c r="AK168" s="638"/>
      <c r="AM168" s="558">
        <f>AM163+AM164</f>
        <v>1.5671499999999998</v>
      </c>
      <c r="AN168" s="678"/>
      <c r="AO168" s="638"/>
      <c r="AQ168" s="558">
        <f>AQ163+AQ164</f>
        <v>27.942200000000003</v>
      </c>
      <c r="AR168" s="645"/>
      <c r="AS168" s="638"/>
      <c r="AU168" s="558">
        <f>AU163+AU164</f>
        <v>14.299999999999999</v>
      </c>
      <c r="AV168" s="645"/>
      <c r="AW168" s="672"/>
      <c r="AY168" s="558">
        <f>AY163+AY164</f>
        <v>24.700000000000003</v>
      </c>
      <c r="BC168" s="558">
        <f>BC163+BC164</f>
        <v>12.431000000000001</v>
      </c>
      <c r="BG168" s="558">
        <f>BG163+BG164</f>
        <v>9.6690000000000023</v>
      </c>
      <c r="BH168" s="558"/>
    </row>
    <row r="169" spans="1:62" s="57" customFormat="1" hidden="1" outlineLevel="1">
      <c r="A169" s="569" t="s">
        <v>88</v>
      </c>
      <c r="B169" s="79"/>
      <c r="C169" s="591"/>
      <c r="D169" s="596"/>
      <c r="E169" s="597"/>
      <c r="F169" s="79"/>
      <c r="G169" s="591">
        <f>G163+G164+G165</f>
        <v>0</v>
      </c>
      <c r="H169" s="596"/>
      <c r="I169" s="597"/>
      <c r="J169" s="79"/>
      <c r="K169" s="591">
        <f>K163+K164+K165</f>
        <v>3.633</v>
      </c>
      <c r="L169" s="596"/>
      <c r="M169" s="597"/>
      <c r="N169" s="79"/>
      <c r="O169" s="591">
        <f>O163+O164+O165</f>
        <v>0.43800000000000017</v>
      </c>
      <c r="P169" s="596"/>
      <c r="Q169" s="597"/>
      <c r="R169" s="79"/>
      <c r="S169" s="591">
        <f>S163+S164+S165</f>
        <v>2E-3</v>
      </c>
      <c r="T169" s="596"/>
      <c r="U169" s="597"/>
      <c r="V169" s="79"/>
      <c r="W169" s="591">
        <f>W163+W164+W165</f>
        <v>2.39005</v>
      </c>
      <c r="X169" s="596"/>
      <c r="Y169" s="602"/>
      <c r="Z169" s="79"/>
      <c r="AA169" s="591">
        <f>AA163+AA164+AA165</f>
        <v>5.1174499999999998</v>
      </c>
      <c r="AB169" s="596"/>
      <c r="AC169" s="602"/>
      <c r="AD169" s="79"/>
      <c r="AE169" s="591">
        <f>AE163+AE164+AE165</f>
        <v>203.61445000000003</v>
      </c>
      <c r="AF169" s="596"/>
      <c r="AG169" s="597"/>
      <c r="AI169" s="558">
        <f>AI163+AI164+AI165</f>
        <v>24.315850000000001</v>
      </c>
      <c r="AJ169" s="645"/>
      <c r="AK169" s="638"/>
      <c r="AM169" s="558">
        <f>AM163+AM164+AM165</f>
        <v>1.7309499999999998</v>
      </c>
      <c r="AN169" s="678"/>
      <c r="AO169" s="638"/>
      <c r="AQ169" s="558">
        <f>AQ163+AQ164+AQ165</f>
        <v>28.222350000000002</v>
      </c>
      <c r="AR169" s="645"/>
      <c r="AS169" s="638"/>
      <c r="AU169" s="558">
        <f>AU163+AU164+AU165</f>
        <v>20</v>
      </c>
      <c r="AV169" s="645"/>
      <c r="AW169" s="672"/>
      <c r="AY169" s="558">
        <f>AY163+AY164+AY165</f>
        <v>38.224000000000004</v>
      </c>
      <c r="BC169" s="558">
        <f>BC163+BC164+BC165</f>
        <v>58.556000000000012</v>
      </c>
      <c r="BG169" s="558">
        <f>BG163+BG164+BG165</f>
        <v>13.329000000000002</v>
      </c>
      <c r="BH169" s="558"/>
    </row>
    <row r="170" spans="1:62" s="57" customFormat="1" collapsed="1">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W170" s="65"/>
    </row>
    <row r="171" spans="1:62" s="57" customFormat="1" outlineLevel="1">
      <c r="A171" s="565" t="s">
        <v>375</v>
      </c>
      <c r="B171" s="566"/>
      <c r="C171" s="566"/>
      <c r="D171" s="566"/>
      <c r="E171" s="566"/>
      <c r="F171" s="566"/>
      <c r="G171" s="566"/>
      <c r="H171" s="566"/>
      <c r="I171" s="566"/>
      <c r="J171" s="566"/>
      <c r="K171" s="566"/>
      <c r="L171" s="566"/>
      <c r="M171" s="566"/>
      <c r="N171" s="566"/>
      <c r="O171" s="566"/>
      <c r="P171" s="566"/>
      <c r="Q171" s="566"/>
      <c r="R171" s="566"/>
      <c r="S171" s="566"/>
      <c r="T171" s="566"/>
      <c r="U171" s="566"/>
      <c r="V171" s="566"/>
      <c r="W171" s="566"/>
      <c r="X171" s="566"/>
      <c r="Y171" s="566"/>
      <c r="Z171" s="566"/>
      <c r="AA171" s="566"/>
      <c r="AB171" s="566"/>
      <c r="AC171" s="566"/>
      <c r="AD171" s="566"/>
      <c r="AE171" s="566"/>
      <c r="AF171" s="566"/>
      <c r="AG171" s="566"/>
      <c r="AH171" s="641"/>
      <c r="AI171" s="641"/>
      <c r="AJ171" s="641"/>
      <c r="AK171" s="641"/>
      <c r="AL171" s="641"/>
      <c r="AM171" s="641"/>
      <c r="AN171" s="641"/>
      <c r="AO171" s="641"/>
      <c r="AP171" s="641"/>
      <c r="AQ171" s="641"/>
      <c r="AR171" s="641"/>
      <c r="AS171" s="641"/>
      <c r="AT171" s="641"/>
      <c r="AU171" s="641"/>
      <c r="AV171" s="641"/>
      <c r="AW171" s="641"/>
      <c r="AX171" s="641"/>
      <c r="AY171" s="641"/>
      <c r="AZ171" s="641"/>
      <c r="BA171" s="641"/>
      <c r="BC171" s="641"/>
      <c r="BD171" s="641"/>
      <c r="BE171" s="641"/>
      <c r="BG171" s="641"/>
      <c r="BH171" s="641"/>
      <c r="BI171" s="641"/>
      <c r="BJ171" s="641"/>
    </row>
    <row r="172" spans="1:62">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row>
    <row r="173" spans="1:62">
      <c r="A173" s="569" t="s">
        <v>79</v>
      </c>
      <c r="B173" s="79"/>
      <c r="C173" s="590" t="e">
        <f>C143-C163</f>
        <v>#REF!</v>
      </c>
      <c r="D173" s="596" t="e">
        <f t="shared" ref="D173:D179" si="263">C173/C11*100</f>
        <v>#REF!</v>
      </c>
      <c r="E173" s="571" t="s">
        <v>90</v>
      </c>
      <c r="F173" s="79"/>
      <c r="G173" s="590" t="e">
        <f>G143-G163</f>
        <v>#REF!</v>
      </c>
      <c r="H173" s="596" t="e">
        <f t="shared" ref="H173:H179" si="264">G173/G11*100</f>
        <v>#REF!</v>
      </c>
      <c r="I173" s="602" t="e">
        <f>(G173/C173-1)*100</f>
        <v>#REF!</v>
      </c>
      <c r="J173" s="79"/>
      <c r="K173" s="590" t="e">
        <f>K143-K163</f>
        <v>#REF!</v>
      </c>
      <c r="L173" s="596" t="e">
        <f t="shared" ref="L173:L179" si="265">K173/K11*100</f>
        <v>#REF!</v>
      </c>
      <c r="M173" s="602" t="e">
        <f>(K173/G173-1)*100</f>
        <v>#REF!</v>
      </c>
      <c r="N173" s="79"/>
      <c r="O173" s="590" t="e">
        <f>O143-O163</f>
        <v>#REF!</v>
      </c>
      <c r="P173" s="596" t="e">
        <f t="shared" ref="P173:P179" si="266">O173/O11*100</f>
        <v>#REF!</v>
      </c>
      <c r="Q173" s="602" t="e">
        <f>(O173/K173-1)*100</f>
        <v>#REF!</v>
      </c>
      <c r="R173" s="79"/>
      <c r="S173" s="590" t="e">
        <f>S143-S163</f>
        <v>#REF!</v>
      </c>
      <c r="T173" s="596" t="e">
        <f t="shared" ref="T173:T179" si="267">S173/S11*100</f>
        <v>#REF!</v>
      </c>
      <c r="U173" s="602" t="e">
        <f>(S173/O173-1)*100</f>
        <v>#REF!</v>
      </c>
      <c r="V173" s="79"/>
      <c r="W173" s="590" t="e">
        <f>W143-W163</f>
        <v>#REF!</v>
      </c>
      <c r="X173" s="596" t="e">
        <f t="shared" ref="X173:X179" si="268">W173/W11*100</f>
        <v>#REF!</v>
      </c>
      <c r="Y173" s="602" t="e">
        <f>(W173/S173-1)*100</f>
        <v>#REF!</v>
      </c>
      <c r="Z173" s="79"/>
      <c r="AA173" s="590" t="e">
        <f>AA143-AA163</f>
        <v>#REF!</v>
      </c>
      <c r="AB173" s="596" t="e">
        <f t="shared" ref="AB173:AB179" si="269">AA173/AA11*100</f>
        <v>#REF!</v>
      </c>
      <c r="AC173" s="602" t="e">
        <f>(AA173/W173-1)*100</f>
        <v>#REF!</v>
      </c>
      <c r="AD173" s="79"/>
      <c r="AE173" s="590" t="e">
        <f>AE143-AE163</f>
        <v>#REF!</v>
      </c>
      <c r="AF173" s="596" t="e">
        <f t="shared" ref="AF173:AF179" si="270">AE173/AE11*100</f>
        <v>#REF!</v>
      </c>
      <c r="AG173" s="602" t="e">
        <f t="shared" ref="AG173:AG178" si="271">(AE173/AA173-1)*100</f>
        <v>#REF!</v>
      </c>
      <c r="AI173" s="559">
        <f>AI143+AI163</f>
        <v>-11.79565000000002</v>
      </c>
      <c r="AJ173" s="598">
        <f t="shared" ref="AJ173:AJ179" si="272">AI173/AI11*100</f>
        <v>-1.4210890279178332</v>
      </c>
      <c r="AK173" s="599" t="s">
        <v>90</v>
      </c>
      <c r="AM173" s="559">
        <f>AM143+AM163</f>
        <v>5.9592000000000196</v>
      </c>
      <c r="AN173" s="598">
        <f t="shared" ref="AN173:AN179" si="273">AM173/AM11*100</f>
        <v>0.66607203932588255</v>
      </c>
      <c r="AO173" s="599">
        <f>(AM173/AI173-1)*100</f>
        <v>-150.52031893113147</v>
      </c>
      <c r="AQ173" s="559">
        <f>AQ143+AQ163</f>
        <v>3.4954500000000444</v>
      </c>
      <c r="AR173" s="598">
        <f t="shared" ref="AR173:AR179" si="274">AQ173/AQ11*100</f>
        <v>0.37622661533279061</v>
      </c>
      <c r="AS173" s="599">
        <f>(AQ173/AM173-1)*100</f>
        <v>-41.343636729761833</v>
      </c>
      <c r="AU173" s="559">
        <f>AU143+AU163</f>
        <v>0.84806716000004423</v>
      </c>
      <c r="AV173" s="598">
        <f t="shared" ref="AV173:AV179" si="275">AU173/AU11*100</f>
        <v>8.632413979787712E-2</v>
      </c>
      <c r="AW173" s="599">
        <f>(AU173/AQ173-1)*100</f>
        <v>-75.737969074081064</v>
      </c>
      <c r="AY173" s="630">
        <f>AY143+AY163</f>
        <v>6.1460384000008501</v>
      </c>
      <c r="AZ173" s="598">
        <f t="shared" ref="AZ173:AZ179" si="276">AY173/AY11*100</f>
        <v>0.57708554232453846</v>
      </c>
      <c r="BA173" s="599">
        <f t="shared" ref="BA173:BA179" si="277">(AY173/AU173-1)*100</f>
        <v>624.7112834790737</v>
      </c>
      <c r="BC173" s="1369">
        <f>BC143+BC163</f>
        <v>18.611999999999984</v>
      </c>
      <c r="BD173" s="598">
        <f t="shared" ref="BD173:BD179" si="278">BC173/BC11*100</f>
        <v>1.6496066097712498</v>
      </c>
      <c r="BE173" s="599">
        <f t="shared" ref="BE173:BE179" si="279">(BC173/AY173-1)*100</f>
        <v>202.82921759807766</v>
      </c>
      <c r="BG173" s="559">
        <f>BG143+BG163</f>
        <v>31.407000000000053</v>
      </c>
      <c r="BH173" s="559"/>
      <c r="BI173" s="598">
        <f t="shared" ref="BI173:BI179" si="280">BG173/BG11*100</f>
        <v>2.6547281242947354</v>
      </c>
      <c r="BJ173" s="599">
        <f t="shared" ref="BJ173:BJ179" si="281">(BG173/BC173-1)*100</f>
        <v>68.745970341715463</v>
      </c>
    </row>
    <row r="174" spans="1:62">
      <c r="A174" s="569" t="s">
        <v>80</v>
      </c>
      <c r="B174" s="79"/>
      <c r="C174" s="639" t="e">
        <f>C144-C164</f>
        <v>#REF!</v>
      </c>
      <c r="D174" s="596" t="e">
        <f t="shared" si="263"/>
        <v>#REF!</v>
      </c>
      <c r="E174" s="571" t="s">
        <v>90</v>
      </c>
      <c r="F174" s="79"/>
      <c r="G174" s="639" t="e">
        <f>G144-G164</f>
        <v>#REF!</v>
      </c>
      <c r="H174" s="596" t="e">
        <f t="shared" si="264"/>
        <v>#REF!</v>
      </c>
      <c r="I174" s="602" t="e">
        <f t="shared" ref="I174:I179" si="282">(G174/C174-1)*100</f>
        <v>#REF!</v>
      </c>
      <c r="J174" s="79"/>
      <c r="K174" s="639" t="e">
        <f>K144-K164</f>
        <v>#REF!</v>
      </c>
      <c r="L174" s="596" t="e">
        <f t="shared" si="265"/>
        <v>#REF!</v>
      </c>
      <c r="M174" s="602" t="e">
        <f t="shared" ref="M174:M179" si="283">(K174/G174-1)*100</f>
        <v>#REF!</v>
      </c>
      <c r="N174" s="79"/>
      <c r="O174" s="639" t="e">
        <f>O144-O164</f>
        <v>#REF!</v>
      </c>
      <c r="P174" s="596" t="e">
        <f t="shared" si="266"/>
        <v>#REF!</v>
      </c>
      <c r="Q174" s="602" t="e">
        <f t="shared" ref="Q174:Q179" si="284">(O174/K174-1)*100</f>
        <v>#REF!</v>
      </c>
      <c r="R174" s="79"/>
      <c r="S174" s="639" t="e">
        <f>S144-S164</f>
        <v>#REF!</v>
      </c>
      <c r="T174" s="596" t="e">
        <f t="shared" si="267"/>
        <v>#REF!</v>
      </c>
      <c r="U174" s="602" t="e">
        <f t="shared" ref="U174:U179" si="285">(S174/O174-1)*100</f>
        <v>#REF!</v>
      </c>
      <c r="V174" s="79"/>
      <c r="W174" s="639" t="e">
        <f>W144-W164</f>
        <v>#REF!</v>
      </c>
      <c r="X174" s="596" t="e">
        <f t="shared" si="268"/>
        <v>#REF!</v>
      </c>
      <c r="Y174" s="602" t="e">
        <f t="shared" ref="Y174:Y179" si="286">(W174/S174-1)*100</f>
        <v>#REF!</v>
      </c>
      <c r="Z174" s="79"/>
      <c r="AA174" s="639" t="e">
        <f>AA144-AA164</f>
        <v>#REF!</v>
      </c>
      <c r="AB174" s="596" t="e">
        <f t="shared" si="269"/>
        <v>#REF!</v>
      </c>
      <c r="AC174" s="602" t="e">
        <f t="shared" ref="AC174:AC179" si="287">(AA174/W174-1)*100</f>
        <v>#REF!</v>
      </c>
      <c r="AD174" s="79"/>
      <c r="AE174" s="639" t="e">
        <f>AE144-AE164</f>
        <v>#REF!</v>
      </c>
      <c r="AF174" s="596" t="e">
        <f t="shared" si="270"/>
        <v>#REF!</v>
      </c>
      <c r="AG174" s="602" t="e">
        <f t="shared" si="271"/>
        <v>#REF!</v>
      </c>
      <c r="AI174" s="562">
        <f>AI144+AI164</f>
        <v>-12.440050000000062</v>
      </c>
      <c r="AJ174" s="598">
        <f t="shared" si="272"/>
        <v>-1.7746705317428026</v>
      </c>
      <c r="AK174" s="599" t="s">
        <v>90</v>
      </c>
      <c r="AM174" s="562">
        <f>AM144+AM164</f>
        <v>-39.658049999999967</v>
      </c>
      <c r="AN174" s="598">
        <f t="shared" si="273"/>
        <v>-5.4419279588336149</v>
      </c>
      <c r="AO174" s="599">
        <f t="shared" ref="AO174:AO179" si="288">(AM174/AI174-1)*100</f>
        <v>218.79333282422314</v>
      </c>
      <c r="AQ174" s="562">
        <f>AQ144+AQ164</f>
        <v>-29.373250000000048</v>
      </c>
      <c r="AR174" s="598">
        <f t="shared" si="274"/>
        <v>-3.7024373888414877</v>
      </c>
      <c r="AS174" s="599">
        <f t="shared" ref="AS174:AS179" si="289">(AQ174/AM174-1)*100</f>
        <v>-25.933700724064668</v>
      </c>
      <c r="AU174" s="555">
        <f>AU144+AU164</f>
        <v>-21.785334450000001</v>
      </c>
      <c r="AV174" s="598">
        <f t="shared" si="275"/>
        <v>-2.5209219890635683</v>
      </c>
      <c r="AW174" s="599">
        <f t="shared" ref="AW174:AW179" si="290">(AU174/AQ174-1)*100</f>
        <v>-25.832740844135515</v>
      </c>
      <c r="AY174" s="562">
        <f>AY144+AY164</f>
        <v>-13.961870112012054</v>
      </c>
      <c r="AZ174" s="598">
        <f t="shared" si="276"/>
        <v>-1.4489721524679171</v>
      </c>
      <c r="BA174" s="599">
        <f t="shared" si="277"/>
        <v>-35.911609968365418</v>
      </c>
      <c r="BC174" s="562">
        <f>BC144+BC164</f>
        <v>-0.87700000000015077</v>
      </c>
      <c r="BD174" s="598">
        <f t="shared" si="278"/>
        <v>-8.4037559135337919E-2</v>
      </c>
      <c r="BE174" s="599">
        <f t="shared" si="279"/>
        <v>-93.718606512134599</v>
      </c>
      <c r="BG174" s="555">
        <f>BG144+BG164</f>
        <v>14.905000000000115</v>
      </c>
      <c r="BH174" s="555"/>
      <c r="BI174" s="598">
        <f t="shared" si="280"/>
        <v>1.3026363857237095</v>
      </c>
      <c r="BJ174" s="599">
        <f t="shared" si="281"/>
        <v>-1799.5438996576456</v>
      </c>
    </row>
    <row r="175" spans="1:62">
      <c r="A175" s="569" t="s">
        <v>81</v>
      </c>
      <c r="B175" s="79"/>
      <c r="C175" s="639" t="e">
        <f>C145-C165</f>
        <v>#REF!</v>
      </c>
      <c r="D175" s="596" t="e">
        <f t="shared" si="263"/>
        <v>#REF!</v>
      </c>
      <c r="E175" s="571" t="s">
        <v>90</v>
      </c>
      <c r="F175" s="79"/>
      <c r="G175" s="639" t="e">
        <f>G145-G165</f>
        <v>#REF!</v>
      </c>
      <c r="H175" s="596" t="e">
        <f t="shared" si="264"/>
        <v>#REF!</v>
      </c>
      <c r="I175" s="602" t="e">
        <f t="shared" si="282"/>
        <v>#REF!</v>
      </c>
      <c r="J175" s="79"/>
      <c r="K175" s="639" t="e">
        <f>K145-K165</f>
        <v>#REF!</v>
      </c>
      <c r="L175" s="596" t="e">
        <f t="shared" si="265"/>
        <v>#REF!</v>
      </c>
      <c r="M175" s="602" t="e">
        <f t="shared" si="283"/>
        <v>#REF!</v>
      </c>
      <c r="N175" s="79"/>
      <c r="O175" s="639" t="e">
        <f>O145-O165</f>
        <v>#REF!</v>
      </c>
      <c r="P175" s="596" t="e">
        <f t="shared" si="266"/>
        <v>#REF!</v>
      </c>
      <c r="Q175" s="602" t="e">
        <f t="shared" si="284"/>
        <v>#REF!</v>
      </c>
      <c r="R175" s="79"/>
      <c r="S175" s="639" t="e">
        <f>S145-S165</f>
        <v>#REF!</v>
      </c>
      <c r="T175" s="596" t="e">
        <f t="shared" si="267"/>
        <v>#REF!</v>
      </c>
      <c r="U175" s="602" t="e">
        <f t="shared" si="285"/>
        <v>#REF!</v>
      </c>
      <c r="V175" s="79"/>
      <c r="W175" s="639" t="e">
        <f>W145-W165</f>
        <v>#REF!</v>
      </c>
      <c r="X175" s="596" t="e">
        <f t="shared" si="268"/>
        <v>#REF!</v>
      </c>
      <c r="Y175" s="602" t="e">
        <f t="shared" si="286"/>
        <v>#REF!</v>
      </c>
      <c r="Z175" s="79"/>
      <c r="AA175" s="639" t="e">
        <f>AA145-AA165</f>
        <v>#REF!</v>
      </c>
      <c r="AB175" s="596" t="e">
        <f t="shared" si="269"/>
        <v>#REF!</v>
      </c>
      <c r="AC175" s="602" t="e">
        <f t="shared" si="287"/>
        <v>#REF!</v>
      </c>
      <c r="AD175" s="79"/>
      <c r="AE175" s="639" t="e">
        <f>AE145-AE165</f>
        <v>#REF!</v>
      </c>
      <c r="AF175" s="596" t="e">
        <f t="shared" si="270"/>
        <v>#REF!</v>
      </c>
      <c r="AG175" s="602" t="e">
        <f t="shared" si="271"/>
        <v>#REF!</v>
      </c>
      <c r="AI175" s="562">
        <f>AI145+AI165</f>
        <v>12.468549999999851</v>
      </c>
      <c r="AJ175" s="598">
        <f t="shared" si="272"/>
        <v>1.4292665760327397</v>
      </c>
      <c r="AK175" s="599" t="s">
        <v>90</v>
      </c>
      <c r="AM175" s="562">
        <f>AM145+AM165</f>
        <v>-2.6312000000001206</v>
      </c>
      <c r="AN175" s="598">
        <f t="shared" si="273"/>
        <v>-0.30660020088886569</v>
      </c>
      <c r="AO175" s="599">
        <f t="shared" si="288"/>
        <v>-121.10269437905892</v>
      </c>
      <c r="AQ175" s="562">
        <f>AQ145+AQ165</f>
        <v>-9.996850000000018</v>
      </c>
      <c r="AR175" s="598">
        <f t="shared" si="274"/>
        <v>-1.1124136634088659</v>
      </c>
      <c r="AS175" s="599">
        <f t="shared" si="289"/>
        <v>279.93501064151565</v>
      </c>
      <c r="AU175" s="562">
        <f>AU145+AU165</f>
        <v>-1.6939931600000691</v>
      </c>
      <c r="AV175" s="598">
        <f t="shared" si="275"/>
        <v>-0.17501848936753323</v>
      </c>
      <c r="AW175" s="599">
        <f t="shared" si="290"/>
        <v>-83.054730640150993</v>
      </c>
      <c r="AY175" s="562">
        <f>AY145+AY165</f>
        <v>-3.333000000000002</v>
      </c>
      <c r="AZ175" s="598">
        <f t="shared" si="276"/>
        <v>-0.31310415574606737</v>
      </c>
      <c r="BA175" s="599">
        <f t="shared" si="277"/>
        <v>96.754041202850317</v>
      </c>
      <c r="BC175" s="562">
        <f>BC145+BC165</f>
        <v>11.910999999999866</v>
      </c>
      <c r="BD175" s="598">
        <f t="shared" si="278"/>
        <v>1.0292130248891262</v>
      </c>
      <c r="BE175" s="599">
        <f t="shared" si="279"/>
        <v>-457.36573657365318</v>
      </c>
      <c r="BG175" s="562">
        <f>BG145+BG165</f>
        <v>17.201225300000008</v>
      </c>
      <c r="BH175" s="562"/>
      <c r="BI175" s="598">
        <f t="shared" si="280"/>
        <v>1.3974669709461323</v>
      </c>
      <c r="BJ175" s="599">
        <f t="shared" si="281"/>
        <v>44.414619259509713</v>
      </c>
    </row>
    <row r="176" spans="1:62">
      <c r="A176" s="569" t="s">
        <v>82</v>
      </c>
      <c r="B176" s="79"/>
      <c r="C176" s="640" t="e">
        <f>C146-C166</f>
        <v>#REF!</v>
      </c>
      <c r="D176" s="596" t="e">
        <f t="shared" si="263"/>
        <v>#REF!</v>
      </c>
      <c r="E176" s="571" t="s">
        <v>90</v>
      </c>
      <c r="F176" s="79"/>
      <c r="G176" s="640" t="e">
        <f>G146-G166</f>
        <v>#REF!</v>
      </c>
      <c r="H176" s="596" t="e">
        <f t="shared" si="264"/>
        <v>#REF!</v>
      </c>
      <c r="I176" s="602" t="e">
        <f t="shared" si="282"/>
        <v>#REF!</v>
      </c>
      <c r="J176" s="79"/>
      <c r="K176" s="640" t="e">
        <f>K146-K166</f>
        <v>#REF!</v>
      </c>
      <c r="L176" s="596" t="e">
        <f t="shared" si="265"/>
        <v>#REF!</v>
      </c>
      <c r="M176" s="602" t="e">
        <f t="shared" si="283"/>
        <v>#REF!</v>
      </c>
      <c r="N176" s="79"/>
      <c r="O176" s="640" t="e">
        <f>O146-O166</f>
        <v>#REF!</v>
      </c>
      <c r="P176" s="596" t="e">
        <f t="shared" si="266"/>
        <v>#REF!</v>
      </c>
      <c r="Q176" s="602" t="e">
        <f t="shared" si="284"/>
        <v>#REF!</v>
      </c>
      <c r="R176" s="79"/>
      <c r="S176" s="640" t="e">
        <f>S146-S166</f>
        <v>#REF!</v>
      </c>
      <c r="T176" s="596" t="e">
        <f t="shared" si="267"/>
        <v>#REF!</v>
      </c>
      <c r="U176" s="602" t="e">
        <f t="shared" si="285"/>
        <v>#REF!</v>
      </c>
      <c r="V176" s="79"/>
      <c r="W176" s="640" t="e">
        <f>W146-W166</f>
        <v>#REF!</v>
      </c>
      <c r="X176" s="596" t="e">
        <f t="shared" si="268"/>
        <v>#REF!</v>
      </c>
      <c r="Y176" s="602" t="e">
        <f t="shared" si="286"/>
        <v>#REF!</v>
      </c>
      <c r="Z176" s="79"/>
      <c r="AA176" s="640" t="e">
        <f>AA146-AA166</f>
        <v>#REF!</v>
      </c>
      <c r="AB176" s="596" t="e">
        <f t="shared" si="269"/>
        <v>#REF!</v>
      </c>
      <c r="AC176" s="602" t="e">
        <f t="shared" si="287"/>
        <v>#REF!</v>
      </c>
      <c r="AD176" s="79"/>
      <c r="AE176" s="640" t="e">
        <f>AE146-AE166</f>
        <v>#REF!</v>
      </c>
      <c r="AF176" s="596" t="e">
        <f t="shared" si="270"/>
        <v>#REF!</v>
      </c>
      <c r="AG176" s="602" t="e">
        <f t="shared" si="271"/>
        <v>#REF!</v>
      </c>
      <c r="AI176" s="588">
        <f>AI146+AI166</f>
        <v>47.836100000000087</v>
      </c>
      <c r="AJ176" s="598">
        <f t="shared" si="272"/>
        <v>4.2729154217123693</v>
      </c>
      <c r="AK176" s="599" t="s">
        <v>90</v>
      </c>
      <c r="AM176" s="588">
        <f>AM146+AM166</f>
        <v>92.411049999999747</v>
      </c>
      <c r="AN176" s="598">
        <f t="shared" si="273"/>
        <v>7.7787864860587588</v>
      </c>
      <c r="AO176" s="599">
        <f t="shared" si="288"/>
        <v>93.182659121457604</v>
      </c>
      <c r="AQ176" s="588">
        <f>AQ146+AQ166</f>
        <v>73.224650000000196</v>
      </c>
      <c r="AR176" s="598">
        <f t="shared" si="274"/>
        <v>5.9385413785916432</v>
      </c>
      <c r="AS176" s="599">
        <f t="shared" si="289"/>
        <v>-20.762019260683228</v>
      </c>
      <c r="AU176" s="588">
        <f>AU146+AU166</f>
        <v>84.788140279999254</v>
      </c>
      <c r="AV176" s="598">
        <f t="shared" si="275"/>
        <v>6.7156937362631037</v>
      </c>
      <c r="AW176" s="599">
        <f t="shared" si="290"/>
        <v>15.791800001774025</v>
      </c>
      <c r="AY176" s="588">
        <f>AY146+AY166</f>
        <v>81.018000000000086</v>
      </c>
      <c r="AZ176" s="598">
        <f t="shared" si="276"/>
        <v>6.0720525048397063</v>
      </c>
      <c r="BA176" s="599">
        <f t="shared" si="277"/>
        <v>-4.4465420134807587</v>
      </c>
      <c r="BC176" s="588">
        <f>BC146+BC166</f>
        <v>108.93100000000007</v>
      </c>
      <c r="BD176" s="598">
        <f t="shared" si="278"/>
        <v>7.3336331480137549</v>
      </c>
      <c r="BE176" s="599">
        <f t="shared" si="279"/>
        <v>34.452837641017986</v>
      </c>
      <c r="BG176" s="588">
        <f>BG146+BG166</f>
        <v>108.60832981119972</v>
      </c>
      <c r="BH176" s="761"/>
      <c r="BI176" s="598">
        <f t="shared" si="280"/>
        <v>7.0489690415110715</v>
      </c>
      <c r="BJ176" s="599">
        <f t="shared" si="281"/>
        <v>-0.29621520852681771</v>
      </c>
    </row>
    <row r="177" spans="1:62">
      <c r="A177" s="569" t="s">
        <v>85</v>
      </c>
      <c r="B177" s="79"/>
      <c r="C177" s="590" t="e">
        <f>C147-C167</f>
        <v>#REF!</v>
      </c>
      <c r="D177" s="596" t="e">
        <f t="shared" si="263"/>
        <v>#REF!</v>
      </c>
      <c r="E177" s="571" t="s">
        <v>90</v>
      </c>
      <c r="F177" s="79"/>
      <c r="G177" s="590" t="e">
        <f>G147-G167</f>
        <v>#REF!</v>
      </c>
      <c r="H177" s="596" t="e">
        <f t="shared" si="264"/>
        <v>#REF!</v>
      </c>
      <c r="I177" s="602" t="e">
        <f t="shared" si="282"/>
        <v>#REF!</v>
      </c>
      <c r="J177" s="79"/>
      <c r="K177" s="590" t="e">
        <f>K147-K167</f>
        <v>#REF!</v>
      </c>
      <c r="L177" s="596" t="e">
        <f t="shared" si="265"/>
        <v>#REF!</v>
      </c>
      <c r="M177" s="602" t="e">
        <f t="shared" si="283"/>
        <v>#REF!</v>
      </c>
      <c r="N177" s="79"/>
      <c r="O177" s="590" t="e">
        <f>O147-O167</f>
        <v>#REF!</v>
      </c>
      <c r="P177" s="596" t="e">
        <f t="shared" si="266"/>
        <v>#REF!</v>
      </c>
      <c r="Q177" s="602" t="e">
        <f t="shared" si="284"/>
        <v>#REF!</v>
      </c>
      <c r="R177" s="79"/>
      <c r="S177" s="590" t="e">
        <f>S147-S167</f>
        <v>#REF!</v>
      </c>
      <c r="T177" s="596" t="e">
        <f t="shared" si="267"/>
        <v>#REF!</v>
      </c>
      <c r="U177" s="602" t="e">
        <f t="shared" si="285"/>
        <v>#REF!</v>
      </c>
      <c r="V177" s="79"/>
      <c r="W177" s="590" t="e">
        <f>W147-W167</f>
        <v>#REF!</v>
      </c>
      <c r="X177" s="596" t="e">
        <f t="shared" si="268"/>
        <v>#REF!</v>
      </c>
      <c r="Y177" s="602" t="e">
        <f t="shared" si="286"/>
        <v>#REF!</v>
      </c>
      <c r="Z177" s="79"/>
      <c r="AA177" s="590" t="e">
        <f>AA147-AA167</f>
        <v>#REF!</v>
      </c>
      <c r="AB177" s="596" t="e">
        <f t="shared" si="269"/>
        <v>#REF!</v>
      </c>
      <c r="AC177" s="602" t="e">
        <f t="shared" si="287"/>
        <v>#REF!</v>
      </c>
      <c r="AD177" s="79"/>
      <c r="AE177" s="590" t="e">
        <f>AE147-AE167</f>
        <v>#REF!</v>
      </c>
      <c r="AF177" s="596" t="e">
        <f t="shared" si="270"/>
        <v>#REF!</v>
      </c>
      <c r="AG177" s="602" t="e">
        <f t="shared" si="271"/>
        <v>#REF!</v>
      </c>
      <c r="AI177" s="559">
        <f>AI147+AI167</f>
        <v>36.068949999999866</v>
      </c>
      <c r="AJ177" s="598">
        <f t="shared" si="272"/>
        <v>1.0238385041474152</v>
      </c>
      <c r="AK177" s="599" t="s">
        <v>90</v>
      </c>
      <c r="AM177" s="559">
        <f>AM147+AM167</f>
        <v>56.080999999999705</v>
      </c>
      <c r="AN177" s="598">
        <f t="shared" si="273"/>
        <v>1.5282583778840242</v>
      </c>
      <c r="AO177" s="599">
        <f t="shared" si="288"/>
        <v>55.482762874993341</v>
      </c>
      <c r="AQ177" s="559">
        <f>AQ147+AQ167</f>
        <v>37.350000000000165</v>
      </c>
      <c r="AR177" s="598">
        <f t="shared" si="274"/>
        <v>0.9690892947676486</v>
      </c>
      <c r="AS177" s="599">
        <f t="shared" si="289"/>
        <v>-33.399903710703512</v>
      </c>
      <c r="AU177" s="559">
        <f>AU147+AU167</f>
        <v>62.211879829999255</v>
      </c>
      <c r="AV177" s="598">
        <f t="shared" si="275"/>
        <v>1.5259101891135718</v>
      </c>
      <c r="AW177" s="599">
        <f t="shared" si="290"/>
        <v>66.564604631858046</v>
      </c>
      <c r="AY177" s="559">
        <f>AY147+AY167</f>
        <v>70.23899999999982</v>
      </c>
      <c r="AZ177" s="598">
        <f t="shared" si="276"/>
        <v>1.5864246732300313</v>
      </c>
      <c r="BA177" s="599">
        <f t="shared" si="277"/>
        <v>12.902873521802505</v>
      </c>
      <c r="BC177" s="559">
        <f>BC147+BC167</f>
        <v>138.57699999999983</v>
      </c>
      <c r="BD177" s="598">
        <f t="shared" si="278"/>
        <v>2.8783234991600346</v>
      </c>
      <c r="BE177" s="599">
        <f t="shared" si="279"/>
        <v>97.293526388473907</v>
      </c>
      <c r="BG177" s="559">
        <f>BG147+BG167</f>
        <v>172.12155511119988</v>
      </c>
      <c r="BH177" s="559"/>
      <c r="BI177" s="598">
        <f t="shared" si="280"/>
        <v>3.3756393517544434</v>
      </c>
      <c r="BJ177" s="599">
        <f t="shared" si="281"/>
        <v>24.206437656465418</v>
      </c>
    </row>
    <row r="178" spans="1:62" hidden="1" outlineLevel="1">
      <c r="A178" s="569" t="s">
        <v>87</v>
      </c>
      <c r="B178" s="79"/>
      <c r="C178" s="591" t="e">
        <f>C173+C174</f>
        <v>#REF!</v>
      </c>
      <c r="D178" s="596" t="e">
        <f t="shared" si="263"/>
        <v>#REF!</v>
      </c>
      <c r="E178" s="571" t="s">
        <v>90</v>
      </c>
      <c r="F178" s="79"/>
      <c r="G178" s="591" t="e">
        <f>G173+G174</f>
        <v>#REF!</v>
      </c>
      <c r="H178" s="596" t="e">
        <f t="shared" si="264"/>
        <v>#REF!</v>
      </c>
      <c r="I178" s="602" t="e">
        <f t="shared" si="282"/>
        <v>#REF!</v>
      </c>
      <c r="J178" s="79"/>
      <c r="K178" s="591" t="e">
        <f>K173+K174</f>
        <v>#REF!</v>
      </c>
      <c r="L178" s="596" t="e">
        <f t="shared" si="265"/>
        <v>#REF!</v>
      </c>
      <c r="M178" s="602" t="e">
        <f t="shared" si="283"/>
        <v>#REF!</v>
      </c>
      <c r="N178" s="79"/>
      <c r="O178" s="591" t="e">
        <f>O173+O174</f>
        <v>#REF!</v>
      </c>
      <c r="P178" s="596" t="e">
        <f t="shared" si="266"/>
        <v>#REF!</v>
      </c>
      <c r="Q178" s="602" t="e">
        <f t="shared" si="284"/>
        <v>#REF!</v>
      </c>
      <c r="R178" s="79"/>
      <c r="S178" s="591" t="e">
        <f>S173+S174</f>
        <v>#REF!</v>
      </c>
      <c r="T178" s="596" t="e">
        <f t="shared" si="267"/>
        <v>#REF!</v>
      </c>
      <c r="U178" s="602" t="e">
        <f t="shared" si="285"/>
        <v>#REF!</v>
      </c>
      <c r="V178" s="79"/>
      <c r="W178" s="591" t="e">
        <f>W173+W174</f>
        <v>#REF!</v>
      </c>
      <c r="X178" s="596" t="e">
        <f t="shared" si="268"/>
        <v>#REF!</v>
      </c>
      <c r="Y178" s="602" t="e">
        <f t="shared" si="286"/>
        <v>#REF!</v>
      </c>
      <c r="Z178" s="79"/>
      <c r="AA178" s="591" t="e">
        <f>AA173+AA174</f>
        <v>#REF!</v>
      </c>
      <c r="AB178" s="596" t="e">
        <f t="shared" si="269"/>
        <v>#REF!</v>
      </c>
      <c r="AC178" s="602" t="e">
        <f t="shared" si="287"/>
        <v>#REF!</v>
      </c>
      <c r="AD178" s="79"/>
      <c r="AE178" s="591" t="e">
        <f>AE173+AE174</f>
        <v>#REF!</v>
      </c>
      <c r="AF178" s="596" t="e">
        <f t="shared" si="270"/>
        <v>#REF!</v>
      </c>
      <c r="AG178" s="602" t="e">
        <f t="shared" si="271"/>
        <v>#REF!</v>
      </c>
      <c r="AI178" s="556">
        <f>AI173+AI174</f>
        <v>-24.23570000000008</v>
      </c>
      <c r="AJ178" s="598">
        <f t="shared" si="272"/>
        <v>-1.5829763275618087</v>
      </c>
      <c r="AK178" s="599" t="s">
        <v>90</v>
      </c>
      <c r="AM178" s="556">
        <f>AM173+AM174</f>
        <v>-33.69884999999995</v>
      </c>
      <c r="AN178" s="598">
        <f t="shared" si="273"/>
        <v>-2.0757834656048777</v>
      </c>
      <c r="AO178" s="599">
        <f t="shared" si="288"/>
        <v>39.046324224181021</v>
      </c>
      <c r="AQ178" s="556">
        <f>AQ173+AQ174</f>
        <v>-25.877800000000004</v>
      </c>
      <c r="AR178" s="598">
        <f t="shared" si="274"/>
        <v>-1.5024006781117378</v>
      </c>
      <c r="AS178" s="599">
        <f t="shared" si="289"/>
        <v>-23.208655488243537</v>
      </c>
      <c r="AU178" s="556">
        <f>AU173+AU174</f>
        <v>-20.937267289999955</v>
      </c>
      <c r="AV178" s="598">
        <f t="shared" si="275"/>
        <v>-1.1338261199866753</v>
      </c>
      <c r="AW178" s="599">
        <f t="shared" si="290"/>
        <v>-19.09178025179903</v>
      </c>
      <c r="AY178" s="556">
        <f>AY173+AY174</f>
        <v>-7.815831712011204</v>
      </c>
      <c r="AZ178" s="598">
        <f t="shared" si="276"/>
        <v>-0.38528508372429143</v>
      </c>
      <c r="BA178" s="599">
        <f t="shared" si="277"/>
        <v>-62.670239607896697</v>
      </c>
      <c r="BC178" s="556">
        <f>BC173+BC174</f>
        <v>17.734999999999832</v>
      </c>
      <c r="BD178" s="598">
        <f t="shared" si="278"/>
        <v>0.81658493910720509</v>
      </c>
      <c r="BE178" s="599">
        <f t="shared" si="279"/>
        <v>-326.911231631882</v>
      </c>
      <c r="BG178" s="556">
        <f>BG173+BG174</f>
        <v>46.312000000000168</v>
      </c>
      <c r="BH178" s="556"/>
      <c r="BI178" s="598">
        <f t="shared" si="280"/>
        <v>1.9899650965484628</v>
      </c>
      <c r="BJ178" s="599">
        <f t="shared" si="281"/>
        <v>161.13335212856276</v>
      </c>
    </row>
    <row r="179" spans="1:62" hidden="1" outlineLevel="1">
      <c r="A179" s="569" t="s">
        <v>88</v>
      </c>
      <c r="B179" s="79"/>
      <c r="C179" s="591" t="e">
        <f>C173+C174+C175</f>
        <v>#REF!</v>
      </c>
      <c r="D179" s="596" t="e">
        <f t="shared" si="263"/>
        <v>#REF!</v>
      </c>
      <c r="E179" s="571" t="s">
        <v>90</v>
      </c>
      <c r="F179" s="79"/>
      <c r="G179" s="591" t="e">
        <f>G173+G174+G175</f>
        <v>#REF!</v>
      </c>
      <c r="H179" s="596" t="e">
        <f t="shared" si="264"/>
        <v>#REF!</v>
      </c>
      <c r="I179" s="602" t="e">
        <f t="shared" si="282"/>
        <v>#REF!</v>
      </c>
      <c r="J179" s="79"/>
      <c r="K179" s="591" t="e">
        <f>K173+K174+K175</f>
        <v>#REF!</v>
      </c>
      <c r="L179" s="596" t="e">
        <f t="shared" si="265"/>
        <v>#REF!</v>
      </c>
      <c r="M179" s="602" t="e">
        <f t="shared" si="283"/>
        <v>#REF!</v>
      </c>
      <c r="N179" s="79"/>
      <c r="O179" s="591" t="e">
        <f>O173+O174+O175</f>
        <v>#REF!</v>
      </c>
      <c r="P179" s="596" t="e">
        <f t="shared" si="266"/>
        <v>#REF!</v>
      </c>
      <c r="Q179" s="602" t="e">
        <f t="shared" si="284"/>
        <v>#REF!</v>
      </c>
      <c r="R179" s="79"/>
      <c r="S179" s="591" t="e">
        <f>S173+S174+S175</f>
        <v>#REF!</v>
      </c>
      <c r="T179" s="596" t="e">
        <f t="shared" si="267"/>
        <v>#REF!</v>
      </c>
      <c r="U179" s="602" t="e">
        <f t="shared" si="285"/>
        <v>#REF!</v>
      </c>
      <c r="V179" s="79"/>
      <c r="W179" s="591" t="e">
        <f>W173+W174+W175</f>
        <v>#REF!</v>
      </c>
      <c r="X179" s="596" t="e">
        <f t="shared" si="268"/>
        <v>#REF!</v>
      </c>
      <c r="Y179" s="602" t="e">
        <f t="shared" si="286"/>
        <v>#REF!</v>
      </c>
      <c r="Z179" s="79"/>
      <c r="AA179" s="591" t="e">
        <f>AA173+AA174+AA175</f>
        <v>#REF!</v>
      </c>
      <c r="AB179" s="596" t="e">
        <f t="shared" si="269"/>
        <v>#REF!</v>
      </c>
      <c r="AC179" s="602" t="e">
        <f t="shared" si="287"/>
        <v>#REF!</v>
      </c>
      <c r="AD179" s="79"/>
      <c r="AE179" s="591" t="e">
        <f>AE173+AE174+AE175</f>
        <v>#REF!</v>
      </c>
      <c r="AF179" s="596" t="e">
        <f t="shared" si="270"/>
        <v>#REF!</v>
      </c>
      <c r="AG179" s="679" t="s">
        <v>312</v>
      </c>
      <c r="AI179" s="556">
        <f>AI173+AI174+AI175</f>
        <v>-11.767150000000228</v>
      </c>
      <c r="AJ179" s="598">
        <f t="shared" si="272"/>
        <v>-0.48960532912818028</v>
      </c>
      <c r="AK179" s="599" t="s">
        <v>90</v>
      </c>
      <c r="AM179" s="556">
        <f>AM173+AM174+AM175</f>
        <v>-36.330050000000071</v>
      </c>
      <c r="AN179" s="598">
        <f t="shared" si="273"/>
        <v>-1.4639686107509096</v>
      </c>
      <c r="AO179" s="599">
        <f t="shared" si="288"/>
        <v>208.74128399824397</v>
      </c>
      <c r="AQ179" s="556">
        <f>AQ173+AQ174+AQ175</f>
        <v>-35.874650000000024</v>
      </c>
      <c r="AR179" s="598">
        <f t="shared" si="274"/>
        <v>-1.3686904661528616</v>
      </c>
      <c r="AS179" s="599">
        <f t="shared" si="289"/>
        <v>-1.2535077711152254</v>
      </c>
      <c r="AU179" s="556">
        <f>AU173+AU174+AU175</f>
        <v>-22.631260450000024</v>
      </c>
      <c r="AV179" s="598">
        <f t="shared" si="275"/>
        <v>-0.80409613920084577</v>
      </c>
      <c r="AW179" s="599">
        <f t="shared" si="290"/>
        <v>-36.915731721424436</v>
      </c>
      <c r="AY179" s="556">
        <f>AY173+AY174+AY175</f>
        <v>-11.148831712011205</v>
      </c>
      <c r="AZ179" s="598">
        <f t="shared" si="276"/>
        <v>-0.36044363371845839</v>
      </c>
      <c r="BA179" s="599">
        <f t="shared" si="277"/>
        <v>-50.737027057584008</v>
      </c>
      <c r="BC179" s="556">
        <f>BC173+BC174+BC175</f>
        <v>29.645999999999699</v>
      </c>
      <c r="BD179" s="598">
        <f t="shared" si="278"/>
        <v>0.89049971434080311</v>
      </c>
      <c r="BE179" s="599">
        <f t="shared" si="279"/>
        <v>-365.91127003971684</v>
      </c>
      <c r="BG179" s="556">
        <f>BG173+BG174+BG175</f>
        <v>63.513225300000173</v>
      </c>
      <c r="BH179" s="556"/>
      <c r="BI179" s="598">
        <f t="shared" si="280"/>
        <v>1.7850004426441444</v>
      </c>
      <c r="BJ179" s="599">
        <f t="shared" si="281"/>
        <v>114.23876846792425</v>
      </c>
    </row>
    <row r="180" spans="1:62" collapsed="1">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row>
    <row r="181" spans="1:62">
      <c r="A181" s="565" t="s">
        <v>376</v>
      </c>
      <c r="B181" s="566"/>
      <c r="C181" s="566"/>
      <c r="D181" s="566"/>
      <c r="E181" s="566"/>
      <c r="F181" s="566"/>
      <c r="G181" s="566"/>
      <c r="H181" s="566"/>
      <c r="I181" s="566"/>
      <c r="J181" s="566"/>
      <c r="K181" s="566"/>
      <c r="L181" s="566"/>
      <c r="M181" s="566"/>
      <c r="N181" s="566"/>
      <c r="O181" s="566"/>
      <c r="P181" s="566"/>
      <c r="Q181" s="566"/>
      <c r="R181" s="566"/>
      <c r="S181" s="566"/>
      <c r="T181" s="566"/>
      <c r="U181" s="566"/>
      <c r="V181" s="566"/>
      <c r="W181" s="566"/>
      <c r="X181" s="566"/>
      <c r="Y181" s="566"/>
      <c r="Z181" s="566"/>
      <c r="AA181" s="566"/>
      <c r="AB181" s="566"/>
      <c r="AC181" s="566"/>
      <c r="AD181" s="566"/>
      <c r="AE181" s="566"/>
      <c r="AF181" s="566"/>
      <c r="AG181" s="566"/>
      <c r="AH181" s="420"/>
      <c r="AI181" s="420"/>
      <c r="AJ181" s="420"/>
      <c r="AK181" s="420"/>
      <c r="AL181" s="420"/>
      <c r="AM181" s="420"/>
      <c r="AN181" s="420"/>
      <c r="AO181" s="420"/>
      <c r="AP181" s="420"/>
      <c r="AQ181" s="420"/>
      <c r="AR181" s="420"/>
      <c r="AS181" s="420"/>
      <c r="AT181" s="420"/>
      <c r="AU181" s="420"/>
      <c r="AV181" s="420"/>
      <c r="AW181" s="420"/>
      <c r="AX181" s="420"/>
      <c r="AY181" s="420"/>
      <c r="AZ181" s="420"/>
      <c r="BA181" s="420"/>
      <c r="BC181" s="420"/>
      <c r="BD181" s="420"/>
      <c r="BE181" s="420"/>
      <c r="BG181" s="420"/>
      <c r="BH181" s="420"/>
      <c r="BI181" s="420"/>
      <c r="BJ181" s="420"/>
    </row>
    <row r="182" spans="1:62">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Q182" s="567"/>
      <c r="AU182" s="567"/>
    </row>
    <row r="183" spans="1:62">
      <c r="A183" s="569" t="s">
        <v>79</v>
      </c>
      <c r="B183" s="79"/>
      <c r="C183" s="657" t="e">
        <f>C173/C193</f>
        <v>#REF!</v>
      </c>
      <c r="D183" s="602" t="s">
        <v>90</v>
      </c>
      <c r="E183" s="603"/>
      <c r="F183" s="79"/>
      <c r="G183" s="657" t="e">
        <f>G173/G193</f>
        <v>#REF!</v>
      </c>
      <c r="H183" s="602" t="e">
        <f t="shared" ref="H183:H189" si="291">(G183/C183-1)*100</f>
        <v>#REF!</v>
      </c>
      <c r="I183" s="603"/>
      <c r="J183" s="79"/>
      <c r="K183" s="657" t="e">
        <f>K173/K193</f>
        <v>#REF!</v>
      </c>
      <c r="L183" s="602" t="e">
        <f t="shared" ref="L183:L189" si="292">(K183/G183-1)*100</f>
        <v>#REF!</v>
      </c>
      <c r="M183" s="603"/>
      <c r="N183" s="79"/>
      <c r="O183" s="657" t="e">
        <f>O173/O193</f>
        <v>#REF!</v>
      </c>
      <c r="P183" s="602" t="e">
        <f t="shared" ref="P183:P189" si="293">(O183/K183-1)*100</f>
        <v>#REF!</v>
      </c>
      <c r="Q183" s="603"/>
      <c r="R183" s="79"/>
      <c r="S183" s="657" t="e">
        <f>S173/S193</f>
        <v>#REF!</v>
      </c>
      <c r="T183" s="602" t="e">
        <f>(S183/O183-1)*100</f>
        <v>#REF!</v>
      </c>
      <c r="U183" s="603"/>
      <c r="V183" s="79"/>
      <c r="W183" s="657" t="s">
        <v>90</v>
      </c>
      <c r="X183" s="602" t="s">
        <v>90</v>
      </c>
      <c r="Y183" s="602"/>
      <c r="Z183" s="79"/>
      <c r="AA183" s="657" t="s">
        <v>90</v>
      </c>
      <c r="AB183" s="602" t="s">
        <v>90</v>
      </c>
      <c r="AC183" s="602"/>
      <c r="AD183" s="79"/>
      <c r="AE183" s="658" t="s">
        <v>90</v>
      </c>
      <c r="AF183" s="602" t="s">
        <v>90</v>
      </c>
      <c r="AG183" s="602"/>
      <c r="AI183" s="659" t="s">
        <v>90</v>
      </c>
      <c r="AJ183" s="599" t="s">
        <v>90</v>
      </c>
      <c r="AK183" s="599"/>
      <c r="AM183" s="659" t="s">
        <v>90</v>
      </c>
      <c r="AN183" s="599" t="s">
        <v>90</v>
      </c>
      <c r="AO183" s="599"/>
      <c r="AQ183" s="659" t="s">
        <v>90</v>
      </c>
      <c r="AR183" s="599" t="s">
        <v>90</v>
      </c>
      <c r="AS183" s="599"/>
      <c r="AU183" s="660">
        <f>+AU173/AU213</f>
        <v>1.2006666286769456E-2</v>
      </c>
      <c r="AV183" s="599"/>
      <c r="AW183" s="599"/>
      <c r="AY183" s="660">
        <f>+AY173/AY213</f>
        <v>8.4890033149183003E-2</v>
      </c>
      <c r="AZ183" s="661">
        <f t="shared" ref="AZ183:AZ189" si="294">IF(AU183&lt;0,"       NM",(AY183/AU183-1)*100)</f>
        <v>607.02417408507597</v>
      </c>
      <c r="BC183" s="1368">
        <f>+BC173/BC213</f>
        <v>0.24651655629139052</v>
      </c>
      <c r="BD183" s="661">
        <f t="shared" ref="BD183:BD189" si="295">IF(AY183&lt;0,"       NM",(BC183/AY183-1)*100)</f>
        <v>190.39517025299105</v>
      </c>
      <c r="BE183" s="567"/>
      <c r="BG183" s="660">
        <f>+BG173/BG213</f>
        <v>0.41054901960784385</v>
      </c>
      <c r="BH183" s="660"/>
      <c r="BI183" s="661">
        <f t="shared" ref="BI183:BI189" si="296">IF(BC183&lt;0,"       NM",(BG183/BC183-1)*100)</f>
        <v>66.540140664045964</v>
      </c>
    </row>
    <row r="184" spans="1:62">
      <c r="A184" s="569" t="s">
        <v>80</v>
      </c>
      <c r="B184" s="79"/>
      <c r="C184" s="657" t="e">
        <f>C174/C194</f>
        <v>#REF!</v>
      </c>
      <c r="D184" s="602" t="s">
        <v>90</v>
      </c>
      <c r="E184" s="603"/>
      <c r="F184" s="79"/>
      <c r="G184" s="657" t="e">
        <f>G174/G194</f>
        <v>#REF!</v>
      </c>
      <c r="H184" s="602" t="e">
        <f t="shared" si="291"/>
        <v>#REF!</v>
      </c>
      <c r="I184" s="603"/>
      <c r="J184" s="79"/>
      <c r="K184" s="657" t="e">
        <f>K174/K194</f>
        <v>#REF!</v>
      </c>
      <c r="L184" s="602" t="e">
        <f t="shared" si="292"/>
        <v>#REF!</v>
      </c>
      <c r="M184" s="603"/>
      <c r="N184" s="79"/>
      <c r="O184" s="657" t="e">
        <f>O174/O194</f>
        <v>#REF!</v>
      </c>
      <c r="P184" s="602" t="e">
        <f t="shared" si="293"/>
        <v>#REF!</v>
      </c>
      <c r="Q184" s="603"/>
      <c r="R184" s="79"/>
      <c r="S184" s="657" t="e">
        <f>S174/S194</f>
        <v>#REF!</v>
      </c>
      <c r="T184" s="602" t="e">
        <f t="shared" ref="T184:T189" si="297">(S184/O184-1)*100</f>
        <v>#REF!</v>
      </c>
      <c r="U184" s="603"/>
      <c r="V184" s="79"/>
      <c r="W184" s="657" t="s">
        <v>90</v>
      </c>
      <c r="X184" s="602" t="s">
        <v>90</v>
      </c>
      <c r="Y184" s="602"/>
      <c r="Z184" s="79"/>
      <c r="AA184" s="657" t="s">
        <v>90</v>
      </c>
      <c r="AB184" s="602" t="s">
        <v>90</v>
      </c>
      <c r="AC184" s="602"/>
      <c r="AD184" s="79"/>
      <c r="AE184" s="658" t="s">
        <v>90</v>
      </c>
      <c r="AF184" s="602" t="s">
        <v>90</v>
      </c>
      <c r="AG184" s="602"/>
      <c r="AI184" s="659" t="s">
        <v>90</v>
      </c>
      <c r="AJ184" s="599" t="s">
        <v>90</v>
      </c>
      <c r="AK184" s="599"/>
      <c r="AM184" s="659" t="s">
        <v>90</v>
      </c>
      <c r="AN184" s="599" t="s">
        <v>90</v>
      </c>
      <c r="AO184" s="599"/>
      <c r="AQ184" s="659" t="s">
        <v>90</v>
      </c>
      <c r="AR184" s="599" t="s">
        <v>90</v>
      </c>
      <c r="AS184" s="599"/>
      <c r="AU184" s="662">
        <f>+AU174/AU214</f>
        <v>-0.30626188679590105</v>
      </c>
      <c r="AV184" s="599"/>
      <c r="AW184" s="599"/>
      <c r="AY184" s="662">
        <f>+AY174/AY214</f>
        <v>-0.18944192824982434</v>
      </c>
      <c r="AZ184" s="661" t="str">
        <f t="shared" si="294"/>
        <v xml:space="preserve">       NM</v>
      </c>
      <c r="BC184" s="662">
        <f>+BC174/BC214</f>
        <v>-1.1615894039737095E-2</v>
      </c>
      <c r="BD184" s="661" t="str">
        <f t="shared" si="295"/>
        <v xml:space="preserve">       NM</v>
      </c>
      <c r="BE184" s="567"/>
      <c r="BG184" s="662">
        <f>+BG174/BG214</f>
        <v>0.19480858961456674</v>
      </c>
      <c r="BH184" s="662"/>
      <c r="BI184" s="661" t="str">
        <f t="shared" si="296"/>
        <v xml:space="preserve">       NM</v>
      </c>
    </row>
    <row r="185" spans="1:62">
      <c r="A185" s="569" t="s">
        <v>81</v>
      </c>
      <c r="B185" s="79"/>
      <c r="C185" s="657" t="e">
        <f>C175/C195</f>
        <v>#REF!</v>
      </c>
      <c r="D185" s="602" t="s">
        <v>90</v>
      </c>
      <c r="E185" s="603"/>
      <c r="F185" s="79"/>
      <c r="G185" s="657" t="e">
        <f>G175/G195</f>
        <v>#REF!</v>
      </c>
      <c r="H185" s="602" t="e">
        <f t="shared" si="291"/>
        <v>#REF!</v>
      </c>
      <c r="I185" s="603"/>
      <c r="J185" s="79"/>
      <c r="K185" s="657" t="e">
        <f>K175/K195</f>
        <v>#REF!</v>
      </c>
      <c r="L185" s="602" t="e">
        <f t="shared" si="292"/>
        <v>#REF!</v>
      </c>
      <c r="M185" s="603"/>
      <c r="N185" s="79"/>
      <c r="O185" s="657" t="e">
        <f>O175/O195</f>
        <v>#REF!</v>
      </c>
      <c r="P185" s="602" t="e">
        <f t="shared" si="293"/>
        <v>#REF!</v>
      </c>
      <c r="Q185" s="603"/>
      <c r="R185" s="79"/>
      <c r="S185" s="657" t="e">
        <f>S175/S195</f>
        <v>#REF!</v>
      </c>
      <c r="T185" s="602" t="e">
        <f t="shared" si="297"/>
        <v>#REF!</v>
      </c>
      <c r="U185" s="603"/>
      <c r="V185" s="79"/>
      <c r="W185" s="657" t="s">
        <v>90</v>
      </c>
      <c r="X185" s="602" t="s">
        <v>90</v>
      </c>
      <c r="Y185" s="602"/>
      <c r="Z185" s="79"/>
      <c r="AA185" s="657" t="s">
        <v>90</v>
      </c>
      <c r="AB185" s="602" t="s">
        <v>90</v>
      </c>
      <c r="AC185" s="602"/>
      <c r="AD185" s="79"/>
      <c r="AE185" s="658" t="s">
        <v>90</v>
      </c>
      <c r="AF185" s="602" t="s">
        <v>90</v>
      </c>
      <c r="AG185" s="602"/>
      <c r="AI185" s="659" t="s">
        <v>90</v>
      </c>
      <c r="AJ185" s="599" t="s">
        <v>90</v>
      </c>
      <c r="AK185" s="599"/>
      <c r="AM185" s="659" t="s">
        <v>90</v>
      </c>
      <c r="AN185" s="599" t="s">
        <v>90</v>
      </c>
      <c r="AO185" s="599"/>
      <c r="AQ185" s="659" t="s">
        <v>90</v>
      </c>
      <c r="AR185" s="599" t="s">
        <v>90</v>
      </c>
      <c r="AS185" s="599"/>
      <c r="AU185" s="662">
        <f>+AU175/AU215</f>
        <v>-2.3648214772447052E-2</v>
      </c>
      <c r="AV185" s="599"/>
      <c r="AW185" s="599"/>
      <c r="AY185" s="662">
        <f>+AY175/AY215</f>
        <v>-4.5306864083703297E-2</v>
      </c>
      <c r="AZ185" s="661" t="str">
        <f t="shared" si="294"/>
        <v xml:space="preserve">       NM</v>
      </c>
      <c r="BC185" s="662">
        <f>+BC175/BC215</f>
        <v>0.15776158940397175</v>
      </c>
      <c r="BD185" s="661" t="str">
        <f t="shared" si="295"/>
        <v xml:space="preserve">       NM</v>
      </c>
      <c r="BE185" s="567"/>
      <c r="BG185" s="662">
        <f>+BG175/BG215</f>
        <v>0.22540951239008805</v>
      </c>
      <c r="BH185" s="662"/>
      <c r="BI185" s="661">
        <f t="shared" si="296"/>
        <v>42.87984371968632</v>
      </c>
    </row>
    <row r="186" spans="1:62">
      <c r="A186" s="569" t="s">
        <v>82</v>
      </c>
      <c r="B186" s="79"/>
      <c r="C186" s="663" t="e">
        <f>C176/C196</f>
        <v>#REF!</v>
      </c>
      <c r="D186" s="680" t="s">
        <v>90</v>
      </c>
      <c r="E186" s="603"/>
      <c r="F186" s="79"/>
      <c r="G186" s="663" t="e">
        <f>G176/G196</f>
        <v>#REF!</v>
      </c>
      <c r="H186" s="680" t="e">
        <f t="shared" si="291"/>
        <v>#REF!</v>
      </c>
      <c r="I186" s="603"/>
      <c r="J186" s="79"/>
      <c r="K186" s="663" t="e">
        <f>K176/K196</f>
        <v>#REF!</v>
      </c>
      <c r="L186" s="680" t="e">
        <f t="shared" si="292"/>
        <v>#REF!</v>
      </c>
      <c r="M186" s="603"/>
      <c r="N186" s="79"/>
      <c r="O186" s="663" t="e">
        <f>O176/O196</f>
        <v>#REF!</v>
      </c>
      <c r="P186" s="680" t="e">
        <f t="shared" si="293"/>
        <v>#REF!</v>
      </c>
      <c r="Q186" s="603"/>
      <c r="R186" s="79"/>
      <c r="S186" s="681" t="s">
        <v>90</v>
      </c>
      <c r="T186" s="681" t="s">
        <v>90</v>
      </c>
      <c r="U186" s="603"/>
      <c r="V186" s="79"/>
      <c r="W186" s="663" t="s">
        <v>90</v>
      </c>
      <c r="X186" s="602" t="s">
        <v>90</v>
      </c>
      <c r="Y186" s="602"/>
      <c r="Z186" s="79"/>
      <c r="AA186" s="663" t="s">
        <v>90</v>
      </c>
      <c r="AB186" s="602" t="s">
        <v>90</v>
      </c>
      <c r="AC186" s="602"/>
      <c r="AD186" s="79"/>
      <c r="AE186" s="665" t="s">
        <v>90</v>
      </c>
      <c r="AF186" s="602" t="s">
        <v>90</v>
      </c>
      <c r="AG186" s="602"/>
      <c r="AI186" s="666" t="s">
        <v>90</v>
      </c>
      <c r="AJ186" s="599" t="s">
        <v>90</v>
      </c>
      <c r="AK186" s="599"/>
      <c r="AM186" s="666" t="s">
        <v>90</v>
      </c>
      <c r="AN186" s="599" t="s">
        <v>90</v>
      </c>
      <c r="AO186" s="599"/>
      <c r="AQ186" s="666" t="s">
        <v>90</v>
      </c>
      <c r="AR186" s="599" t="s">
        <v>90</v>
      </c>
      <c r="AS186" s="599"/>
      <c r="AU186" s="667">
        <f>+AU176/AU216</f>
        <v>1.1673497046281529</v>
      </c>
      <c r="AV186" s="599"/>
      <c r="AW186" s="599"/>
      <c r="AY186" s="667">
        <f>+AY176/AY216</f>
        <v>1.0738148360870399</v>
      </c>
      <c r="AZ186" s="661">
        <f t="shared" si="294"/>
        <v>-8.0125833904166388</v>
      </c>
      <c r="BC186" s="667">
        <f>+BC176/BC216</f>
        <v>1.4280414263240702</v>
      </c>
      <c r="BD186" s="661">
        <f t="shared" si="295"/>
        <v>32.987678911927219</v>
      </c>
      <c r="BE186" s="567"/>
      <c r="BG186" s="667">
        <f>+BG176/BG216</f>
        <v>1.4232329521458209</v>
      </c>
      <c r="BH186" s="1202"/>
      <c r="BI186" s="661">
        <f t="shared" si="296"/>
        <v>-0.3367181154279808</v>
      </c>
    </row>
    <row r="187" spans="1:62">
      <c r="A187" s="569" t="s">
        <v>85</v>
      </c>
      <c r="B187" s="79"/>
      <c r="C187" s="657" t="e">
        <f>C177/C197</f>
        <v>#REF!</v>
      </c>
      <c r="D187" s="602" t="s">
        <v>90</v>
      </c>
      <c r="E187" s="603"/>
      <c r="F187" s="79"/>
      <c r="G187" s="657" t="e">
        <f>G177/G197</f>
        <v>#REF!</v>
      </c>
      <c r="H187" s="602" t="e">
        <f t="shared" si="291"/>
        <v>#REF!</v>
      </c>
      <c r="I187" s="603"/>
      <c r="J187" s="79"/>
      <c r="K187" s="657" t="e">
        <f>K177/K197</f>
        <v>#REF!</v>
      </c>
      <c r="L187" s="602" t="e">
        <f t="shared" si="292"/>
        <v>#REF!</v>
      </c>
      <c r="M187" s="603"/>
      <c r="N187" s="79"/>
      <c r="O187" s="657" t="e">
        <f>O177/O197</f>
        <v>#REF!</v>
      </c>
      <c r="P187" s="602" t="e">
        <f t="shared" si="293"/>
        <v>#REF!</v>
      </c>
      <c r="Q187" s="603"/>
      <c r="R187" s="79"/>
      <c r="S187" s="682" t="s">
        <v>90</v>
      </c>
      <c r="T187" s="682" t="s">
        <v>90</v>
      </c>
      <c r="U187" s="603"/>
      <c r="V187" s="79"/>
      <c r="W187" s="657" t="s">
        <v>90</v>
      </c>
      <c r="X187" s="602" t="s">
        <v>90</v>
      </c>
      <c r="Y187" s="602"/>
      <c r="Z187" s="79"/>
      <c r="AA187" s="657" t="s">
        <v>90</v>
      </c>
      <c r="AB187" s="602" t="s">
        <v>90</v>
      </c>
      <c r="AC187" s="602"/>
      <c r="AD187" s="79"/>
      <c r="AE187" s="658" t="s">
        <v>90</v>
      </c>
      <c r="AF187" s="602" t="s">
        <v>90</v>
      </c>
      <c r="AG187" s="602"/>
      <c r="AI187" s="659" t="s">
        <v>90</v>
      </c>
      <c r="AJ187" s="599" t="s">
        <v>90</v>
      </c>
      <c r="AK187" s="599"/>
      <c r="AM187" s="659" t="s">
        <v>90</v>
      </c>
      <c r="AN187" s="599" t="s">
        <v>90</v>
      </c>
      <c r="AO187" s="599"/>
      <c r="AQ187" s="659" t="s">
        <v>90</v>
      </c>
      <c r="AR187" s="599" t="s">
        <v>90</v>
      </c>
      <c r="AS187" s="599"/>
      <c r="AU187" s="660">
        <f>+AU177/AU217</f>
        <v>0.86999857470541597</v>
      </c>
      <c r="AV187" s="599"/>
      <c r="AW187" s="599"/>
      <c r="AY187" s="660">
        <f>+AY177/AY217</f>
        <v>0.9458687905637555</v>
      </c>
      <c r="AZ187" s="661">
        <f t="shared" si="294"/>
        <v>8.7207287533809463</v>
      </c>
      <c r="BC187" s="660">
        <f>SUM(ROUND(BC183,2),ROUND(BC184,2), ROUND(BC185,2), ROUND(BC186,2))</f>
        <v>1.83</v>
      </c>
      <c r="BD187" s="661">
        <f t="shared" si="295"/>
        <v>93.47292333319146</v>
      </c>
      <c r="BE187" s="567"/>
      <c r="BG187" s="660">
        <f>+BG177/BG217</f>
        <v>2.2526566844705891</v>
      </c>
      <c r="BH187" s="660"/>
      <c r="BI187" s="661">
        <f t="shared" si="296"/>
        <v>23.095993686917438</v>
      </c>
      <c r="BJ187" s="567">
        <f>SUM(BG183:BG186)</f>
        <v>2.2540000737583195</v>
      </c>
    </row>
    <row r="188" spans="1:62" hidden="1" outlineLevel="1">
      <c r="A188" s="569" t="s">
        <v>87</v>
      </c>
      <c r="B188" s="79"/>
      <c r="C188" s="657" t="e">
        <f>C183+C184</f>
        <v>#REF!</v>
      </c>
      <c r="D188" s="602" t="s">
        <v>90</v>
      </c>
      <c r="E188" s="603"/>
      <c r="F188" s="79"/>
      <c r="G188" s="657" t="e">
        <f>G183+G184</f>
        <v>#REF!</v>
      </c>
      <c r="H188" s="602" t="e">
        <f t="shared" si="291"/>
        <v>#REF!</v>
      </c>
      <c r="I188" s="603"/>
      <c r="J188" s="79"/>
      <c r="K188" s="657" t="e">
        <f>K183+K184</f>
        <v>#REF!</v>
      </c>
      <c r="L188" s="602" t="e">
        <f t="shared" si="292"/>
        <v>#REF!</v>
      </c>
      <c r="M188" s="603"/>
      <c r="N188" s="79"/>
      <c r="O188" s="657" t="e">
        <f>O183+O184</f>
        <v>#REF!</v>
      </c>
      <c r="P188" s="602" t="e">
        <f t="shared" si="293"/>
        <v>#REF!</v>
      </c>
      <c r="Q188" s="603"/>
      <c r="R188" s="79"/>
      <c r="S188" s="657" t="e">
        <f>S183+S184</f>
        <v>#REF!</v>
      </c>
      <c r="T188" s="602" t="e">
        <f t="shared" si="297"/>
        <v>#REF!</v>
      </c>
      <c r="U188" s="603"/>
      <c r="V188" s="79"/>
      <c r="W188" s="657" t="s">
        <v>90</v>
      </c>
      <c r="X188" s="602" t="s">
        <v>90</v>
      </c>
      <c r="Y188" s="602"/>
      <c r="Z188" s="79"/>
      <c r="AA188" s="657" t="s">
        <v>90</v>
      </c>
      <c r="AB188" s="602" t="s">
        <v>90</v>
      </c>
      <c r="AC188" s="602"/>
      <c r="AD188" s="79"/>
      <c r="AE188" s="658" t="s">
        <v>90</v>
      </c>
      <c r="AF188" s="602" t="s">
        <v>90</v>
      </c>
      <c r="AG188" s="602"/>
      <c r="AI188" s="659" t="s">
        <v>90</v>
      </c>
      <c r="AJ188" s="599" t="s">
        <v>90</v>
      </c>
      <c r="AK188" s="599"/>
      <c r="AM188" s="659" t="s">
        <v>90</v>
      </c>
      <c r="AN188" s="599" t="s">
        <v>90</v>
      </c>
      <c r="AO188" s="599"/>
      <c r="AQ188" s="659" t="s">
        <v>90</v>
      </c>
      <c r="AR188" s="599" t="s">
        <v>90</v>
      </c>
      <c r="AS188" s="599"/>
      <c r="AU188" s="662">
        <f>+AU178/AU198</f>
        <v>-0.27055296329374362</v>
      </c>
      <c r="AV188" s="599"/>
      <c r="AW188" s="599"/>
      <c r="AY188" s="662">
        <f>+AY178/AY198</f>
        <v>-0.1009967729312897</v>
      </c>
      <c r="AZ188" s="661" t="str">
        <f t="shared" si="294"/>
        <v xml:space="preserve">       NM</v>
      </c>
      <c r="BC188" s="662">
        <f>+BC178/BC198</f>
        <v>0.23366271409749448</v>
      </c>
      <c r="BD188" s="661" t="str">
        <f t="shared" si="295"/>
        <v xml:space="preserve">       NM</v>
      </c>
      <c r="BG188" s="662">
        <f>+BG178/BG198</f>
        <v>0.60611057670285606</v>
      </c>
      <c r="BH188" s="662"/>
      <c r="BI188" s="661">
        <f t="shared" si="296"/>
        <v>159.39550477444158</v>
      </c>
    </row>
    <row r="189" spans="1:62" hidden="1" outlineLevel="1">
      <c r="A189" s="569" t="s">
        <v>88</v>
      </c>
      <c r="B189" s="79"/>
      <c r="C189" s="657" t="e">
        <f>C183+C184+C185</f>
        <v>#REF!</v>
      </c>
      <c r="D189" s="602" t="s">
        <v>90</v>
      </c>
      <c r="E189" s="603"/>
      <c r="F189" s="79"/>
      <c r="G189" s="657" t="e">
        <f>G183+G184+G185</f>
        <v>#REF!</v>
      </c>
      <c r="H189" s="602" t="e">
        <f t="shared" si="291"/>
        <v>#REF!</v>
      </c>
      <c r="I189" s="603"/>
      <c r="J189" s="79"/>
      <c r="K189" s="657" t="e">
        <f>K183+K184+K185</f>
        <v>#REF!</v>
      </c>
      <c r="L189" s="602" t="e">
        <f t="shared" si="292"/>
        <v>#REF!</v>
      </c>
      <c r="M189" s="603"/>
      <c r="N189" s="79"/>
      <c r="O189" s="657" t="e">
        <f>O183+O184+O185</f>
        <v>#REF!</v>
      </c>
      <c r="P189" s="602" t="e">
        <f t="shared" si="293"/>
        <v>#REF!</v>
      </c>
      <c r="Q189" s="603"/>
      <c r="R189" s="79"/>
      <c r="S189" s="657" t="e">
        <f>S183+S184+S185</f>
        <v>#REF!</v>
      </c>
      <c r="T189" s="602" t="e">
        <f t="shared" si="297"/>
        <v>#REF!</v>
      </c>
      <c r="U189" s="603"/>
      <c r="V189" s="79"/>
      <c r="W189" s="657" t="s">
        <v>90</v>
      </c>
      <c r="X189" s="602" t="s">
        <v>90</v>
      </c>
      <c r="Y189" s="602"/>
      <c r="Z189" s="79"/>
      <c r="AA189" s="657" t="s">
        <v>90</v>
      </c>
      <c r="AB189" s="602" t="s">
        <v>90</v>
      </c>
      <c r="AC189" s="602"/>
      <c r="AD189" s="79"/>
      <c r="AE189" s="658" t="s">
        <v>90</v>
      </c>
      <c r="AF189" s="602" t="s">
        <v>90</v>
      </c>
      <c r="AG189" s="602"/>
      <c r="AI189" s="659" t="s">
        <v>90</v>
      </c>
      <c r="AJ189" s="599" t="s">
        <v>90</v>
      </c>
      <c r="AK189" s="599"/>
      <c r="AM189" s="659" t="s">
        <v>90</v>
      </c>
      <c r="AN189" s="599" t="s">
        <v>90</v>
      </c>
      <c r="AO189" s="599"/>
      <c r="AQ189" s="659" t="s">
        <v>90</v>
      </c>
      <c r="AR189" s="599" t="s">
        <v>90</v>
      </c>
      <c r="AS189" s="599"/>
      <c r="AU189" s="662">
        <f>+AU179/AU199</f>
        <v>-0.29244287198570801</v>
      </c>
      <c r="AV189" s="599"/>
      <c r="AW189" s="599"/>
      <c r="AY189" s="662">
        <f>+AY179/AY199</f>
        <v>-0.14406605289834359</v>
      </c>
      <c r="AZ189" s="661" t="str">
        <f t="shared" si="294"/>
        <v xml:space="preserve">       NM</v>
      </c>
      <c r="BC189" s="662">
        <f>+BC179/BC199</f>
        <v>0.39059288537549008</v>
      </c>
      <c r="BD189" s="661" t="str">
        <f t="shared" si="295"/>
        <v xml:space="preserve">       NM</v>
      </c>
      <c r="BG189" s="662">
        <f>+BG179/BG199</f>
        <v>0.83123245843067439</v>
      </c>
      <c r="BH189" s="662"/>
      <c r="BI189" s="661">
        <f t="shared" si="296"/>
        <v>112.81300544724022</v>
      </c>
    </row>
    <row r="190" spans="1:62" collapsed="1">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BC190" s="567"/>
      <c r="BG190" s="714"/>
      <c r="BH190" s="714"/>
      <c r="BI190" s="817"/>
    </row>
    <row r="191" spans="1:62" outlineLevel="2">
      <c r="A191" s="565" t="s">
        <v>377</v>
      </c>
      <c r="B191" s="566"/>
      <c r="C191" s="566"/>
      <c r="D191" s="566"/>
      <c r="E191" s="566"/>
      <c r="F191" s="566"/>
      <c r="G191" s="566"/>
      <c r="H191" s="566"/>
      <c r="I191" s="566"/>
      <c r="J191" s="566"/>
      <c r="K191" s="566"/>
      <c r="L191" s="566"/>
      <c r="M191" s="566"/>
      <c r="N191" s="566"/>
      <c r="O191" s="566"/>
      <c r="P191" s="566"/>
      <c r="Q191" s="566"/>
      <c r="R191" s="566"/>
      <c r="S191" s="566"/>
      <c r="T191" s="566"/>
      <c r="U191" s="566"/>
      <c r="V191" s="566"/>
      <c r="W191" s="566"/>
      <c r="X191" s="566"/>
      <c r="Y191" s="566"/>
      <c r="Z191" s="566"/>
      <c r="AA191" s="566"/>
      <c r="AB191" s="566"/>
      <c r="AC191" s="566"/>
      <c r="AD191" s="566"/>
      <c r="AE191" s="566"/>
      <c r="AF191" s="566"/>
      <c r="AG191" s="566"/>
      <c r="AH191" s="420"/>
      <c r="AI191" s="420"/>
      <c r="AJ191" s="420"/>
      <c r="AK191" s="420"/>
      <c r="AL191" s="420"/>
      <c r="AM191" s="420"/>
      <c r="AN191" s="420"/>
      <c r="AO191" s="420"/>
      <c r="AP191" s="420"/>
      <c r="AQ191" s="420"/>
      <c r="AR191" s="420"/>
      <c r="AS191" s="420"/>
      <c r="AT191" s="420"/>
      <c r="AU191" s="420"/>
      <c r="AV191" s="420"/>
      <c r="AW191" s="420"/>
      <c r="AX191" s="420"/>
      <c r="AY191" s="420"/>
      <c r="AZ191" s="420"/>
      <c r="BC191" s="1394">
        <f>BC177/BC217</f>
        <v>1.8266262439860257</v>
      </c>
      <c r="BD191" s="420"/>
      <c r="BG191" s="816"/>
      <c r="BH191" s="816"/>
      <c r="BI191" s="420"/>
      <c r="BJ191" s="567"/>
    </row>
    <row r="192" spans="1:62" outlineLevel="1">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BC192" s="567"/>
    </row>
    <row r="193" spans="1:66" outlineLevel="1">
      <c r="A193" s="569" t="s">
        <v>79</v>
      </c>
      <c r="B193" s="79"/>
      <c r="C193" s="683">
        <v>44.454000000000001</v>
      </c>
      <c r="D193" s="596"/>
      <c r="E193" s="597"/>
      <c r="F193" s="79"/>
      <c r="G193" s="683">
        <v>44.482686999999999</v>
      </c>
      <c r="H193" s="596"/>
      <c r="I193" s="597"/>
      <c r="J193" s="79"/>
      <c r="K193" s="683">
        <v>44.547424999999997</v>
      </c>
      <c r="L193" s="596"/>
      <c r="M193" s="597"/>
      <c r="N193" s="79"/>
      <c r="O193" s="683">
        <v>44.635846999999998</v>
      </c>
      <c r="P193" s="602">
        <f>(O193/K193-1)*100</f>
        <v>0.19848958722081811</v>
      </c>
      <c r="Q193" s="597"/>
      <c r="R193" s="79"/>
      <c r="S193" s="683">
        <v>44.772804999999998</v>
      </c>
      <c r="T193" s="602">
        <f>(S193/O193-1)*100</f>
        <v>0.30683410129979105</v>
      </c>
      <c r="U193" s="597"/>
      <c r="V193" s="79"/>
      <c r="W193" s="683" t="s">
        <v>90</v>
      </c>
      <c r="X193" s="602" t="s">
        <v>90</v>
      </c>
      <c r="Y193" s="602"/>
      <c r="Z193" s="79"/>
      <c r="AA193" s="683" t="s">
        <v>90</v>
      </c>
      <c r="AB193" s="602" t="s">
        <v>90</v>
      </c>
      <c r="AC193" s="602"/>
      <c r="AD193" s="79"/>
      <c r="AE193" s="658" t="s">
        <v>90</v>
      </c>
      <c r="AF193" s="602" t="s">
        <v>90</v>
      </c>
      <c r="AG193" s="602"/>
      <c r="AI193" s="659" t="s">
        <v>90</v>
      </c>
      <c r="AJ193" s="599" t="s">
        <v>90</v>
      </c>
      <c r="AK193" s="599"/>
      <c r="AM193" s="659" t="s">
        <v>90</v>
      </c>
      <c r="AN193" s="599" t="s">
        <v>90</v>
      </c>
      <c r="AO193" s="599"/>
      <c r="AQ193" s="659" t="s">
        <v>90</v>
      </c>
      <c r="AR193" s="599" t="s">
        <v>90</v>
      </c>
      <c r="AS193" s="599"/>
      <c r="AU193" s="684">
        <f>AY195</f>
        <v>77.386944999999997</v>
      </c>
      <c r="AV193" s="599"/>
      <c r="AW193" s="599"/>
      <c r="AY193" s="684">
        <f>AY195</f>
        <v>77.386944999999997</v>
      </c>
      <c r="AZ193" s="599"/>
      <c r="BC193" s="684">
        <f>AY196</f>
        <v>77.386944999999997</v>
      </c>
      <c r="BD193" s="599"/>
      <c r="BG193" s="684">
        <v>76.501000000000005</v>
      </c>
      <c r="BH193" s="684"/>
      <c r="BI193" s="599"/>
      <c r="BJ193" s="567"/>
    </row>
    <row r="194" spans="1:66" outlineLevel="1">
      <c r="A194" s="569" t="s">
        <v>80</v>
      </c>
      <c r="B194" s="79"/>
      <c r="C194" s="683">
        <v>44.402000000000001</v>
      </c>
      <c r="D194" s="596"/>
      <c r="E194" s="597"/>
      <c r="F194" s="79"/>
      <c r="G194" s="683">
        <v>44.573452000000003</v>
      </c>
      <c r="H194" s="596"/>
      <c r="I194" s="597"/>
      <c r="J194" s="79"/>
      <c r="K194" s="683">
        <v>44.662796</v>
      </c>
      <c r="L194" s="596"/>
      <c r="M194" s="597"/>
      <c r="N194" s="79"/>
      <c r="O194" s="683">
        <v>44.645789999999998</v>
      </c>
      <c r="P194" s="602">
        <f>(O194/K194-1)*100</f>
        <v>-3.807643390709714E-2</v>
      </c>
      <c r="Q194" s="597"/>
      <c r="R194" s="79"/>
      <c r="S194" s="683">
        <v>44.773412</v>
      </c>
      <c r="T194" s="602">
        <f>(S194/O194-1)*100</f>
        <v>0.28585450050273575</v>
      </c>
      <c r="U194" s="597"/>
      <c r="V194" s="79"/>
      <c r="W194" s="683" t="s">
        <v>90</v>
      </c>
      <c r="X194" s="602" t="s">
        <v>90</v>
      </c>
      <c r="Y194" s="602"/>
      <c r="Z194" s="79"/>
      <c r="AA194" s="683" t="s">
        <v>90</v>
      </c>
      <c r="AB194" s="602" t="s">
        <v>90</v>
      </c>
      <c r="AC194" s="602"/>
      <c r="AD194" s="79"/>
      <c r="AE194" s="658" t="s">
        <v>90</v>
      </c>
      <c r="AF194" s="602" t="s">
        <v>90</v>
      </c>
      <c r="AG194" s="602"/>
      <c r="AI194" s="659" t="s">
        <v>90</v>
      </c>
      <c r="AJ194" s="599" t="s">
        <v>90</v>
      </c>
      <c r="AK194" s="599"/>
      <c r="AM194" s="659" t="s">
        <v>90</v>
      </c>
      <c r="AN194" s="599" t="s">
        <v>90</v>
      </c>
      <c r="AO194" s="599"/>
      <c r="AQ194" s="659" t="s">
        <v>90</v>
      </c>
      <c r="AR194" s="599" t="s">
        <v>90</v>
      </c>
      <c r="AS194" s="599"/>
      <c r="AU194" s="684">
        <f>AY195</f>
        <v>77.386944999999997</v>
      </c>
      <c r="AV194" s="599"/>
      <c r="AW194" s="599"/>
      <c r="AY194" s="684">
        <f>AY195</f>
        <v>77.386944999999997</v>
      </c>
      <c r="AZ194" s="599"/>
      <c r="BC194" s="684">
        <f t="shared" ref="BC194:BC199" si="298">BC193</f>
        <v>77.386944999999997</v>
      </c>
      <c r="BD194" s="599"/>
      <c r="BG194" s="684">
        <v>76.510999999999996</v>
      </c>
      <c r="BH194" s="684"/>
      <c r="BI194" s="599"/>
      <c r="BJ194" s="567"/>
    </row>
    <row r="195" spans="1:66" outlineLevel="1">
      <c r="A195" s="569"/>
      <c r="B195" s="79"/>
      <c r="C195" s="683">
        <v>44.463999999999999</v>
      </c>
      <c r="D195" s="596"/>
      <c r="E195" s="597"/>
      <c r="F195" s="79"/>
      <c r="G195" s="683">
        <v>44.553818999999997</v>
      </c>
      <c r="H195" s="596"/>
      <c r="I195" s="597"/>
      <c r="J195" s="79"/>
      <c r="K195" s="683">
        <v>44.669939999999997</v>
      </c>
      <c r="L195" s="596"/>
      <c r="M195" s="597"/>
      <c r="N195" s="79"/>
      <c r="O195" s="683">
        <v>44.787990999999998</v>
      </c>
      <c r="P195" s="602">
        <f>(O195/K195-1)*100</f>
        <v>0.26427391664283206</v>
      </c>
      <c r="Q195" s="597"/>
      <c r="R195" s="79"/>
      <c r="S195" s="683">
        <v>44.965772000000001</v>
      </c>
      <c r="T195" s="602">
        <f>(S195/O195-1)*100</f>
        <v>0.39693899197221771</v>
      </c>
      <c r="U195" s="597"/>
      <c r="V195" s="79"/>
      <c r="W195" s="683" t="s">
        <v>90</v>
      </c>
      <c r="X195" s="602" t="s">
        <v>90</v>
      </c>
      <c r="Y195" s="602"/>
      <c r="Z195" s="79"/>
      <c r="AA195" s="683" t="s">
        <v>90</v>
      </c>
      <c r="AB195" s="602" t="s">
        <v>90</v>
      </c>
      <c r="AC195" s="602"/>
      <c r="AD195" s="79"/>
      <c r="AE195" s="658" t="s">
        <v>90</v>
      </c>
      <c r="AF195" s="602" t="s">
        <v>90</v>
      </c>
      <c r="AG195" s="602"/>
      <c r="AI195" s="659" t="s">
        <v>90</v>
      </c>
      <c r="AJ195" s="599" t="s">
        <v>90</v>
      </c>
      <c r="AK195" s="599"/>
      <c r="AM195" s="659" t="s">
        <v>90</v>
      </c>
      <c r="AN195" s="599" t="s">
        <v>90</v>
      </c>
      <c r="AO195" s="599"/>
      <c r="AQ195" s="659" t="s">
        <v>90</v>
      </c>
      <c r="AR195" s="599" t="s">
        <v>90</v>
      </c>
      <c r="AS195" s="599"/>
      <c r="AU195" s="684">
        <f>AY195</f>
        <v>77.386944999999997</v>
      </c>
      <c r="AV195" s="599"/>
      <c r="AW195" s="599"/>
      <c r="AY195" s="685">
        <f>75.386945+2</f>
        <v>77.386944999999997</v>
      </c>
      <c r="AZ195" s="599"/>
      <c r="BC195" s="686">
        <v>74.218000000000004</v>
      </c>
      <c r="BD195" s="599"/>
      <c r="BG195" s="684">
        <f>+BG194+0.2-0.4</f>
        <v>76.310999999999993</v>
      </c>
      <c r="BH195" s="684"/>
      <c r="BI195" s="599"/>
      <c r="BJ195" s="567"/>
    </row>
    <row r="196" spans="1:66" outlineLevel="1">
      <c r="A196" s="569" t="s">
        <v>82</v>
      </c>
      <c r="B196" s="79"/>
      <c r="C196" s="687">
        <f>C216+1.1</f>
        <v>45.554091</v>
      </c>
      <c r="D196" s="596"/>
      <c r="E196" s="597"/>
      <c r="F196" s="79"/>
      <c r="G196" s="681">
        <v>44.539980999999997</v>
      </c>
      <c r="H196" s="596"/>
      <c r="I196" s="597"/>
      <c r="J196" s="79"/>
      <c r="K196" s="681">
        <v>44.735478000000001</v>
      </c>
      <c r="L196" s="596"/>
      <c r="M196" s="597"/>
      <c r="N196" s="79"/>
      <c r="O196" s="681">
        <v>44.881996999999998</v>
      </c>
      <c r="P196" s="681" t="s">
        <v>90</v>
      </c>
      <c r="Q196" s="597"/>
      <c r="R196" s="79"/>
      <c r="S196" s="681" t="s">
        <v>90</v>
      </c>
      <c r="T196" s="681" t="s">
        <v>90</v>
      </c>
      <c r="U196" s="597"/>
      <c r="V196" s="79"/>
      <c r="W196" s="681" t="s">
        <v>90</v>
      </c>
      <c r="X196" s="602" t="s">
        <v>90</v>
      </c>
      <c r="Y196" s="602"/>
      <c r="Z196" s="79"/>
      <c r="AA196" s="681" t="s">
        <v>90</v>
      </c>
      <c r="AB196" s="602" t="s">
        <v>90</v>
      </c>
      <c r="AC196" s="602"/>
      <c r="AD196" s="79"/>
      <c r="AE196" s="665" t="s">
        <v>90</v>
      </c>
      <c r="AF196" s="602" t="s">
        <v>90</v>
      </c>
      <c r="AG196" s="602"/>
      <c r="AI196" s="666" t="s">
        <v>90</v>
      </c>
      <c r="AJ196" s="599" t="s">
        <v>90</v>
      </c>
      <c r="AK196" s="599"/>
      <c r="AM196" s="666" t="s">
        <v>90</v>
      </c>
      <c r="AN196" s="599" t="s">
        <v>90</v>
      </c>
      <c r="AO196" s="599"/>
      <c r="AQ196" s="666" t="s">
        <v>90</v>
      </c>
      <c r="AR196" s="599" t="s">
        <v>90</v>
      </c>
      <c r="AS196" s="599"/>
      <c r="AU196" s="688">
        <f>AY195</f>
        <v>77.386944999999997</v>
      </c>
      <c r="AV196" s="599"/>
      <c r="AW196" s="599"/>
      <c r="AY196" s="688">
        <f>AY195</f>
        <v>77.386944999999997</v>
      </c>
      <c r="AZ196" s="599"/>
      <c r="BC196" s="688">
        <v>76.28</v>
      </c>
      <c r="BD196" s="599"/>
      <c r="BG196" s="688">
        <f>BG195</f>
        <v>76.310999999999993</v>
      </c>
      <c r="BH196" s="1203"/>
      <c r="BI196" s="599"/>
    </row>
    <row r="197" spans="1:66" outlineLevel="1">
      <c r="A197" s="569" t="s">
        <v>85</v>
      </c>
      <c r="B197" s="79"/>
      <c r="C197" s="689">
        <v>44.484000000000002</v>
      </c>
      <c r="D197" s="596"/>
      <c r="E197" s="597"/>
      <c r="F197" s="79"/>
      <c r="G197" s="689">
        <v>44.548186999999999</v>
      </c>
      <c r="H197" s="596"/>
      <c r="I197" s="597"/>
      <c r="J197" s="79"/>
      <c r="K197" s="689">
        <v>44.668281999999998</v>
      </c>
      <c r="L197" s="596"/>
      <c r="M197" s="597"/>
      <c r="N197" s="79"/>
      <c r="O197" s="689">
        <v>44.783645999999997</v>
      </c>
      <c r="P197" s="682" t="s">
        <v>90</v>
      </c>
      <c r="Q197" s="597"/>
      <c r="R197" s="79"/>
      <c r="S197" s="682" t="s">
        <v>90</v>
      </c>
      <c r="T197" s="682" t="s">
        <v>90</v>
      </c>
      <c r="U197" s="597"/>
      <c r="V197" s="79"/>
      <c r="W197" s="682" t="s">
        <v>90</v>
      </c>
      <c r="X197" s="602" t="s">
        <v>90</v>
      </c>
      <c r="Y197" s="602"/>
      <c r="Z197" s="79"/>
      <c r="AA197" s="682" t="s">
        <v>90</v>
      </c>
      <c r="AB197" s="602" t="s">
        <v>90</v>
      </c>
      <c r="AC197" s="602"/>
      <c r="AD197" s="79"/>
      <c r="AE197" s="658" t="s">
        <v>90</v>
      </c>
      <c r="AF197" s="602" t="s">
        <v>90</v>
      </c>
      <c r="AG197" s="602"/>
      <c r="AI197" s="659" t="s">
        <v>90</v>
      </c>
      <c r="AJ197" s="599" t="s">
        <v>90</v>
      </c>
      <c r="AK197" s="599"/>
      <c r="AM197" s="659" t="s">
        <v>90</v>
      </c>
      <c r="AN197" s="599" t="s">
        <v>90</v>
      </c>
      <c r="AO197" s="599"/>
      <c r="AQ197" s="659" t="s">
        <v>90</v>
      </c>
      <c r="AR197" s="599" t="s">
        <v>90</v>
      </c>
      <c r="AS197" s="599"/>
      <c r="AU197" s="684">
        <f>AU196</f>
        <v>77.386944999999997</v>
      </c>
      <c r="AV197" s="599"/>
      <c r="AW197" s="599"/>
      <c r="AY197" s="684">
        <f>AY196</f>
        <v>77.386944999999997</v>
      </c>
      <c r="AZ197" s="599"/>
      <c r="BC197" s="684">
        <v>75.900000000000006</v>
      </c>
      <c r="BD197" s="599"/>
      <c r="BG197" s="684">
        <f>AVERAGE(BG193:BG196)</f>
        <v>76.408499999999989</v>
      </c>
      <c r="BH197" s="684"/>
      <c r="BI197" s="599"/>
    </row>
    <row r="198" spans="1:66" s="57" customFormat="1" outlineLevel="3">
      <c r="A198" s="569"/>
      <c r="B198" s="79"/>
      <c r="C198" s="669"/>
      <c r="D198" s="596"/>
      <c r="E198" s="597"/>
      <c r="F198" s="79"/>
      <c r="G198" s="669"/>
      <c r="H198" s="596"/>
      <c r="I198" s="597"/>
      <c r="J198" s="79"/>
      <c r="K198" s="669"/>
      <c r="L198" s="596"/>
      <c r="M198" s="597"/>
      <c r="N198" s="79"/>
      <c r="O198" s="669"/>
      <c r="P198" s="602"/>
      <c r="Q198" s="597"/>
      <c r="R198" s="79"/>
      <c r="S198" s="669"/>
      <c r="T198" s="602"/>
      <c r="U198" s="597"/>
      <c r="V198" s="79"/>
      <c r="W198" s="669"/>
      <c r="X198" s="602"/>
      <c r="Y198" s="602"/>
      <c r="Z198" s="79"/>
      <c r="AA198" s="669"/>
      <c r="AB198" s="602"/>
      <c r="AC198" s="602"/>
      <c r="AD198" s="79"/>
      <c r="AE198" s="658"/>
      <c r="AF198" s="602"/>
      <c r="AG198" s="602"/>
      <c r="AI198" s="659" t="s">
        <v>90</v>
      </c>
      <c r="AJ198" s="599" t="s">
        <v>90</v>
      </c>
      <c r="AK198" s="644"/>
      <c r="AM198" s="659" t="s">
        <v>90</v>
      </c>
      <c r="AN198" s="599" t="s">
        <v>90</v>
      </c>
      <c r="AO198" s="644"/>
      <c r="AQ198" s="659" t="s">
        <v>90</v>
      </c>
      <c r="AR198" s="599" t="s">
        <v>90</v>
      </c>
      <c r="AS198" s="644"/>
      <c r="AU198" s="686">
        <f>AU197</f>
        <v>77.386944999999997</v>
      </c>
      <c r="AV198" s="644"/>
      <c r="AW198" s="644"/>
      <c r="AY198" s="686">
        <f>AY197</f>
        <v>77.386944999999997</v>
      </c>
      <c r="AZ198" s="644"/>
      <c r="BC198" s="686">
        <f t="shared" si="298"/>
        <v>75.900000000000006</v>
      </c>
      <c r="BD198" s="644"/>
      <c r="BG198" s="686">
        <f>BG197</f>
        <v>76.408499999999989</v>
      </c>
      <c r="BH198" s="686"/>
      <c r="BI198" s="644"/>
    </row>
    <row r="199" spans="1:66" s="57" customFormat="1" outlineLevel="3">
      <c r="A199" s="569"/>
      <c r="B199" s="79"/>
      <c r="C199" s="669"/>
      <c r="D199" s="596"/>
      <c r="E199" s="597"/>
      <c r="F199" s="79"/>
      <c r="G199" s="669"/>
      <c r="H199" s="596"/>
      <c r="I199" s="597"/>
      <c r="J199" s="79"/>
      <c r="K199" s="669"/>
      <c r="L199" s="596"/>
      <c r="M199" s="597"/>
      <c r="N199" s="79"/>
      <c r="O199" s="669"/>
      <c r="P199" s="602"/>
      <c r="Q199" s="597"/>
      <c r="R199" s="79"/>
      <c r="S199" s="669"/>
      <c r="T199" s="602"/>
      <c r="U199" s="597"/>
      <c r="V199" s="79"/>
      <c r="W199" s="669"/>
      <c r="X199" s="602"/>
      <c r="Y199" s="602"/>
      <c r="Z199" s="79"/>
      <c r="AA199" s="669"/>
      <c r="AB199" s="602"/>
      <c r="AC199" s="602"/>
      <c r="AD199" s="79"/>
      <c r="AE199" s="658"/>
      <c r="AF199" s="602"/>
      <c r="AG199" s="602"/>
      <c r="AI199" s="659" t="s">
        <v>90</v>
      </c>
      <c r="AJ199" s="599" t="s">
        <v>90</v>
      </c>
      <c r="AK199" s="644"/>
      <c r="AM199" s="659" t="s">
        <v>90</v>
      </c>
      <c r="AN199" s="599" t="s">
        <v>90</v>
      </c>
      <c r="AO199" s="644"/>
      <c r="AQ199" s="659" t="s">
        <v>90</v>
      </c>
      <c r="AR199" s="599" t="s">
        <v>90</v>
      </c>
      <c r="AS199" s="644"/>
      <c r="AU199" s="686">
        <f>AU198</f>
        <v>77.386944999999997</v>
      </c>
      <c r="AV199" s="644"/>
      <c r="AW199" s="644"/>
      <c r="AY199" s="686">
        <f>AY198</f>
        <v>77.386944999999997</v>
      </c>
      <c r="AZ199" s="644"/>
      <c r="BC199" s="686">
        <f t="shared" si="298"/>
        <v>75.900000000000006</v>
      </c>
      <c r="BD199" s="644"/>
      <c r="BG199" s="686">
        <f>BG198</f>
        <v>76.408499999999989</v>
      </c>
      <c r="BH199" s="686"/>
      <c r="BI199" s="644"/>
    </row>
    <row r="200" spans="1:66" outlineLevel="1">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BN200" s="17">
        <f>0.41+0.11+0.23+1.51</f>
        <v>2.2599999999999998</v>
      </c>
    </row>
    <row r="201" spans="1:66" outlineLevel="1">
      <c r="A201" s="565" t="s">
        <v>378</v>
      </c>
      <c r="B201" s="566"/>
      <c r="C201" s="566"/>
      <c r="D201" s="566"/>
      <c r="E201" s="566"/>
      <c r="F201" s="566"/>
      <c r="G201" s="566"/>
      <c r="H201" s="566"/>
      <c r="I201" s="566"/>
      <c r="J201" s="566"/>
      <c r="K201" s="566"/>
      <c r="L201" s="566"/>
      <c r="M201" s="566"/>
      <c r="N201" s="566"/>
      <c r="O201" s="566"/>
      <c r="P201" s="566"/>
      <c r="Q201" s="566"/>
      <c r="R201" s="566"/>
      <c r="S201" s="566"/>
      <c r="T201" s="566"/>
      <c r="U201" s="566"/>
      <c r="V201" s="566"/>
      <c r="W201" s="566"/>
      <c r="X201" s="566"/>
      <c r="Y201" s="566"/>
      <c r="Z201" s="566"/>
      <c r="AA201" s="566"/>
      <c r="AB201" s="566"/>
      <c r="AC201" s="566"/>
      <c r="AD201" s="566"/>
      <c r="AE201" s="566"/>
      <c r="AF201" s="566"/>
      <c r="AG201" s="566"/>
      <c r="AH201" s="420"/>
      <c r="AI201" s="420"/>
      <c r="AJ201" s="420"/>
      <c r="AK201" s="420"/>
      <c r="AL201" s="420"/>
      <c r="AM201" s="420"/>
      <c r="AN201" s="420"/>
      <c r="AO201" s="420"/>
      <c r="AP201" s="420"/>
      <c r="AQ201" s="420"/>
      <c r="AR201" s="420"/>
      <c r="AS201" s="420"/>
      <c r="AT201" s="420"/>
      <c r="AU201" s="420"/>
      <c r="AV201" s="420"/>
      <c r="AW201" s="420"/>
      <c r="AX201" s="420"/>
      <c r="AY201" s="420"/>
      <c r="AZ201" s="420"/>
      <c r="BA201" s="420"/>
      <c r="BC201" s="420"/>
      <c r="BD201" s="420"/>
      <c r="BE201" s="420"/>
      <c r="BG201" s="420"/>
      <c r="BH201" s="420"/>
      <c r="BI201" s="420"/>
      <c r="BJ201" s="420"/>
    </row>
    <row r="202" spans="1:66" outlineLevel="1">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row>
    <row r="203" spans="1:66" outlineLevel="1">
      <c r="A203" s="569" t="s">
        <v>79</v>
      </c>
      <c r="B203" s="79"/>
      <c r="C203" s="683"/>
      <c r="D203" s="596"/>
      <c r="E203" s="597"/>
      <c r="F203" s="79"/>
      <c r="G203" s="683" t="s">
        <v>90</v>
      </c>
      <c r="H203" s="683"/>
      <c r="I203" s="597"/>
      <c r="J203" s="79"/>
      <c r="K203" s="683" t="s">
        <v>90</v>
      </c>
      <c r="L203" s="683"/>
      <c r="M203" s="597"/>
      <c r="N203" s="79"/>
      <c r="O203" s="683" t="s">
        <v>90</v>
      </c>
      <c r="P203" s="683"/>
      <c r="Q203" s="597"/>
      <c r="R203" s="79"/>
      <c r="S203" s="683" t="s">
        <v>90</v>
      </c>
      <c r="T203" s="683"/>
      <c r="U203" s="597"/>
      <c r="V203" s="79"/>
      <c r="W203" s="683" t="s">
        <v>90</v>
      </c>
      <c r="X203" s="683"/>
      <c r="Y203" s="602"/>
      <c r="Z203" s="79"/>
      <c r="AA203" s="683" t="s">
        <v>90</v>
      </c>
      <c r="AB203" s="683"/>
      <c r="AC203" s="602"/>
      <c r="AD203" s="79"/>
      <c r="AE203" s="658" t="s">
        <v>90</v>
      </c>
      <c r="AF203" s="683"/>
      <c r="AG203" s="602"/>
      <c r="AI203" s="659" t="s">
        <v>90</v>
      </c>
      <c r="AJ203" s="599" t="s">
        <v>90</v>
      </c>
      <c r="AK203" s="599"/>
      <c r="AM203" s="659" t="s">
        <v>90</v>
      </c>
      <c r="AN203" s="599" t="s">
        <v>90</v>
      </c>
      <c r="AO203" s="599"/>
      <c r="AQ203" s="659" t="s">
        <v>90</v>
      </c>
      <c r="AR203" s="599" t="s">
        <v>90</v>
      </c>
      <c r="AS203" s="599"/>
      <c r="AU203" s="684">
        <f>AY205</f>
        <v>73.632530000000003</v>
      </c>
      <c r="AV203" s="690"/>
      <c r="AW203" s="599"/>
      <c r="AY203" s="686">
        <f>AY205</f>
        <v>73.632530000000003</v>
      </c>
      <c r="AZ203" s="690"/>
      <c r="BC203" s="684">
        <f>AY206</f>
        <v>73.632530000000003</v>
      </c>
      <c r="BD203" s="690"/>
      <c r="BG203" s="684">
        <v>74.981999999999999</v>
      </c>
      <c r="BH203" s="684"/>
      <c r="BI203" s="690"/>
    </row>
    <row r="204" spans="1:66" outlineLevel="1">
      <c r="A204" s="569" t="s">
        <v>80</v>
      </c>
      <c r="B204" s="79"/>
      <c r="C204" s="683"/>
      <c r="D204" s="596"/>
      <c r="E204" s="597"/>
      <c r="F204" s="79"/>
      <c r="G204" s="683" t="s">
        <v>90</v>
      </c>
      <c r="H204" s="683"/>
      <c r="I204" s="597"/>
      <c r="J204" s="79"/>
      <c r="K204" s="683" t="s">
        <v>90</v>
      </c>
      <c r="L204" s="683"/>
      <c r="M204" s="597"/>
      <c r="N204" s="79"/>
      <c r="O204" s="683" t="s">
        <v>90</v>
      </c>
      <c r="P204" s="683"/>
      <c r="Q204" s="597"/>
      <c r="R204" s="79"/>
      <c r="S204" s="683" t="s">
        <v>90</v>
      </c>
      <c r="T204" s="683"/>
      <c r="U204" s="597"/>
      <c r="V204" s="79"/>
      <c r="W204" s="683" t="s">
        <v>90</v>
      </c>
      <c r="X204" s="683"/>
      <c r="Y204" s="602"/>
      <c r="Z204" s="79"/>
      <c r="AA204" s="683" t="s">
        <v>90</v>
      </c>
      <c r="AB204" s="683"/>
      <c r="AC204" s="602"/>
      <c r="AD204" s="79"/>
      <c r="AE204" s="658" t="s">
        <v>90</v>
      </c>
      <c r="AF204" s="683"/>
      <c r="AG204" s="602"/>
      <c r="AI204" s="659" t="s">
        <v>90</v>
      </c>
      <c r="AJ204" s="599" t="s">
        <v>90</v>
      </c>
      <c r="AK204" s="599"/>
      <c r="AM204" s="659" t="s">
        <v>90</v>
      </c>
      <c r="AN204" s="599" t="s">
        <v>90</v>
      </c>
      <c r="AO204" s="599"/>
      <c r="AQ204" s="659" t="s">
        <v>90</v>
      </c>
      <c r="AR204" s="599" t="s">
        <v>90</v>
      </c>
      <c r="AS204" s="599"/>
      <c r="AU204" s="684">
        <f>AY205</f>
        <v>73.632530000000003</v>
      </c>
      <c r="AV204" s="690"/>
      <c r="AW204" s="599"/>
      <c r="AY204" s="685">
        <v>72.900000000000006</v>
      </c>
      <c r="AZ204" s="690"/>
      <c r="BC204" s="685">
        <v>74</v>
      </c>
      <c r="BD204" s="690"/>
      <c r="BG204" s="684">
        <f>BC204+1</f>
        <v>75</v>
      </c>
      <c r="BH204" s="684"/>
      <c r="BI204" s="690"/>
    </row>
    <row r="205" spans="1:66" outlineLevel="1">
      <c r="A205" s="569" t="s">
        <v>81</v>
      </c>
      <c r="B205" s="79"/>
      <c r="C205" s="683"/>
      <c r="D205" s="596"/>
      <c r="E205" s="597"/>
      <c r="F205" s="79"/>
      <c r="G205" s="683" t="s">
        <v>90</v>
      </c>
      <c r="H205" s="683"/>
      <c r="I205" s="597"/>
      <c r="J205" s="79"/>
      <c r="K205" s="683" t="s">
        <v>90</v>
      </c>
      <c r="L205" s="683"/>
      <c r="M205" s="597"/>
      <c r="N205" s="79"/>
      <c r="O205" s="683" t="s">
        <v>90</v>
      </c>
      <c r="P205" s="683"/>
      <c r="Q205" s="597"/>
      <c r="R205" s="79"/>
      <c r="S205" s="683" t="s">
        <v>90</v>
      </c>
      <c r="T205" s="683"/>
      <c r="U205" s="597"/>
      <c r="V205" s="79"/>
      <c r="W205" s="683" t="s">
        <v>90</v>
      </c>
      <c r="X205" s="683"/>
      <c r="Y205" s="602"/>
      <c r="Z205" s="79"/>
      <c r="AA205" s="683" t="s">
        <v>90</v>
      </c>
      <c r="AB205" s="683"/>
      <c r="AC205" s="602"/>
      <c r="AD205" s="79"/>
      <c r="AE205" s="658" t="s">
        <v>90</v>
      </c>
      <c r="AF205" s="683"/>
      <c r="AG205" s="602"/>
      <c r="AI205" s="659" t="s">
        <v>90</v>
      </c>
      <c r="AJ205" s="599" t="s">
        <v>90</v>
      </c>
      <c r="AK205" s="599"/>
      <c r="AM205" s="659" t="s">
        <v>90</v>
      </c>
      <c r="AN205" s="599" t="s">
        <v>90</v>
      </c>
      <c r="AO205" s="599"/>
      <c r="AQ205" s="659" t="s">
        <v>90</v>
      </c>
      <c r="AR205" s="599" t="s">
        <v>90</v>
      </c>
      <c r="AS205" s="599"/>
      <c r="AU205" s="684">
        <f>AY205</f>
        <v>73.632530000000003</v>
      </c>
      <c r="AV205" s="690"/>
      <c r="AW205" s="599"/>
      <c r="AY205" s="685">
        <f>71.63253+2</f>
        <v>73.632530000000003</v>
      </c>
      <c r="AZ205" s="690"/>
      <c r="BC205" s="684">
        <v>74.589657000000003</v>
      </c>
      <c r="BD205" s="690"/>
      <c r="BG205" s="684">
        <f>BC205+1</f>
        <v>75.589657000000003</v>
      </c>
      <c r="BH205" s="684"/>
      <c r="BI205" s="690"/>
    </row>
    <row r="206" spans="1:66" outlineLevel="1">
      <c r="A206" s="569" t="s">
        <v>82</v>
      </c>
      <c r="B206" s="79"/>
      <c r="C206" s="681"/>
      <c r="D206" s="596"/>
      <c r="E206" s="597"/>
      <c r="F206" s="79"/>
      <c r="G206" s="681" t="s">
        <v>90</v>
      </c>
      <c r="H206" s="683"/>
      <c r="I206" s="597"/>
      <c r="J206" s="79"/>
      <c r="K206" s="681" t="s">
        <v>90</v>
      </c>
      <c r="L206" s="683"/>
      <c r="M206" s="597"/>
      <c r="N206" s="79"/>
      <c r="O206" s="681" t="s">
        <v>90</v>
      </c>
      <c r="P206" s="683"/>
      <c r="Q206" s="597"/>
      <c r="R206" s="79"/>
      <c r="S206" s="681" t="s">
        <v>90</v>
      </c>
      <c r="T206" s="683"/>
      <c r="U206" s="597"/>
      <c r="V206" s="79"/>
      <c r="W206" s="681" t="s">
        <v>90</v>
      </c>
      <c r="X206" s="683"/>
      <c r="Y206" s="602"/>
      <c r="Z206" s="79"/>
      <c r="AA206" s="681" t="s">
        <v>90</v>
      </c>
      <c r="AB206" s="683"/>
      <c r="AC206" s="602"/>
      <c r="AD206" s="79"/>
      <c r="AE206" s="665" t="s">
        <v>90</v>
      </c>
      <c r="AF206" s="683"/>
      <c r="AG206" s="602"/>
      <c r="AI206" s="666" t="s">
        <v>90</v>
      </c>
      <c r="AJ206" s="599" t="s">
        <v>90</v>
      </c>
      <c r="AK206" s="599"/>
      <c r="AM206" s="666" t="s">
        <v>90</v>
      </c>
      <c r="AN206" s="599" t="s">
        <v>90</v>
      </c>
      <c r="AO206" s="599"/>
      <c r="AQ206" s="666" t="s">
        <v>90</v>
      </c>
      <c r="AR206" s="599" t="s">
        <v>90</v>
      </c>
      <c r="AS206" s="599"/>
      <c r="AU206" s="688">
        <f>AY205</f>
        <v>73.632530000000003</v>
      </c>
      <c r="AV206" s="690"/>
      <c r="AW206" s="599"/>
      <c r="AY206" s="688">
        <f>AY205</f>
        <v>73.632530000000003</v>
      </c>
      <c r="AZ206" s="690"/>
      <c r="BC206" s="688">
        <f>BC205</f>
        <v>74.589657000000003</v>
      </c>
      <c r="BD206" s="690"/>
      <c r="BG206" s="688">
        <f>BC206+1</f>
        <v>75.589657000000003</v>
      </c>
      <c r="BH206" s="1203"/>
      <c r="BI206" s="690"/>
    </row>
    <row r="207" spans="1:66" outlineLevel="1">
      <c r="A207" s="569" t="s">
        <v>85</v>
      </c>
      <c r="B207" s="79"/>
      <c r="C207" s="689"/>
      <c r="D207" s="596"/>
      <c r="E207" s="597"/>
      <c r="F207" s="79"/>
      <c r="G207" s="682" t="s">
        <v>90</v>
      </c>
      <c r="H207" s="683"/>
      <c r="I207" s="597"/>
      <c r="J207" s="79"/>
      <c r="K207" s="682" t="s">
        <v>90</v>
      </c>
      <c r="L207" s="683"/>
      <c r="M207" s="597"/>
      <c r="N207" s="79"/>
      <c r="O207" s="682" t="s">
        <v>90</v>
      </c>
      <c r="P207" s="683"/>
      <c r="Q207" s="597"/>
      <c r="R207" s="79"/>
      <c r="S207" s="682" t="s">
        <v>90</v>
      </c>
      <c r="T207" s="683"/>
      <c r="U207" s="597"/>
      <c r="V207" s="79"/>
      <c r="W207" s="682" t="s">
        <v>90</v>
      </c>
      <c r="X207" s="683"/>
      <c r="Y207" s="602"/>
      <c r="Z207" s="79"/>
      <c r="AA207" s="682" t="s">
        <v>90</v>
      </c>
      <c r="AB207" s="683"/>
      <c r="AC207" s="602"/>
      <c r="AD207" s="79"/>
      <c r="AE207" s="658" t="s">
        <v>90</v>
      </c>
      <c r="AF207" s="683"/>
      <c r="AG207" s="602"/>
      <c r="AI207" s="659" t="s">
        <v>90</v>
      </c>
      <c r="AJ207" s="599" t="s">
        <v>90</v>
      </c>
      <c r="AK207" s="599"/>
      <c r="AM207" s="659" t="s">
        <v>90</v>
      </c>
      <c r="AN207" s="599" t="s">
        <v>90</v>
      </c>
      <c r="AO207" s="599"/>
      <c r="AQ207" s="659" t="s">
        <v>90</v>
      </c>
      <c r="AR207" s="599" t="s">
        <v>90</v>
      </c>
      <c r="AS207" s="599"/>
      <c r="AU207" s="684">
        <f>AU206</f>
        <v>73.632530000000003</v>
      </c>
      <c r="AV207" s="690"/>
      <c r="AW207" s="599"/>
      <c r="AY207" s="684">
        <f>AY206</f>
        <v>73.632530000000003</v>
      </c>
      <c r="AZ207" s="690"/>
      <c r="BC207" s="684">
        <f>BC206</f>
        <v>74.589657000000003</v>
      </c>
      <c r="BD207" s="690"/>
      <c r="BG207" s="684">
        <f>BG206</f>
        <v>75.589657000000003</v>
      </c>
      <c r="BH207" s="684"/>
      <c r="BI207" s="690"/>
    </row>
    <row r="208" spans="1:66" s="57" customFormat="1" hidden="1" outlineLevel="2">
      <c r="A208" s="569"/>
      <c r="B208" s="79"/>
      <c r="C208" s="669"/>
      <c r="D208" s="596"/>
      <c r="E208" s="597"/>
      <c r="F208" s="79"/>
      <c r="G208" s="669"/>
      <c r="H208" s="596"/>
      <c r="I208" s="597"/>
      <c r="J208" s="79"/>
      <c r="K208" s="669"/>
      <c r="L208" s="596"/>
      <c r="M208" s="597"/>
      <c r="N208" s="79"/>
      <c r="O208" s="669"/>
      <c r="P208" s="596"/>
      <c r="Q208" s="597"/>
      <c r="R208" s="79"/>
      <c r="S208" s="669"/>
      <c r="T208" s="596"/>
      <c r="U208" s="597"/>
      <c r="V208" s="79"/>
      <c r="W208" s="669"/>
      <c r="X208" s="602"/>
      <c r="Y208" s="602"/>
      <c r="Z208" s="79"/>
      <c r="AA208" s="669"/>
      <c r="AB208" s="602"/>
      <c r="AC208" s="602"/>
      <c r="AD208" s="79"/>
      <c r="AE208" s="658"/>
      <c r="AF208" s="602"/>
      <c r="AG208" s="602"/>
      <c r="AI208" s="659" t="s">
        <v>90</v>
      </c>
      <c r="AJ208" s="599" t="s">
        <v>90</v>
      </c>
      <c r="AK208" s="644"/>
      <c r="AM208" s="659" t="s">
        <v>90</v>
      </c>
      <c r="AN208" s="599" t="s">
        <v>90</v>
      </c>
      <c r="AO208" s="644"/>
      <c r="AQ208" s="659" t="s">
        <v>90</v>
      </c>
      <c r="AR208" s="599" t="s">
        <v>90</v>
      </c>
      <c r="AS208" s="644"/>
      <c r="AU208" s="686">
        <f>AU207</f>
        <v>73.632530000000003</v>
      </c>
      <c r="AV208" s="644"/>
      <c r="AW208" s="644"/>
      <c r="AY208" s="686">
        <f>AY207</f>
        <v>73.632530000000003</v>
      </c>
      <c r="AZ208" s="644"/>
      <c r="BC208" s="686">
        <f>BC207</f>
        <v>74.589657000000003</v>
      </c>
      <c r="BD208" s="644"/>
      <c r="BG208" s="686">
        <f>BG207</f>
        <v>75.589657000000003</v>
      </c>
      <c r="BH208" s="686"/>
      <c r="BI208" s="644"/>
    </row>
    <row r="209" spans="1:65" s="57" customFormat="1" hidden="1" outlineLevel="2">
      <c r="A209" s="569"/>
      <c r="B209" s="79"/>
      <c r="C209" s="669"/>
      <c r="D209" s="596"/>
      <c r="E209" s="597"/>
      <c r="F209" s="79"/>
      <c r="G209" s="669"/>
      <c r="H209" s="596"/>
      <c r="I209" s="597"/>
      <c r="J209" s="79"/>
      <c r="K209" s="669"/>
      <c r="L209" s="596"/>
      <c r="M209" s="597"/>
      <c r="N209" s="79"/>
      <c r="O209" s="669"/>
      <c r="P209" s="596"/>
      <c r="Q209" s="597"/>
      <c r="R209" s="79"/>
      <c r="S209" s="669"/>
      <c r="T209" s="596"/>
      <c r="U209" s="597"/>
      <c r="V209" s="79"/>
      <c r="W209" s="669"/>
      <c r="X209" s="602"/>
      <c r="Y209" s="602"/>
      <c r="Z209" s="79"/>
      <c r="AA209" s="669"/>
      <c r="AB209" s="602"/>
      <c r="AC209" s="602"/>
      <c r="AD209" s="79"/>
      <c r="AE209" s="658"/>
      <c r="AF209" s="602"/>
      <c r="AG209" s="602"/>
      <c r="AI209" s="659" t="s">
        <v>90</v>
      </c>
      <c r="AJ209" s="599" t="s">
        <v>90</v>
      </c>
      <c r="AK209" s="644"/>
      <c r="AM209" s="659" t="s">
        <v>90</v>
      </c>
      <c r="AN209" s="599" t="s">
        <v>90</v>
      </c>
      <c r="AO209" s="644"/>
      <c r="AQ209" s="659" t="s">
        <v>90</v>
      </c>
      <c r="AR209" s="599" t="s">
        <v>90</v>
      </c>
      <c r="AS209" s="644"/>
      <c r="AU209" s="686">
        <f>AU208</f>
        <v>73.632530000000003</v>
      </c>
      <c r="AV209" s="644"/>
      <c r="AW209" s="644"/>
      <c r="AY209" s="686">
        <f>AY208</f>
        <v>73.632530000000003</v>
      </c>
      <c r="AZ209" s="644"/>
      <c r="BC209" s="686">
        <f>BC208</f>
        <v>74.589657000000003</v>
      </c>
      <c r="BD209" s="644"/>
      <c r="BG209" s="686">
        <f>BG208</f>
        <v>75.589657000000003</v>
      </c>
      <c r="BH209" s="686"/>
      <c r="BI209" s="644"/>
    </row>
    <row r="210" spans="1:65" s="57" customFormat="1" outlineLevel="1" collapsed="1">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row>
    <row r="211" spans="1:65" outlineLevel="2">
      <c r="A211" s="565" t="s">
        <v>609</v>
      </c>
      <c r="B211" s="566"/>
      <c r="C211" s="566"/>
      <c r="D211" s="566"/>
      <c r="E211" s="566"/>
      <c r="F211" s="566"/>
      <c r="G211" s="566"/>
      <c r="H211" s="566"/>
      <c r="I211" s="566"/>
      <c r="J211" s="566"/>
      <c r="K211" s="566"/>
      <c r="L211" s="566"/>
      <c r="M211" s="566"/>
      <c r="N211" s="566"/>
      <c r="O211" s="566"/>
      <c r="P211" s="566"/>
      <c r="Q211" s="566"/>
      <c r="R211" s="566"/>
      <c r="S211" s="566"/>
      <c r="T211" s="566"/>
      <c r="U211" s="566"/>
      <c r="V211" s="566"/>
      <c r="W211" s="566"/>
      <c r="X211" s="566"/>
      <c r="Y211" s="566"/>
      <c r="Z211" s="566"/>
      <c r="AA211" s="566"/>
      <c r="AB211" s="566"/>
      <c r="AC211" s="566"/>
      <c r="AD211" s="566"/>
      <c r="AE211" s="566"/>
      <c r="AF211" s="566"/>
      <c r="AG211" s="566"/>
      <c r="AH211" s="420"/>
      <c r="AI211" s="420"/>
      <c r="AJ211" s="420"/>
      <c r="AK211" s="420"/>
      <c r="AL211" s="420"/>
      <c r="AM211" s="420"/>
      <c r="AN211" s="420"/>
      <c r="AO211" s="420"/>
      <c r="AP211" s="420"/>
      <c r="AQ211" s="420"/>
      <c r="AR211" s="420"/>
      <c r="AS211" s="420"/>
      <c r="AT211" s="420"/>
      <c r="AU211" s="420"/>
      <c r="AV211" s="420"/>
      <c r="AW211" s="420"/>
      <c r="AX211" s="420"/>
      <c r="AY211" s="420"/>
      <c r="AZ211" s="420"/>
      <c r="BA211" s="420"/>
      <c r="BB211" s="420"/>
      <c r="BC211" s="420"/>
      <c r="BD211" s="420"/>
      <c r="BE211" s="420"/>
      <c r="BF211" s="420"/>
      <c r="BG211" s="420"/>
      <c r="BH211" s="420"/>
      <c r="BI211" s="420"/>
      <c r="BJ211" s="420"/>
      <c r="BK211" s="420"/>
    </row>
    <row r="212" spans="1:65" outlineLevel="2">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BH212" s="421"/>
      <c r="BI212" s="702" t="s">
        <v>839</v>
      </c>
      <c r="BJ212" s="514" t="s">
        <v>840</v>
      </c>
      <c r="BK212" s="514"/>
      <c r="BL212" s="514"/>
      <c r="BM212" s="700" t="s">
        <v>841</v>
      </c>
    </row>
    <row r="213" spans="1:65" outlineLevel="2">
      <c r="A213" s="569" t="s">
        <v>79</v>
      </c>
      <c r="B213" s="79"/>
      <c r="C213" s="683">
        <v>44.406056999999997</v>
      </c>
      <c r="D213" s="596"/>
      <c r="E213" s="597"/>
      <c r="F213" s="79"/>
      <c r="G213" s="683">
        <f>44.482687</f>
        <v>44.482686999999999</v>
      </c>
      <c r="H213" s="596"/>
      <c r="I213" s="597"/>
      <c r="J213" s="79"/>
      <c r="K213" s="683">
        <v>44.547424999999997</v>
      </c>
      <c r="L213" s="596"/>
      <c r="M213" s="597"/>
      <c r="N213" s="79"/>
      <c r="O213" s="683">
        <v>44.635846999999998</v>
      </c>
      <c r="P213" s="596"/>
      <c r="Q213" s="597"/>
      <c r="R213" s="79"/>
      <c r="S213" s="683">
        <v>44.772804999999998</v>
      </c>
      <c r="T213" s="602"/>
      <c r="U213" s="597"/>
      <c r="V213" s="79"/>
      <c r="W213" s="683" t="s">
        <v>90</v>
      </c>
      <c r="X213" s="683"/>
      <c r="Y213" s="602"/>
      <c r="Z213" s="79"/>
      <c r="AA213" s="683" t="s">
        <v>90</v>
      </c>
      <c r="AB213" s="683"/>
      <c r="AC213" s="602"/>
      <c r="AD213" s="79"/>
      <c r="AE213" s="658" t="s">
        <v>90</v>
      </c>
      <c r="AF213" s="683"/>
      <c r="AG213" s="602"/>
      <c r="AI213" s="659" t="s">
        <v>90</v>
      </c>
      <c r="AJ213" s="690"/>
      <c r="AK213" s="599"/>
      <c r="AM213" s="659" t="s">
        <v>90</v>
      </c>
      <c r="AN213" s="690"/>
      <c r="AO213" s="599"/>
      <c r="AQ213" s="659" t="s">
        <v>90</v>
      </c>
      <c r="AR213" s="690"/>
      <c r="AS213" s="599"/>
      <c r="AU213" s="659">
        <f>AU214-0.5</f>
        <v>70.633025000000004</v>
      </c>
      <c r="AV213" s="690"/>
      <c r="AW213" s="599"/>
      <c r="AY213" s="691">
        <v>72.400000000000006</v>
      </c>
      <c r="AZ213" s="690"/>
      <c r="BC213" s="691">
        <v>75.5</v>
      </c>
      <c r="BD213" s="690"/>
      <c r="BG213" s="691">
        <v>76.5</v>
      </c>
      <c r="BH213" s="1204"/>
      <c r="BI213" s="1207"/>
      <c r="BJ213" s="421"/>
      <c r="BK213" s="421"/>
      <c r="BL213" s="421"/>
      <c r="BM213" s="435"/>
    </row>
    <row r="214" spans="1:65" outlineLevel="2">
      <c r="A214" s="569" t="s">
        <v>80</v>
      </c>
      <c r="B214" s="79"/>
      <c r="C214" s="683">
        <v>44.401770999999997</v>
      </c>
      <c r="D214" s="596"/>
      <c r="E214" s="597"/>
      <c r="F214" s="79"/>
      <c r="G214" s="683">
        <v>44.487465</v>
      </c>
      <c r="H214" s="596"/>
      <c r="I214" s="597"/>
      <c r="J214" s="79"/>
      <c r="K214" s="683">
        <v>44.562907000000003</v>
      </c>
      <c r="L214" s="596"/>
      <c r="M214" s="597"/>
      <c r="N214" s="79"/>
      <c r="O214" s="683">
        <v>44.752651999999998</v>
      </c>
      <c r="P214" s="596"/>
      <c r="Q214" s="597"/>
      <c r="R214" s="79"/>
      <c r="S214" s="683">
        <v>44.950161000000001</v>
      </c>
      <c r="T214" s="602"/>
      <c r="U214" s="597"/>
      <c r="V214" s="79"/>
      <c r="W214" s="683" t="s">
        <v>90</v>
      </c>
      <c r="X214" s="683"/>
      <c r="Y214" s="602"/>
      <c r="Z214" s="79"/>
      <c r="AA214" s="683" t="s">
        <v>90</v>
      </c>
      <c r="AB214" s="683"/>
      <c r="AC214" s="602"/>
      <c r="AD214" s="79"/>
      <c r="AE214" s="658" t="s">
        <v>90</v>
      </c>
      <c r="AF214" s="683"/>
      <c r="AG214" s="602"/>
      <c r="AI214" s="659" t="s">
        <v>90</v>
      </c>
      <c r="AJ214" s="690"/>
      <c r="AK214" s="599"/>
      <c r="AM214" s="659" t="s">
        <v>90</v>
      </c>
      <c r="AN214" s="690"/>
      <c r="AO214" s="599"/>
      <c r="AQ214" s="659" t="s">
        <v>90</v>
      </c>
      <c r="AR214" s="690"/>
      <c r="AS214" s="599"/>
      <c r="AU214" s="659">
        <f>AU215-0.5</f>
        <v>71.133025000000004</v>
      </c>
      <c r="AV214" s="690"/>
      <c r="AW214" s="599"/>
      <c r="AY214" s="691">
        <v>73.7</v>
      </c>
      <c r="AZ214" s="690"/>
      <c r="BC214" s="659">
        <f>BC213</f>
        <v>75.5</v>
      </c>
      <c r="BD214" s="690"/>
      <c r="BG214" s="659">
        <v>76.510999999999996</v>
      </c>
      <c r="BH214" s="1205"/>
      <c r="BI214" s="1207">
        <v>0.45</v>
      </c>
      <c r="BJ214" s="421">
        <v>25</v>
      </c>
      <c r="BK214" s="421"/>
      <c r="BL214" s="421"/>
      <c r="BM214" s="1208">
        <f>BJ214/BI214</f>
        <v>55.555555555555557</v>
      </c>
    </row>
    <row r="215" spans="1:65" outlineLevel="2">
      <c r="A215" s="569" t="s">
        <v>81</v>
      </c>
      <c r="B215" s="79"/>
      <c r="C215" s="683">
        <v>44.405824000000003</v>
      </c>
      <c r="D215" s="596"/>
      <c r="E215" s="597"/>
      <c r="F215" s="79"/>
      <c r="G215" s="683">
        <v>44.495421</v>
      </c>
      <c r="H215" s="596"/>
      <c r="I215" s="597"/>
      <c r="J215" s="79"/>
      <c r="K215" s="683">
        <v>44.586444999999998</v>
      </c>
      <c r="L215" s="596"/>
      <c r="M215" s="597"/>
      <c r="N215" s="79"/>
      <c r="O215" s="683">
        <v>44.679698999999999</v>
      </c>
      <c r="P215" s="596"/>
      <c r="Q215" s="597"/>
      <c r="R215" s="79"/>
      <c r="S215" s="683">
        <v>44.774850000000001</v>
      </c>
      <c r="T215" s="602"/>
      <c r="U215" s="597"/>
      <c r="V215" s="79"/>
      <c r="W215" s="683" t="s">
        <v>90</v>
      </c>
      <c r="X215" s="683"/>
      <c r="Y215" s="602"/>
      <c r="Z215" s="79"/>
      <c r="AA215" s="683" t="s">
        <v>90</v>
      </c>
      <c r="AB215" s="683"/>
      <c r="AC215" s="602"/>
      <c r="AD215" s="79"/>
      <c r="AE215" s="658" t="s">
        <v>90</v>
      </c>
      <c r="AF215" s="683"/>
      <c r="AG215" s="602"/>
      <c r="AI215" s="659" t="s">
        <v>90</v>
      </c>
      <c r="AJ215" s="690"/>
      <c r="AK215" s="599"/>
      <c r="AM215" s="659" t="s">
        <v>90</v>
      </c>
      <c r="AN215" s="690"/>
      <c r="AO215" s="599"/>
      <c r="AQ215" s="659" t="s">
        <v>90</v>
      </c>
      <c r="AR215" s="690"/>
      <c r="AS215" s="599"/>
      <c r="AU215" s="691">
        <v>71.633025000000004</v>
      </c>
      <c r="AV215" s="690"/>
      <c r="AW215" s="599"/>
      <c r="AY215" s="691">
        <v>73.565011999999996</v>
      </c>
      <c r="AZ215" s="690"/>
      <c r="BC215" s="659">
        <f>BC214</f>
        <v>75.5</v>
      </c>
      <c r="BD215" s="690"/>
      <c r="BG215" s="659">
        <f>BG214-0.2</f>
        <v>76.310999999999993</v>
      </c>
      <c r="BH215" s="1205"/>
      <c r="BI215" s="1207">
        <f>BG214-BG215</f>
        <v>0.20000000000000284</v>
      </c>
      <c r="BJ215" s="421">
        <f>BI215*BM215</f>
        <v>11.111111111111269</v>
      </c>
      <c r="BK215" s="421"/>
      <c r="BL215" s="421"/>
      <c r="BM215" s="1208">
        <f>BM214</f>
        <v>55.555555555555557</v>
      </c>
    </row>
    <row r="216" spans="1:65" outlineLevel="2">
      <c r="A216" s="569" t="s">
        <v>82</v>
      </c>
      <c r="B216" s="79"/>
      <c r="C216" s="681">
        <v>44.454090999999998</v>
      </c>
      <c r="D216" s="596"/>
      <c r="E216" s="597"/>
      <c r="F216" s="79"/>
      <c r="G216" s="681">
        <v>44.485075999999999</v>
      </c>
      <c r="H216" s="596"/>
      <c r="I216" s="597"/>
      <c r="J216" s="79"/>
      <c r="K216" s="681">
        <v>44.635589000000003</v>
      </c>
      <c r="L216" s="596"/>
      <c r="M216" s="597"/>
      <c r="N216" s="79"/>
      <c r="O216" s="681">
        <v>44.752792999999997</v>
      </c>
      <c r="P216" s="596"/>
      <c r="Q216" s="597"/>
      <c r="R216" s="79"/>
      <c r="S216" s="681" t="s">
        <v>90</v>
      </c>
      <c r="T216" s="681"/>
      <c r="U216" s="597"/>
      <c r="V216" s="79"/>
      <c r="W216" s="681" t="s">
        <v>90</v>
      </c>
      <c r="X216" s="683"/>
      <c r="Y216" s="602"/>
      <c r="Z216" s="79"/>
      <c r="AA216" s="681" t="s">
        <v>90</v>
      </c>
      <c r="AB216" s="683"/>
      <c r="AC216" s="602"/>
      <c r="AD216" s="79"/>
      <c r="AE216" s="665" t="s">
        <v>90</v>
      </c>
      <c r="AF216" s="683"/>
      <c r="AG216" s="602"/>
      <c r="AI216" s="666" t="s">
        <v>90</v>
      </c>
      <c r="AJ216" s="690"/>
      <c r="AK216" s="599"/>
      <c r="AM216" s="666" t="s">
        <v>90</v>
      </c>
      <c r="AN216" s="690"/>
      <c r="AO216" s="599"/>
      <c r="AQ216" s="666" t="s">
        <v>90</v>
      </c>
      <c r="AR216" s="690"/>
      <c r="AS216" s="599"/>
      <c r="AU216" s="666">
        <f>AU215+1</f>
        <v>72.633025000000004</v>
      </c>
      <c r="AV216" s="690"/>
      <c r="AW216" s="599"/>
      <c r="AY216" s="692">
        <v>75.448762000000002</v>
      </c>
      <c r="AZ216" s="690"/>
      <c r="BC216" s="821">
        <v>76.28</v>
      </c>
      <c r="BD216" s="690"/>
      <c r="BG216" s="666">
        <f>BG196</f>
        <v>76.310999999999993</v>
      </c>
      <c r="BH216" s="1205"/>
      <c r="BI216" s="1209">
        <f>BG215-BG216</f>
        <v>0</v>
      </c>
      <c r="BJ216" s="18">
        <f>BI216*BM216</f>
        <v>0</v>
      </c>
      <c r="BK216" s="18"/>
      <c r="BL216" s="18"/>
      <c r="BM216" s="1210">
        <f>BM215</f>
        <v>55.555555555555557</v>
      </c>
    </row>
    <row r="217" spans="1:65" outlineLevel="2">
      <c r="A217" s="569" t="s">
        <v>85</v>
      </c>
      <c r="B217" s="79"/>
      <c r="C217" s="689">
        <v>44.418289999999999</v>
      </c>
      <c r="D217" s="596"/>
      <c r="E217" s="597"/>
      <c r="F217" s="79"/>
      <c r="G217" s="682">
        <v>44.476084999999998</v>
      </c>
      <c r="H217" s="596"/>
      <c r="I217" s="597"/>
      <c r="J217" s="79"/>
      <c r="K217" s="682">
        <v>44.583092000000001</v>
      </c>
      <c r="L217" s="596"/>
      <c r="M217" s="597"/>
      <c r="N217" s="79"/>
      <c r="O217" s="682">
        <v>44.678787999999997</v>
      </c>
      <c r="P217" s="596"/>
      <c r="Q217" s="597"/>
      <c r="R217" s="79"/>
      <c r="S217" s="682" t="s">
        <v>90</v>
      </c>
      <c r="T217" s="682"/>
      <c r="U217" s="597"/>
      <c r="V217" s="79"/>
      <c r="W217" s="682" t="s">
        <v>90</v>
      </c>
      <c r="X217" s="683"/>
      <c r="Y217" s="602"/>
      <c r="Z217" s="79"/>
      <c r="AA217" s="682" t="s">
        <v>90</v>
      </c>
      <c r="AB217" s="683"/>
      <c r="AC217" s="602"/>
      <c r="AD217" s="79"/>
      <c r="AE217" s="658" t="s">
        <v>90</v>
      </c>
      <c r="AF217" s="683"/>
      <c r="AG217" s="602"/>
      <c r="AI217" s="659" t="s">
        <v>90</v>
      </c>
      <c r="AJ217" s="690"/>
      <c r="AK217" s="599"/>
      <c r="AM217" s="659" t="s">
        <v>90</v>
      </c>
      <c r="AN217" s="690"/>
      <c r="AO217" s="599"/>
      <c r="AQ217" s="659" t="s">
        <v>90</v>
      </c>
      <c r="AR217" s="690"/>
      <c r="AS217" s="599"/>
      <c r="AU217" s="659">
        <f>AVERAGE(AU213:AU216)</f>
        <v>71.508025000000004</v>
      </c>
      <c r="AV217" s="690"/>
      <c r="AW217" s="599"/>
      <c r="AY217" s="691">
        <v>74.258713999999998</v>
      </c>
      <c r="AZ217" s="690"/>
      <c r="BC217" s="659">
        <v>75.864999999999995</v>
      </c>
      <c r="BD217" s="690"/>
      <c r="BG217" s="659">
        <f>AVERAGE(BG213:BG216)</f>
        <v>76.408249999999995</v>
      </c>
      <c r="BH217" s="1205"/>
      <c r="BI217" s="1209"/>
      <c r="BJ217" s="18">
        <f>SUM(BJ213:BJ216)</f>
        <v>36.111111111111271</v>
      </c>
      <c r="BK217" s="18"/>
      <c r="BL217" s="18"/>
      <c r="BM217" s="701"/>
    </row>
    <row r="218" spans="1:65" s="57" customFormat="1" outlineLevel="3">
      <c r="A218" s="569"/>
      <c r="B218" s="79"/>
      <c r="C218" s="669"/>
      <c r="D218" s="596"/>
      <c r="E218" s="597"/>
      <c r="F218" s="79"/>
      <c r="G218" s="669"/>
      <c r="H218" s="596"/>
      <c r="I218" s="597"/>
      <c r="J218" s="79"/>
      <c r="K218" s="669"/>
      <c r="L218" s="596"/>
      <c r="M218" s="597"/>
      <c r="N218" s="79"/>
      <c r="O218" s="669"/>
      <c r="P218" s="596"/>
      <c r="Q218" s="597"/>
      <c r="R218" s="79"/>
      <c r="S218" s="669"/>
      <c r="T218" s="602"/>
      <c r="U218" s="597"/>
      <c r="V218" s="79"/>
      <c r="W218" s="669"/>
      <c r="X218" s="602"/>
      <c r="Y218" s="602"/>
      <c r="Z218" s="79"/>
      <c r="AA218" s="669"/>
      <c r="AB218" s="602"/>
      <c r="AC218" s="602"/>
      <c r="AD218" s="79"/>
      <c r="AE218" s="658"/>
      <c r="AF218" s="602"/>
      <c r="AG218" s="602"/>
      <c r="AI218" s="693"/>
      <c r="AJ218" s="644"/>
      <c r="AK218" s="644"/>
      <c r="AM218" s="693"/>
      <c r="AN218" s="644"/>
      <c r="AO218" s="644"/>
      <c r="AQ218" s="693"/>
      <c r="AR218" s="644"/>
      <c r="AS218" s="644"/>
      <c r="AU218" s="693"/>
      <c r="AV218" s="644"/>
      <c r="AW218" s="644"/>
      <c r="AY218" s="693"/>
      <c r="AZ218" s="644"/>
      <c r="BC218" s="693"/>
      <c r="BD218" s="644"/>
      <c r="BG218" s="693"/>
      <c r="BH218" s="1206"/>
      <c r="BI218" s="644"/>
    </row>
    <row r="219" spans="1:65" s="57" customFormat="1" outlineLevel="3">
      <c r="A219" s="569"/>
      <c r="B219" s="79"/>
      <c r="C219" s="669"/>
      <c r="D219" s="596"/>
      <c r="E219" s="597"/>
      <c r="F219" s="79"/>
      <c r="G219" s="669"/>
      <c r="H219" s="596"/>
      <c r="I219" s="597"/>
      <c r="J219" s="79"/>
      <c r="K219" s="669"/>
      <c r="L219" s="596"/>
      <c r="M219" s="597"/>
      <c r="N219" s="79"/>
      <c r="O219" s="669"/>
      <c r="P219" s="596"/>
      <c r="Q219" s="597"/>
      <c r="R219" s="79"/>
      <c r="S219" s="669"/>
      <c r="T219" s="602"/>
      <c r="U219" s="597"/>
      <c r="V219" s="79"/>
      <c r="W219" s="669"/>
      <c r="X219" s="602"/>
      <c r="Y219" s="602"/>
      <c r="Z219" s="79"/>
      <c r="AA219" s="669"/>
      <c r="AB219" s="602"/>
      <c r="AC219" s="602"/>
      <c r="AD219" s="79"/>
      <c r="AE219" s="658"/>
      <c r="AF219" s="602"/>
      <c r="AG219" s="602"/>
      <c r="AI219" s="693"/>
      <c r="AJ219" s="644"/>
      <c r="AK219" s="644"/>
      <c r="AM219" s="693"/>
      <c r="AN219" s="644"/>
      <c r="AO219" s="644"/>
      <c r="AQ219" s="693"/>
      <c r="AR219" s="644"/>
      <c r="AS219" s="644"/>
      <c r="AU219" s="693">
        <f>AVERAGE(AU213:AU216)</f>
        <v>71.508025000000004</v>
      </c>
      <c r="AV219" s="644"/>
      <c r="AW219" s="644"/>
      <c r="AY219" s="693">
        <f>AVERAGE(AY213:AY216)</f>
        <v>73.778443500000009</v>
      </c>
      <c r="AZ219" s="644"/>
      <c r="BC219" s="693">
        <f>AVERAGE(BC213:BC216)</f>
        <v>75.694999999999993</v>
      </c>
      <c r="BD219" s="644"/>
      <c r="BG219" s="693"/>
      <c r="BH219" s="1206"/>
      <c r="BI219" s="644"/>
    </row>
    <row r="220" spans="1:65" outlineLevel="1">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row>
    <row r="221" spans="1:65">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row>
    <row r="222" spans="1:65">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Q222" s="556"/>
      <c r="AU222" s="556"/>
      <c r="AW222" s="496"/>
      <c r="AY222" s="556"/>
      <c r="BA222" s="496"/>
      <c r="BC222" s="556"/>
      <c r="BG222" s="556"/>
      <c r="BH222" s="556"/>
    </row>
    <row r="223" spans="1:65">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U223" s="556"/>
      <c r="AW223" s="496"/>
      <c r="AY223" s="556"/>
      <c r="BA223" s="496"/>
    </row>
    <row r="224" spans="1:65">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row>
    <row r="225" spans="1:47">
      <c r="A225" s="530" t="s">
        <v>78</v>
      </c>
    </row>
    <row r="226" spans="1:47">
      <c r="A226" s="530"/>
    </row>
    <row r="227" spans="1:47">
      <c r="A227" s="694" t="s">
        <v>351</v>
      </c>
    </row>
    <row r="228" spans="1:47" ht="4.5" customHeight="1">
      <c r="A228" s="694"/>
    </row>
    <row r="229" spans="1:47">
      <c r="A229" s="1" t="s">
        <v>352</v>
      </c>
    </row>
    <row r="230" spans="1:47" ht="4.5" customHeight="1"/>
    <row r="231" spans="1:47">
      <c r="A231" s="530" t="s">
        <v>409</v>
      </c>
    </row>
    <row r="232" spans="1:47" ht="4.5" customHeight="1">
      <c r="A232" s="530"/>
    </row>
    <row r="233" spans="1:47">
      <c r="A233" s="530" t="s">
        <v>410</v>
      </c>
    </row>
    <row r="234" spans="1:47" ht="4.5" customHeight="1">
      <c r="A234" s="530"/>
    </row>
    <row r="235" spans="1:47">
      <c r="A235" s="530" t="s">
        <v>408</v>
      </c>
    </row>
    <row r="236" spans="1:47" ht="4.5" customHeight="1">
      <c r="A236" s="530"/>
    </row>
    <row r="237" spans="1:47">
      <c r="A237" s="17" t="s">
        <v>402</v>
      </c>
      <c r="AI237" s="559"/>
      <c r="AM237" s="559"/>
      <c r="AQ237" s="559"/>
      <c r="AU237" s="559"/>
    </row>
    <row r="238" spans="1:47" ht="4.5" customHeight="1">
      <c r="AI238" s="559"/>
      <c r="AM238" s="559"/>
      <c r="AQ238" s="559"/>
      <c r="AU238" s="559"/>
    </row>
    <row r="239" spans="1:47">
      <c r="A239" s="17" t="s">
        <v>403</v>
      </c>
      <c r="AI239" s="559"/>
      <c r="AM239" s="559"/>
      <c r="AQ239" s="559"/>
      <c r="AU239" s="559"/>
    </row>
    <row r="240" spans="1:47" ht="4.5" customHeight="1"/>
    <row r="241" spans="1:47">
      <c r="A241" s="17" t="s">
        <v>404</v>
      </c>
      <c r="AI241" s="559"/>
      <c r="AM241" s="559"/>
      <c r="AQ241" s="559"/>
      <c r="AU241" s="559"/>
    </row>
    <row r="242" spans="1:47" ht="4.5" customHeight="1"/>
    <row r="243" spans="1:47">
      <c r="A243" s="17" t="s">
        <v>407</v>
      </c>
    </row>
    <row r="244" spans="1:47" ht="4.5" customHeight="1"/>
    <row r="245" spans="1:47">
      <c r="A245" s="17" t="s">
        <v>406</v>
      </c>
    </row>
    <row r="246" spans="1:47" ht="4.5" customHeight="1"/>
    <row r="247" spans="1:47">
      <c r="A247" s="17" t="s">
        <v>405</v>
      </c>
    </row>
    <row r="248" spans="1:47" ht="4.5" customHeight="1"/>
    <row r="249" spans="1:47" ht="12" customHeight="1">
      <c r="A249" s="17" t="s">
        <v>362</v>
      </c>
    </row>
    <row r="250" spans="1:47" ht="4.5" customHeight="1">
      <c r="A250" s="695"/>
    </row>
    <row r="251" spans="1:47" hidden="1"/>
  </sheetData>
  <phoneticPr fontId="11" type="noConversion"/>
  <printOptions horizontalCentered="1" verticalCentered="1"/>
  <pageMargins left="0.25" right="0.25" top="0.25" bottom="0.25" header="0.25" footer="0.25"/>
  <pageSetup scale="68" fitToHeight="3" orientation="landscape" r:id="rId1"/>
  <headerFooter alignWithMargins="0"/>
  <rowBreaks count="2" manualBreakCount="2">
    <brk id="119" max="62" man="1"/>
    <brk id="159" max="6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CX132"/>
  <sheetViews>
    <sheetView topLeftCell="A7" zoomScale="85" zoomScaleNormal="85" workbookViewId="0">
      <pane xSplit="1" topLeftCell="BF1" activePane="topRight" state="frozen"/>
      <selection activeCell="S79" sqref="S79"/>
      <selection pane="topRight" activeCell="AA59" sqref="AA59"/>
    </sheetView>
  </sheetViews>
  <sheetFormatPr defaultRowHeight="12.75" outlineLevelRow="2" outlineLevelCol="3"/>
  <cols>
    <col min="1" max="1" width="41.5703125" style="1282" customWidth="1"/>
    <col min="2" max="2" width="1" style="1282" hidden="1" customWidth="1" outlineLevel="1"/>
    <col min="3" max="6" width="7" style="1282" hidden="1" customWidth="1" outlineLevel="3"/>
    <col min="7" max="7" width="1" style="1282" hidden="1" customWidth="1" outlineLevel="3"/>
    <col min="8" max="11" width="7" style="1282" hidden="1" customWidth="1" outlineLevel="3"/>
    <col min="12" max="12" width="1" style="1282" hidden="1" customWidth="1" outlineLevel="3"/>
    <col min="13" max="16" width="7" style="1282" hidden="1" customWidth="1" outlineLevel="3"/>
    <col min="17" max="17" width="1" style="1282" hidden="1" customWidth="1" outlineLevel="3"/>
    <col min="18" max="21" width="7" style="1282" hidden="1" customWidth="1" outlineLevel="3"/>
    <col min="22" max="22" width="1.85546875" style="1282" hidden="1" customWidth="1" outlineLevel="1"/>
    <col min="23" max="24" width="9.7109375" style="1282" hidden="1" customWidth="1" outlineLevel="1"/>
    <col min="25" max="25" width="9" style="1282" hidden="1" customWidth="1" outlineLevel="1"/>
    <col min="26" max="26" width="10" style="1282" hidden="1" customWidth="1" outlineLevel="1"/>
    <col min="27" max="27" width="1" style="1282" hidden="1" customWidth="1" outlineLevel="1"/>
    <col min="28" max="28" width="9" style="1282" hidden="1" customWidth="1" outlineLevel="1" collapsed="1"/>
    <col min="29" max="29" width="9.7109375" style="1282" hidden="1" customWidth="1" outlineLevel="1"/>
    <col min="30" max="31" width="10" style="1282" hidden="1" customWidth="1" outlineLevel="1"/>
    <col min="32" max="32" width="1" style="1282" hidden="1" customWidth="1" outlineLevel="1"/>
    <col min="33" max="33" width="8.5703125" style="1282" hidden="1" customWidth="1" outlineLevel="1" collapsed="1"/>
    <col min="34" max="34" width="9.7109375" style="1282" hidden="1" customWidth="1" outlineLevel="1"/>
    <col min="35" max="35" width="9" style="1282" hidden="1" customWidth="1" outlineLevel="1"/>
    <col min="36" max="36" width="10" style="1282" hidden="1" customWidth="1" outlineLevel="1"/>
    <col min="37" max="37" width="1" style="1282" hidden="1" customWidth="1" outlineLevel="1"/>
    <col min="38" max="38" width="9" style="1282" hidden="1" customWidth="1" outlineLevel="1"/>
    <col min="39" max="39" width="10.5703125" style="1282" hidden="1" customWidth="1" outlineLevel="1"/>
    <col min="40" max="40" width="8.140625" style="1282" hidden="1" customWidth="1" outlineLevel="1"/>
    <col min="41" max="41" width="9.5703125" style="1282" hidden="1" customWidth="1" outlineLevel="1"/>
    <col min="42" max="42" width="1.140625" style="1282" hidden="1" customWidth="1" outlineLevel="1"/>
    <col min="43" max="43" width="12.5703125" style="1282" hidden="1" customWidth="1" outlineLevel="1"/>
    <col min="44" max="44" width="11.85546875" style="1282" hidden="1" customWidth="1" outlineLevel="1"/>
    <col min="45" max="45" width="9.5703125" style="1282" hidden="1" customWidth="1" outlineLevel="1"/>
    <col min="46" max="46" width="10" style="1282" hidden="1" customWidth="1" outlineLevel="1"/>
    <col min="47" max="47" width="1" style="1282" hidden="1" customWidth="1" outlineLevel="1"/>
    <col min="48" max="48" width="9.5703125" style="1282" hidden="1" customWidth="1" outlineLevel="1"/>
    <col min="49" max="49" width="10.7109375" style="1282" hidden="1" customWidth="1" outlineLevel="1"/>
    <col min="50" max="50" width="9.85546875" style="1282" hidden="1" customWidth="1" outlineLevel="1"/>
    <col min="51" max="51" width="10.140625" style="1282" hidden="1" customWidth="1" outlineLevel="1"/>
    <col min="52" max="52" width="1" style="1282" hidden="1" customWidth="1" outlineLevel="1"/>
    <col min="53" max="53" width="8.140625" style="1282" hidden="1" customWidth="1" outlineLevel="1" collapsed="1"/>
    <col min="54" max="54" width="9" style="1282" hidden="1" customWidth="1" outlineLevel="1"/>
    <col min="55" max="56" width="8.140625" style="1282" hidden="1" customWidth="1" outlineLevel="1"/>
    <col min="57" max="57" width="2.140625" style="1282" hidden="1" customWidth="1" outlineLevel="1"/>
    <col min="58" max="58" width="10" style="1282" customWidth="1" collapsed="1"/>
    <col min="59" max="59" width="10.140625" style="1282" customWidth="1"/>
    <col min="60" max="60" width="9.5703125" style="1282" customWidth="1"/>
    <col min="61" max="61" width="10.140625" style="1349" customWidth="1"/>
    <col min="62" max="62" width="2.140625" style="1282" customWidth="1"/>
    <col min="63" max="63" width="10" style="1282" customWidth="1"/>
    <col min="64" max="64" width="10.140625" style="1282" customWidth="1"/>
    <col min="65" max="65" width="9.5703125" style="1282" customWidth="1"/>
    <col min="66" max="66" width="10.140625" style="1282" customWidth="1"/>
    <col min="67" max="67" width="2.140625" style="1282" customWidth="1"/>
    <col min="68" max="68" width="10" style="1282" customWidth="1"/>
    <col min="69" max="69" width="10.140625" style="1282" customWidth="1"/>
    <col min="70" max="70" width="9.5703125" style="1282" customWidth="1"/>
    <col min="71" max="71" width="10.140625" style="1282" customWidth="1"/>
    <col min="72" max="74" width="8.140625" style="1282" hidden="1" customWidth="1" outlineLevel="1"/>
    <col min="75" max="75" width="8.140625" style="1282" hidden="1" customWidth="1" outlineLevel="1" collapsed="1"/>
    <col min="76" max="77" width="8.140625" style="1282" hidden="1" customWidth="1" outlineLevel="1"/>
    <col min="78" max="80" width="9.28515625" style="1282" hidden="1" customWidth="1" outlineLevel="3"/>
    <col min="81" max="81" width="9.5703125" style="1282" hidden="1" customWidth="1" outlineLevel="1"/>
    <col min="82" max="82" width="9.5703125" style="1282" customWidth="1" collapsed="1"/>
    <col min="83" max="84" width="9.28515625" style="1282" customWidth="1"/>
    <col min="85" max="91" width="10.5703125" style="1282" bestFit="1" customWidth="1"/>
    <col min="92" max="94" width="9.140625" style="1282"/>
    <col min="95" max="95" width="27.28515625" hidden="1" customWidth="1" outlineLevel="1"/>
    <col min="96" max="100" width="9.140625" hidden="1" customWidth="1" outlineLevel="1"/>
    <col min="101" max="101" width="9.140625" style="1282" collapsed="1"/>
    <col min="102" max="16384" width="9.140625" style="1282"/>
  </cols>
  <sheetData>
    <row r="1" spans="1:100">
      <c r="A1" s="1665" t="s">
        <v>441</v>
      </c>
    </row>
    <row r="2" spans="1:100" s="1352" customFormat="1">
      <c r="A2" s="1246" t="s">
        <v>1075</v>
      </c>
      <c r="CQ2"/>
      <c r="CR2"/>
      <c r="CS2"/>
      <c r="CT2"/>
      <c r="CU2"/>
      <c r="CV2"/>
    </row>
    <row r="3" spans="1:100">
      <c r="A3" s="1249" t="s">
        <v>92</v>
      </c>
    </row>
    <row r="4" spans="1:100">
      <c r="BG4" s="1587"/>
      <c r="BH4" s="1666"/>
      <c r="BI4" s="1713"/>
      <c r="BL4" s="1666"/>
      <c r="BM4" s="1666"/>
      <c r="BN4" s="1667"/>
      <c r="BQ4" s="1666"/>
      <c r="BR4" s="1666"/>
      <c r="BS4" s="1667"/>
      <c r="BT4" s="1668"/>
      <c r="BU4" s="1668"/>
      <c r="BV4" s="1668"/>
      <c r="BW4" s="1668"/>
      <c r="BX4" s="1668"/>
      <c r="BY4" s="1668"/>
      <c r="BZ4" s="1668"/>
      <c r="CA4" s="1668"/>
      <c r="CB4" s="1668"/>
      <c r="CC4" s="1668"/>
      <c r="CD4" s="1669"/>
      <c r="CE4" s="1669"/>
      <c r="CF4" s="1670"/>
    </row>
    <row r="5" spans="1:100">
      <c r="W5" s="1671" t="s">
        <v>212</v>
      </c>
      <c r="X5" s="1281"/>
      <c r="Y5" s="1281"/>
      <c r="Z5" s="1281"/>
      <c r="AA5" s="1281"/>
      <c r="AB5" s="1281"/>
      <c r="AC5" s="1281"/>
      <c r="AD5" s="1281"/>
      <c r="AE5" s="1281"/>
      <c r="AF5" s="1281"/>
      <c r="AG5" s="1281"/>
      <c r="AH5" s="1281"/>
      <c r="AI5" s="1281"/>
      <c r="AJ5" s="1281"/>
      <c r="AK5" s="1281"/>
      <c r="AL5" s="1281"/>
      <c r="AM5" s="1281"/>
      <c r="AN5" s="1281"/>
      <c r="AO5" s="1281"/>
      <c r="BF5" s="1587"/>
      <c r="BG5" s="1587"/>
      <c r="BH5" s="1587"/>
      <c r="BI5" s="1681"/>
      <c r="BL5" s="1669"/>
      <c r="BM5" s="1666"/>
      <c r="BN5" s="1670"/>
      <c r="BQ5" s="1669"/>
      <c r="BR5" s="1666"/>
      <c r="BS5" s="1670"/>
      <c r="BT5" s="1668"/>
      <c r="BU5" s="1668"/>
      <c r="BV5" s="1668"/>
      <c r="BW5" s="1668"/>
      <c r="BX5" s="1668"/>
      <c r="BY5" s="1668"/>
      <c r="BZ5" s="1668"/>
      <c r="CA5" s="1668"/>
      <c r="CB5" s="1668"/>
      <c r="CC5" s="1668"/>
      <c r="CD5" s="1666"/>
      <c r="CE5" s="1666"/>
      <c r="CF5" s="1667"/>
      <c r="CG5" s="1668"/>
      <c r="CH5" s="1306"/>
      <c r="CI5" s="1306"/>
      <c r="CJ5" s="1306"/>
      <c r="CK5" s="1306"/>
      <c r="CL5" s="1306"/>
      <c r="CM5" s="1306"/>
    </row>
    <row r="6" spans="1:100">
      <c r="W6" s="1671"/>
      <c r="X6" s="1281"/>
      <c r="Y6" s="1281"/>
      <c r="Z6" s="1281"/>
      <c r="AA6" s="1281"/>
      <c r="AB6" s="1281"/>
      <c r="AC6" s="1281"/>
      <c r="AD6" s="1281"/>
      <c r="AE6" s="1281"/>
      <c r="AF6" s="1281"/>
      <c r="AG6" s="1281"/>
      <c r="AH6" s="1281"/>
      <c r="AI6" s="1281"/>
      <c r="AJ6" s="1281"/>
      <c r="AK6" s="1281"/>
      <c r="AL6" s="1281"/>
      <c r="AM6" s="1281"/>
      <c r="AN6" s="1281"/>
      <c r="AO6" s="1281"/>
      <c r="AR6" s="1531"/>
      <c r="BG6" s="1672"/>
      <c r="BL6" s="1672"/>
      <c r="BQ6" s="1672"/>
      <c r="BT6" s="1671" t="s">
        <v>309</v>
      </c>
      <c r="BU6" s="1671"/>
      <c r="BV6" s="1671"/>
      <c r="BW6" s="1671"/>
      <c r="BX6" s="1671"/>
      <c r="BY6" s="1671"/>
      <c r="BZ6" s="1671" t="s">
        <v>308</v>
      </c>
      <c r="CA6" s="1281"/>
      <c r="CB6" s="1281"/>
      <c r="CC6" s="1281"/>
      <c r="CD6" s="1281"/>
      <c r="CE6" s="1281"/>
      <c r="CF6" s="1281"/>
      <c r="CG6" s="1281"/>
      <c r="CH6" s="1281"/>
      <c r="CI6" s="1281"/>
      <c r="CJ6" s="1281"/>
      <c r="CK6" s="1281"/>
      <c r="CL6" s="1281"/>
      <c r="CM6" s="1281"/>
    </row>
    <row r="7" spans="1:100">
      <c r="A7" s="1543"/>
      <c r="B7" s="1545"/>
      <c r="C7" s="1673" t="s">
        <v>96</v>
      </c>
      <c r="D7" s="1673"/>
      <c r="E7" s="1673"/>
      <c r="F7" s="1673"/>
      <c r="G7" s="1545"/>
      <c r="H7" s="1673" t="s">
        <v>95</v>
      </c>
      <c r="I7" s="1673"/>
      <c r="J7" s="1673"/>
      <c r="K7" s="1673"/>
      <c r="L7" s="1545"/>
      <c r="M7" s="1673" t="s">
        <v>94</v>
      </c>
      <c r="N7" s="1673"/>
      <c r="O7" s="1673"/>
      <c r="P7" s="1673"/>
      <c r="Q7" s="1545"/>
      <c r="R7" s="1673" t="s">
        <v>93</v>
      </c>
      <c r="S7" s="1673"/>
      <c r="T7" s="1673"/>
      <c r="U7" s="1673"/>
      <c r="V7" s="1545"/>
      <c r="W7" s="1673" t="s">
        <v>261</v>
      </c>
      <c r="X7" s="1673"/>
      <c r="Y7" s="1673"/>
      <c r="Z7" s="1673"/>
      <c r="AA7" s="1545"/>
      <c r="AB7" s="1673" t="s">
        <v>84</v>
      </c>
      <c r="AC7" s="1673"/>
      <c r="AD7" s="1673"/>
      <c r="AE7" s="1673"/>
      <c r="AF7" s="1545"/>
      <c r="AG7" s="1673" t="s">
        <v>242</v>
      </c>
      <c r="AH7" s="1673"/>
      <c r="AI7" s="1673"/>
      <c r="AJ7" s="1673"/>
      <c r="AK7" s="1545"/>
      <c r="AL7" s="1673" t="s">
        <v>393</v>
      </c>
      <c r="AM7" s="1673"/>
      <c r="AN7" s="1673"/>
      <c r="AO7" s="1673"/>
      <c r="AP7" s="1545"/>
      <c r="AQ7" s="1673" t="s">
        <v>611</v>
      </c>
      <c r="AR7" s="1673"/>
      <c r="AS7" s="1673"/>
      <c r="AT7" s="1673"/>
      <c r="AU7" s="1545"/>
      <c r="AV7" s="1673" t="s">
        <v>626</v>
      </c>
      <c r="AW7" s="1673"/>
      <c r="AX7" s="1673"/>
      <c r="AY7" s="1673"/>
      <c r="AZ7" s="1545"/>
      <c r="BA7" s="1673" t="s">
        <v>933</v>
      </c>
      <c r="BB7" s="1673"/>
      <c r="BC7" s="1673"/>
      <c r="BD7" s="1673"/>
      <c r="BE7" s="1545"/>
      <c r="BF7" s="1673" t="s">
        <v>988</v>
      </c>
      <c r="BG7" s="1673"/>
      <c r="BH7" s="1673"/>
      <c r="BI7" s="1673"/>
      <c r="BJ7" s="1545"/>
      <c r="BK7" s="1673" t="s">
        <v>1097</v>
      </c>
      <c r="BL7" s="1673"/>
      <c r="BM7" s="1673"/>
      <c r="BN7" s="1673"/>
      <c r="BO7" s="1545"/>
      <c r="BP7" s="1674" t="s">
        <v>341</v>
      </c>
      <c r="BQ7" s="1673"/>
      <c r="BR7" s="1673"/>
      <c r="BS7" s="1675"/>
      <c r="BT7" s="1544" t="s">
        <v>166</v>
      </c>
      <c r="BU7" s="1544" t="s">
        <v>96</v>
      </c>
      <c r="BV7" s="1544" t="s">
        <v>95</v>
      </c>
      <c r="BW7" s="1544" t="s">
        <v>94</v>
      </c>
      <c r="BX7" s="1544" t="s">
        <v>93</v>
      </c>
      <c r="BY7" s="1544" t="s">
        <v>83</v>
      </c>
      <c r="BZ7" s="1547" t="s">
        <v>261</v>
      </c>
      <c r="CA7" s="1544" t="s">
        <v>84</v>
      </c>
      <c r="CB7" s="1544" t="s">
        <v>242</v>
      </c>
      <c r="CC7" s="1544" t="s">
        <v>393</v>
      </c>
      <c r="CD7" s="1544" t="s">
        <v>611</v>
      </c>
      <c r="CE7" s="1544" t="s">
        <v>626</v>
      </c>
      <c r="CF7" s="1544" t="s">
        <v>933</v>
      </c>
      <c r="CG7" s="1544" t="s">
        <v>988</v>
      </c>
      <c r="CH7" s="1544" t="s">
        <v>1097</v>
      </c>
      <c r="CI7" s="1548" t="s">
        <v>341</v>
      </c>
      <c r="CJ7" s="1548" t="s">
        <v>420</v>
      </c>
      <c r="CK7" s="1548" t="s">
        <v>421</v>
      </c>
      <c r="CL7" s="1548" t="s">
        <v>422</v>
      </c>
      <c r="CM7" s="1548" t="s">
        <v>464</v>
      </c>
      <c r="CN7" s="1538"/>
      <c r="CO7" s="1349"/>
      <c r="CP7" s="1349"/>
    </row>
    <row r="8" spans="1:100">
      <c r="A8" s="1676" t="s">
        <v>185</v>
      </c>
      <c r="B8" s="1349"/>
      <c r="C8" s="1677" t="s">
        <v>79</v>
      </c>
      <c r="D8" s="1677" t="s">
        <v>80</v>
      </c>
      <c r="E8" s="1677" t="s">
        <v>81</v>
      </c>
      <c r="F8" s="1677" t="s">
        <v>82</v>
      </c>
      <c r="G8" s="1349"/>
      <c r="H8" s="1677" t="s">
        <v>79</v>
      </c>
      <c r="I8" s="1677" t="s">
        <v>80</v>
      </c>
      <c r="J8" s="1677" t="s">
        <v>81</v>
      </c>
      <c r="K8" s="1677" t="s">
        <v>82</v>
      </c>
      <c r="L8" s="1349"/>
      <c r="M8" s="1677" t="s">
        <v>79</v>
      </c>
      <c r="N8" s="1677" t="s">
        <v>80</v>
      </c>
      <c r="O8" s="1677" t="s">
        <v>81</v>
      </c>
      <c r="P8" s="1677" t="s">
        <v>82</v>
      </c>
      <c r="Q8" s="1349"/>
      <c r="R8" s="1677" t="s">
        <v>79</v>
      </c>
      <c r="S8" s="1677" t="s">
        <v>80</v>
      </c>
      <c r="T8" s="1677" t="s">
        <v>81</v>
      </c>
      <c r="U8" s="1677" t="s">
        <v>82</v>
      </c>
      <c r="V8" s="1349"/>
      <c r="W8" s="1677" t="s">
        <v>79</v>
      </c>
      <c r="X8" s="1677" t="s">
        <v>80</v>
      </c>
      <c r="Y8" s="1677" t="s">
        <v>81</v>
      </c>
      <c r="Z8" s="1677" t="s">
        <v>82</v>
      </c>
      <c r="AA8" s="1349"/>
      <c r="AB8" s="1677" t="s">
        <v>79</v>
      </c>
      <c r="AC8" s="1677" t="s">
        <v>80</v>
      </c>
      <c r="AD8" s="1677" t="s">
        <v>81</v>
      </c>
      <c r="AE8" s="1677" t="s">
        <v>82</v>
      </c>
      <c r="AF8" s="1349"/>
      <c r="AG8" s="1677" t="s">
        <v>79</v>
      </c>
      <c r="AH8" s="1677" t="s">
        <v>80</v>
      </c>
      <c r="AI8" s="1677" t="s">
        <v>81</v>
      </c>
      <c r="AJ8" s="1677" t="s">
        <v>82</v>
      </c>
      <c r="AK8" s="1349"/>
      <c r="AL8" s="1677" t="s">
        <v>79</v>
      </c>
      <c r="AM8" s="1677" t="s">
        <v>80</v>
      </c>
      <c r="AN8" s="1677" t="s">
        <v>81</v>
      </c>
      <c r="AO8" s="1677" t="s">
        <v>82</v>
      </c>
      <c r="AP8" s="1349"/>
      <c r="AQ8" s="1677" t="s">
        <v>79</v>
      </c>
      <c r="AR8" s="1677" t="s">
        <v>80</v>
      </c>
      <c r="AS8" s="1677" t="s">
        <v>81</v>
      </c>
      <c r="AT8" s="1677" t="s">
        <v>82</v>
      </c>
      <c r="AU8" s="1349"/>
      <c r="AV8" s="1677" t="s">
        <v>79</v>
      </c>
      <c r="AW8" s="1677" t="s">
        <v>80</v>
      </c>
      <c r="AX8" s="1677" t="s">
        <v>81</v>
      </c>
      <c r="AY8" s="1677" t="s">
        <v>82</v>
      </c>
      <c r="AZ8" s="1349"/>
      <c r="BA8" s="1677" t="s">
        <v>79</v>
      </c>
      <c r="BB8" s="1677" t="s">
        <v>80</v>
      </c>
      <c r="BC8" s="1677" t="s">
        <v>81</v>
      </c>
      <c r="BD8" s="1677" t="s">
        <v>82</v>
      </c>
      <c r="BE8" s="1349"/>
      <c r="BF8" s="1677" t="s">
        <v>79</v>
      </c>
      <c r="BG8" s="1677" t="s">
        <v>80</v>
      </c>
      <c r="BH8" s="1677" t="s">
        <v>81</v>
      </c>
      <c r="BI8" s="1677" t="s">
        <v>82</v>
      </c>
      <c r="BK8" s="1677" t="s">
        <v>79</v>
      </c>
      <c r="BL8" s="1677" t="s">
        <v>80</v>
      </c>
      <c r="BM8" s="1677" t="s">
        <v>81</v>
      </c>
      <c r="BN8" s="1677" t="s">
        <v>82</v>
      </c>
      <c r="BP8" s="2042" t="s">
        <v>79</v>
      </c>
      <c r="BQ8" s="2042" t="s">
        <v>80</v>
      </c>
      <c r="BR8" s="2042" t="s">
        <v>81</v>
      </c>
      <c r="BS8" s="2043" t="s">
        <v>82</v>
      </c>
      <c r="BT8" s="1677" t="s">
        <v>82</v>
      </c>
      <c r="BU8" s="1677" t="s">
        <v>82</v>
      </c>
      <c r="BV8" s="1677" t="s">
        <v>82</v>
      </c>
      <c r="BW8" s="1677" t="s">
        <v>82</v>
      </c>
      <c r="BX8" s="1677" t="s">
        <v>82</v>
      </c>
      <c r="BY8" s="1677" t="s">
        <v>82</v>
      </c>
      <c r="BZ8" s="1679" t="s">
        <v>82</v>
      </c>
      <c r="CA8" s="1677" t="s">
        <v>82</v>
      </c>
      <c r="CB8" s="1677" t="s">
        <v>82</v>
      </c>
      <c r="CC8" s="1677" t="s">
        <v>82</v>
      </c>
      <c r="CD8" s="1677" t="s">
        <v>82</v>
      </c>
      <c r="CE8" s="1677" t="s">
        <v>82</v>
      </c>
      <c r="CF8" s="1677" t="s">
        <v>82</v>
      </c>
      <c r="CG8" s="1677" t="s">
        <v>82</v>
      </c>
      <c r="CH8" s="1677" t="s">
        <v>82</v>
      </c>
      <c r="CI8" s="1677" t="s">
        <v>82</v>
      </c>
      <c r="CJ8" s="1677" t="s">
        <v>82</v>
      </c>
      <c r="CK8" s="1677" t="s">
        <v>82</v>
      </c>
      <c r="CL8" s="1677" t="s">
        <v>82</v>
      </c>
      <c r="CM8" s="1677" t="s">
        <v>82</v>
      </c>
      <c r="CN8" s="1538"/>
      <c r="CO8" s="1349"/>
      <c r="CP8" s="1349"/>
    </row>
    <row r="9" spans="1:100">
      <c r="A9" s="1538"/>
      <c r="B9" s="1349"/>
      <c r="C9" s="1349"/>
      <c r="D9" s="1349"/>
      <c r="E9" s="1349"/>
      <c r="F9" s="1349"/>
      <c r="G9" s="1349"/>
      <c r="H9" s="1349"/>
      <c r="I9" s="1349"/>
      <c r="J9" s="1349"/>
      <c r="K9" s="1349"/>
      <c r="L9" s="1349"/>
      <c r="M9" s="1349"/>
      <c r="N9" s="1349"/>
      <c r="O9" s="1349"/>
      <c r="P9" s="1349"/>
      <c r="Q9" s="1349"/>
      <c r="R9" s="1349"/>
      <c r="S9" s="1349"/>
      <c r="T9" s="1349"/>
      <c r="U9" s="1349"/>
      <c r="V9" s="1349"/>
      <c r="W9" s="1349"/>
      <c r="X9" s="1349"/>
      <c r="Y9" s="1349"/>
      <c r="Z9" s="1349"/>
      <c r="AA9" s="1349"/>
      <c r="AB9" s="1349"/>
      <c r="AC9" s="1349"/>
      <c r="AD9" s="1349"/>
      <c r="AE9" s="1349"/>
      <c r="AF9" s="1349"/>
      <c r="AG9" s="1349"/>
      <c r="AH9" s="1349"/>
      <c r="AI9" s="1349"/>
      <c r="AJ9" s="1349"/>
      <c r="AK9" s="1349"/>
      <c r="AL9" s="1349"/>
      <c r="AM9" s="1349"/>
      <c r="AN9" s="1349"/>
      <c r="AO9" s="1349"/>
      <c r="AP9" s="1349"/>
      <c r="AQ9" s="1349"/>
      <c r="AR9" s="1349"/>
      <c r="AS9" s="1349"/>
      <c r="AT9" s="1349"/>
      <c r="AU9" s="1349"/>
      <c r="AV9" s="1349"/>
      <c r="AW9" s="1349"/>
      <c r="AX9" s="1349"/>
      <c r="AY9" s="1349"/>
      <c r="AZ9" s="1349"/>
      <c r="BA9" s="1349"/>
      <c r="BB9" s="1349"/>
      <c r="BC9" s="1349"/>
      <c r="BD9" s="1349"/>
      <c r="BE9" s="1349"/>
      <c r="BF9" s="1349"/>
      <c r="BG9" s="1349"/>
      <c r="BH9" s="1349"/>
      <c r="BK9" s="1349"/>
      <c r="BL9" s="1349"/>
      <c r="BM9" s="1349"/>
      <c r="BN9" s="1349"/>
      <c r="BP9" s="1349"/>
      <c r="BQ9" s="1349"/>
      <c r="BR9" s="1349"/>
      <c r="BS9" s="1529"/>
      <c r="BT9" s="1349"/>
      <c r="BU9" s="1349"/>
      <c r="BV9" s="1349"/>
      <c r="BW9" s="1349"/>
      <c r="BX9" s="1349"/>
      <c r="BY9" s="1349"/>
      <c r="BZ9" s="1538"/>
      <c r="CA9" s="1349"/>
      <c r="CB9" s="1349"/>
      <c r="CC9" s="1349"/>
      <c r="CD9" s="1349"/>
      <c r="CE9" s="1349"/>
      <c r="CF9" s="1349"/>
      <c r="CG9" s="1349"/>
      <c r="CH9" s="1349"/>
      <c r="CI9" s="1349"/>
      <c r="CJ9" s="1349"/>
      <c r="CK9" s="1349"/>
      <c r="CL9" s="1349"/>
      <c r="CM9" s="1349"/>
      <c r="CN9" s="1538"/>
      <c r="CO9" s="1349"/>
      <c r="CP9" s="1349"/>
    </row>
    <row r="10" spans="1:100" s="1291" customFormat="1" ht="11.25" customHeight="1">
      <c r="A10" s="1680" t="s">
        <v>186</v>
      </c>
      <c r="B10" s="1681"/>
      <c r="C10" s="1682"/>
      <c r="D10" s="1682"/>
      <c r="E10" s="1682"/>
      <c r="F10" s="1682"/>
      <c r="G10" s="1682"/>
      <c r="H10" s="1682"/>
      <c r="I10" s="1682"/>
      <c r="J10" s="1682"/>
      <c r="K10" s="1682"/>
      <c r="L10" s="1682"/>
      <c r="M10" s="1682"/>
      <c r="N10" s="1682"/>
      <c r="O10" s="1682"/>
      <c r="P10" s="1682"/>
      <c r="Q10" s="1682"/>
      <c r="R10" s="1682"/>
      <c r="S10" s="1682"/>
      <c r="T10" s="1682"/>
      <c r="U10" s="1682"/>
      <c r="V10" s="1682"/>
      <c r="W10" s="1682">
        <f t="array" ref="W10:Z10">TRANSPOSE('qtrP&amp;L_new'!AI11:AI14)</f>
        <v>830.04300000000001</v>
      </c>
      <c r="X10" s="1682">
        <v>700.97799999999995</v>
      </c>
      <c r="Y10" s="1682">
        <v>872.37399999999991</v>
      </c>
      <c r="Z10" s="1682">
        <v>1119.5189999999998</v>
      </c>
      <c r="AA10" s="1682"/>
      <c r="AB10" s="1682">
        <f t="array" ref="AB10:AE10">TRANSPOSE('qtrP&amp;L_new'!AM11:AM14)</f>
        <v>894.678</v>
      </c>
      <c r="AC10" s="1682">
        <v>728.75</v>
      </c>
      <c r="AD10" s="1682">
        <v>858.18599999999992</v>
      </c>
      <c r="AE10" s="1682">
        <v>1187.9880000000003</v>
      </c>
      <c r="AF10" s="1682"/>
      <c r="AG10" s="1682">
        <f t="array" ref="AG10:AJ10">TRANSPOSE('qtrP&amp;L_new'!AQ11:AQ14)</f>
        <v>929.08100000000002</v>
      </c>
      <c r="AH10" s="1682">
        <v>793.34899999999993</v>
      </c>
      <c r="AI10" s="1682">
        <v>898.66300000000001</v>
      </c>
      <c r="AJ10" s="1682">
        <v>1233.0410000000002</v>
      </c>
      <c r="AK10" s="1682"/>
      <c r="AL10" s="1682">
        <f t="array" ref="AL10:AO10">TRANSPOSE('qtrP&amp;L_new'!AU11:AU14)</f>
        <v>982.42179069000099</v>
      </c>
      <c r="AM10" s="1682">
        <v>864.18122197000105</v>
      </c>
      <c r="AN10" s="1682">
        <v>967.89400000000001</v>
      </c>
      <c r="AO10" s="1682">
        <v>1262.537158410003</v>
      </c>
      <c r="AP10" s="1681"/>
      <c r="AQ10" s="1682">
        <f t="array" ref="AQ10:AT10">TRANSPOSE('qtrP&amp;L_new'!AY11:AY14)</f>
        <v>1065.0129999999999</v>
      </c>
      <c r="AR10" s="1682">
        <v>963.71100000000001</v>
      </c>
      <c r="AS10" s="1682">
        <v>1064.502</v>
      </c>
      <c r="AT10" s="1682">
        <v>1334.277</v>
      </c>
      <c r="AU10" s="1681"/>
      <c r="AV10" s="1682">
        <f t="array" ref="AV10:AY10">TRANSPOSE('qtrP&amp;L_new'!BC11:BC14)</f>
        <v>1128.269</v>
      </c>
      <c r="AW10" s="1682">
        <v>1043.5809999999999</v>
      </c>
      <c r="AX10" s="1682">
        <v>1157.2919999999999</v>
      </c>
      <c r="AY10" s="1682">
        <v>1485.3620000000001</v>
      </c>
      <c r="AZ10" s="1681"/>
      <c r="BA10" s="1682">
        <f t="array" ref="BA10:BD10">TRANSPOSE('qtrP&amp;L_new'!BG11:BG14)</f>
        <v>1183.059</v>
      </c>
      <c r="BB10" s="1682">
        <v>1144.2180000000001</v>
      </c>
      <c r="BC10" s="1682">
        <v>1230.886</v>
      </c>
      <c r="BD10" s="1682">
        <v>1540.769</v>
      </c>
      <c r="BE10" s="1681"/>
      <c r="BF10" s="1682">
        <f t="array" ref="BF10:BI10">TRANSPOSE('qtrP&amp;L_new'!BK11:BK14)</f>
        <v>1282.67</v>
      </c>
      <c r="BG10" s="1682">
        <v>1255.0530000000001</v>
      </c>
      <c r="BH10" s="1682">
        <v>1342.6</v>
      </c>
      <c r="BI10" s="1682">
        <v>1685.7149999999999</v>
      </c>
      <c r="BK10" s="1682">
        <f t="array" ref="BK10:BN10">TRANSPOSE('qtrP&amp;L_new'!BO11:BO14)</f>
        <v>1346.546</v>
      </c>
      <c r="BL10" s="1682">
        <v>1363.2239999999999</v>
      </c>
      <c r="BM10" s="1682">
        <v>1438.1669999999999</v>
      </c>
      <c r="BN10" s="1682">
        <v>1936.829</v>
      </c>
      <c r="BP10" s="1682">
        <f t="array" ref="BP10:BS10">TRANSPOSE('qtrP&amp;L_new'!BS11:BS14)</f>
        <v>1486.0064544107745</v>
      </c>
      <c r="BQ10" s="1682">
        <v>1499.0106848829432</v>
      </c>
      <c r="BR10" s="1682">
        <v>1582.2524070755483</v>
      </c>
      <c r="BS10" s="1683">
        <v>2020.1126469999997</v>
      </c>
      <c r="BT10" s="1682">
        <f>'yrP&amp;L'!F8</f>
        <v>2859.96</v>
      </c>
      <c r="BU10" s="1682">
        <f>'yrP&amp;L'!G8</f>
        <v>3199.84</v>
      </c>
      <c r="BV10" s="1682">
        <f>'yrP&amp;L'!H8</f>
        <v>3470.5540000000001</v>
      </c>
      <c r="BW10" s="1682">
        <f>'yrP&amp;L'!I8</f>
        <v>3441.645</v>
      </c>
      <c r="BX10" s="1682">
        <f>'yrP&amp;L'!J8</f>
        <v>3423.973</v>
      </c>
      <c r="BY10" s="1682">
        <f>'yrP&amp;L'!K8</f>
        <v>3571.3670000000002</v>
      </c>
      <c r="BZ10" s="1684">
        <f>'yrP&amp;L'!L8</f>
        <v>3522.9139999999998</v>
      </c>
      <c r="CA10" s="1682">
        <f>'yrP&amp;L'!M8</f>
        <v>3669.6019999999999</v>
      </c>
      <c r="CB10" s="1682">
        <f>'yrP&amp;L'!N8</f>
        <v>3854.134</v>
      </c>
      <c r="CC10" s="1682">
        <f>'yrP&amp;L_new'!E8</f>
        <v>4077.034171070005</v>
      </c>
      <c r="CD10" s="1682">
        <f>'yrP&amp;L_new'!F8</f>
        <v>4427.5029999999997</v>
      </c>
      <c r="CE10" s="1682">
        <f>'yrP&amp;L_new'!G8</f>
        <v>4814.5039999999999</v>
      </c>
      <c r="CF10" s="1682">
        <f>'yrP&amp;L_new'!H8</f>
        <v>5098.9319999999998</v>
      </c>
      <c r="CG10" s="1682">
        <f>'yrP&amp;L_new'!I8</f>
        <v>5566.0379999999996</v>
      </c>
      <c r="CH10" s="1682">
        <f>'yrP&amp;L_new'!J8</f>
        <v>6084.7659999999996</v>
      </c>
      <c r="CI10" s="1682">
        <f>'yrP&amp;L_new'!K8</f>
        <v>6587.3821933692661</v>
      </c>
      <c r="CJ10" s="1682">
        <f>'yrP&amp;L_new'!L8</f>
        <v>7272.2060401899489</v>
      </c>
      <c r="CK10" s="1682">
        <f>'yrP&amp;L_new'!M8</f>
        <v>7996.9990572869638</v>
      </c>
      <c r="CL10" s="1682">
        <f>'yrP&amp;L_new'!N8</f>
        <v>8763.46040726315</v>
      </c>
      <c r="CM10" s="1682">
        <f>'yrP&amp;L_new'!O8</f>
        <v>9573.3682501034527</v>
      </c>
      <c r="CN10" s="1685"/>
      <c r="CO10" s="1681"/>
      <c r="CP10" s="1681"/>
      <c r="CQ10"/>
      <c r="CR10"/>
      <c r="CS10"/>
      <c r="CT10"/>
      <c r="CU10"/>
      <c r="CV10"/>
    </row>
    <row r="11" spans="1:100">
      <c r="A11" s="1686" t="s">
        <v>187</v>
      </c>
      <c r="B11" s="1349"/>
      <c r="C11" s="1349"/>
      <c r="D11" s="1349"/>
      <c r="E11" s="1349"/>
      <c r="F11" s="1349"/>
      <c r="G11" s="1349"/>
      <c r="H11" s="1349"/>
      <c r="I11" s="1349"/>
      <c r="J11" s="1349"/>
      <c r="K11" s="1349"/>
      <c r="L11" s="1349"/>
      <c r="M11" s="1349"/>
      <c r="N11" s="1349"/>
      <c r="O11" s="1349"/>
      <c r="P11" s="1349"/>
      <c r="Q11" s="1349"/>
      <c r="R11" s="1349"/>
      <c r="S11" s="1349"/>
      <c r="T11" s="1349"/>
      <c r="U11" s="1349"/>
      <c r="V11" s="1349"/>
      <c r="W11" s="1687">
        <f t="array" ref="W11:Z11">TRANSPOSE('qtrP&amp;L_new'!AI21:AI24)</f>
        <v>554.21100000000001</v>
      </c>
      <c r="X11" s="1687">
        <v>424.24900000000002</v>
      </c>
      <c r="Y11" s="1687">
        <v>523.46500000000003</v>
      </c>
      <c r="Z11" s="1687">
        <v>679.7819999999997</v>
      </c>
      <c r="AA11" s="1687"/>
      <c r="AB11" s="1687">
        <f t="array" ref="AB11:AE11">TRANSPOSE('qtrP&amp;L_new'!AM21:AM24)</f>
        <v>552.35299999999995</v>
      </c>
      <c r="AC11" s="1688">
        <v>469.38799999999998</v>
      </c>
      <c r="AD11" s="1687">
        <v>527.30100000000004</v>
      </c>
      <c r="AE11" s="1687">
        <v>703.30400000000009</v>
      </c>
      <c r="AF11" s="1687"/>
      <c r="AG11" s="1687">
        <f t="array" ref="AG11:AJ11">TRANSPOSE('qtrP&amp;L_new'!AQ21:AQ24)</f>
        <v>577.303</v>
      </c>
      <c r="AH11" s="1687">
        <v>507.053</v>
      </c>
      <c r="AI11" s="1687">
        <v>540.80700000000002</v>
      </c>
      <c r="AJ11" s="1687">
        <v>738.30099999999993</v>
      </c>
      <c r="AK11" s="1687"/>
      <c r="AL11" s="1687">
        <f t="array" ref="AL11:AO11">TRANSPOSE('qtrP&amp;L_new'!AU21:AU24)</f>
        <v>619.88492152000094</v>
      </c>
      <c r="AM11" s="1687">
        <v>543.54917563000106</v>
      </c>
      <c r="AN11" s="1687">
        <v>594.38900000000001</v>
      </c>
      <c r="AO11" s="1687">
        <v>740.14965868000809</v>
      </c>
      <c r="AP11" s="1349"/>
      <c r="AQ11" s="1687">
        <f t="array" ref="AQ11:AT11">TRANSPOSE('qtrP&amp;L_new'!AY21:AY24)</f>
        <v>667.65300000000002</v>
      </c>
      <c r="AR11" s="1687">
        <v>600.32000000000005</v>
      </c>
      <c r="AS11" s="1687">
        <v>649.63699999999994</v>
      </c>
      <c r="AT11" s="1687">
        <v>778.34799999999996</v>
      </c>
      <c r="AU11" s="1349"/>
      <c r="AV11" s="1687">
        <f t="array" ref="AV11:AY11">TRANSPOSE('qtrP&amp;L_new'!BC21:BC24)</f>
        <v>698.46100000000001</v>
      </c>
      <c r="AW11" s="1687">
        <v>645.02700000000004</v>
      </c>
      <c r="AX11" s="1687">
        <v>698.59</v>
      </c>
      <c r="AY11" s="1687">
        <v>858.74099999999999</v>
      </c>
      <c r="AZ11" s="1349"/>
      <c r="BA11" s="1687">
        <f t="array" ref="BA11:BD11">TRANSPOSE('qtrP&amp;L_new'!BG21:BG24)</f>
        <v>712.93</v>
      </c>
      <c r="BB11" s="1687">
        <v>695.91499999999996</v>
      </c>
      <c r="BC11" s="1687">
        <v>741.58399999999995</v>
      </c>
      <c r="BD11" s="1687">
        <v>909.21199999999999</v>
      </c>
      <c r="BE11" s="1349"/>
      <c r="BF11" s="1687">
        <f t="array" ref="BF11:BI11">TRANSPOSE('qtrP&amp;L_new'!BK21:BK24)</f>
        <v>768.68100000000004</v>
      </c>
      <c r="BG11" s="1687">
        <v>757.62199999999996</v>
      </c>
      <c r="BH11" s="1687">
        <v>789.85799999999995</v>
      </c>
      <c r="BI11" s="1687">
        <v>981.21199999999999</v>
      </c>
      <c r="BK11" s="1687">
        <f t="array" ref="BK11:BN11">TRANSPOSE('qtrP&amp;L_new'!BO21:BO24)</f>
        <v>796.39599999999996</v>
      </c>
      <c r="BL11" s="1687">
        <v>808.12599999999998</v>
      </c>
      <c r="BM11" s="1687">
        <v>831.72799999999995</v>
      </c>
      <c r="BN11" s="1687">
        <v>1122.9079999999999</v>
      </c>
      <c r="BP11" s="1687">
        <f t="array" ref="BP11:BS11">TRANSPOSE('qtrP&amp;L_new'!BS21:BS24)</f>
        <v>872.28578873912454</v>
      </c>
      <c r="BQ11" s="1687">
        <v>882.16778805361207</v>
      </c>
      <c r="BR11" s="1687">
        <v>907.57998069853443</v>
      </c>
      <c r="BS11" s="1689">
        <v>1162.7768396131999</v>
      </c>
      <c r="BT11" s="1687">
        <f>'yrP&amp;L'!F11</f>
        <v>1765.4780000000001</v>
      </c>
      <c r="BU11" s="1687">
        <f>'yrP&amp;L'!G11</f>
        <v>1987.1590000000001</v>
      </c>
      <c r="BV11" s="1687">
        <f>'yrP&amp;L'!H11</f>
        <v>2183.2629999999999</v>
      </c>
      <c r="BW11" s="1687">
        <f>'yrP&amp;L'!I11</f>
        <v>2125.16</v>
      </c>
      <c r="BX11" s="1687">
        <f>'yrP&amp;L'!J11</f>
        <v>2095.364</v>
      </c>
      <c r="BY11" s="1687">
        <f>'yrP&amp;L'!K11</f>
        <v>2199.7660000000001</v>
      </c>
      <c r="BZ11" s="1690">
        <f>'yrP&amp;L'!L11</f>
        <v>2181.7069999999999</v>
      </c>
      <c r="CA11" s="1687">
        <f>'yrP&amp;L'!M11</f>
        <v>2252.346</v>
      </c>
      <c r="CB11" s="1687">
        <f>'yrP&amp;L'!N11</f>
        <v>2363.4639999999999</v>
      </c>
      <c r="CC11" s="1687">
        <f>'yrP&amp;L_new'!E11</f>
        <v>2497.9727558300101</v>
      </c>
      <c r="CD11" s="1687">
        <f>'yrP&amp;L_new'!F11</f>
        <v>2695.9569999999999</v>
      </c>
      <c r="CE11" s="1687">
        <f>'yrP&amp;L_new'!G11</f>
        <v>2900.819</v>
      </c>
      <c r="CF11" s="1687">
        <f>'yrP&amp;L_new'!H11</f>
        <v>3059.6409999999996</v>
      </c>
      <c r="CG11" s="1687">
        <f>'yrP&amp;L_new'!I11</f>
        <v>3297.373</v>
      </c>
      <c r="CH11" s="1687">
        <f>'yrP&amp;L_new'!J11</f>
        <v>3559.1579999999999</v>
      </c>
      <c r="CI11" s="1687">
        <f>'yrP&amp;L_new'!K11</f>
        <v>3824.8103971044711</v>
      </c>
      <c r="CJ11" s="1687">
        <f>'yrP&amp;L_new'!L11</f>
        <v>4225.1517093503599</v>
      </c>
      <c r="CK11" s="1687">
        <f>'yrP&amp;L_new'!M11</f>
        <v>4639.8588530378966</v>
      </c>
      <c r="CL11" s="1687">
        <f>'yrP&amp;L_new'!N11</f>
        <v>5078.4253060089959</v>
      </c>
      <c r="CM11" s="1687">
        <f>'yrP&amp;L_new'!O11</f>
        <v>5542.9802168098986</v>
      </c>
      <c r="CN11" s="1538"/>
      <c r="CO11" s="1349"/>
      <c r="CP11" s="1349"/>
    </row>
    <row r="12" spans="1:100" s="1291" customFormat="1">
      <c r="A12" s="1680" t="s">
        <v>188</v>
      </c>
      <c r="B12" s="1681"/>
      <c r="C12" s="1682"/>
      <c r="D12" s="1682"/>
      <c r="E12" s="1682"/>
      <c r="F12" s="1682"/>
      <c r="G12" s="1682"/>
      <c r="H12" s="1682"/>
      <c r="I12" s="1682"/>
      <c r="J12" s="1682"/>
      <c r="K12" s="1682"/>
      <c r="L12" s="1682"/>
      <c r="M12" s="1682"/>
      <c r="N12" s="1682"/>
      <c r="O12" s="1682"/>
      <c r="P12" s="1682"/>
      <c r="Q12" s="1682"/>
      <c r="R12" s="1682"/>
      <c r="S12" s="1682"/>
      <c r="T12" s="1682"/>
      <c r="U12" s="1682"/>
      <c r="V12" s="1682"/>
      <c r="W12" s="1682">
        <f>W10-W11</f>
        <v>275.83199999999999</v>
      </c>
      <c r="X12" s="1682">
        <f>X10-X11</f>
        <v>276.72899999999993</v>
      </c>
      <c r="Y12" s="1682">
        <f>Y10-Y11</f>
        <v>348.90899999999988</v>
      </c>
      <c r="Z12" s="1682">
        <f>Z10-Z11</f>
        <v>439.73700000000008</v>
      </c>
      <c r="AA12" s="1682"/>
      <c r="AB12" s="1682">
        <f>AB10-AB11</f>
        <v>342.32500000000005</v>
      </c>
      <c r="AC12" s="1682">
        <f>AC10-AC11</f>
        <v>259.36200000000002</v>
      </c>
      <c r="AD12" s="1682">
        <f>AD10-AD11</f>
        <v>330.88499999999988</v>
      </c>
      <c r="AE12" s="1682">
        <f>AE10-AE11</f>
        <v>484.6840000000002</v>
      </c>
      <c r="AF12" s="1682"/>
      <c r="AG12" s="1682">
        <f>AG10-AG11</f>
        <v>351.77800000000002</v>
      </c>
      <c r="AH12" s="1682">
        <f>AH10-AH11</f>
        <v>286.29599999999994</v>
      </c>
      <c r="AI12" s="1682">
        <f>AI10-AI11</f>
        <v>357.85599999999999</v>
      </c>
      <c r="AJ12" s="1682">
        <f>AJ10-AJ11</f>
        <v>494.74000000000024</v>
      </c>
      <c r="AK12" s="1682"/>
      <c r="AL12" s="1682">
        <f>AL10-AL11</f>
        <v>362.53686917000005</v>
      </c>
      <c r="AM12" s="1682">
        <f>AM10-AM11</f>
        <v>320.63204633999999</v>
      </c>
      <c r="AN12" s="1682">
        <f>AN10-AN11</f>
        <v>373.505</v>
      </c>
      <c r="AO12" s="1682">
        <f>AO10-AO11</f>
        <v>522.38749972999494</v>
      </c>
      <c r="AP12" s="1681"/>
      <c r="AQ12" s="1682">
        <f>AQ10-AQ11</f>
        <v>397.3599999999999</v>
      </c>
      <c r="AR12" s="1682">
        <f>AR10-AR11</f>
        <v>363.39099999999996</v>
      </c>
      <c r="AS12" s="1682">
        <f>AS10-AS11</f>
        <v>414.86500000000001</v>
      </c>
      <c r="AT12" s="1682">
        <f>AT10-AT11</f>
        <v>555.92900000000009</v>
      </c>
      <c r="AU12" s="1681"/>
      <c r="AV12" s="1682">
        <f>AV10-AV11</f>
        <v>429.80799999999999</v>
      </c>
      <c r="AW12" s="1682">
        <f>AW10-AW11</f>
        <v>398.55399999999986</v>
      </c>
      <c r="AX12" s="1682">
        <f>AX10-AX11</f>
        <v>458.70199999999988</v>
      </c>
      <c r="AY12" s="1682">
        <f>AY10-AY11</f>
        <v>626.62100000000009</v>
      </c>
      <c r="AZ12" s="1681"/>
      <c r="BA12" s="1682">
        <f>BA10-BA11</f>
        <v>470.12900000000002</v>
      </c>
      <c r="BB12" s="1682">
        <f>BB10-BB11</f>
        <v>448.30300000000011</v>
      </c>
      <c r="BC12" s="1682">
        <f>BC10-BC11</f>
        <v>489.30200000000002</v>
      </c>
      <c r="BD12" s="1682">
        <f>BD10-BD11</f>
        <v>631.55700000000002</v>
      </c>
      <c r="BE12" s="1681"/>
      <c r="BF12" s="1682">
        <f>BF10-BF11</f>
        <v>513.98900000000003</v>
      </c>
      <c r="BG12" s="1682">
        <f>BG10-BG11</f>
        <v>497.43100000000015</v>
      </c>
      <c r="BH12" s="1682">
        <f>BH10-BH11</f>
        <v>552.74199999999996</v>
      </c>
      <c r="BI12" s="1682">
        <f>BI10-BI11</f>
        <v>704.50299999999993</v>
      </c>
      <c r="BK12" s="1682">
        <f>BK10-BK11</f>
        <v>550.15000000000009</v>
      </c>
      <c r="BL12" s="1682">
        <f>BL10-BL11</f>
        <v>555.09799999999996</v>
      </c>
      <c r="BM12" s="1682">
        <f>BM10-BM11</f>
        <v>606.43899999999996</v>
      </c>
      <c r="BN12" s="1682">
        <f>BN10-BN11</f>
        <v>813.92100000000005</v>
      </c>
      <c r="BP12" s="1682">
        <f>BP10-BP11</f>
        <v>613.72066567164995</v>
      </c>
      <c r="BQ12" s="1682">
        <f>BQ10-BQ11</f>
        <v>616.84289682933115</v>
      </c>
      <c r="BR12" s="1682">
        <f>BR10-BR11</f>
        <v>674.67242637701384</v>
      </c>
      <c r="BS12" s="1683">
        <f>BS10-BS11</f>
        <v>857.33580738679984</v>
      </c>
      <c r="BT12" s="1682">
        <f t="shared" ref="BT12:BY12" si="0">BT10-BT11</f>
        <v>1094.482</v>
      </c>
      <c r="BU12" s="1682">
        <f t="shared" si="0"/>
        <v>1212.681</v>
      </c>
      <c r="BV12" s="1682">
        <f t="shared" si="0"/>
        <v>1287.2910000000002</v>
      </c>
      <c r="BW12" s="1682">
        <f t="shared" si="0"/>
        <v>1316.4850000000001</v>
      </c>
      <c r="BX12" s="1682">
        <f t="shared" si="0"/>
        <v>1328.6089999999999</v>
      </c>
      <c r="BY12" s="1682">
        <f t="shared" si="0"/>
        <v>1371.6010000000001</v>
      </c>
      <c r="BZ12" s="1684">
        <f t="shared" ref="BZ12:CI12" si="1">BZ10-BZ11</f>
        <v>1341.2069999999999</v>
      </c>
      <c r="CA12" s="1682">
        <f t="shared" si="1"/>
        <v>1417.2559999999999</v>
      </c>
      <c r="CB12" s="1682">
        <f t="shared" si="1"/>
        <v>1490.67</v>
      </c>
      <c r="CC12" s="1682">
        <f t="shared" si="1"/>
        <v>1579.0614152399949</v>
      </c>
      <c r="CD12" s="1682">
        <f>CD10-CD11</f>
        <v>1731.5459999999998</v>
      </c>
      <c r="CE12" s="1682">
        <f>CE10-CE11</f>
        <v>1913.6849999999999</v>
      </c>
      <c r="CF12" s="1682">
        <f>CF10-CF11</f>
        <v>2039.2910000000002</v>
      </c>
      <c r="CG12" s="1682">
        <f>CG10-CG11</f>
        <v>2268.6649999999995</v>
      </c>
      <c r="CH12" s="1682">
        <f>CH10-CH11</f>
        <v>2525.6079999999997</v>
      </c>
      <c r="CI12" s="1682">
        <f t="shared" si="1"/>
        <v>2762.571796264795</v>
      </c>
      <c r="CJ12" s="1682">
        <f>CJ10-CJ11</f>
        <v>3047.0543308395891</v>
      </c>
      <c r="CK12" s="1682">
        <f>CK10-CK11</f>
        <v>3357.1402042490672</v>
      </c>
      <c r="CL12" s="1682">
        <f>CL10-CL11</f>
        <v>3685.0351012541541</v>
      </c>
      <c r="CM12" s="1682">
        <f>CM10-CM11</f>
        <v>4030.3880332935541</v>
      </c>
      <c r="CN12" s="1685"/>
      <c r="CO12" s="1681"/>
      <c r="CP12" s="1681"/>
      <c r="CQ12"/>
      <c r="CR12"/>
      <c r="CS12"/>
      <c r="CT12"/>
      <c r="CU12"/>
      <c r="CV12"/>
    </row>
    <row r="13" spans="1:100">
      <c r="A13" s="1686" t="s">
        <v>189</v>
      </c>
      <c r="B13" s="1349"/>
      <c r="C13" s="1687"/>
      <c r="D13" s="1687"/>
      <c r="E13" s="1687"/>
      <c r="F13" s="1687"/>
      <c r="G13" s="1687"/>
      <c r="H13" s="1687"/>
      <c r="I13" s="1687"/>
      <c r="J13" s="1687"/>
      <c r="K13" s="1687"/>
      <c r="L13" s="1687"/>
      <c r="M13" s="1687"/>
      <c r="N13" s="1687"/>
      <c r="O13" s="1687"/>
      <c r="P13" s="1687"/>
      <c r="Q13" s="1687"/>
      <c r="R13" s="1687"/>
      <c r="S13" s="1687"/>
      <c r="T13" s="1687"/>
      <c r="U13" s="1687"/>
      <c r="V13" s="1687"/>
      <c r="W13" s="1687">
        <f t="array" ref="W13:Z13">TRANSPOSE('qtrP&amp;L_new'!AI31:AI34)</f>
        <v>262.108</v>
      </c>
      <c r="X13" s="1687">
        <v>266.541</v>
      </c>
      <c r="Y13" s="1687">
        <v>281.56900000000002</v>
      </c>
      <c r="Z13" s="1687">
        <v>303.74199999999996</v>
      </c>
      <c r="AA13" s="1687"/>
      <c r="AB13" s="1687">
        <f t="array" ref="AB13:AE13">TRANSPOSE('qtrP&amp;L_new'!AM31:AM34)</f>
        <v>278.52800000000002</v>
      </c>
      <c r="AC13" s="1687">
        <v>271.779</v>
      </c>
      <c r="AD13" s="1687">
        <v>285.61799999999999</v>
      </c>
      <c r="AE13" s="1687">
        <v>320.6880000000001</v>
      </c>
      <c r="AF13" s="1687"/>
      <c r="AG13" s="1687">
        <f t="array" ref="AG13:AJ13">TRANSPOSE('qtrP&amp;L_new'!AQ31:AQ34)</f>
        <v>288.82799999999997</v>
      </c>
      <c r="AH13" s="1687">
        <v>276.70499999999998</v>
      </c>
      <c r="AI13" s="1687">
        <v>317.13400000000001</v>
      </c>
      <c r="AJ13" s="1687">
        <v>333.10699999999997</v>
      </c>
      <c r="AK13" s="1687"/>
      <c r="AL13" s="1687">
        <f t="array" ref="AL13:AO13">TRANSPOSE('qtrP&amp;L_new'!AU31:AU34)</f>
        <v>307.61028961</v>
      </c>
      <c r="AM13" s="1687">
        <v>302.37329693999999</v>
      </c>
      <c r="AN13" s="1687">
        <v>334.97500000000002</v>
      </c>
      <c r="AO13" s="1687">
        <v>344.21558333300015</v>
      </c>
      <c r="AP13" s="1349"/>
      <c r="AQ13" s="1687">
        <f t="array" ref="AQ13:AT13">TRANSPOSE('qtrP&amp;L_new'!AY31:AY34)</f>
        <v>327.70400000000001</v>
      </c>
      <c r="AR13" s="1687">
        <v>326.75700000000001</v>
      </c>
      <c r="AS13" s="1687">
        <v>363.149</v>
      </c>
      <c r="AT13" s="1687">
        <v>374.178</v>
      </c>
      <c r="AU13" s="1349"/>
      <c r="AV13" s="1687">
        <f t="array" ref="AV13:AY13">TRANSPOSE('qtrP&amp;L_new'!BC31:BC34)</f>
        <v>347.02100000000002</v>
      </c>
      <c r="AW13" s="1687">
        <v>350.02600000000001</v>
      </c>
      <c r="AX13" s="1687">
        <v>396.71300000000002</v>
      </c>
      <c r="AY13" s="1687">
        <v>417.88800000000003</v>
      </c>
      <c r="AZ13" s="1349"/>
      <c r="BA13" s="1687">
        <f t="array" ref="BA13:BD13">TRANSPOSE('qtrP&amp;L_new'!BG31:BG34)</f>
        <v>377.67899999999997</v>
      </c>
      <c r="BB13" s="1687">
        <v>381.60599999999999</v>
      </c>
      <c r="BC13" s="1687">
        <v>416.20499999999998</v>
      </c>
      <c r="BD13" s="1687">
        <v>422.22800000000001</v>
      </c>
      <c r="BE13" s="1349"/>
      <c r="BF13" s="1687">
        <f t="array" ref="BF13:BI13">TRANSPOSE('qtrP&amp;L_new'!BK31:BK34)</f>
        <v>403.38499999999999</v>
      </c>
      <c r="BG13" s="1687">
        <v>407.10199999999998</v>
      </c>
      <c r="BH13" s="1687">
        <v>451.072</v>
      </c>
      <c r="BI13" s="1687">
        <v>461.69200000000001</v>
      </c>
      <c r="BK13" s="1687">
        <f t="array" ref="BK13:BN13">TRANSPOSE('qtrP&amp;L_new'!BO31:BO34)</f>
        <v>420.85599999999999</v>
      </c>
      <c r="BL13" s="1687">
        <v>437.19600000000003</v>
      </c>
      <c r="BM13" s="1687">
        <v>480.19400000000002</v>
      </c>
      <c r="BN13" s="1687">
        <v>525.25400000000002</v>
      </c>
      <c r="BP13" s="1687">
        <f t="array" ref="BP13:BS13">TRANSPOSE('qtrP&amp;L_new'!BS31:BS34)</f>
        <v>463.63401377616168</v>
      </c>
      <c r="BQ13" s="1687">
        <v>478.93391382010037</v>
      </c>
      <c r="BR13" s="1687">
        <v>526.41537583403488</v>
      </c>
      <c r="BS13" s="1689">
        <v>547.45052733699993</v>
      </c>
      <c r="BT13" s="1687">
        <f>'yrP&amp;L'!F14</f>
        <v>900.05899999999997</v>
      </c>
      <c r="BU13" s="1687">
        <f>'yrP&amp;L'!G14</f>
        <v>957.75900000000001</v>
      </c>
      <c r="BV13" s="1687">
        <f>'yrP&amp;L'!H14</f>
        <v>1051.922</v>
      </c>
      <c r="BW13" s="1687">
        <f>'yrP&amp;L'!I14</f>
        <v>1062.4680000000001</v>
      </c>
      <c r="BX13" s="1687">
        <f>'yrP&amp;L'!J14</f>
        <v>1090.829</v>
      </c>
      <c r="BY13" s="1687">
        <f>'yrP&amp;L'!K14</f>
        <v>1115.248</v>
      </c>
      <c r="BZ13" s="1690">
        <f>'yrP&amp;L'!L14</f>
        <v>1113.96</v>
      </c>
      <c r="CA13" s="1687">
        <f>'yrP&amp;L'!M14</f>
        <v>1151.4840000000002</v>
      </c>
      <c r="CB13" s="1687">
        <f>'yrP&amp;L'!N14</f>
        <v>1218.9269999999999</v>
      </c>
      <c r="CC13" s="1687">
        <f>'yrP&amp;L_new'!E14</f>
        <v>1289.1741698830001</v>
      </c>
      <c r="CD13" s="1687">
        <f>'yrP&amp;L_new'!F14</f>
        <v>1391.788</v>
      </c>
      <c r="CE13" s="1687">
        <f>'yrP&amp;L_new'!G14</f>
        <v>1511.6480000000001</v>
      </c>
      <c r="CF13" s="1687">
        <f>'yrP&amp;L_new'!H14</f>
        <v>1597.7180000000001</v>
      </c>
      <c r="CG13" s="1687">
        <f>'yrP&amp;L_new'!I14</f>
        <v>1723.251</v>
      </c>
      <c r="CH13" s="1687">
        <f>'yrP&amp;L_new'!J14</f>
        <v>1863.5</v>
      </c>
      <c r="CI13" s="1687">
        <f>'yrP&amp;L_new'!K14</f>
        <v>2016.433830767297</v>
      </c>
      <c r="CJ13" s="1687">
        <f>'yrP&amp;L_new'!L14</f>
        <v>2226.0222689021434</v>
      </c>
      <c r="CK13" s="1687">
        <f>'yrP&amp;L_new'!M14</f>
        <v>2455.0787105870977</v>
      </c>
      <c r="CL13" s="1687">
        <f>'yrP&amp;L_new'!N14</f>
        <v>2691.2586910705131</v>
      </c>
      <c r="CM13" s="1687">
        <f>'yrP&amp;L_new'!O14</f>
        <v>2945.7254105568322</v>
      </c>
      <c r="CN13" s="1538"/>
      <c r="CO13" s="1349"/>
      <c r="CP13" s="1349"/>
    </row>
    <row r="14" spans="1:100" ht="14.25" hidden="1" customHeight="1" outlineLevel="1">
      <c r="A14" s="1691" t="s">
        <v>892</v>
      </c>
      <c r="B14" s="1349"/>
      <c r="C14" s="1687"/>
      <c r="D14" s="1687"/>
      <c r="E14" s="1687"/>
      <c r="F14" s="1687"/>
      <c r="G14" s="1687"/>
      <c r="H14" s="1687"/>
      <c r="I14" s="1687"/>
      <c r="J14" s="1687"/>
      <c r="K14" s="1687"/>
      <c r="L14" s="1687"/>
      <c r="M14" s="1687"/>
      <c r="N14" s="1687"/>
      <c r="O14" s="1687"/>
      <c r="P14" s="1687"/>
      <c r="Q14" s="1687"/>
      <c r="R14" s="1687"/>
      <c r="S14" s="1687"/>
      <c r="T14" s="1687"/>
      <c r="U14" s="1687"/>
      <c r="V14" s="1687"/>
      <c r="W14" s="1687">
        <f t="array" ref="W14:Z14">TRANSPOSE('qtrP&amp;L_new'!AI41:AI44)</f>
        <v>0</v>
      </c>
      <c r="X14" s="1687">
        <v>0</v>
      </c>
      <c r="Y14" s="1687">
        <v>0</v>
      </c>
      <c r="Z14" s="1687">
        <v>0</v>
      </c>
      <c r="AA14" s="1687"/>
      <c r="AB14" s="1687">
        <f t="array" ref="AB14:AE14">TRANSPOSE('qtrP&amp;L_new'!AM41:AM44)</f>
        <v>0</v>
      </c>
      <c r="AC14" s="1687">
        <v>0</v>
      </c>
      <c r="AD14" s="1687">
        <v>0</v>
      </c>
      <c r="AE14" s="1687">
        <v>0</v>
      </c>
      <c r="AF14" s="1687"/>
      <c r="AG14" s="1687">
        <f t="array" ref="AG14:AJ14">TRANSPOSE('qtrP&amp;L_new'!AQ41:AQ44)</f>
        <v>0</v>
      </c>
      <c r="AH14" s="1687">
        <v>0</v>
      </c>
      <c r="AI14" s="1687">
        <v>0</v>
      </c>
      <c r="AJ14" s="1687">
        <v>0</v>
      </c>
      <c r="AK14" s="1687"/>
      <c r="AL14" s="1687">
        <f t="array" ref="AL14:AO14">TRANSPOSE('qtrP&amp;L_new'!AU41:AU44)</f>
        <v>0</v>
      </c>
      <c r="AM14" s="1687">
        <v>3.9039999999999999</v>
      </c>
      <c r="AN14" s="1687">
        <v>0.13100000000000001</v>
      </c>
      <c r="AO14" s="1687">
        <v>0.95</v>
      </c>
      <c r="AP14" s="1349"/>
      <c r="AQ14" s="1687">
        <f t="array" ref="AQ14:AT14">TRANSPOSE('qtrP&amp;L_new'!AY41:AY44)</f>
        <v>8.8539999999999992</v>
      </c>
      <c r="AR14" s="1687">
        <v>2.6030000000000002</v>
      </c>
      <c r="AS14" s="1687">
        <v>10.506</v>
      </c>
      <c r="AT14" s="1687">
        <v>1.0629999999999999</v>
      </c>
      <c r="AU14" s="1349"/>
      <c r="AV14" s="1687">
        <f t="array" ref="AV14:AY14">TRANSPOSE('qtrP&amp;L_new'!BC41:BC44)</f>
        <v>0.42399999999999999</v>
      </c>
      <c r="AW14" s="1687">
        <v>0.91700000000000004</v>
      </c>
      <c r="AX14" s="1687">
        <v>0.58899999999999997</v>
      </c>
      <c r="AY14" s="1687">
        <v>0.48199999999999998</v>
      </c>
      <c r="AZ14" s="1349"/>
      <c r="BA14" s="1687">
        <f t="array" ref="BA14:BD14">TRANSPOSE('qtrP&amp;L_new'!BG41:BG44)</f>
        <v>0.25900000000000001</v>
      </c>
      <c r="BB14" s="1687">
        <v>-1.2E-2</v>
      </c>
      <c r="BC14" s="1687">
        <v>0</v>
      </c>
      <c r="BD14" s="1687">
        <v>0</v>
      </c>
      <c r="BE14" s="1349"/>
      <c r="BF14" s="1687">
        <f t="array" ref="BF14:BI14">TRANSPOSE('qtrP&amp;L_new'!BK41:BK44)</f>
        <v>0</v>
      </c>
      <c r="BG14" s="1687">
        <v>1.3460000000000001</v>
      </c>
      <c r="BH14" s="1687">
        <v>0</v>
      </c>
      <c r="BI14" s="1687">
        <v>0</v>
      </c>
      <c r="BK14" s="1687">
        <f t="array" ref="BK14:BN14">TRANSPOSE('qtrP&amp;L_new'!BO41:BO44)</f>
        <v>0</v>
      </c>
      <c r="BL14" s="1687">
        <v>0</v>
      </c>
      <c r="BM14" s="1687">
        <v>0</v>
      </c>
      <c r="BN14" s="1687">
        <v>2.262</v>
      </c>
      <c r="BP14" s="1687">
        <f t="array" ref="BP14:BS14">TRANSPOSE('qtrP&amp;L_new'!BS41:BS44)</f>
        <v>0</v>
      </c>
      <c r="BQ14" s="1687">
        <v>0</v>
      </c>
      <c r="BR14" s="1687">
        <v>0</v>
      </c>
      <c r="BS14" s="1689">
        <v>0</v>
      </c>
      <c r="BT14" s="1687"/>
      <c r="BU14" s="1687"/>
      <c r="BV14" s="1687"/>
      <c r="BW14" s="1687"/>
      <c r="BX14" s="1687"/>
      <c r="BY14" s="1687"/>
      <c r="BZ14" s="1690"/>
      <c r="CA14" s="1687"/>
      <c r="CB14" s="1687"/>
      <c r="CC14" s="1687">
        <f>'yrP&amp;L_new'!E20</f>
        <v>4.9850000000000003</v>
      </c>
      <c r="CD14" s="1687">
        <f>'yrP&amp;L_new'!F20</f>
        <v>23.026</v>
      </c>
      <c r="CE14" s="1687">
        <f>'yrP&amp;L_new'!G20</f>
        <v>2.4119999999999999</v>
      </c>
      <c r="CF14" s="1687">
        <f>'yrP&amp;L_new'!H20</f>
        <v>0.247</v>
      </c>
      <c r="CG14" s="1687">
        <f>'yrP&amp;L_new'!I20</f>
        <v>1.3460000000000001</v>
      </c>
      <c r="CH14" s="1687">
        <f>'yrP&amp;L_new'!J20</f>
        <v>2.262</v>
      </c>
      <c r="CI14" s="1687">
        <f>'yrP&amp;L_new'!K20</f>
        <v>0</v>
      </c>
      <c r="CJ14" s="1687">
        <f>'yrP&amp;L_new'!L20</f>
        <v>0</v>
      </c>
      <c r="CK14" s="1687">
        <f>'yrP&amp;L_new'!M20</f>
        <v>0</v>
      </c>
      <c r="CL14" s="1687">
        <f>'yrP&amp;L_new'!N20</f>
        <v>0</v>
      </c>
      <c r="CM14" s="1687">
        <f>'yrP&amp;L_new'!O20</f>
        <v>0</v>
      </c>
      <c r="CN14" s="1538"/>
      <c r="CO14" s="1349"/>
      <c r="CP14" s="1349"/>
    </row>
    <row r="15" spans="1:100" hidden="1" outlineLevel="1">
      <c r="A15" s="1686" t="s">
        <v>868</v>
      </c>
      <c r="B15" s="1349"/>
      <c r="C15" s="1687"/>
      <c r="D15" s="1687"/>
      <c r="E15" s="1687"/>
      <c r="F15" s="1687"/>
      <c r="G15" s="1687"/>
      <c r="H15" s="1687"/>
      <c r="I15" s="1687"/>
      <c r="J15" s="1687"/>
      <c r="K15" s="1687"/>
      <c r="L15" s="1687"/>
      <c r="M15" s="1687"/>
      <c r="N15" s="1687"/>
      <c r="O15" s="1687"/>
      <c r="P15" s="1687"/>
      <c r="Q15" s="1687"/>
      <c r="R15" s="1687"/>
      <c r="S15" s="1687"/>
      <c r="T15" s="1687"/>
      <c r="U15" s="1687"/>
      <c r="V15" s="1687"/>
      <c r="W15" s="1687">
        <f t="array" ref="W15:Z15">TRANSPOSE('qtrP&amp;L_new'!AI51:AI54)</f>
        <v>0</v>
      </c>
      <c r="X15" s="1687">
        <v>0</v>
      </c>
      <c r="Y15" s="1687">
        <v>0</v>
      </c>
      <c r="Z15" s="1687">
        <v>0</v>
      </c>
      <c r="AA15" s="1687"/>
      <c r="AB15" s="1687">
        <f t="array" ref="AB15:AE15">TRANSPOSE('qtrP&amp;L_new'!AM51:AM54)</f>
        <v>0</v>
      </c>
      <c r="AC15" s="1687">
        <v>0</v>
      </c>
      <c r="AD15" s="1687">
        <v>0</v>
      </c>
      <c r="AE15" s="1687">
        <v>0</v>
      </c>
      <c r="AF15" s="1687"/>
      <c r="AG15" s="1687">
        <f t="array" ref="AG15:AJ15">TRANSPOSE('qtrP&amp;L_new'!AQ51:AQ54)</f>
        <v>0</v>
      </c>
      <c r="AH15" s="1687">
        <v>0</v>
      </c>
      <c r="AI15" s="1687">
        <v>0</v>
      </c>
      <c r="AJ15" s="1687">
        <v>0</v>
      </c>
      <c r="AK15" s="1687"/>
      <c r="AL15" s="1687">
        <f t="array" ref="AL15:AO15">TRANSPOSE('qtrP&amp;L_new'!AU51:AU54)</f>
        <v>0</v>
      </c>
      <c r="AM15" s="1687">
        <v>0</v>
      </c>
      <c r="AN15" s="1687">
        <v>0</v>
      </c>
      <c r="AO15" s="1687">
        <v>0</v>
      </c>
      <c r="AP15" s="1349"/>
      <c r="AQ15" s="1687">
        <f t="array" ref="AQ15:AT15">TRANSPOSE('qtrP&amp;L_new'!AY51:AY54)</f>
        <v>0</v>
      </c>
      <c r="AR15" s="1687">
        <v>7.2629999999999999</v>
      </c>
      <c r="AS15" s="1687">
        <v>1.768</v>
      </c>
      <c r="AT15" s="1687">
        <v>1.3859999999999999</v>
      </c>
      <c r="AU15" s="1349"/>
      <c r="AV15" s="1687">
        <f t="array" ref="AV15:AY15">TRANSPOSE('qtrP&amp;L_new'!BC51:BC54)</f>
        <v>0.82799999999999996</v>
      </c>
      <c r="AW15" s="1687">
        <v>0.96299999999999997</v>
      </c>
      <c r="AX15" s="1687">
        <v>0.628</v>
      </c>
      <c r="AY15" s="1687">
        <v>0.52100000000000002</v>
      </c>
      <c r="AZ15" s="1349"/>
      <c r="BA15" s="1687">
        <f t="array" ref="BA15:BD15">TRANSPOSE('qtrP&amp;L_new'!BG51:BG54)</f>
        <v>0.46</v>
      </c>
      <c r="BB15" s="1687">
        <v>0.33500000000000002</v>
      </c>
      <c r="BC15" s="1687">
        <v>0.32400000000000001</v>
      </c>
      <c r="BD15" s="1687">
        <v>0.248</v>
      </c>
      <c r="BE15" s="1349"/>
      <c r="BF15" s="1687">
        <f t="array" ref="BF15:BI15">TRANSPOSE('qtrP&amp;L_new'!BK51:BK54)</f>
        <v>0.23599999999999999</v>
      </c>
      <c r="BG15" s="1687">
        <v>0.17799999999999999</v>
      </c>
      <c r="BH15" s="1687">
        <v>0.106</v>
      </c>
      <c r="BI15" s="1687">
        <v>8.1000000000000003E-2</v>
      </c>
      <c r="BK15" s="1687">
        <f t="array" ref="BK15:BN15">TRANSPOSE('qtrP&amp;L_new'!BO51:BO54)</f>
        <v>6.3E-2</v>
      </c>
      <c r="BL15" s="1687">
        <v>4.2000000000000003E-2</v>
      </c>
      <c r="BM15" s="1687">
        <v>2.5999999999999999E-2</v>
      </c>
      <c r="BN15" s="1687">
        <v>0.01</v>
      </c>
      <c r="BP15" s="1687">
        <f t="array" ref="BP15:BS15">TRANSPOSE('qtrP&amp;L_new'!BS51:BS54)</f>
        <v>0</v>
      </c>
      <c r="BQ15" s="1687">
        <v>0</v>
      </c>
      <c r="BR15" s="1687">
        <v>0</v>
      </c>
      <c r="BS15" s="1689">
        <v>0</v>
      </c>
      <c r="BT15" s="1687"/>
      <c r="BU15" s="1687"/>
      <c r="BV15" s="1687"/>
      <c r="BW15" s="1687"/>
      <c r="BX15" s="1687"/>
      <c r="BY15" s="1687"/>
      <c r="BZ15" s="1690"/>
      <c r="CA15" s="1687"/>
      <c r="CB15" s="1687"/>
      <c r="CC15" s="1687">
        <f>'yrP&amp;L_new'!E22</f>
        <v>0</v>
      </c>
      <c r="CD15" s="1687">
        <f>'yrP&amp;L_new'!F22</f>
        <v>10.417</v>
      </c>
      <c r="CE15" s="1687">
        <f>'yrP&amp;L_new'!G22</f>
        <v>2.94</v>
      </c>
      <c r="CF15" s="1687">
        <f>'yrP&amp;L_new'!H22</f>
        <v>1.367</v>
      </c>
      <c r="CG15" s="1687">
        <f>'yrP&amp;L_new'!I22</f>
        <v>0.60099999999999998</v>
      </c>
      <c r="CH15" s="1687">
        <f>'yrP&amp;L_new'!J22</f>
        <v>0.14100000000000001</v>
      </c>
      <c r="CI15" s="1687">
        <f>'yrP&amp;L_new'!K22</f>
        <v>0</v>
      </c>
      <c r="CJ15" s="1687">
        <f>'yrP&amp;L_new'!L22</f>
        <v>0</v>
      </c>
      <c r="CK15" s="1687">
        <f>'yrP&amp;L_new'!M22</f>
        <v>0</v>
      </c>
      <c r="CL15" s="1687">
        <f>'yrP&amp;L_new'!N22</f>
        <v>0</v>
      </c>
      <c r="CM15" s="1687">
        <f>'yrP&amp;L_new'!O22</f>
        <v>0</v>
      </c>
      <c r="CN15" s="1538"/>
      <c r="CO15" s="1349"/>
      <c r="CP15" s="1349"/>
    </row>
    <row r="16" spans="1:100" hidden="1" outlineLevel="1">
      <c r="A16" s="1686" t="s">
        <v>893</v>
      </c>
      <c r="B16" s="1349"/>
      <c r="C16" s="1687"/>
      <c r="D16" s="1687"/>
      <c r="E16" s="1687"/>
      <c r="F16" s="1687"/>
      <c r="G16" s="1687"/>
      <c r="H16" s="1687"/>
      <c r="I16" s="1687"/>
      <c r="J16" s="1687"/>
      <c r="K16" s="1687"/>
      <c r="L16" s="1687"/>
      <c r="M16" s="1687"/>
      <c r="N16" s="1687"/>
      <c r="O16" s="1687"/>
      <c r="P16" s="1687"/>
      <c r="Q16" s="1687"/>
      <c r="R16" s="1687"/>
      <c r="S16" s="1687"/>
      <c r="T16" s="1687"/>
      <c r="U16" s="1687"/>
      <c r="V16" s="1687"/>
      <c r="W16" s="1687">
        <f t="array" ref="W16:Z16">TRANSPOSE('qtrP&amp;L_new'!AI61:AI64)</f>
        <v>5.0229999999999997</v>
      </c>
      <c r="X16" s="1687">
        <v>8.1000000000000003E-2</v>
      </c>
      <c r="Y16" s="1687">
        <v>1.19</v>
      </c>
      <c r="Z16" s="1687">
        <v>1.1579999999999995</v>
      </c>
      <c r="AA16" s="1687"/>
      <c r="AB16" s="1687">
        <f t="array" ref="AB16:AE16">TRANSPOSE('qtrP&amp;L_new'!AM61:AM64)</f>
        <v>0.96299999999999997</v>
      </c>
      <c r="AC16" s="1687">
        <v>1.19</v>
      </c>
      <c r="AD16" s="1687">
        <v>0</v>
      </c>
      <c r="AE16" s="1687">
        <v>4.7000000000000153E-2</v>
      </c>
      <c r="AF16" s="1687"/>
      <c r="AG16" s="1687">
        <f t="array" ref="AG16:AJ16">TRANSPOSE('qtrP&amp;L_new'!AQ61:AQ64)</f>
        <v>0</v>
      </c>
      <c r="AH16" s="1687">
        <v>5.19</v>
      </c>
      <c r="AI16" s="1687">
        <v>0.43099999999999999</v>
      </c>
      <c r="AJ16" s="1687">
        <v>1.8169999999999993</v>
      </c>
      <c r="AK16" s="1687"/>
      <c r="AL16" s="1687">
        <f t="array" ref="AL16:AO16">TRANSPOSE('qtrP&amp;L_new'!AU61:AU64)</f>
        <v>1.478</v>
      </c>
      <c r="AM16" s="1687">
        <v>0.32800000000000001</v>
      </c>
      <c r="AN16" s="1687">
        <v>0.63500000000000001</v>
      </c>
      <c r="AO16" s="1687">
        <v>0.55800000000000005</v>
      </c>
      <c r="AP16" s="1349"/>
      <c r="AQ16" s="1687">
        <f t="array" ref="AQ16:AT16">TRANSPOSE('qtrP&amp;L_new'!AY61:AY64)</f>
        <v>1.625</v>
      </c>
      <c r="AR16" s="1687">
        <v>0.55400000000000005</v>
      </c>
      <c r="AS16" s="1687">
        <v>0</v>
      </c>
      <c r="AT16" s="1687">
        <v>-7.0000000000000001E-3</v>
      </c>
      <c r="AU16" s="1349"/>
      <c r="AV16" s="1687">
        <f t="array" ref="AV16:AY16">TRANSPOSE('qtrP&amp;L_new'!BC61:BC64)</f>
        <v>0</v>
      </c>
      <c r="AW16" s="1687">
        <v>0</v>
      </c>
      <c r="AX16" s="1687">
        <v>0</v>
      </c>
      <c r="AY16" s="1687">
        <v>0</v>
      </c>
      <c r="AZ16" s="1349"/>
      <c r="BA16" s="1687">
        <f t="array" ref="BA16:BD16">TRANSPOSE('qtrP&amp;L_new'!BG61:BG64)</f>
        <v>0</v>
      </c>
      <c r="BB16" s="1687">
        <v>0</v>
      </c>
      <c r="BC16" s="1687">
        <v>0</v>
      </c>
      <c r="BD16" s="1687">
        <v>0</v>
      </c>
      <c r="BE16" s="1349"/>
      <c r="BF16" s="1687">
        <f t="array" ref="BF16:BI16">TRANSPOSE('qtrP&amp;L_new'!BK61:BK64)</f>
        <v>0</v>
      </c>
      <c r="BG16" s="1687">
        <v>0</v>
      </c>
      <c r="BH16" s="1687">
        <v>0</v>
      </c>
      <c r="BI16" s="1687">
        <v>0</v>
      </c>
      <c r="BK16" s="1687">
        <f t="array" ref="BK16:BN16">TRANSPOSE('qtrP&amp;L_new'!BO61:BO64)</f>
        <v>0</v>
      </c>
      <c r="BL16" s="1687">
        <v>0</v>
      </c>
      <c r="BM16" s="1687">
        <v>0</v>
      </c>
      <c r="BN16" s="1687">
        <v>0</v>
      </c>
      <c r="BP16" s="1687">
        <f t="array" ref="BP16:BS16">TRANSPOSE('qtrP&amp;L_new'!BS61:BS64)</f>
        <v>0</v>
      </c>
      <c r="BQ16" s="1687">
        <v>0</v>
      </c>
      <c r="BR16" s="1687">
        <v>0</v>
      </c>
      <c r="BS16" s="1689">
        <v>0</v>
      </c>
      <c r="BT16" s="1687"/>
      <c r="BU16" s="1687"/>
      <c r="BV16" s="1687"/>
      <c r="BW16" s="1687"/>
      <c r="BX16" s="1687"/>
      <c r="BY16" s="1687"/>
      <c r="BZ16" s="1690"/>
      <c r="CA16" s="1687"/>
      <c r="CB16" s="1687"/>
      <c r="CC16" s="1687">
        <f>'yrP&amp;L_new'!E24</f>
        <v>2.9989999999999997</v>
      </c>
      <c r="CD16" s="1687">
        <f>'yrP&amp;L_new'!F24</f>
        <v>2.1720000000000002</v>
      </c>
      <c r="CE16" s="1687">
        <f>'yrP&amp;L_new'!G24</f>
        <v>0</v>
      </c>
      <c r="CF16" s="1687">
        <f>'yrP&amp;L_new'!H24</f>
        <v>0</v>
      </c>
      <c r="CG16" s="1687">
        <f>'yrP&amp;L_new'!I24</f>
        <v>0</v>
      </c>
      <c r="CH16" s="1687">
        <f>'yrP&amp;L_new'!J24</f>
        <v>0</v>
      </c>
      <c r="CI16" s="1687">
        <f>'yrP&amp;L_new'!K24</f>
        <v>0</v>
      </c>
      <c r="CJ16" s="1687">
        <f>'yrP&amp;L_new'!L24</f>
        <v>0</v>
      </c>
      <c r="CK16" s="1687">
        <f>'yrP&amp;L_new'!M24</f>
        <v>0</v>
      </c>
      <c r="CL16" s="1687">
        <f>'yrP&amp;L_new'!N24</f>
        <v>0</v>
      </c>
      <c r="CM16" s="1687">
        <f>'yrP&amp;L_new'!O24</f>
        <v>0</v>
      </c>
      <c r="CN16" s="1538"/>
      <c r="CO16" s="1349"/>
      <c r="CP16" s="1349"/>
    </row>
    <row r="17" spans="1:102" hidden="1" outlineLevel="1">
      <c r="A17" s="1686" t="s">
        <v>869</v>
      </c>
      <c r="B17" s="1349"/>
      <c r="C17" s="1687"/>
      <c r="D17" s="1687"/>
      <c r="E17" s="1687"/>
      <c r="F17" s="1687"/>
      <c r="G17" s="1687"/>
      <c r="H17" s="1687"/>
      <c r="I17" s="1687"/>
      <c r="J17" s="1687"/>
      <c r="K17" s="1687"/>
      <c r="L17" s="1687"/>
      <c r="M17" s="1687"/>
      <c r="N17" s="1687"/>
      <c r="O17" s="1687"/>
      <c r="P17" s="1687"/>
      <c r="Q17" s="1687"/>
      <c r="R17" s="1687"/>
      <c r="S17" s="1687"/>
      <c r="T17" s="1687"/>
      <c r="U17" s="1687"/>
      <c r="V17" s="1687"/>
      <c r="W17" s="1687">
        <f t="array" ref="W17:Z17">TRANSPOSE('qtrP&amp;L_new'!AI83:AI86)</f>
        <v>15.25</v>
      </c>
      <c r="X17" s="1687">
        <v>4.2000000000000003E-2</v>
      </c>
      <c r="Y17" s="1687">
        <v>6.4370000000000003</v>
      </c>
      <c r="Z17" s="1687">
        <v>49.661999999999992</v>
      </c>
      <c r="AA17" s="1687"/>
      <c r="AB17" s="1687">
        <f t="array" ref="AB17:AE17">TRANSPOSE('qtrP&amp;L_new'!AM83:AM86)</f>
        <v>0.185</v>
      </c>
      <c r="AC17" s="1687">
        <v>7.2999999999999995E-2</v>
      </c>
      <c r="AD17" s="1687">
        <v>0.252</v>
      </c>
      <c r="AE17" s="1687">
        <v>1.57</v>
      </c>
      <c r="AF17" s="1687"/>
      <c r="AG17" s="1687">
        <f t="array" ref="AG17:AJ17">TRANSPOSE('qtrP&amp;L_new'!AQ83:AQ86)</f>
        <v>8.9999999999999993E-3</v>
      </c>
      <c r="AH17" s="1687">
        <v>2.5000000000000001E-2</v>
      </c>
      <c r="AI17" s="1687">
        <v>0</v>
      </c>
      <c r="AJ17" s="1687">
        <v>1.7010000000000001</v>
      </c>
      <c r="AK17" s="1687"/>
      <c r="AL17" s="1687">
        <f t="array" ref="AL17:AO17">TRANSPOSE('qtrP&amp;L_new'!AU83:AU86)</f>
        <v>1.2999999999999999E-2</v>
      </c>
      <c r="AM17" s="1687">
        <v>6.6000000000000003E-2</v>
      </c>
      <c r="AN17" s="1687">
        <v>1.0209999999999999</v>
      </c>
      <c r="AO17" s="1687">
        <v>10.439</v>
      </c>
      <c r="AP17" s="1349"/>
      <c r="AQ17" s="1687">
        <f t="array" ref="AQ17:AT17">TRANSPOSE('qtrP&amp;L_new'!AY83:AY86)</f>
        <v>5.0999999999999997E-2</v>
      </c>
      <c r="AR17" s="1687">
        <v>8.7999999999999995E-2</v>
      </c>
      <c r="AS17" s="1687">
        <v>0.24299999999999999</v>
      </c>
      <c r="AT17" s="1687">
        <v>2.7989999999999999</v>
      </c>
      <c r="AU17" s="1349"/>
      <c r="AV17" s="1687">
        <f t="array" ref="AV17:AY17">TRANSPOSE('qtrP&amp;L_new'!BC83:BC86)</f>
        <v>1.9E-2</v>
      </c>
      <c r="AW17" s="1687">
        <v>0.82899999999999996</v>
      </c>
      <c r="AX17" s="1687">
        <v>6.0000000000000001E-3</v>
      </c>
      <c r="AY17" s="1687">
        <v>1.726</v>
      </c>
      <c r="AZ17" s="1349"/>
      <c r="BA17" s="1687">
        <f t="array" ref="BA17:BD17">TRANSPOSE('qtrP&amp;L_new'!BG83:BG86)</f>
        <v>1.7150000000000001</v>
      </c>
      <c r="BB17" s="1687">
        <v>0.188</v>
      </c>
      <c r="BC17" s="1687">
        <v>0</v>
      </c>
      <c r="BD17" s="1687">
        <v>4.2069999999999999</v>
      </c>
      <c r="BE17" s="1349"/>
      <c r="BF17" s="1687">
        <f t="array" ref="BF17:BI17">TRANSPOSE('qtrP&amp;L_new'!BK83:BK86)</f>
        <v>0.109</v>
      </c>
      <c r="BG17" s="1687">
        <v>0</v>
      </c>
      <c r="BH17" s="1687">
        <v>0</v>
      </c>
      <c r="BI17" s="1687">
        <v>2.3410000000000002</v>
      </c>
      <c r="BK17" s="1687">
        <f t="array" ref="BK17:BN17">TRANSPOSE('qtrP&amp;L_new'!BO83:BO86)</f>
        <v>0</v>
      </c>
      <c r="BL17" s="1687">
        <v>0.98799999999999999</v>
      </c>
      <c r="BM17" s="1687">
        <v>0</v>
      </c>
      <c r="BN17" s="1687">
        <v>1.1399999999999999</v>
      </c>
      <c r="BP17" s="1687">
        <f t="array" ref="BP17:BS17">TRANSPOSE('qtrP&amp;L_new'!BS83:BS86)</f>
        <v>0</v>
      </c>
      <c r="BQ17" s="1687">
        <v>0</v>
      </c>
      <c r="BR17" s="1687">
        <v>0</v>
      </c>
      <c r="BS17" s="1689">
        <v>0</v>
      </c>
      <c r="BT17" s="1687"/>
      <c r="BU17" s="1687"/>
      <c r="BV17" s="1687"/>
      <c r="BW17" s="1687"/>
      <c r="BX17" s="1687"/>
      <c r="BY17" s="1687"/>
      <c r="BZ17" s="1690"/>
      <c r="CA17" s="1687"/>
      <c r="CB17" s="1687"/>
      <c r="CC17" s="1687">
        <f>'yrP&amp;L_new'!E26</f>
        <v>11.539</v>
      </c>
      <c r="CD17" s="1687">
        <f>'yrP&amp;L_new'!F26</f>
        <v>3.181</v>
      </c>
      <c r="CE17" s="1687">
        <f>'yrP&amp;L_new'!G26</f>
        <v>2.58</v>
      </c>
      <c r="CF17" s="1687">
        <f>'yrP&amp;L_new'!H26</f>
        <v>6.1099999999999994</v>
      </c>
      <c r="CG17" s="1687">
        <f>'yrP&amp;L_new'!I26</f>
        <v>2.4500000000000002</v>
      </c>
      <c r="CH17" s="1687">
        <f>'yrP&amp;L_new'!J26</f>
        <v>2.1280000000000001</v>
      </c>
      <c r="CI17" s="1687">
        <f>'yrP&amp;L_new'!K26</f>
        <v>0</v>
      </c>
      <c r="CJ17" s="1687">
        <f>'yrP&amp;L_new'!L26</f>
        <v>0</v>
      </c>
      <c r="CK17" s="1687">
        <f>'yrP&amp;L_new'!M26</f>
        <v>0</v>
      </c>
      <c r="CL17" s="1687">
        <f>'yrP&amp;L_new'!N26</f>
        <v>0</v>
      </c>
      <c r="CM17" s="1687">
        <f>'yrP&amp;L_new'!O26</f>
        <v>0</v>
      </c>
      <c r="CN17" s="1538"/>
      <c r="CO17" s="1349"/>
      <c r="CP17" s="1349"/>
    </row>
    <row r="18" spans="1:102" hidden="1" outlineLevel="1">
      <c r="A18" s="1686" t="s">
        <v>867</v>
      </c>
      <c r="B18" s="1349"/>
      <c r="C18" s="1349"/>
      <c r="D18" s="1349"/>
      <c r="E18" s="1349"/>
      <c r="F18" s="1349"/>
      <c r="G18" s="1349"/>
      <c r="H18" s="1349"/>
      <c r="I18" s="1349"/>
      <c r="J18" s="1349"/>
      <c r="K18" s="1349"/>
      <c r="L18" s="1349"/>
      <c r="M18" s="1349"/>
      <c r="N18" s="1349"/>
      <c r="O18" s="1349"/>
      <c r="P18" s="1349"/>
      <c r="Q18" s="1349"/>
      <c r="R18" s="1349"/>
      <c r="S18" s="1349"/>
      <c r="T18" s="1349"/>
      <c r="U18" s="1349"/>
      <c r="V18" s="1349"/>
      <c r="W18" s="1687">
        <f t="array" ref="W18:Z18">TRANSPOSE('qtrP&amp;L_new'!AI103:AI106)</f>
        <v>0</v>
      </c>
      <c r="X18" s="1687">
        <v>0</v>
      </c>
      <c r="Y18" s="1687">
        <v>0</v>
      </c>
      <c r="Z18" s="1687">
        <v>0</v>
      </c>
      <c r="AA18" s="1687"/>
      <c r="AB18" s="1687">
        <f t="array" ref="AB18:AE18">TRANSPOSE('qtrP&amp;L_new'!AM103:AM106)</f>
        <v>0</v>
      </c>
      <c r="AC18" s="1688">
        <v>0</v>
      </c>
      <c r="AD18" s="1687">
        <v>0</v>
      </c>
      <c r="AE18" s="1687">
        <v>0</v>
      </c>
      <c r="AF18" s="1687"/>
      <c r="AG18" s="1687">
        <f t="array" ref="AG18:AJ18">TRANSPOSE('qtrP&amp;L_new'!AQ103:AQ106)</f>
        <v>37.764000000000003</v>
      </c>
      <c r="AH18" s="1687">
        <v>0</v>
      </c>
      <c r="AI18" s="1687">
        <v>0</v>
      </c>
      <c r="AJ18" s="1687">
        <v>0</v>
      </c>
      <c r="AK18" s="1687"/>
      <c r="AL18" s="1687">
        <f t="array" ref="AL18:AO18">TRANSPOSE('qtrP&amp;L_new'!AU103:AU106)</f>
        <v>0</v>
      </c>
      <c r="AM18" s="1687">
        <v>3.4129999999999998</v>
      </c>
      <c r="AN18" s="1687">
        <v>0</v>
      </c>
      <c r="AO18" s="1687">
        <v>-1.1910000000000001</v>
      </c>
      <c r="AP18" s="1349"/>
      <c r="AQ18" s="1687">
        <f t="array" ref="AQ18:AT18">TRANSPOSE('qtrP&amp;L_new'!AY103:AY106)</f>
        <v>0</v>
      </c>
      <c r="AR18" s="1687">
        <v>0.61699999999999999</v>
      </c>
      <c r="AS18" s="1687">
        <v>0</v>
      </c>
      <c r="AT18" s="1687">
        <v>15.476000000000001</v>
      </c>
      <c r="AU18" s="1349"/>
      <c r="AV18" s="1687">
        <f t="array" ref="AV18:AY18">TRANSPOSE('qtrP&amp;L_new'!BC103:BC106)</f>
        <v>3.681</v>
      </c>
      <c r="AW18" s="1687">
        <v>0</v>
      </c>
      <c r="AX18" s="1687">
        <v>70.302000000000007</v>
      </c>
      <c r="AY18" s="1687">
        <v>0.36399999999999999</v>
      </c>
      <c r="AZ18" s="1349"/>
      <c r="BA18" s="1687">
        <f t="array" ref="BA18:BD18">TRANSPOSE('qtrP&amp;L_new'!BG103:BG106)</f>
        <v>0.64900000000000002</v>
      </c>
      <c r="BB18" s="1687">
        <v>0</v>
      </c>
      <c r="BC18" s="1687">
        <v>0</v>
      </c>
      <c r="BD18" s="1687">
        <v>0</v>
      </c>
      <c r="BE18" s="1349"/>
      <c r="BF18" s="1687">
        <f t="array" ref="BF18:BI18">TRANSPOSE('qtrP&amp;L_new'!BK103:BK106)</f>
        <v>0</v>
      </c>
      <c r="BG18" s="1687">
        <v>3.8050000000000002</v>
      </c>
      <c r="BH18" s="1687">
        <v>0</v>
      </c>
      <c r="BI18" s="1687">
        <v>0</v>
      </c>
      <c r="BK18" s="1687">
        <f t="array" ref="BK18:BN18">TRANSPOSE('qtrP&amp;L_new'!BO103:BO106)</f>
        <v>0</v>
      </c>
      <c r="BL18" s="1687">
        <v>0</v>
      </c>
      <c r="BM18" s="1687">
        <v>0</v>
      </c>
      <c r="BN18" s="1687">
        <v>2.8809999999999998</v>
      </c>
      <c r="BP18" s="1687">
        <f t="array" ref="BP18:BS18">TRANSPOSE('qtrP&amp;L_new'!BS103:BS106)</f>
        <v>0</v>
      </c>
      <c r="BQ18" s="1687">
        <v>0</v>
      </c>
      <c r="BR18" s="1687">
        <v>0</v>
      </c>
      <c r="BS18" s="1689">
        <v>0</v>
      </c>
      <c r="BT18" s="1687"/>
      <c r="BU18" s="1687"/>
      <c r="BV18" s="1687"/>
      <c r="BW18" s="1687"/>
      <c r="BX18" s="1687"/>
      <c r="BY18" s="1687"/>
      <c r="BZ18" s="1690"/>
      <c r="CA18" s="1687"/>
      <c r="CB18" s="1687"/>
      <c r="CC18" s="1687">
        <f>'yrP&amp;L_new'!E28</f>
        <v>2.2219999999999995</v>
      </c>
      <c r="CD18" s="1687">
        <f>'yrP&amp;L_new'!F28</f>
        <v>16.093</v>
      </c>
      <c r="CE18" s="1687">
        <f>'yrP&amp;L_new'!G28</f>
        <v>74.347000000000008</v>
      </c>
      <c r="CF18" s="1687">
        <f>'yrP&amp;L_new'!H28</f>
        <v>0.64900000000000002</v>
      </c>
      <c r="CG18" s="1687">
        <f>'yrP&amp;L_new'!I28</f>
        <v>3.8050000000000002</v>
      </c>
      <c r="CH18" s="1687">
        <f>'yrP&amp;L_new'!J28</f>
        <v>2.8809999999999998</v>
      </c>
      <c r="CI18" s="1687">
        <f>'yrP&amp;L_new'!K28</f>
        <v>0</v>
      </c>
      <c r="CJ18" s="1687">
        <f>'yrP&amp;L_new'!L28</f>
        <v>0</v>
      </c>
      <c r="CK18" s="1687">
        <f>'yrP&amp;L_new'!M28</f>
        <v>0</v>
      </c>
      <c r="CL18" s="1687">
        <f>'yrP&amp;L_new'!N28</f>
        <v>0</v>
      </c>
      <c r="CM18" s="1687">
        <f>'yrP&amp;L_new'!O28</f>
        <v>0</v>
      </c>
      <c r="CN18" s="1538"/>
      <c r="CO18" s="1349"/>
      <c r="CP18" s="1349"/>
    </row>
    <row r="19" spans="1:102" collapsed="1">
      <c r="A19" s="1686" t="s">
        <v>921</v>
      </c>
      <c r="B19" s="1349"/>
      <c r="C19" s="1349"/>
      <c r="D19" s="1349"/>
      <c r="E19" s="1349"/>
      <c r="F19" s="1349"/>
      <c r="G19" s="1349"/>
      <c r="H19" s="1349"/>
      <c r="I19" s="1349"/>
      <c r="J19" s="1349"/>
      <c r="K19" s="1349"/>
      <c r="L19" s="1349"/>
      <c r="M19" s="1349"/>
      <c r="N19" s="1349"/>
      <c r="O19" s="1349"/>
      <c r="P19" s="1349"/>
      <c r="Q19" s="1349"/>
      <c r="R19" s="1349"/>
      <c r="S19" s="1349"/>
      <c r="T19" s="1349"/>
      <c r="U19" s="1349"/>
      <c r="V19" s="1349"/>
      <c r="W19" s="1687">
        <f>SUM(W14:W18)</f>
        <v>20.273</v>
      </c>
      <c r="X19" s="1687">
        <f>SUM(X14:X18)</f>
        <v>0.123</v>
      </c>
      <c r="Y19" s="1687">
        <f>SUM(Y14:Y18)</f>
        <v>7.6270000000000007</v>
      </c>
      <c r="Z19" s="1687">
        <f>SUM(Z14:Z18)</f>
        <v>50.819999999999993</v>
      </c>
      <c r="AA19" s="1687"/>
      <c r="AB19" s="1687">
        <f>SUM(AB14:AB18)</f>
        <v>1.1479999999999999</v>
      </c>
      <c r="AC19" s="1687">
        <f>SUM(AC14:AC18)</f>
        <v>1.2629999999999999</v>
      </c>
      <c r="AD19" s="1687">
        <f>SUM(AD14:AD18)</f>
        <v>0.252</v>
      </c>
      <c r="AE19" s="1687">
        <f>SUM(AE14:AE18)</f>
        <v>1.6170000000000002</v>
      </c>
      <c r="AF19" s="1687"/>
      <c r="AG19" s="1687">
        <f>SUM(AG14:AG18)</f>
        <v>37.773000000000003</v>
      </c>
      <c r="AH19" s="1687">
        <f>SUM(AH14:AH18)</f>
        <v>5.2150000000000007</v>
      </c>
      <c r="AI19" s="1687">
        <f>SUM(AI14:AI18)</f>
        <v>0.43099999999999999</v>
      </c>
      <c r="AJ19" s="1687">
        <f>SUM(AJ14:AJ18)</f>
        <v>3.5179999999999993</v>
      </c>
      <c r="AK19" s="1687"/>
      <c r="AL19" s="1687">
        <f>SUM(AL14:AL18)</f>
        <v>1.4909999999999999</v>
      </c>
      <c r="AM19" s="1687">
        <f>SUM(AM14:AM18)</f>
        <v>7.7110000000000003</v>
      </c>
      <c r="AN19" s="1687">
        <f>SUM(AN14:AN18)</f>
        <v>1.7869999999999999</v>
      </c>
      <c r="AO19" s="1687">
        <f>SUM(AO14:AO18)</f>
        <v>10.755999999999998</v>
      </c>
      <c r="AP19" s="1349"/>
      <c r="AQ19" s="1687">
        <f>SUM(AQ14:AQ18)</f>
        <v>10.53</v>
      </c>
      <c r="AR19" s="1687">
        <f>SUM(AR14:AR18)</f>
        <v>11.125</v>
      </c>
      <c r="AS19" s="1687">
        <f>SUM(AS14:AS18)</f>
        <v>12.517000000000001</v>
      </c>
      <c r="AT19" s="1687">
        <f>SUM(AT14:AT18)</f>
        <v>20.716999999999999</v>
      </c>
      <c r="AU19" s="1349"/>
      <c r="AV19" s="1687">
        <f>SUM(AV14:AV18)</f>
        <v>4.952</v>
      </c>
      <c r="AW19" s="1687">
        <f>SUM(AW14:AW18)</f>
        <v>2.7089999999999996</v>
      </c>
      <c r="AX19" s="1687">
        <f>SUM(AX14:AX18)</f>
        <v>71.525000000000006</v>
      </c>
      <c r="AY19" s="1687">
        <f>SUM(AY14:AY18)</f>
        <v>3.093</v>
      </c>
      <c r="AZ19" s="1349"/>
      <c r="BA19" s="1687">
        <f>SUM(BA14:BA18)</f>
        <v>3.0830000000000002</v>
      </c>
      <c r="BB19" s="1687">
        <f>SUM(BB14:BB18)</f>
        <v>0.51100000000000001</v>
      </c>
      <c r="BC19" s="1687">
        <f>SUM(BC14:BC18)</f>
        <v>0.32400000000000001</v>
      </c>
      <c r="BD19" s="1687">
        <f>SUM(BD14:BD18)</f>
        <v>4.4550000000000001</v>
      </c>
      <c r="BE19" s="1349"/>
      <c r="BF19" s="1687">
        <f>SUM(BF14:BF18)</f>
        <v>0.34499999999999997</v>
      </c>
      <c r="BG19" s="1687">
        <f>SUM(BG14:BG18)</f>
        <v>5.3290000000000006</v>
      </c>
      <c r="BH19" s="1687">
        <f>SUM(BH14:BH18)</f>
        <v>0.106</v>
      </c>
      <c r="BI19" s="1687">
        <f>SUM(BI14:BI18)</f>
        <v>2.4220000000000002</v>
      </c>
      <c r="BK19" s="1687">
        <f>SUM(BK14:BK18)</f>
        <v>6.3E-2</v>
      </c>
      <c r="BL19" s="1687">
        <f>SUM(BL14:BL18)</f>
        <v>1.03</v>
      </c>
      <c r="BM19" s="1687">
        <f>SUM(BM14:BM18)</f>
        <v>2.5999999999999999E-2</v>
      </c>
      <c r="BN19" s="1687">
        <f>SUM(BN14:BN18)</f>
        <v>6.2929999999999993</v>
      </c>
      <c r="BP19" s="1687">
        <f>SUM(BP14:BP18)</f>
        <v>0</v>
      </c>
      <c r="BQ19" s="1687">
        <f>SUM(BQ14:BQ18)</f>
        <v>0</v>
      </c>
      <c r="BR19" s="1687">
        <f>SUM(BR14:BR18)</f>
        <v>0</v>
      </c>
      <c r="BS19" s="1689">
        <f>SUM(BS14:BS18)</f>
        <v>0</v>
      </c>
      <c r="BT19" s="1687"/>
      <c r="BU19" s="1687"/>
      <c r="BV19" s="1687"/>
      <c r="BW19" s="1687"/>
      <c r="BX19" s="1687"/>
      <c r="BY19" s="1687"/>
      <c r="BZ19" s="1690">
        <f>'yrP&amp;L_new'!B30</f>
        <v>78.865380052422509</v>
      </c>
      <c r="CA19" s="1687">
        <f>'yrP&amp;L_new'!C30</f>
        <v>4.2811663390198724</v>
      </c>
      <c r="CB19" s="1687">
        <f>'yrP&amp;L_new'!D30</f>
        <v>46.939380041794088</v>
      </c>
      <c r="CC19" s="1687">
        <f>'yrP&amp;L_new'!E30</f>
        <v>21.749788529892278</v>
      </c>
      <c r="CD19" s="1687">
        <f>'yrP&amp;L_new'!F30</f>
        <v>54.897762501120823</v>
      </c>
      <c r="CE19" s="1687">
        <f>'yrP&amp;L_new'!G30</f>
        <v>82.280647521738487</v>
      </c>
      <c r="CF19" s="1687">
        <f>'yrP&amp;L_new'!H30</f>
        <v>8.3729999999999993</v>
      </c>
      <c r="CG19" s="1687">
        <f>'yrP&amp;L_new'!I30</f>
        <v>8.202</v>
      </c>
      <c r="CH19" s="1687">
        <f>'yrP&amp;L_new'!J30</f>
        <v>7.4120000000000008</v>
      </c>
      <c r="CI19" s="1687">
        <f>'yrP&amp;L_new'!K30</f>
        <v>0</v>
      </c>
      <c r="CJ19" s="1687">
        <f>'yrP&amp;L_new'!L30</f>
        <v>0</v>
      </c>
      <c r="CK19" s="1687">
        <f>'yrP&amp;L_new'!M30</f>
        <v>0</v>
      </c>
      <c r="CL19" s="1687">
        <f>'yrP&amp;L_new'!N30</f>
        <v>0</v>
      </c>
      <c r="CM19" s="1687">
        <f>'yrP&amp;L_new'!O30</f>
        <v>0</v>
      </c>
      <c r="CN19" s="1692"/>
      <c r="CO19" s="1745"/>
      <c r="CP19" s="1745"/>
    </row>
    <row r="20" spans="1:102">
      <c r="A20" s="1686" t="s">
        <v>190</v>
      </c>
      <c r="B20" s="1349"/>
      <c r="C20" s="1687"/>
      <c r="D20" s="1687"/>
      <c r="E20" s="1687"/>
      <c r="F20" s="1687"/>
      <c r="G20" s="1687"/>
      <c r="H20" s="1687"/>
      <c r="I20" s="1687"/>
      <c r="J20" s="1687"/>
      <c r="K20" s="1687"/>
      <c r="L20" s="1687"/>
      <c r="M20" s="1687"/>
      <c r="N20" s="1687"/>
      <c r="O20" s="1687"/>
      <c r="P20" s="1687"/>
      <c r="Q20" s="1687"/>
      <c r="R20" s="1687"/>
      <c r="S20" s="1687"/>
      <c r="T20" s="1687"/>
      <c r="U20" s="1687"/>
      <c r="V20" s="1687"/>
      <c r="W20" s="1687">
        <f t="array" ref="W20:Z20">TRANSPOSE('qtrP&amp;L_new'!AI72:AI75)</f>
        <v>39.679000000000002</v>
      </c>
      <c r="X20" s="1687">
        <v>37.665999999999997</v>
      </c>
      <c r="Y20" s="1687">
        <v>36.21</v>
      </c>
      <c r="Z20" s="1687">
        <v>42.832999999999998</v>
      </c>
      <c r="AA20" s="1687"/>
      <c r="AB20" s="1687">
        <f t="array" ref="AB20:AE20">TRANSPOSE('qtrP&amp;L_new'!AM72:AM75)</f>
        <v>36.728999999999999</v>
      </c>
      <c r="AC20" s="1687">
        <v>35.506</v>
      </c>
      <c r="AD20" s="1687">
        <v>36.96</v>
      </c>
      <c r="AE20" s="1687">
        <v>37.563999999999993</v>
      </c>
      <c r="AF20" s="1687"/>
      <c r="AG20" s="1687">
        <f t="array" ref="AG20:AJ20">TRANSPOSE('qtrP&amp;L_new'!AQ72:AQ75)</f>
        <v>36.619999999999997</v>
      </c>
      <c r="AH20" s="1687">
        <v>37.366999999999997</v>
      </c>
      <c r="AI20" s="1687">
        <v>39.188000000000002</v>
      </c>
      <c r="AJ20" s="1687">
        <v>39.894999999999996</v>
      </c>
      <c r="AK20" s="1687"/>
      <c r="AL20" s="1687">
        <f t="array" ref="AL20:AO20">TRANSPOSE('qtrP&amp;L_new'!AU72:AU75)</f>
        <v>39.937748829999997</v>
      </c>
      <c r="AM20" s="1687">
        <v>39.978999999999999</v>
      </c>
      <c r="AN20" s="1687">
        <v>40.844000000000001</v>
      </c>
      <c r="AO20" s="1687">
        <v>46.037999999999997</v>
      </c>
      <c r="AP20" s="1349"/>
      <c r="AQ20" s="1687">
        <f t="array" ref="AQ20:AT20">TRANSPOSE('qtrP&amp;L_new'!AY72:AY75)</f>
        <v>43.991999999999997</v>
      </c>
      <c r="AR20" s="1687">
        <v>41.247</v>
      </c>
      <c r="AS20" s="1687">
        <v>41.070999999999998</v>
      </c>
      <c r="AT20" s="1687">
        <v>41.884</v>
      </c>
      <c r="AU20" s="1349"/>
      <c r="AV20" s="1687">
        <f t="array" ref="AV20:AY20">TRANSPOSE('qtrP&amp;L_new'!BC72:BC75)</f>
        <v>41.207999999999998</v>
      </c>
      <c r="AW20" s="1687">
        <v>40.548999999999999</v>
      </c>
      <c r="AX20" s="1687">
        <v>42.584000000000003</v>
      </c>
      <c r="AY20" s="1687">
        <v>43.238999999999997</v>
      </c>
      <c r="AZ20" s="1349"/>
      <c r="BA20" s="1687">
        <f t="array" ref="BA20:BD20">TRANSPOSE('qtrP&amp;L_new'!BG72:BG75)</f>
        <v>42.155000000000001</v>
      </c>
      <c r="BB20" s="1687">
        <v>41.746000000000002</v>
      </c>
      <c r="BC20" s="1687">
        <v>43.186</v>
      </c>
      <c r="BD20" s="1687">
        <v>45.012</v>
      </c>
      <c r="BE20" s="1349"/>
      <c r="BF20" s="1687">
        <f t="array" ref="BF20:BI20">TRANSPOSE('qtrP&amp;L_new'!BK72:BK75)</f>
        <v>45.545000000000002</v>
      </c>
      <c r="BG20" s="1687">
        <v>44.613</v>
      </c>
      <c r="BH20" s="1687">
        <v>46.472000000000001</v>
      </c>
      <c r="BI20" s="1687">
        <v>46.956000000000003</v>
      </c>
      <c r="BK20" s="1687">
        <f t="array" ref="BK20:BN20">TRANSPOSE('qtrP&amp;L_new'!BO72:BO75)</f>
        <v>48.012</v>
      </c>
      <c r="BL20" s="1687">
        <v>48.7</v>
      </c>
      <c r="BM20" s="1687">
        <v>50.835999999999999</v>
      </c>
      <c r="BN20" s="1687">
        <v>53.555</v>
      </c>
      <c r="BP20" s="1687">
        <f t="array" ref="BP20:BS20">TRANSPOSE('qtrP&amp;L_new'!BS72:BS75)</f>
        <v>54.25356</v>
      </c>
      <c r="BQ20" s="1687">
        <v>54.544000000000004</v>
      </c>
      <c r="BR20" s="1687">
        <v>56.936319999999995</v>
      </c>
      <c r="BS20" s="1689">
        <v>59.9816</v>
      </c>
      <c r="BT20" s="1687">
        <f>'yrP&amp;L'!F26</f>
        <v>83.915000000000006</v>
      </c>
      <c r="BU20" s="1687">
        <f>'yrP&amp;L'!G26</f>
        <v>89.093000000000004</v>
      </c>
      <c r="BV20" s="1687">
        <f>'yrP&amp;L'!H26</f>
        <v>107.15299999999999</v>
      </c>
      <c r="BW20" s="1687">
        <f>'yrP&amp;L'!I26</f>
        <v>174.08699999999999</v>
      </c>
      <c r="BX20" s="1687">
        <f>'yrP&amp;L'!J26</f>
        <v>166.666</v>
      </c>
      <c r="BY20" s="1687">
        <f>'yrP&amp;L'!K26</f>
        <v>159.607</v>
      </c>
      <c r="BZ20" s="1690">
        <f>'yrP&amp;L_new'!B33</f>
        <v>156.38800000000001</v>
      </c>
      <c r="CA20" s="1687">
        <f>'yrP&amp;L_new'!C33</f>
        <v>146.75899999999999</v>
      </c>
      <c r="CB20" s="1687">
        <f>'yrP&amp;L_new'!D33</f>
        <v>153.07</v>
      </c>
      <c r="CC20" s="1687">
        <f>'yrP&amp;L_new'!E33</f>
        <v>166.79874882999997</v>
      </c>
      <c r="CD20" s="1687">
        <f>'yrP&amp;L_new'!F33</f>
        <v>168.19400000000002</v>
      </c>
      <c r="CE20" s="1687">
        <f>'yrP&amp;L_new'!G33</f>
        <v>167.58</v>
      </c>
      <c r="CF20" s="1687">
        <f>'yrP&amp;L_new'!H33</f>
        <v>172.09900000000002</v>
      </c>
      <c r="CG20" s="1687">
        <f>'yrP&amp;L_new'!I33</f>
        <v>183.58600000000001</v>
      </c>
      <c r="CH20" s="1687">
        <f>'yrP&amp;L_new'!J33</f>
        <v>201.10300000000001</v>
      </c>
      <c r="CI20" s="1687">
        <f>'yrP&amp;L_new'!K33</f>
        <v>225.71548000000001</v>
      </c>
      <c r="CJ20" s="1687">
        <f>'yrP&amp;L_new'!L33</f>
        <v>249.18084738921414</v>
      </c>
      <c r="CK20" s="1687">
        <f>'yrP&amp;L_new'!M33</f>
        <v>274.01575129373856</v>
      </c>
      <c r="CL20" s="1687">
        <f>'yrP&amp;L_new'!N33</f>
        <v>300.27841321814662</v>
      </c>
      <c r="CM20" s="1687">
        <f>'yrP&amp;L_new'!O33</f>
        <v>328.0297614982685</v>
      </c>
      <c r="CN20" s="1538"/>
      <c r="CO20" s="1349"/>
      <c r="CP20" s="1349"/>
    </row>
    <row r="21" spans="1:102">
      <c r="A21" s="1686" t="s">
        <v>380</v>
      </c>
      <c r="B21" s="1349"/>
      <c r="C21" s="1349"/>
      <c r="D21" s="1349"/>
      <c r="E21" s="1349"/>
      <c r="F21" s="1349"/>
      <c r="G21" s="1349"/>
      <c r="H21" s="1349"/>
      <c r="I21" s="1349"/>
      <c r="J21" s="1349"/>
      <c r="K21" s="1349"/>
      <c r="L21" s="1349"/>
      <c r="M21" s="1349"/>
      <c r="N21" s="1349"/>
      <c r="O21" s="1349"/>
      <c r="P21" s="1349"/>
      <c r="Q21" s="1349"/>
      <c r="R21" s="1349"/>
      <c r="S21" s="1349"/>
      <c r="T21" s="1349"/>
      <c r="U21" s="1349"/>
      <c r="V21" s="1349"/>
      <c r="W21" s="1687">
        <f t="array" ref="W21:Z21">TRANSPOSE('qtrP&amp;L_new'!AI93:AI96)</f>
        <v>-9.9809999999999999</v>
      </c>
      <c r="X21" s="1687">
        <v>-15.991</v>
      </c>
      <c r="Y21" s="1687">
        <v>-10.545999999999999</v>
      </c>
      <c r="Z21" s="1687">
        <v>-10.957000000000001</v>
      </c>
      <c r="AA21" s="1687"/>
      <c r="AB21" s="1687">
        <f t="array" ref="AB21:AE21">TRANSPOSE('qtrP&amp;L_new'!AM93:AM96)</f>
        <v>-10.246</v>
      </c>
      <c r="AC21" s="1688">
        <v>-10.273</v>
      </c>
      <c r="AD21" s="1687">
        <v>-11.44</v>
      </c>
      <c r="AE21" s="1687">
        <v>-10.874000000000002</v>
      </c>
      <c r="AF21" s="1687"/>
      <c r="AG21" s="1687">
        <f t="array" ref="AG21:AJ21">TRANSPOSE('qtrP&amp;L_new'!AQ93:AQ96)</f>
        <v>-10.059000000000001</v>
      </c>
      <c r="AH21" s="1687">
        <v>-9.4059999999999988</v>
      </c>
      <c r="AI21" s="1687">
        <v>-10.037000000000001</v>
      </c>
      <c r="AJ21" s="1687">
        <v>-13.836999999999996</v>
      </c>
      <c r="AK21" s="1687"/>
      <c r="AL21" s="1687">
        <f t="array" ref="AL21:AO21">TRANSPOSE('qtrP&amp;L_new'!AU93:AU96)</f>
        <v>-9.8379999999999992</v>
      </c>
      <c r="AM21" s="1687">
        <v>-9.6720000000000006</v>
      </c>
      <c r="AN21" s="1687">
        <v>-9.8710000000000004</v>
      </c>
      <c r="AO21" s="1687">
        <v>-12.859</v>
      </c>
      <c r="AP21" s="1349"/>
      <c r="AQ21" s="1687">
        <f t="array" ref="AQ21:AT21">TRANSPOSE('qtrP&amp;L_new'!AY93:AY96)</f>
        <v>-10.522</v>
      </c>
      <c r="AR21" s="1687">
        <v>-9.8279999999999994</v>
      </c>
      <c r="AS21" s="1687">
        <v>-10.055999999999999</v>
      </c>
      <c r="AT21" s="1687">
        <v>-13.016999999999999</v>
      </c>
      <c r="AU21" s="1349"/>
      <c r="AV21" s="1687">
        <f t="array" ref="AV21:AY21">TRANSPOSE('qtrP&amp;L_new'!BC93:BC96)</f>
        <v>-9.4849999999999994</v>
      </c>
      <c r="AW21" s="1687">
        <v>-9.5129999999999999</v>
      </c>
      <c r="AX21" s="1687">
        <v>-10.521000000000001</v>
      </c>
      <c r="AY21" s="1687">
        <v>-16.364000000000001</v>
      </c>
      <c r="AZ21" s="1349"/>
      <c r="BA21" s="1687">
        <f t="array" ref="BA21:BD21">TRANSPOSE('qtrP&amp;L_new'!BG93:BG96)</f>
        <v>-8.9320000000000004</v>
      </c>
      <c r="BB21" s="1687">
        <v>-8.7439999999999998</v>
      </c>
      <c r="BC21" s="1687">
        <v>-9.463000000000001</v>
      </c>
      <c r="BD21" s="1687">
        <v>-9.6340000000000003</v>
      </c>
      <c r="BE21" s="1349"/>
      <c r="BF21" s="1687">
        <f t="array" ref="BF21:BI21">TRANSPOSE('qtrP&amp;L_new'!BK93:BK96)</f>
        <v>-10.382999999999999</v>
      </c>
      <c r="BG21" s="1687">
        <v>-7.3800000000000008</v>
      </c>
      <c r="BH21" s="1687">
        <v>-7.92</v>
      </c>
      <c r="BI21" s="1687">
        <v>-10.064</v>
      </c>
      <c r="BK21" s="1687">
        <f t="array" ref="BK21:BN21">TRANSPOSE('qtrP&amp;L_new'!BO93:BO96)</f>
        <v>-7.5789999999999997</v>
      </c>
      <c r="BL21" s="1687">
        <v>-9.4359999999999999</v>
      </c>
      <c r="BM21" s="1687">
        <v>-7.7670000000000003</v>
      </c>
      <c r="BN21" s="1687">
        <v>-9.3819999999999997</v>
      </c>
      <c r="BP21" s="1687">
        <f t="array" ref="BP21:BS21">TRANSPOSE('qtrP&amp;L_new'!BS93:BS96)</f>
        <v>-8.1730354992592602</v>
      </c>
      <c r="BQ21" s="1687">
        <v>-8.2445587668561888</v>
      </c>
      <c r="BR21" s="1687">
        <v>-8.7023882389155158</v>
      </c>
      <c r="BS21" s="1689">
        <v>-11.1106195585</v>
      </c>
      <c r="BT21" s="1687">
        <f>'yrP&amp;L'!F20</f>
        <v>-10.335000000000001</v>
      </c>
      <c r="BU21" s="1687">
        <f>'yrP&amp;L'!G20</f>
        <v>-14.619</v>
      </c>
      <c r="BV21" s="1687">
        <f>'yrP&amp;L'!H20</f>
        <v>-8.4480000000000004</v>
      </c>
      <c r="BW21" s="1687">
        <f>'yrP&amp;L'!I20</f>
        <v>-6.18</v>
      </c>
      <c r="BX21" s="1687">
        <f>'yrP&amp;L'!J20</f>
        <v>-12.861000000000001</v>
      </c>
      <c r="BY21" s="1687">
        <f>'yrP&amp;L'!K20</f>
        <v>-5.9980000000000002</v>
      </c>
      <c r="BZ21" s="1690">
        <f>'yrP&amp;L_new'!B37</f>
        <v>-47.475000000000001</v>
      </c>
      <c r="CA21" s="1687">
        <f>'yrP&amp;L_new'!C37</f>
        <v>-42.832999999999998</v>
      </c>
      <c r="CB21" s="1687">
        <f>'yrP&amp;L_new'!D37</f>
        <v>-43.338999999999999</v>
      </c>
      <c r="CC21" s="1687">
        <f>'yrP&amp;L_new'!E37</f>
        <v>-42.24</v>
      </c>
      <c r="CD21" s="1687">
        <f>'yrP&amp;L_new'!F37</f>
        <v>-43.423000000000002</v>
      </c>
      <c r="CE21" s="1687">
        <f>'yrP&amp;L_new'!G37</f>
        <v>-45.882999999999996</v>
      </c>
      <c r="CF21" s="1687">
        <f>'yrP&amp;L_new'!H37</f>
        <v>-36.773000000000003</v>
      </c>
      <c r="CG21" s="1687">
        <f>'yrP&amp;L_new'!I37</f>
        <v>-35.747</v>
      </c>
      <c r="CH21" s="1687">
        <f>'yrP&amp;L_new'!J37</f>
        <v>-34.164000000000001</v>
      </c>
      <c r="CI21" s="1687">
        <f>'yrP&amp;L_new'!K37</f>
        <v>-36.230602063530966</v>
      </c>
      <c r="CJ21" s="1687">
        <f>'yrP&amp;L_new'!L37</f>
        <v>-36.230602063530966</v>
      </c>
      <c r="CK21" s="1687">
        <f>'yrP&amp;L_new'!M37</f>
        <v>-36.230602063530966</v>
      </c>
      <c r="CL21" s="1687">
        <f>'yrP&amp;L_new'!N37</f>
        <v>-36.230602063530966</v>
      </c>
      <c r="CM21" s="1687">
        <f>'yrP&amp;L_new'!O37</f>
        <v>-36.230602063530966</v>
      </c>
      <c r="CN21" s="1538"/>
      <c r="CO21" s="1349"/>
      <c r="CP21" s="1349"/>
    </row>
    <row r="22" spans="1:102">
      <c r="A22" s="1686"/>
      <c r="B22" s="1349"/>
      <c r="C22" s="1349"/>
      <c r="D22" s="1349"/>
      <c r="E22" s="1349"/>
      <c r="F22" s="1349"/>
      <c r="G22" s="1349"/>
      <c r="H22" s="1349"/>
      <c r="I22" s="1349"/>
      <c r="J22" s="1349"/>
      <c r="K22" s="1349"/>
      <c r="L22" s="1349"/>
      <c r="M22" s="1349"/>
      <c r="N22" s="1349"/>
      <c r="O22" s="1349"/>
      <c r="P22" s="1349"/>
      <c r="Q22" s="1349"/>
      <c r="R22" s="1349"/>
      <c r="S22" s="1349"/>
      <c r="T22" s="1349"/>
      <c r="U22" s="1349"/>
      <c r="V22" s="1349"/>
      <c r="W22" s="1687"/>
      <c r="X22" s="1687"/>
      <c r="Y22" s="1687"/>
      <c r="Z22" s="1687"/>
      <c r="AA22" s="1687"/>
      <c r="AB22" s="1687"/>
      <c r="AC22" s="1688"/>
      <c r="AD22" s="1687"/>
      <c r="AE22" s="1687"/>
      <c r="AF22" s="1687"/>
      <c r="AG22" s="1687"/>
      <c r="AH22" s="1687"/>
      <c r="AI22" s="1687"/>
      <c r="AJ22" s="1687"/>
      <c r="AK22" s="1687"/>
      <c r="AL22" s="1687"/>
      <c r="AM22" s="1687"/>
      <c r="AN22" s="1687"/>
      <c r="AO22" s="1687"/>
      <c r="AP22" s="1349"/>
      <c r="AQ22" s="1687"/>
      <c r="AR22" s="1687"/>
      <c r="AS22" s="1687"/>
      <c r="AT22" s="1687"/>
      <c r="AU22" s="1349"/>
      <c r="AV22" s="1687"/>
      <c r="AW22" s="1687"/>
      <c r="AX22" s="1687"/>
      <c r="AY22" s="1687"/>
      <c r="AZ22" s="1349"/>
      <c r="BA22" s="1687"/>
      <c r="BB22" s="1687"/>
      <c r="BC22" s="1687"/>
      <c r="BD22" s="1687"/>
      <c r="BE22" s="1349"/>
      <c r="BF22" s="1687"/>
      <c r="BG22" s="1687"/>
      <c r="BH22" s="1687"/>
      <c r="BI22" s="1687"/>
      <c r="BK22" s="1687"/>
      <c r="BL22" s="1765">
        <f>BL23-'qtrP&amp;L_new'!BO114</f>
        <v>0</v>
      </c>
      <c r="BM22" s="1687"/>
      <c r="BN22" s="1687"/>
      <c r="BP22" s="1687"/>
      <c r="BQ22" s="1765"/>
      <c r="BR22" s="1687"/>
      <c r="BS22" s="1689"/>
      <c r="BT22" s="1687"/>
      <c r="BU22" s="1687"/>
      <c r="BV22" s="1687"/>
      <c r="BW22" s="1687"/>
      <c r="BX22" s="1687"/>
      <c r="BY22" s="1687"/>
      <c r="BZ22" s="1690"/>
      <c r="CA22" s="1687"/>
      <c r="CB22" s="1687"/>
      <c r="CC22" s="1687"/>
      <c r="CD22" s="1687"/>
      <c r="CE22" s="1687"/>
      <c r="CF22" s="1687"/>
      <c r="CG22" s="1687"/>
      <c r="CH22" s="1687"/>
      <c r="CI22" s="1687"/>
      <c r="CJ22" s="1687"/>
      <c r="CK22" s="1687"/>
      <c r="CL22" s="1687"/>
      <c r="CM22" s="1687"/>
      <c r="CN22" s="1538"/>
      <c r="CO22" s="1349"/>
      <c r="CP22" s="1349"/>
    </row>
    <row r="23" spans="1:102" s="1291" customFormat="1">
      <c r="A23" s="1693" t="s">
        <v>191</v>
      </c>
      <c r="B23" s="1681"/>
      <c r="C23" s="1682"/>
      <c r="D23" s="1682"/>
      <c r="E23" s="1682"/>
      <c r="F23" s="1682"/>
      <c r="G23" s="1682"/>
      <c r="H23" s="1682"/>
      <c r="I23" s="1682"/>
      <c r="J23" s="1682"/>
      <c r="K23" s="1682"/>
      <c r="L23" s="1682"/>
      <c r="M23" s="1682"/>
      <c r="N23" s="1682"/>
      <c r="O23" s="1682"/>
      <c r="P23" s="1682"/>
      <c r="Q23" s="1682"/>
      <c r="R23" s="1682"/>
      <c r="S23" s="1682"/>
      <c r="T23" s="1682"/>
      <c r="U23" s="1682"/>
      <c r="V23" s="1682"/>
      <c r="W23" s="1682">
        <f>W10-W11-W13-W19-W20-W21</f>
        <v>-36.247000000000007</v>
      </c>
      <c r="X23" s="1682">
        <f>X10-X11-X13-X19-X20-X21</f>
        <v>-11.610000000000063</v>
      </c>
      <c r="Y23" s="1682">
        <f>Y10-Y11-Y13-Y19-Y20-Y21</f>
        <v>34.048999999999857</v>
      </c>
      <c r="Z23" s="1682">
        <f>Z10-Z11-Z13-Z19-Z20-Z21</f>
        <v>53.299000000000127</v>
      </c>
      <c r="AA23" s="1682"/>
      <c r="AB23" s="1682">
        <f>AB10-AB11-AB13-AB19-AB20-AB21</f>
        <v>36.166000000000025</v>
      </c>
      <c r="AC23" s="1682">
        <f>AC10-AC11-AC13-AC19-AC20-AC21</f>
        <v>-38.912999999999968</v>
      </c>
      <c r="AD23" s="1682">
        <f>AD10-AD11-AD13-AD19-AD20-AD21</f>
        <v>19.494999999999877</v>
      </c>
      <c r="AE23" s="1682">
        <f>AE10-AE11-AE13-AE19-AE20-AE21</f>
        <v>135.68900000000011</v>
      </c>
      <c r="AF23" s="1682"/>
      <c r="AG23" s="1682">
        <f>AG10-AG11-AG13-AG19-AG20-AG21</f>
        <v>-1.3839999999999542</v>
      </c>
      <c r="AH23" s="1682">
        <f>AH10-AH11-AH13-AH19-AH20-AH21</f>
        <v>-23.585000000000051</v>
      </c>
      <c r="AI23" s="1682">
        <f>AI10-AI11-AI13-AI19-AI20-AI21</f>
        <v>11.139999999999981</v>
      </c>
      <c r="AJ23" s="1682">
        <f>AJ10-AJ11-AJ13-AJ19-AJ20-AJ21</f>
        <v>132.05700000000027</v>
      </c>
      <c r="AK23" s="1682"/>
      <c r="AL23" s="1682">
        <f>AL10-AL11-AL13-AL19-AL20-AL21</f>
        <v>23.335830730000055</v>
      </c>
      <c r="AM23" s="1682">
        <f>AM10-AM11-AM13-AM19-AM20-AM21</f>
        <v>-19.759250599999998</v>
      </c>
      <c r="AN23" s="1682">
        <f>AN10-AN11-AN13-AN19-AN20-AN21</f>
        <v>5.7699999999999729</v>
      </c>
      <c r="AO23" s="1682">
        <f>AO10-AO11-AO13-AO19-AO20-AO21</f>
        <v>134.23691639699479</v>
      </c>
      <c r="AP23" s="1681"/>
      <c r="AQ23" s="1682">
        <f>AQ10-AQ11-AQ13-AQ19-AQ20-AQ21</f>
        <v>25.655999999999892</v>
      </c>
      <c r="AR23" s="1682">
        <f>AR10-AR11-AR13-AR19-AR20-AR21</f>
        <v>-5.9100000000000428</v>
      </c>
      <c r="AS23" s="1682">
        <f>AS10-AS11-AS13-AS19-AS20-AS21</f>
        <v>8.1840000000000064</v>
      </c>
      <c r="AT23" s="1682">
        <f>AT10-AT11-AT13-AT19-AT20-AT21</f>
        <v>132.16700000000012</v>
      </c>
      <c r="AU23" s="1681"/>
      <c r="AV23" s="1682">
        <f>AV10-AV11-AV13-AV19-AV20-AV21</f>
        <v>46.111999999999981</v>
      </c>
      <c r="AW23" s="1682">
        <f>AW10-AW11-AW13-AW19-AW20-AW21</f>
        <v>14.782999999999847</v>
      </c>
      <c r="AX23" s="1682">
        <f>AX10-AX11-AX13-AX19-AX20-AX21</f>
        <v>-41.599000000000146</v>
      </c>
      <c r="AY23" s="1682">
        <f>AY10-AY11-AY13-AY19-AY20-AY21</f>
        <v>178.76500000000007</v>
      </c>
      <c r="AZ23" s="1681"/>
      <c r="BA23" s="1682">
        <f>BA10-BA11-BA13-BA19-BA20-BA21</f>
        <v>56.144000000000048</v>
      </c>
      <c r="BB23" s="1682">
        <f>BB10-BB11-BB13-BB19-BB20-BB21</f>
        <v>33.184000000000118</v>
      </c>
      <c r="BC23" s="1682">
        <f>BC10-BC11-BC13-BC19-BC20-BC21</f>
        <v>39.05000000000004</v>
      </c>
      <c r="BD23" s="1682">
        <f>BD10-BD11-BD13-BD19-BD20-BD21</f>
        <v>169.49599999999998</v>
      </c>
      <c r="BE23" s="1681"/>
      <c r="BF23" s="1682">
        <f>BF10-BF11-BF13-BF19-BF20-BF21</f>
        <v>75.097000000000037</v>
      </c>
      <c r="BG23" s="1682">
        <f>BG10-BG11-BG13-BG19-BG20-BG21</f>
        <v>47.767000000000174</v>
      </c>
      <c r="BH23" s="1682">
        <f>BH10-BH11-BH13-BH19-BH20-BH21</f>
        <v>63.011999999999965</v>
      </c>
      <c r="BI23" s="1682">
        <f>BI10-BI11-BI13-BI19-BI20-BI21</f>
        <v>203.49699999999993</v>
      </c>
      <c r="BK23" s="1682">
        <f>BK10-BK11-BK13-BK19-BK20-BK21</f>
        <v>88.798000000000101</v>
      </c>
      <c r="BL23" s="1682">
        <f>BL10-BL11-BL13-BL19-BL20-BL21</f>
        <v>77.607999999999919</v>
      </c>
      <c r="BM23" s="1682">
        <f>BM10-BM11-BM13-BM19-BM20-BM21</f>
        <v>83.149999999999949</v>
      </c>
      <c r="BN23" s="1682">
        <f>BN10-BN11-BN13-BN19-BN20-BN21</f>
        <v>238.20100000000002</v>
      </c>
      <c r="BP23" s="1682">
        <f>BP10-BP11-BP13-BP19-BP20-BP21</f>
        <v>104.00612739474754</v>
      </c>
      <c r="BQ23" s="1682">
        <f>BQ10-BQ11-BQ13-BQ19-BQ20-BQ21</f>
        <v>91.609541776086957</v>
      </c>
      <c r="BR23" s="1682">
        <f>BR10-BR11-BR13-BR19-BR20-BR21</f>
        <v>100.02311878189448</v>
      </c>
      <c r="BS23" s="1683">
        <f>BS10-BS11-BS13-BS19-BS20-BS21</f>
        <v>261.01429960829989</v>
      </c>
      <c r="BT23" s="1682">
        <f t="shared" ref="BT23:BY23" si="2">BT10-BT11-BT13-BT19-BT20-BT21</f>
        <v>120.84299999999999</v>
      </c>
      <c r="BU23" s="1682">
        <f t="shared" si="2"/>
        <v>180.44800000000001</v>
      </c>
      <c r="BV23" s="1682">
        <f t="shared" si="2"/>
        <v>136.66400000000016</v>
      </c>
      <c r="BW23" s="1682">
        <f t="shared" si="2"/>
        <v>86.11000000000007</v>
      </c>
      <c r="BX23" s="1682">
        <f t="shared" si="2"/>
        <v>83.97499999999998</v>
      </c>
      <c r="BY23" s="1682">
        <f t="shared" si="2"/>
        <v>102.74400000000007</v>
      </c>
      <c r="BZ23" s="1684">
        <f>BZ10-BZ11-BZ13-BZ19-BZ20-BZ21</f>
        <v>39.468619947577345</v>
      </c>
      <c r="CA23" s="1682">
        <f>CA10-CA11-CA13-CA19-CA20-CA21</f>
        <v>157.56483366097984</v>
      </c>
      <c r="CB23" s="1682">
        <f>CB10-CB11-CB13-CB19-CB20-CB21</f>
        <v>115.07261995820608</v>
      </c>
      <c r="CC23" s="1682">
        <f t="shared" ref="CC23:CI23" si="3">CC10-CC11-CC13-CC19-CC20-CC21</f>
        <v>143.57870799710253</v>
      </c>
      <c r="CD23" s="1682">
        <f t="shared" si="3"/>
        <v>160.08923749887896</v>
      </c>
      <c r="CE23" s="1682">
        <f t="shared" si="3"/>
        <v>198.0593524782613</v>
      </c>
      <c r="CF23" s="1682">
        <f t="shared" si="3"/>
        <v>297.87400000000014</v>
      </c>
      <c r="CG23" s="1682">
        <f t="shared" si="3"/>
        <v>389.37299999999954</v>
      </c>
      <c r="CH23" s="1682">
        <f t="shared" si="3"/>
        <v>487.75699999999966</v>
      </c>
      <c r="CI23" s="1682">
        <f t="shared" si="3"/>
        <v>556.653087561029</v>
      </c>
      <c r="CJ23" s="1682">
        <f>CJ10-CJ11-CJ13-CJ19-CJ20-CJ21</f>
        <v>608.08181661176241</v>
      </c>
      <c r="CK23" s="1682">
        <f>CK10-CK11-CK13-CK19-CK20-CK21</f>
        <v>664.27634443176203</v>
      </c>
      <c r="CL23" s="1682">
        <f>CL10-CL11-CL13-CL19-CL20-CL21</f>
        <v>729.72859902902542</v>
      </c>
      <c r="CM23" s="1682">
        <f>CM10-CM11-CM13-CM19-CM20-CM21</f>
        <v>792.86346330198444</v>
      </c>
      <c r="CN23" s="1685"/>
      <c r="CO23" s="1681"/>
      <c r="CP23" s="1681"/>
      <c r="CQ23"/>
      <c r="CR23"/>
      <c r="CS23"/>
      <c r="CT23"/>
      <c r="CU23"/>
      <c r="CV23"/>
    </row>
    <row r="24" spans="1:102">
      <c r="A24" s="1686" t="s">
        <v>311</v>
      </c>
      <c r="B24" s="1349"/>
      <c r="C24" s="1687"/>
      <c r="D24" s="1687"/>
      <c r="E24" s="1687"/>
      <c r="F24" s="1687"/>
      <c r="G24" s="1687"/>
      <c r="H24" s="1687"/>
      <c r="I24" s="1687"/>
      <c r="J24" s="1687"/>
      <c r="K24" s="1687"/>
      <c r="L24" s="1687"/>
      <c r="M24" s="1687"/>
      <c r="N24" s="1687"/>
      <c r="O24" s="1687"/>
      <c r="P24" s="1687"/>
      <c r="Q24" s="1687"/>
      <c r="R24" s="1687"/>
      <c r="S24" s="1687"/>
      <c r="T24" s="1687"/>
      <c r="U24" s="1687"/>
      <c r="V24" s="1687"/>
      <c r="W24" s="1687">
        <f t="array" ref="W24:Z24">TRANSPOSE('qtrP&amp;L_new'!AI123:AI126)</f>
        <v>20.917999999999999</v>
      </c>
      <c r="X24" s="1687">
        <v>16.765999999999998</v>
      </c>
      <c r="Y24" s="1687">
        <v>20.587</v>
      </c>
      <c r="Z24" s="1687">
        <v>26.152000000000001</v>
      </c>
      <c r="AA24" s="1687"/>
      <c r="AB24" s="1687">
        <f t="array" ref="AB24:AE24">TRANSPOSE('qtrP&amp;L_new'!AM123:AM126)</f>
        <v>27.364999999999998</v>
      </c>
      <c r="AC24" s="1687">
        <v>26.056999999999999</v>
      </c>
      <c r="AD24" s="1687">
        <v>24.928000000000001</v>
      </c>
      <c r="AE24" s="1687">
        <v>20.959000000000003</v>
      </c>
      <c r="AF24" s="1687"/>
      <c r="AG24" s="1687">
        <f t="array" ref="AG24:AJ24">TRANSPOSE('qtrP&amp;L_new'!AQ123:AQ126)</f>
        <v>30.853999999999999</v>
      </c>
      <c r="AH24" s="1687">
        <v>32.31</v>
      </c>
      <c r="AI24" s="1687">
        <v>34.811999999999998</v>
      </c>
      <c r="AJ24" s="1687">
        <v>31.14500000000001</v>
      </c>
      <c r="AK24" s="1687"/>
      <c r="AL24" s="1687">
        <f t="array" ref="AL24:AO24">TRANSPOSE('qtrP&amp;L_new'!AU123:AU126)</f>
        <v>29.457967570000005</v>
      </c>
      <c r="AM24" s="1687">
        <v>27.634452080000003</v>
      </c>
      <c r="AN24" s="1687">
        <v>27.420999999999999</v>
      </c>
      <c r="AO24" s="1687">
        <v>27.257206503999996</v>
      </c>
      <c r="AP24" s="1349"/>
      <c r="AQ24" s="1687">
        <f t="array" ref="AQ24:AT24">TRANSPOSE('qtrP&amp;L_new'!AY123:AY126)</f>
        <v>34.302999999999997</v>
      </c>
      <c r="AR24" s="1687">
        <v>33.326999999999998</v>
      </c>
      <c r="AS24" s="1687">
        <v>32.719000000000001</v>
      </c>
      <c r="AT24" s="1687">
        <v>27.39</v>
      </c>
      <c r="AU24" s="1349"/>
      <c r="AV24" s="1687">
        <f t="array" ref="AV24:AY24">TRANSPOSE('qtrP&amp;L_new'!BC123:BC126)</f>
        <v>26.552</v>
      </c>
      <c r="AW24" s="1687">
        <v>25.545999999999999</v>
      </c>
      <c r="AX24" s="1687">
        <v>16.623999999999999</v>
      </c>
      <c r="AY24" s="1687">
        <v>15.023</v>
      </c>
      <c r="AZ24" s="1349"/>
      <c r="BA24" s="1687">
        <f t="array" ref="BA24:BD24">TRANSPOSE('qtrP&amp;L_new'!BG123:BG126)</f>
        <v>14.803000000000001</v>
      </c>
      <c r="BB24" s="1687">
        <v>14.598000000000001</v>
      </c>
      <c r="BC24" s="1687">
        <v>14.792</v>
      </c>
      <c r="BD24" s="1687">
        <v>14.807</v>
      </c>
      <c r="BE24" s="1349"/>
      <c r="BF24" s="1687">
        <f t="array" ref="BF24:BI24">TRANSPOSE('qtrP&amp;L_new'!BK123:BK126)</f>
        <v>14.952</v>
      </c>
      <c r="BG24" s="1687">
        <v>15.084</v>
      </c>
      <c r="BH24" s="1687">
        <v>13.159000000000001</v>
      </c>
      <c r="BI24" s="1687">
        <v>12.965999999999999</v>
      </c>
      <c r="BK24" s="1687">
        <f t="array" ref="BK24:BN24">TRANSPOSE('qtrP&amp;L_new'!BO123:BO126)</f>
        <v>13.513999999999999</v>
      </c>
      <c r="BL24" s="1687">
        <v>14.544</v>
      </c>
      <c r="BM24" s="1687">
        <v>15.351000000000001</v>
      </c>
      <c r="BN24" s="1687">
        <v>15.368</v>
      </c>
      <c r="BP24" s="1687">
        <f t="array" ref="BP24:BS24">TRANSPOSE('qtrP&amp;L_new'!BS123:BS126)</f>
        <v>15</v>
      </c>
      <c r="BQ24" s="1687">
        <v>15</v>
      </c>
      <c r="BR24" s="1687">
        <v>15</v>
      </c>
      <c r="BS24" s="1689">
        <v>15</v>
      </c>
      <c r="BT24" s="1687"/>
      <c r="BU24" s="1687"/>
      <c r="BV24" s="1687"/>
      <c r="BW24" s="1687"/>
      <c r="BX24" s="1687"/>
      <c r="BY24" s="1687"/>
      <c r="BZ24" s="1690">
        <f>'yrP&amp;L_new'!B43</f>
        <v>84.423000000000002</v>
      </c>
      <c r="CA24" s="1687">
        <f>'yrP&amp;L_new'!C43</f>
        <v>99.308999999999997</v>
      </c>
      <c r="CB24" s="1687">
        <f>'yrP&amp;L_new'!D43</f>
        <v>129.12100000000001</v>
      </c>
      <c r="CC24" s="1687">
        <f>'yrP&amp;L_new'!E43</f>
        <v>111.770626154</v>
      </c>
      <c r="CD24" s="1687">
        <f>'yrP&amp;L_new'!F43</f>
        <v>127.73899999999999</v>
      </c>
      <c r="CE24" s="1687">
        <f>'yrP&amp;L_new'!G43</f>
        <v>83.74499999999999</v>
      </c>
      <c r="CF24" s="1687">
        <f>'yrP&amp;L_new'!H43</f>
        <v>59.000000000000007</v>
      </c>
      <c r="CG24" s="1687">
        <f>'yrP&amp;L_new'!I43</f>
        <v>56.161000000000001</v>
      </c>
      <c r="CH24" s="1687">
        <f>'yrP&amp;L_new'!J43</f>
        <v>58.777000000000001</v>
      </c>
      <c r="CI24" s="1687">
        <f>'yrP&amp;L_new'!K43</f>
        <v>60</v>
      </c>
      <c r="CJ24" s="1687">
        <f>'yrP&amp;L_new'!L43</f>
        <v>55</v>
      </c>
      <c r="CK24" s="1687">
        <f>'yrP&amp;L_new'!M43</f>
        <v>50</v>
      </c>
      <c r="CL24" s="1687">
        <f>'yrP&amp;L_new'!N43</f>
        <v>45</v>
      </c>
      <c r="CM24" s="1687">
        <f>'yrP&amp;L_new'!O43</f>
        <v>40</v>
      </c>
      <c r="CN24" s="1538"/>
      <c r="CO24" s="1349"/>
      <c r="CP24" s="1349"/>
    </row>
    <row r="25" spans="1:102">
      <c r="A25" s="1686"/>
      <c r="B25" s="1349"/>
      <c r="C25" s="1687"/>
      <c r="D25" s="1687"/>
      <c r="E25" s="1687"/>
      <c r="F25" s="1687"/>
      <c r="G25" s="1687"/>
      <c r="H25" s="1687"/>
      <c r="I25" s="1687"/>
      <c r="J25" s="1687"/>
      <c r="K25" s="1687"/>
      <c r="L25" s="1687"/>
      <c r="M25" s="1687"/>
      <c r="N25" s="1687"/>
      <c r="O25" s="1687"/>
      <c r="P25" s="1687"/>
      <c r="Q25" s="1687"/>
      <c r="R25" s="1687"/>
      <c r="S25" s="1687"/>
      <c r="T25" s="1687"/>
      <c r="U25" s="1687"/>
      <c r="V25" s="1687"/>
      <c r="W25" s="1687"/>
      <c r="X25" s="1687"/>
      <c r="Y25" s="1687"/>
      <c r="Z25" s="1687"/>
      <c r="AA25" s="1687"/>
      <c r="AB25" s="1687"/>
      <c r="AC25" s="1687"/>
      <c r="AD25" s="1687"/>
      <c r="AE25" s="1687"/>
      <c r="AF25" s="1687"/>
      <c r="AG25" s="1687"/>
      <c r="AH25" s="1687"/>
      <c r="AI25" s="1687"/>
      <c r="AJ25" s="1687"/>
      <c r="AK25" s="1687"/>
      <c r="AL25" s="1687"/>
      <c r="AM25" s="1687"/>
      <c r="AN25" s="1687"/>
      <c r="AO25" s="1687"/>
      <c r="AP25" s="1349"/>
      <c r="AQ25" s="1687"/>
      <c r="AR25" s="1687"/>
      <c r="AS25" s="1687"/>
      <c r="AT25" s="1687"/>
      <c r="AU25" s="1349"/>
      <c r="AV25" s="1687"/>
      <c r="AW25" s="1687"/>
      <c r="AX25" s="1687"/>
      <c r="AY25" s="1687"/>
      <c r="AZ25" s="1349"/>
      <c r="BA25" s="1687"/>
      <c r="BB25" s="1687"/>
      <c r="BC25" s="1687"/>
      <c r="BD25" s="1687"/>
      <c r="BE25" s="1349"/>
      <c r="BF25" s="1687"/>
      <c r="BG25" s="1687"/>
      <c r="BH25" s="1687"/>
      <c r="BI25" s="1687"/>
      <c r="BK25" s="1687"/>
      <c r="BL25" s="1687"/>
      <c r="BM25" s="1687"/>
      <c r="BN25" s="1687"/>
      <c r="BP25" s="1687"/>
      <c r="BQ25" s="1687"/>
      <c r="BR25" s="1687"/>
      <c r="BS25" s="1689"/>
      <c r="BT25" s="1687"/>
      <c r="BU25" s="1687"/>
      <c r="BV25" s="1687"/>
      <c r="BW25" s="1687"/>
      <c r="BX25" s="1687"/>
      <c r="BY25" s="1687"/>
      <c r="BZ25" s="1690"/>
      <c r="CA25" s="1687"/>
      <c r="CB25" s="1687"/>
      <c r="CC25" s="1687"/>
      <c r="CD25" s="1687"/>
      <c r="CE25" s="1687"/>
      <c r="CF25" s="1687"/>
      <c r="CG25" s="1687"/>
      <c r="CH25" s="1687"/>
      <c r="CI25" s="1687"/>
      <c r="CJ25" s="1687"/>
      <c r="CK25" s="1687"/>
      <c r="CL25" s="1687"/>
      <c r="CM25" s="1687"/>
      <c r="CN25" s="1538"/>
      <c r="CO25" s="1349"/>
      <c r="CP25" s="1349"/>
    </row>
    <row r="26" spans="1:102" s="1291" customFormat="1">
      <c r="A26" s="1693" t="s">
        <v>192</v>
      </c>
      <c r="B26" s="1681"/>
      <c r="C26" s="1682"/>
      <c r="D26" s="1682"/>
      <c r="E26" s="1682"/>
      <c r="F26" s="1682"/>
      <c r="G26" s="1682"/>
      <c r="H26" s="1682"/>
      <c r="I26" s="1682"/>
      <c r="J26" s="1682"/>
      <c r="K26" s="1682"/>
      <c r="L26" s="1682"/>
      <c r="M26" s="1682"/>
      <c r="N26" s="1682"/>
      <c r="O26" s="1682"/>
      <c r="P26" s="1682"/>
      <c r="Q26" s="1682"/>
      <c r="R26" s="1682"/>
      <c r="S26" s="1682"/>
      <c r="T26" s="1682"/>
      <c r="U26" s="1682"/>
      <c r="V26" s="1682"/>
      <c r="W26" s="1682">
        <f>W23-W24</f>
        <v>-57.165000000000006</v>
      </c>
      <c r="X26" s="1682">
        <f>X23-X24</f>
        <v>-28.376000000000062</v>
      </c>
      <c r="Y26" s="1682">
        <f>Y23-Y24</f>
        <v>13.461999999999858</v>
      </c>
      <c r="Z26" s="1682">
        <f>Z23-Z24</f>
        <v>27.147000000000126</v>
      </c>
      <c r="AA26" s="1682"/>
      <c r="AB26" s="1682">
        <f>AB23-AB24</f>
        <v>8.8010000000000268</v>
      </c>
      <c r="AC26" s="1682">
        <f>AC23-AC24</f>
        <v>-64.96999999999997</v>
      </c>
      <c r="AD26" s="1682">
        <f>AD23-AD24</f>
        <v>-5.4330000000001242</v>
      </c>
      <c r="AE26" s="1682">
        <f>AE23-AE24</f>
        <v>114.7300000000001</v>
      </c>
      <c r="AF26" s="1682"/>
      <c r="AG26" s="1682">
        <f>AG23-AG24</f>
        <v>-32.237999999999957</v>
      </c>
      <c r="AH26" s="1682">
        <f>AH23-AH24</f>
        <v>-55.895000000000053</v>
      </c>
      <c r="AI26" s="1682">
        <f>AI23-AI24</f>
        <v>-23.672000000000018</v>
      </c>
      <c r="AJ26" s="1682">
        <f>AJ23-AJ24</f>
        <v>100.91200000000026</v>
      </c>
      <c r="AK26" s="1682"/>
      <c r="AL26" s="1682">
        <f>AL23-AL24</f>
        <v>-6.1221368399999498</v>
      </c>
      <c r="AM26" s="1682">
        <f>AM23-AM24</f>
        <v>-47.393702680000004</v>
      </c>
      <c r="AN26" s="1682">
        <f>AN23-AN24</f>
        <v>-21.651000000000025</v>
      </c>
      <c r="AO26" s="1682">
        <f>AO23-AO24</f>
        <v>106.97970989299479</v>
      </c>
      <c r="AP26" s="1681"/>
      <c r="AQ26" s="1682">
        <f>AQ23-AQ24</f>
        <v>-8.647000000000105</v>
      </c>
      <c r="AR26" s="1682">
        <f>AR23-AR24</f>
        <v>-39.237000000000037</v>
      </c>
      <c r="AS26" s="1682">
        <f>AS23-AS24</f>
        <v>-24.534999999999997</v>
      </c>
      <c r="AT26" s="1682">
        <f>AT23-AT24</f>
        <v>104.77700000000011</v>
      </c>
      <c r="AU26" s="1681"/>
      <c r="AV26" s="1682">
        <f>AV23-AV24</f>
        <v>19.559999999999981</v>
      </c>
      <c r="AW26" s="1682">
        <f>AW23-AW24</f>
        <v>-10.763000000000153</v>
      </c>
      <c r="AX26" s="1682">
        <f>AX23-AX24</f>
        <v>-58.223000000000141</v>
      </c>
      <c r="AY26" s="1682">
        <f>AY23-AY24</f>
        <v>163.74200000000008</v>
      </c>
      <c r="AZ26" s="1681"/>
      <c r="BA26" s="1682">
        <f>BA23-BA24</f>
        <v>41.341000000000051</v>
      </c>
      <c r="BB26" s="1682">
        <f>BB23-BB24</f>
        <v>18.586000000000119</v>
      </c>
      <c r="BC26" s="1682">
        <f>BC23-BC24</f>
        <v>24.258000000000038</v>
      </c>
      <c r="BD26" s="1682">
        <f>BD23-BD24</f>
        <v>154.68899999999999</v>
      </c>
      <c r="BE26" s="1681"/>
      <c r="BF26" s="1682">
        <f>BF23-BF24</f>
        <v>60.145000000000039</v>
      </c>
      <c r="BG26" s="1682">
        <f>BG23-BG24</f>
        <v>32.683000000000177</v>
      </c>
      <c r="BH26" s="1682">
        <f>BH23-BH24</f>
        <v>49.852999999999966</v>
      </c>
      <c r="BI26" s="1682">
        <f>BI23-BI24</f>
        <v>190.53099999999992</v>
      </c>
      <c r="BK26" s="1682">
        <f>BK23-BK24</f>
        <v>75.284000000000106</v>
      </c>
      <c r="BL26" s="1682">
        <f>BL23-BL24</f>
        <v>63.063999999999922</v>
      </c>
      <c r="BM26" s="1682">
        <f>BM23-BM24</f>
        <v>67.79899999999995</v>
      </c>
      <c r="BN26" s="1682">
        <f>BN23-BN24</f>
        <v>222.83300000000003</v>
      </c>
      <c r="BP26" s="1682">
        <f>BP23-BP24</f>
        <v>89.006127394747537</v>
      </c>
      <c r="BQ26" s="1682">
        <f>BQ23-BQ24</f>
        <v>76.609541776086957</v>
      </c>
      <c r="BR26" s="1682">
        <f>BR23-BR24</f>
        <v>85.023118781894482</v>
      </c>
      <c r="BS26" s="1683">
        <f>BS23-BS24</f>
        <v>246.01429960829989</v>
      </c>
      <c r="BT26" s="1682"/>
      <c r="BU26" s="1682"/>
      <c r="BV26" s="1682"/>
      <c r="BW26" s="1682"/>
      <c r="BX26" s="1682"/>
      <c r="BY26" s="1682"/>
      <c r="BZ26" s="1684">
        <f t="shared" ref="BZ26:CI26" si="4">BZ23-BZ24</f>
        <v>-44.954380052422657</v>
      </c>
      <c r="CA26" s="1682">
        <f t="shared" si="4"/>
        <v>58.255833660979846</v>
      </c>
      <c r="CB26" s="1682">
        <f t="shared" si="4"/>
        <v>-14.048380041793934</v>
      </c>
      <c r="CC26" s="1682">
        <f t="shared" si="4"/>
        <v>31.808081843102528</v>
      </c>
      <c r="CD26" s="1682">
        <f t="shared" si="4"/>
        <v>32.350237498878968</v>
      </c>
      <c r="CE26" s="1682">
        <f t="shared" si="4"/>
        <v>114.31435247826131</v>
      </c>
      <c r="CF26" s="1682">
        <f t="shared" si="4"/>
        <v>238.87400000000014</v>
      </c>
      <c r="CG26" s="1682">
        <f t="shared" si="4"/>
        <v>333.21199999999953</v>
      </c>
      <c r="CH26" s="1682">
        <f t="shared" si="4"/>
        <v>428.97999999999968</v>
      </c>
      <c r="CI26" s="1682">
        <f t="shared" si="4"/>
        <v>496.653087561029</v>
      </c>
      <c r="CJ26" s="1682">
        <f>CJ23-CJ24</f>
        <v>553.08181661176241</v>
      </c>
      <c r="CK26" s="1682">
        <f>CK23-CK24</f>
        <v>614.27634443176203</v>
      </c>
      <c r="CL26" s="1682">
        <f>CL23-CL24</f>
        <v>684.72859902902542</v>
      </c>
      <c r="CM26" s="1682">
        <f>CM23-CM24</f>
        <v>752.86346330198444</v>
      </c>
      <c r="CN26" s="1685"/>
      <c r="CO26" s="1681"/>
      <c r="CP26" s="1681"/>
      <c r="CQ26"/>
      <c r="CR26"/>
      <c r="CS26"/>
      <c r="CT26"/>
      <c r="CU26"/>
      <c r="CV26"/>
      <c r="CX26" s="1694"/>
    </row>
    <row r="27" spans="1:102">
      <c r="A27" s="1686" t="s">
        <v>193</v>
      </c>
      <c r="B27" s="1349"/>
      <c r="C27" s="1687"/>
      <c r="D27" s="1687"/>
      <c r="E27" s="1687"/>
      <c r="F27" s="1687"/>
      <c r="G27" s="1687"/>
      <c r="H27" s="1687"/>
      <c r="I27" s="1687"/>
      <c r="J27" s="1687"/>
      <c r="K27" s="1687"/>
      <c r="L27" s="1687"/>
      <c r="M27" s="1687"/>
      <c r="N27" s="1687"/>
      <c r="O27" s="1687"/>
      <c r="P27" s="1687"/>
      <c r="Q27" s="1687"/>
      <c r="R27" s="1687"/>
      <c r="S27" s="1687"/>
      <c r="T27" s="1687"/>
      <c r="U27" s="1687"/>
      <c r="V27" s="1687"/>
      <c r="W27" s="1687">
        <f t="array" ref="W27:Z27">TRANSPOSE('qtrP&amp;L_new'!AI143:AI146)</f>
        <v>-35.476999999999997</v>
      </c>
      <c r="X27" s="1687">
        <v>-15.856</v>
      </c>
      <c r="Y27" s="1687">
        <v>5.9509999999999996</v>
      </c>
      <c r="Z27" s="1687">
        <v>15.628999999999998</v>
      </c>
      <c r="AA27" s="1687"/>
      <c r="AB27" s="1687">
        <f t="array" ref="AB27:AE27">TRANSPOSE('qtrP&amp;L_new'!AM143:AM146)</f>
        <v>3.5880000000000001</v>
      </c>
      <c r="AC27" s="1687">
        <v>-24.491</v>
      </c>
      <c r="AD27" s="1687">
        <v>-2.6379999999999999</v>
      </c>
      <c r="AE27" s="1687">
        <v>45.670999999999992</v>
      </c>
      <c r="AF27" s="1687"/>
      <c r="AG27" s="1687">
        <f t="array" ref="AG27:AJ27">TRANSPOSE('qtrP&amp;L_new'!AQ143:AQ146)</f>
        <v>-11.180999999999999</v>
      </c>
      <c r="AH27" s="1687">
        <v>-23.132000000000001</v>
      </c>
      <c r="AI27" s="1687">
        <v>-13.395</v>
      </c>
      <c r="AJ27" s="1687">
        <v>43.56</v>
      </c>
      <c r="AK27" s="1687"/>
      <c r="AL27" s="1687">
        <f t="array" ref="AL27:AO27">TRANSPOSE('qtrP&amp;L_new'!AU143:AU146)</f>
        <v>-1.7172039999999993</v>
      </c>
      <c r="AM27" s="1687">
        <v>-16.04417188</v>
      </c>
      <c r="AN27" s="1687">
        <v>-14.204000000000001</v>
      </c>
      <c r="AO27" s="1687">
        <v>35.828000000000003</v>
      </c>
      <c r="AP27" s="1349"/>
      <c r="AQ27" s="1687">
        <f t="array" ref="AQ27:AT27">TRANSPOSE('qtrP&amp;L_new'!AY143:AY146)</f>
        <v>-3.0840000000000001</v>
      </c>
      <c r="AR27" s="1687">
        <v>-14.223000000000001</v>
      </c>
      <c r="AS27" s="1687">
        <v>-7.6779999999999999</v>
      </c>
      <c r="AT27" s="1687">
        <v>41.192999999999998</v>
      </c>
      <c r="AU27" s="1349"/>
      <c r="AV27" s="1687">
        <f t="array" ref="AV27:AY27">TRANSPOSE('qtrP&amp;L_new'!BC143:BC146)</f>
        <v>7.7859999999999996</v>
      </c>
      <c r="AW27" s="1687">
        <v>-4.2930000000000001</v>
      </c>
      <c r="AX27" s="1687">
        <v>-24.009</v>
      </c>
      <c r="AY27" s="1687">
        <v>59.597000000000001</v>
      </c>
      <c r="AZ27" s="1349"/>
      <c r="BA27" s="1687">
        <f t="array" ref="BA27:BD27">TRANSPOSE('qtrP&amp;L_new'!BG143:BG146)</f>
        <v>15.646000000000001</v>
      </c>
      <c r="BB27" s="1687">
        <v>7.6859999999999999</v>
      </c>
      <c r="BC27" s="1687">
        <v>9.1419999999999995</v>
      </c>
      <c r="BD27" s="1687">
        <v>55.917999999999999</v>
      </c>
      <c r="BE27" s="1349"/>
      <c r="BF27" s="1687">
        <f t="array" ref="BF27:BI27">TRANSPOSE('qtrP&amp;L_new'!BK143:BK146)</f>
        <v>22.631</v>
      </c>
      <c r="BG27" s="1687">
        <v>12.289</v>
      </c>
      <c r="BH27" s="1687">
        <v>17.449000000000002</v>
      </c>
      <c r="BI27" s="1687">
        <v>64.97</v>
      </c>
      <c r="BK27" s="1687">
        <f t="array" ref="BK27:BN27">TRANSPOSE('qtrP&amp;L_new'!BO143:BO146)</f>
        <v>22.916</v>
      </c>
      <c r="BL27" s="1687">
        <v>16.161999999999999</v>
      </c>
      <c r="BM27" s="1687">
        <v>22.92</v>
      </c>
      <c r="BN27" s="1687">
        <v>75.31755400000003</v>
      </c>
      <c r="BP27" s="1687">
        <f t="array" ref="BP27:BS27">TRANSPOSE('qtrP&amp;L_new'!BS143:BS146)</f>
        <v>17.801225478949508</v>
      </c>
      <c r="BQ27" s="1687">
        <v>13.789717519695651</v>
      </c>
      <c r="BR27" s="1687">
        <v>21.25577969547362</v>
      </c>
      <c r="BS27" s="1689">
        <v>63.963717898157974</v>
      </c>
      <c r="BT27" s="1687"/>
      <c r="BU27" s="1687"/>
      <c r="BV27" s="1687"/>
      <c r="BW27" s="1687"/>
      <c r="BX27" s="1687"/>
      <c r="BY27" s="1687"/>
      <c r="BZ27" s="1690">
        <f>'yrP&amp;L_new'!B49</f>
        <v>-29.753</v>
      </c>
      <c r="CA27" s="1687">
        <f>'yrP&amp;L_new'!C49</f>
        <v>22.13</v>
      </c>
      <c r="CB27" s="1687">
        <f>'yrP&amp;L_new'!D49</f>
        <v>-4.1479999999999997</v>
      </c>
      <c r="CC27" s="1687">
        <f>'yrP&amp;L_new'!E49</f>
        <v>3.8626241200000031</v>
      </c>
      <c r="CD27" s="1687">
        <f>'yrP&amp;L_new'!F49</f>
        <v>16.207999999999995</v>
      </c>
      <c r="CE27" s="1687">
        <f>'yrP&amp;L_new'!G49</f>
        <v>39.081000000000003</v>
      </c>
      <c r="CF27" s="1687">
        <f>'yrP&amp;L_new'!H49</f>
        <v>88.391999999999996</v>
      </c>
      <c r="CG27" s="1687">
        <f>'yrP&amp;L_new'!I49</f>
        <v>117.339</v>
      </c>
      <c r="CH27" s="1687">
        <f>'yrP&amp;L_new'!J49</f>
        <v>137.31555400000002</v>
      </c>
      <c r="CI27" s="1687">
        <f>'yrP&amp;L_new'!K49</f>
        <v>116.81044059227676</v>
      </c>
      <c r="CJ27" s="1687">
        <f>'yrP&amp;L_new'!L49</f>
        <v>130.08220889003937</v>
      </c>
      <c r="CK27" s="1687">
        <f>'yrP&amp;L_new'!M49</f>
        <v>144.47487035841718</v>
      </c>
      <c r="CL27" s="1687">
        <f>'yrP&amp;L_new'!N49</f>
        <v>161.04490506944541</v>
      </c>
      <c r="CM27" s="1687">
        <f>'yrP&amp;L_new'!O49</f>
        <v>177.06990061412995</v>
      </c>
      <c r="CN27" s="1538"/>
      <c r="CO27" s="1349"/>
      <c r="CP27" s="1349"/>
    </row>
    <row r="28" spans="1:102">
      <c r="A28" s="1686"/>
      <c r="B28" s="1349"/>
      <c r="C28" s="1687"/>
      <c r="D28" s="1687"/>
      <c r="E28" s="1687"/>
      <c r="F28" s="1687"/>
      <c r="G28" s="1687"/>
      <c r="H28" s="1687"/>
      <c r="I28" s="1687"/>
      <c r="J28" s="1687"/>
      <c r="K28" s="1687"/>
      <c r="L28" s="1687"/>
      <c r="M28" s="1687"/>
      <c r="N28" s="1687"/>
      <c r="O28" s="1687"/>
      <c r="P28" s="1687"/>
      <c r="Q28" s="1687"/>
      <c r="R28" s="1687"/>
      <c r="S28" s="1687"/>
      <c r="T28" s="1687"/>
      <c r="U28" s="1687"/>
      <c r="V28" s="1687"/>
      <c r="W28" s="1687"/>
      <c r="X28" s="1687"/>
      <c r="Y28" s="1687"/>
      <c r="Z28" s="1687"/>
      <c r="AA28" s="1687"/>
      <c r="AB28" s="1687"/>
      <c r="AC28" s="1687"/>
      <c r="AD28" s="1687"/>
      <c r="AE28" s="1687"/>
      <c r="AF28" s="1687"/>
      <c r="AG28" s="1687"/>
      <c r="AH28" s="1687"/>
      <c r="AI28" s="1687"/>
      <c r="AJ28" s="1687"/>
      <c r="AK28" s="1687"/>
      <c r="AL28" s="1687"/>
      <c r="AM28" s="1687"/>
      <c r="AN28" s="1687"/>
      <c r="AO28" s="1687"/>
      <c r="AP28" s="1349"/>
      <c r="AQ28" s="1687"/>
      <c r="AR28" s="1687"/>
      <c r="AS28" s="1687"/>
      <c r="AT28" s="1687"/>
      <c r="AU28" s="1349"/>
      <c r="AV28" s="1687"/>
      <c r="AW28" s="1687"/>
      <c r="AX28" s="1687"/>
      <c r="AY28" s="1687"/>
      <c r="AZ28" s="1349"/>
      <c r="BA28" s="1687"/>
      <c r="BB28" s="1687"/>
      <c r="BC28" s="1687"/>
      <c r="BD28" s="1687"/>
      <c r="BE28" s="1349"/>
      <c r="BF28" s="1687"/>
      <c r="BG28" s="1687"/>
      <c r="BH28" s="1687"/>
      <c r="BI28" s="1687"/>
      <c r="BK28" s="1687"/>
      <c r="BL28" s="1687"/>
      <c r="BM28" s="1687"/>
      <c r="BN28" s="1687"/>
      <c r="BP28" s="1687"/>
      <c r="BQ28" s="1687"/>
      <c r="BR28" s="1687"/>
      <c r="BS28" s="1689"/>
      <c r="BT28" s="1687"/>
      <c r="BU28" s="1687"/>
      <c r="BV28" s="1687"/>
      <c r="BW28" s="1687"/>
      <c r="BX28" s="1687"/>
      <c r="BY28" s="1687"/>
      <c r="BZ28" s="1690"/>
      <c r="CA28" s="1687"/>
      <c r="CB28" s="1687"/>
      <c r="CC28" s="1687"/>
      <c r="CD28" s="1687"/>
      <c r="CE28" s="1687"/>
      <c r="CF28" s="1687"/>
      <c r="CG28" s="1687"/>
      <c r="CH28" s="1687"/>
      <c r="CI28" s="1687"/>
      <c r="CJ28" s="1687"/>
      <c r="CK28" s="1687"/>
      <c r="CL28" s="1687"/>
      <c r="CM28" s="1687"/>
      <c r="CN28" s="1538"/>
      <c r="CO28" s="1349"/>
      <c r="CP28" s="1349"/>
    </row>
    <row r="29" spans="1:102" s="1390" customFormat="1">
      <c r="A29" s="1695" t="s">
        <v>360</v>
      </c>
      <c r="B29" s="1696"/>
      <c r="C29" s="1697"/>
      <c r="D29" s="1697"/>
      <c r="E29" s="1697"/>
      <c r="F29" s="1697"/>
      <c r="G29" s="1697"/>
      <c r="H29" s="1697"/>
      <c r="I29" s="1697"/>
      <c r="J29" s="1697"/>
      <c r="K29" s="1697"/>
      <c r="L29" s="1697"/>
      <c r="M29" s="1697"/>
      <c r="N29" s="1697"/>
      <c r="O29" s="1697"/>
      <c r="P29" s="1697"/>
      <c r="Q29" s="1697"/>
      <c r="R29" s="1697"/>
      <c r="S29" s="1697"/>
      <c r="T29" s="1697"/>
      <c r="U29" s="1697"/>
      <c r="V29" s="1697"/>
      <c r="W29" s="1697">
        <f>W26-W27</f>
        <v>-21.688000000000009</v>
      </c>
      <c r="X29" s="1697">
        <f>X26-X27</f>
        <v>-12.520000000000062</v>
      </c>
      <c r="Y29" s="1697">
        <f>Y26-Y27</f>
        <v>7.510999999999858</v>
      </c>
      <c r="Z29" s="1697">
        <f>Z26-Z27</f>
        <v>11.518000000000129</v>
      </c>
      <c r="AA29" s="1697"/>
      <c r="AB29" s="1697">
        <f>AB26-AB27</f>
        <v>5.2130000000000267</v>
      </c>
      <c r="AC29" s="1697">
        <f>AC26-AC27</f>
        <v>-40.478999999999971</v>
      </c>
      <c r="AD29" s="1697">
        <f>AD26-AD27</f>
        <v>-2.7950000000001243</v>
      </c>
      <c r="AE29" s="1697">
        <f>AE26-AE27</f>
        <v>69.059000000000111</v>
      </c>
      <c r="AF29" s="1697"/>
      <c r="AG29" s="1697">
        <f>AG26-AG27</f>
        <v>-21.05699999999996</v>
      </c>
      <c r="AH29" s="1697">
        <f>AH26-AH27</f>
        <v>-32.763000000000048</v>
      </c>
      <c r="AI29" s="1697">
        <f>AI26-AI27</f>
        <v>-10.277000000000019</v>
      </c>
      <c r="AJ29" s="1697">
        <f>AJ26-AJ27</f>
        <v>57.35200000000026</v>
      </c>
      <c r="AK29" s="1697"/>
      <c r="AL29" s="1697">
        <f>AL26-AL27</f>
        <v>-4.404932839999951</v>
      </c>
      <c r="AM29" s="1697">
        <f>AM26-AM27</f>
        <v>-31.349530800000004</v>
      </c>
      <c r="AN29" s="1697">
        <f>AN26-AN27</f>
        <v>-7.447000000000024</v>
      </c>
      <c r="AO29" s="1697">
        <f>AO26-AO27</f>
        <v>71.151709892994788</v>
      </c>
      <c r="AP29" s="1696"/>
      <c r="AQ29" s="1697">
        <f>AQ26-AQ27</f>
        <v>-5.5630000000001054</v>
      </c>
      <c r="AR29" s="1697">
        <f>AR26-AR27</f>
        <v>-25.014000000000038</v>
      </c>
      <c r="AS29" s="1697">
        <f>AS26-AS27</f>
        <v>-16.856999999999996</v>
      </c>
      <c r="AT29" s="1697">
        <f>AT26-AT27</f>
        <v>63.584000000000117</v>
      </c>
      <c r="AU29" s="1696"/>
      <c r="AV29" s="1697">
        <f>AV26-AV27</f>
        <v>11.773999999999981</v>
      </c>
      <c r="AW29" s="1697">
        <f>AW26-AW27</f>
        <v>-6.4700000000001525</v>
      </c>
      <c r="AX29" s="1697">
        <f>AX26-AX27</f>
        <v>-34.214000000000141</v>
      </c>
      <c r="AY29" s="1698">
        <f>AY26-AY27</f>
        <v>104.14500000000007</v>
      </c>
      <c r="AZ29" s="1696"/>
      <c r="BA29" s="1697">
        <f>BA26-BA27</f>
        <v>25.69500000000005</v>
      </c>
      <c r="BB29" s="1697">
        <f>BB26-BB27</f>
        <v>10.900000000000119</v>
      </c>
      <c r="BC29" s="1697">
        <f>BC26-BC27</f>
        <v>15.116000000000039</v>
      </c>
      <c r="BD29" s="2047">
        <f>BD26-BD27</f>
        <v>98.770999999999987</v>
      </c>
      <c r="BE29" s="1699"/>
      <c r="BF29" s="1698">
        <f>BF26-BF27</f>
        <v>37.514000000000038</v>
      </c>
      <c r="BG29" s="1697">
        <f>BG26-BG27</f>
        <v>20.394000000000176</v>
      </c>
      <c r="BH29" s="1697">
        <f>BH26-BH27</f>
        <v>32.403999999999968</v>
      </c>
      <c r="BI29" s="1697">
        <f>BI26-BI27</f>
        <v>125.56099999999992</v>
      </c>
      <c r="BK29" s="1698">
        <f>BK26-BK27</f>
        <v>52.368000000000109</v>
      </c>
      <c r="BL29" s="1697">
        <f>BL26-BL27</f>
        <v>46.901999999999923</v>
      </c>
      <c r="BM29" s="1697">
        <f>BM26-BM27</f>
        <v>44.878999999999948</v>
      </c>
      <c r="BN29" s="1697">
        <f>BN26-BN27</f>
        <v>147.515446</v>
      </c>
      <c r="BP29" s="1698">
        <f>BP26-BP27</f>
        <v>71.204901915798033</v>
      </c>
      <c r="BQ29" s="1697">
        <f>BQ26-BQ27</f>
        <v>62.819824256391307</v>
      </c>
      <c r="BR29" s="1697">
        <f>BR26-BR27</f>
        <v>63.767339086420861</v>
      </c>
      <c r="BS29" s="1700">
        <f>BS26-BS27</f>
        <v>182.05058171014193</v>
      </c>
      <c r="BT29" s="1697"/>
      <c r="BU29" s="1697"/>
      <c r="BV29" s="1697"/>
      <c r="BW29" s="1697"/>
      <c r="BX29" s="1697"/>
      <c r="BY29" s="1697"/>
      <c r="BZ29" s="1701">
        <f t="shared" ref="BZ29:CI29" si="5">BZ26-BZ27</f>
        <v>-15.201380052422657</v>
      </c>
      <c r="CA29" s="1697">
        <f t="shared" si="5"/>
        <v>36.12583366097985</v>
      </c>
      <c r="CB29" s="1697">
        <f t="shared" si="5"/>
        <v>-9.9003800417939338</v>
      </c>
      <c r="CC29" s="1697">
        <f t="shared" si="5"/>
        <v>27.945457723102525</v>
      </c>
      <c r="CD29" s="1697">
        <f t="shared" si="5"/>
        <v>16.142237498878973</v>
      </c>
      <c r="CE29" s="1697">
        <f t="shared" si="5"/>
        <v>75.23335247826131</v>
      </c>
      <c r="CF29" s="1697">
        <f t="shared" si="5"/>
        <v>150.48200000000014</v>
      </c>
      <c r="CG29" s="1697">
        <f t="shared" si="5"/>
        <v>215.87299999999954</v>
      </c>
      <c r="CH29" s="1697">
        <f t="shared" si="5"/>
        <v>291.66444599999966</v>
      </c>
      <c r="CI29" s="1697">
        <f t="shared" si="5"/>
        <v>379.84264696875221</v>
      </c>
      <c r="CJ29" s="1697">
        <f>CJ26-CJ27</f>
        <v>422.99960772172301</v>
      </c>
      <c r="CK29" s="1697">
        <f>CK26-CK27</f>
        <v>469.80147407334482</v>
      </c>
      <c r="CL29" s="1697">
        <f>CL26-CL27</f>
        <v>523.68369395958007</v>
      </c>
      <c r="CM29" s="1697">
        <f>CM26-CM27</f>
        <v>575.79356268785455</v>
      </c>
      <c r="CN29" s="1695"/>
      <c r="CO29" s="1696"/>
      <c r="CP29" s="1696"/>
      <c r="CQ29"/>
      <c r="CR29"/>
      <c r="CS29"/>
      <c r="CT29"/>
      <c r="CU29"/>
      <c r="CV29"/>
    </row>
    <row r="30" spans="1:102" s="1713" customFormat="1">
      <c r="A30" s="1702" t="s">
        <v>365</v>
      </c>
      <c r="B30" s="1703"/>
      <c r="C30" s="1704"/>
      <c r="D30" s="1704"/>
      <c r="E30" s="1704"/>
      <c r="F30" s="1704"/>
      <c r="G30" s="1703"/>
      <c r="H30" s="1705"/>
      <c r="I30" s="1705"/>
      <c r="J30" s="1705"/>
      <c r="K30" s="1705"/>
      <c r="L30" s="1705"/>
      <c r="M30" s="1705"/>
      <c r="N30" s="1705"/>
      <c r="O30" s="1705"/>
      <c r="P30" s="1705"/>
      <c r="Q30" s="1705"/>
      <c r="R30" s="1705"/>
      <c r="S30" s="1705"/>
      <c r="T30" s="1705"/>
      <c r="U30" s="1705"/>
      <c r="V30" s="1705"/>
      <c r="W30" s="1705">
        <f>IF(ISERROR(W29/W31),"NA",W29/W31)</f>
        <v>-0.30329463021807707</v>
      </c>
      <c r="X30" s="1705">
        <f>IF(ISERROR(X29/X31),"NA",X29/X31)</f>
        <v>-0.17508524392891653</v>
      </c>
      <c r="Y30" s="1705">
        <f>IF(ISERROR(Y29/Y31),"NA",Y29/Y31)</f>
        <v>0.10503716191294414</v>
      </c>
      <c r="Z30" s="1705">
        <f>IF(ISERROR(Z29/Z31),"NA",Z29/Z31)</f>
        <v>0.16107283063684291</v>
      </c>
      <c r="AA30" s="1705"/>
      <c r="AB30" s="1705">
        <f>IF(ISERROR(AB29/AB31),"NA",AB29/AB31)</f>
        <v>7.2900908674236584E-2</v>
      </c>
      <c r="AC30" s="1705">
        <f>IF(ISERROR(AC29/AC31),"NA",AC29/AC31)</f>
        <v>-0.56607632499988592</v>
      </c>
      <c r="AD30" s="1705">
        <f>IF(ISERROR(AD29/AD31),"NA",AD29/AD31)</f>
        <v>-3.9086522107135868E-2</v>
      </c>
      <c r="AE30" s="1705">
        <f>IF(ISERROR(AE29/AE31),"NA",AE29/AE31)</f>
        <v>0.96575174604528802</v>
      </c>
      <c r="AF30" s="1705"/>
      <c r="AG30" s="1705">
        <f>IF(ISERROR(AG29/AG31),"NA",AG29/AG31)</f>
        <v>-0.29447044579961423</v>
      </c>
      <c r="AH30" s="1705">
        <f>IF(ISERROR(AH29/AH31),"NA",AH29/AH31)</f>
        <v>-0.45817235198427092</v>
      </c>
      <c r="AI30" s="1705">
        <f>IF(ISERROR(AI29/AI31),"NA",AI29/AI31)</f>
        <v>-0.14371813513238574</v>
      </c>
      <c r="AJ30" s="1705">
        <f>IF(ISERROR(AJ29/AJ31),"NA",AJ29/AJ31)</f>
        <v>0.80203585541623135</v>
      </c>
      <c r="AK30" s="1705"/>
      <c r="AL30" s="1705">
        <f>IF(ISERROR(AL29/AL31),"NA",AL29/AL31)</f>
        <v>-5.6920877804388724E-2</v>
      </c>
      <c r="AM30" s="1705">
        <f>IF(ISERROR(AM29/AM31),"NA",AM29/AM31)</f>
        <v>-0.4051010257608697</v>
      </c>
      <c r="AN30" s="1705">
        <f>IF(ISERROR(AN29/AN31),"NA",AN29/AN31)</f>
        <v>-9.6230701444539823E-2</v>
      </c>
      <c r="AO30" s="1705">
        <f>IF(ISERROR(AO29/AO31),"NA",AO29/AO31)</f>
        <v>0.91942781683648045</v>
      </c>
      <c r="AP30" s="1703"/>
      <c r="AQ30" s="1705">
        <f>IF(ISERROR(AQ29/AQ31),"NA",AQ29/AQ31)</f>
        <v>-7.1885509888006377E-2</v>
      </c>
      <c r="AR30" s="1705">
        <f>IF(ISERROR(AR29/AR31),"NA",AR29/AR31)</f>
        <v>-0.32323281401016724</v>
      </c>
      <c r="AS30" s="1705">
        <f>IF(ISERROR(AS29/AS31),"NA",AS29/AS31)</f>
        <v>-0.21782743846523461</v>
      </c>
      <c r="AT30" s="1705">
        <f>IF(ISERROR(AT29/AT31),"NA",AT29/AT31)</f>
        <v>0.82163729295684329</v>
      </c>
      <c r="AU30" s="1706"/>
      <c r="AV30" s="1705">
        <f>IF(ISERROR(AV29/AV31),"NA",AV29/AV31)</f>
        <v>0.15214452515214266</v>
      </c>
      <c r="AW30" s="1705">
        <f>IF(ISERROR(AW29/AW31),"NA",AW29/AW31)</f>
        <v>-8.360583299935348E-2</v>
      </c>
      <c r="AX30" s="1705">
        <f>IF(ISERROR(AX29/AX31),"NA",AX29/AX31)</f>
        <v>-0.46099329003745909</v>
      </c>
      <c r="AY30" s="1707">
        <f>IF(ISERROR(AY29/AY31),"NA",AY29/AY31)</f>
        <v>1.3652988987939181</v>
      </c>
      <c r="AZ30" s="1706"/>
      <c r="BA30" s="1705">
        <f>IF(ISERROR(BA29/BA31),"NA",BA29/BA31)</f>
        <v>0.33587796237957734</v>
      </c>
      <c r="BB30" s="1705">
        <f>IF(ISERROR(BB29/BB31),"NA",BB29/BB31)</f>
        <v>0.14246317522970711</v>
      </c>
      <c r="BC30" s="1705">
        <f>IF(ISERROR(BC29/BC31),"NA",BC29/BC31)</f>
        <v>0.20395331579302489</v>
      </c>
      <c r="BD30" s="1707">
        <f>IF(ISERROR(BD29/BD31),"NA",BD29/BD31)</f>
        <v>1.3326721986102676</v>
      </c>
      <c r="BE30" s="1706"/>
      <c r="BF30" s="1707">
        <f>IF(ISERROR(BF29/BF31),"NA",BF29/BF31)</f>
        <v>0.51798461814616958</v>
      </c>
      <c r="BG30" s="1705">
        <f>IF(ISERROR(BG29/BG31),"NA",BG29/BG31)</f>
        <v>0.28330115159681857</v>
      </c>
      <c r="BH30" s="1705">
        <f>IF(ISERROR(BH29/BH31),"NA",BH29/BH31)</f>
        <v>0.45013683026101892</v>
      </c>
      <c r="BI30" s="1705">
        <f>IF(ISERROR(BI29/BI31),"NA",BI29/BI31)</f>
        <v>1.7442177059746888</v>
      </c>
      <c r="BJ30" s="1705"/>
      <c r="BK30" s="1707">
        <f>IF(ISERROR(BK29/BK31),"NA",BK29/BK31)</f>
        <v>0.73236836584854359</v>
      </c>
      <c r="BL30" s="1705">
        <f>IF(ISERROR(BL29/BL31),"NA",BL29/BL31)</f>
        <v>0.66244827050465283</v>
      </c>
      <c r="BM30" s="1705">
        <f>IF(ISERROR(BM29/BM31),"NA",BM29/BM31)</f>
        <v>0.64536029105132153</v>
      </c>
      <c r="BN30" s="1705">
        <f>IF(ISERROR(BN29/BN31),"NA",BN29/BN31)</f>
        <v>2.128496443258062</v>
      </c>
      <c r="BO30" s="1705"/>
      <c r="BP30" s="1707">
        <f>IF(ISERROR(BP29/BP31),"NA",BP29/BP31)</f>
        <v>1.0333778668572386</v>
      </c>
      <c r="BQ30" s="1705">
        <f>IF(ISERROR(BQ29/BQ31),"NA",BQ29/BQ31)</f>
        <v>0.91701079127642238</v>
      </c>
      <c r="BR30" s="1705">
        <f>IF(ISERROR(BR29/BR31),"NA",BR29/BR31)</f>
        <v>0.93630921498305364</v>
      </c>
      <c r="BS30" s="1708">
        <f>IF(ISERROR(BS29/BS31),"NA",BS29/BS31)</f>
        <v>2.6888794285524256</v>
      </c>
      <c r="BT30" s="1709" t="str">
        <f>IF(ISERROR(BT24/#REF!),"NA",BT24/#REF!)</f>
        <v>NA</v>
      </c>
      <c r="BU30" s="1710" t="str">
        <f>IF(ISERROR(BU24/#REF!),"NA",BU24/#REF!)</f>
        <v>NA</v>
      </c>
      <c r="BV30" s="1710" t="str">
        <f>IF(ISERROR(BV24/#REF!),"NA",BV24/#REF!)</f>
        <v>NA</v>
      </c>
      <c r="BW30" s="1710" t="str">
        <f>IF(ISERROR(BW24/#REF!),"NA",BW24/#REF!)</f>
        <v>NA</v>
      </c>
      <c r="BX30" s="1710" t="str">
        <f>IF(ISERROR(BX24/#REF!),"NA",BX24/#REF!)</f>
        <v>NA</v>
      </c>
      <c r="BY30" s="1710" t="str">
        <f>IF(ISERROR(BY24/#REF!),"NA",BY24/#REF!)</f>
        <v>NA</v>
      </c>
      <c r="BZ30" s="1711">
        <f t="shared" ref="BZ30:CI30" si="6">IF(ISERROR(BZ29/BZ31),"NA",BZ29/BZ31)</f>
        <v>-0.21258285419605222</v>
      </c>
      <c r="CA30" s="1711">
        <f t="shared" si="6"/>
        <v>0.50519971235368122</v>
      </c>
      <c r="CB30" s="1711">
        <f t="shared" si="6"/>
        <v>-0.13845131426569163</v>
      </c>
      <c r="CC30" s="1711">
        <f t="shared" si="6"/>
        <v>0.39080169985260427</v>
      </c>
      <c r="CD30" s="1711">
        <f t="shared" si="6"/>
        <v>0.21737836045583786</v>
      </c>
      <c r="CE30" s="1711">
        <f t="shared" si="6"/>
        <v>0.99167405889753268</v>
      </c>
      <c r="CF30" s="1711">
        <f t="shared" si="6"/>
        <v>1.9946449637474668</v>
      </c>
      <c r="CG30" s="1711">
        <f t="shared" si="6"/>
        <v>3.0098994715634126</v>
      </c>
      <c r="CH30" s="1711">
        <f t="shared" si="6"/>
        <v>4.1495624573184564</v>
      </c>
      <c r="CI30" s="1711">
        <f t="shared" si="6"/>
        <v>5.5953840608198018</v>
      </c>
      <c r="CJ30" s="1711">
        <f>IF(ISERROR(CJ29/CJ31),"NA",CJ29/CJ31)</f>
        <v>6.3701384679451518</v>
      </c>
      <c r="CK30" s="1711">
        <f>IF(ISERROR(CK29/CK31),"NA",CK29/CK31)</f>
        <v>7.2305018336218465</v>
      </c>
      <c r="CL30" s="1711">
        <f>IF(ISERROR(CL29/CL31),"NA",CL29/CL31)</f>
        <v>8.2286363127484012</v>
      </c>
      <c r="CM30" s="1711">
        <f>IF(ISERROR(CM29/CM31),"NA",CM29/CM31)</f>
        <v>9.0474381257816088</v>
      </c>
      <c r="CN30" s="1712"/>
      <c r="CQ30"/>
      <c r="CR30"/>
      <c r="CS30"/>
      <c r="CT30"/>
      <c r="CU30"/>
      <c r="CV30"/>
    </row>
    <row r="31" spans="1:102" outlineLevel="1">
      <c r="A31" s="1538" t="s">
        <v>197</v>
      </c>
      <c r="B31" s="1349"/>
      <c r="C31" s="1714"/>
      <c r="D31" s="1714"/>
      <c r="E31" s="1714"/>
      <c r="F31" s="1714"/>
      <c r="G31" s="1687"/>
      <c r="H31" s="1687"/>
      <c r="I31" s="1687"/>
      <c r="J31" s="1687"/>
      <c r="K31" s="1687"/>
      <c r="L31" s="1687"/>
      <c r="M31" s="1687"/>
      <c r="N31" s="1687"/>
      <c r="O31" s="1687"/>
      <c r="P31" s="1687"/>
      <c r="Q31" s="1687"/>
      <c r="R31" s="1687"/>
      <c r="S31" s="1687"/>
      <c r="T31" s="1687"/>
      <c r="U31" s="1687"/>
      <c r="V31" s="1687"/>
      <c r="W31" s="1715">
        <v>71.508025000000004</v>
      </c>
      <c r="X31" s="1715">
        <v>71.508025000000004</v>
      </c>
      <c r="Y31" s="1715">
        <v>71.508025000000004</v>
      </c>
      <c r="Z31" s="1715">
        <v>71.508025000000004</v>
      </c>
      <c r="AA31" s="1715"/>
      <c r="AB31" s="1715">
        <v>71.508025000000004</v>
      </c>
      <c r="AC31" s="1715">
        <v>71.508025000000004</v>
      </c>
      <c r="AD31" s="1715">
        <v>71.508025000000004</v>
      </c>
      <c r="AE31" s="1715">
        <v>71.508025000000004</v>
      </c>
      <c r="AF31" s="1715"/>
      <c r="AG31" s="1715">
        <v>71.508025000000004</v>
      </c>
      <c r="AH31" s="1715">
        <v>71.508025000000004</v>
      </c>
      <c r="AI31" s="1715">
        <v>71.508025000000004</v>
      </c>
      <c r="AJ31" s="1715">
        <v>71.508025000000004</v>
      </c>
      <c r="AK31" s="1715"/>
      <c r="AL31" s="1715">
        <f t="array" ref="AL31:AO31">TRANSPOSE('qtrP&amp;L_new'!AU173:AU176)</f>
        <v>77.386944999999997</v>
      </c>
      <c r="AM31" s="1715">
        <v>77.386944999999997</v>
      </c>
      <c r="AN31" s="1715">
        <v>77.386944999999997</v>
      </c>
      <c r="AO31" s="1715">
        <v>77.386944999999997</v>
      </c>
      <c r="AP31" s="1715"/>
      <c r="AQ31" s="1715">
        <f t="array" ref="AQ31:AT31">TRANSPOSE('qtrP&amp;L_new'!AY173:AY176)</f>
        <v>77.386944999999997</v>
      </c>
      <c r="AR31" s="1715">
        <v>77.386944999999997</v>
      </c>
      <c r="AS31" s="1715">
        <v>77.386944999999997</v>
      </c>
      <c r="AT31" s="1715">
        <v>77.386944999999997</v>
      </c>
      <c r="AU31" s="1715"/>
      <c r="AV31" s="1687">
        <f t="array" ref="AV31:AY31">TRANSPOSE('qtrP&amp;L_new'!BC173:BC176)</f>
        <v>77.386944999999997</v>
      </c>
      <c r="AW31" s="1687">
        <v>77.386944999999997</v>
      </c>
      <c r="AX31" s="1687">
        <v>74.218000000000004</v>
      </c>
      <c r="AY31" s="1687">
        <v>76.28</v>
      </c>
      <c r="AZ31" s="1715"/>
      <c r="BA31" s="1687">
        <f t="array" ref="BA31:BD31">TRANSPOSE('qtrP&amp;L_new'!BG173:BG176)</f>
        <v>76.501000000000005</v>
      </c>
      <c r="BB31" s="1687">
        <v>76.510999999999996</v>
      </c>
      <c r="BC31" s="1687">
        <v>74.114999999999995</v>
      </c>
      <c r="BD31" s="1687">
        <v>74.114999999999995</v>
      </c>
      <c r="BE31" s="1687"/>
      <c r="BF31" s="1687">
        <f t="array" ref="BF31:BI31">TRANSPOSE('qtrP&amp;L_new'!BK173:BK176)</f>
        <v>72.423000000000002</v>
      </c>
      <c r="BG31" s="1687">
        <v>71.986999999999995</v>
      </c>
      <c r="BH31" s="1687">
        <v>71.986999999999995</v>
      </c>
      <c r="BI31" s="1687">
        <v>71.986999999999995</v>
      </c>
      <c r="BK31" s="1687">
        <f t="array" ref="BK31:BN31">TRANSPOSE('qtrP&amp;L_new'!BO173:BO176)</f>
        <v>71.504999999999995</v>
      </c>
      <c r="BL31" s="1687">
        <v>70.801000000000002</v>
      </c>
      <c r="BM31" s="1687">
        <v>69.540999999999997</v>
      </c>
      <c r="BN31" s="1687">
        <v>69.305000000000007</v>
      </c>
      <c r="BP31" s="1687">
        <f t="array" ref="BP31:BS31">TRANSPOSE('qtrP&amp;L_new'!BS173:BS176)</f>
        <v>68.905000000000001</v>
      </c>
      <c r="BQ31" s="1687">
        <v>68.504999999999995</v>
      </c>
      <c r="BR31" s="1687">
        <v>68.10499999999999</v>
      </c>
      <c r="BS31" s="1689">
        <v>67.704999999999984</v>
      </c>
      <c r="BT31" s="1715">
        <f>'yrP&amp;L'!F39</f>
        <v>4.0203359487545276E-2</v>
      </c>
      <c r="BU31" s="1716">
        <v>44.7</v>
      </c>
      <c r="BV31" s="1716">
        <v>44.7</v>
      </c>
      <c r="BW31" s="1716">
        <v>44.7</v>
      </c>
      <c r="BX31" s="1716">
        <v>44.7</v>
      </c>
      <c r="BY31" s="1716">
        <v>44.7</v>
      </c>
      <c r="BZ31" s="1717">
        <f>'yrP&amp;L_new'!B58</f>
        <v>71.508025000000004</v>
      </c>
      <c r="CA31" s="1714">
        <f>'yrP&amp;L_new'!C58</f>
        <v>71.508025000000004</v>
      </c>
      <c r="CB31" s="1714">
        <f>'yrP&amp;L_new'!D58</f>
        <v>71.508025000000004</v>
      </c>
      <c r="CC31" s="1714">
        <f>'yrP&amp;L_new'!E58</f>
        <v>71.508025000000004</v>
      </c>
      <c r="CD31" s="1714">
        <f>'yrP&amp;L_new'!F58</f>
        <v>74.258713999999998</v>
      </c>
      <c r="CE31" s="1714">
        <f>'yrP&amp;L_new'!G58</f>
        <v>75.864999999999995</v>
      </c>
      <c r="CF31" s="1714">
        <f>'yrP&amp;L_new'!H58</f>
        <v>75.442999999999998</v>
      </c>
      <c r="CG31" s="1714">
        <f>'yrP&amp;L_new'!I58</f>
        <v>71.721000000000004</v>
      </c>
      <c r="CH31" s="1714">
        <f>'yrP&amp;L_new'!J58</f>
        <v>70.287999999999997</v>
      </c>
      <c r="CI31" s="1714">
        <f>'yrP&amp;L_new'!K58</f>
        <v>67.884999999999991</v>
      </c>
      <c r="CJ31" s="1714">
        <f>'yrP&amp;L_new'!L58</f>
        <v>66.40351851851851</v>
      </c>
      <c r="CK31" s="1714">
        <f>'yrP&amp;L_new'!M58</f>
        <v>64.974947089947079</v>
      </c>
      <c r="CL31" s="1714">
        <f>'yrP&amp;L_new'!N58</f>
        <v>63.641613756613744</v>
      </c>
      <c r="CM31" s="1714">
        <f>'yrP&amp;L_new'!O58</f>
        <v>63.641613756613744</v>
      </c>
      <c r="CN31" s="1538"/>
      <c r="CO31" s="1349"/>
      <c r="CP31" s="1349"/>
    </row>
    <row r="32" spans="1:102">
      <c r="A32" s="1538"/>
      <c r="B32" s="1349"/>
      <c r="C32" s="1718"/>
      <c r="D32" s="1718"/>
      <c r="E32" s="1718"/>
      <c r="F32" s="1718"/>
      <c r="G32" s="1718"/>
      <c r="H32" s="1718"/>
      <c r="I32" s="1718"/>
      <c r="J32" s="1718"/>
      <c r="K32" s="1718"/>
      <c r="L32" s="1718"/>
      <c r="M32" s="1718"/>
      <c r="N32" s="1718"/>
      <c r="O32" s="1718"/>
      <c r="P32" s="1718"/>
      <c r="Q32" s="1718"/>
      <c r="R32" s="1718"/>
      <c r="S32" s="1718"/>
      <c r="T32" s="1718"/>
      <c r="U32" s="1718"/>
      <c r="V32" s="1718"/>
      <c r="W32" s="1718"/>
      <c r="X32" s="1718"/>
      <c r="Y32" s="1718"/>
      <c r="Z32" s="1718"/>
      <c r="AA32" s="1718"/>
      <c r="AB32" s="1718"/>
      <c r="AC32" s="1718"/>
      <c r="AD32" s="1718"/>
      <c r="AE32" s="1718"/>
      <c r="AF32" s="1718"/>
      <c r="AG32" s="1718"/>
      <c r="AH32" s="1718"/>
      <c r="AI32" s="1718"/>
      <c r="AJ32" s="1718"/>
      <c r="AK32" s="1718"/>
      <c r="AL32" s="1718"/>
      <c r="AM32" s="1718"/>
      <c r="AN32" s="1718"/>
      <c r="AO32" s="1718"/>
      <c r="AP32" s="1349"/>
      <c r="AQ32" s="1718"/>
      <c r="AR32" s="1718"/>
      <c r="AS32" s="1718"/>
      <c r="AT32" s="1718"/>
      <c r="AU32" s="1349"/>
      <c r="AV32" s="1718"/>
      <c r="AW32" s="1718"/>
      <c r="AX32" s="1718"/>
      <c r="AY32" s="1718"/>
      <c r="AZ32" s="1349"/>
      <c r="BA32" s="1718"/>
      <c r="BB32" s="1718"/>
      <c r="BC32" s="1718"/>
      <c r="BD32" s="1718"/>
      <c r="BE32" s="1349"/>
      <c r="BF32" s="1718"/>
      <c r="BG32" s="1718"/>
      <c r="BH32" s="1718"/>
      <c r="BI32" s="1718"/>
      <c r="BK32" s="1718"/>
      <c r="BL32" s="1718"/>
      <c r="BM32" s="1718"/>
      <c r="BN32" s="1718"/>
      <c r="BP32" s="1718"/>
      <c r="BQ32" s="1718"/>
      <c r="BR32" s="1718"/>
      <c r="BS32" s="1719"/>
      <c r="BT32" s="1718"/>
      <c r="BU32" s="1718"/>
      <c r="BV32" s="1718"/>
      <c r="BW32" s="1718"/>
      <c r="BX32" s="1718"/>
      <c r="BY32" s="1718"/>
      <c r="BZ32" s="1720"/>
      <c r="CA32" s="1718"/>
      <c r="CB32" s="1718"/>
      <c r="CC32" s="1718"/>
      <c r="CD32" s="1718"/>
      <c r="CE32" s="1718"/>
      <c r="CF32" s="1718"/>
      <c r="CG32" s="1721"/>
      <c r="CH32" s="1721"/>
      <c r="CI32" s="1721"/>
      <c r="CJ32" s="1721"/>
      <c r="CK32" s="1721"/>
      <c r="CL32" s="1721"/>
      <c r="CM32" s="1721"/>
      <c r="CN32" s="1538"/>
      <c r="CO32" s="1349"/>
      <c r="CP32" s="1349"/>
    </row>
    <row r="33" spans="1:101">
      <c r="A33" s="1722" t="s">
        <v>857</v>
      </c>
      <c r="B33" s="1349"/>
      <c r="C33" s="1718"/>
      <c r="D33" s="1718"/>
      <c r="E33" s="1718"/>
      <c r="F33" s="1718"/>
      <c r="G33" s="1718"/>
      <c r="H33" s="1718"/>
      <c r="I33" s="1718"/>
      <c r="J33" s="1718"/>
      <c r="K33" s="1718"/>
      <c r="L33" s="1718"/>
      <c r="M33" s="1718"/>
      <c r="N33" s="1718"/>
      <c r="O33" s="1718"/>
      <c r="P33" s="1718"/>
      <c r="Q33" s="1718"/>
      <c r="R33" s="1718"/>
      <c r="S33" s="1718"/>
      <c r="T33" s="1718"/>
      <c r="U33" s="1718"/>
      <c r="V33" s="1718"/>
      <c r="W33" s="1718"/>
      <c r="X33" s="1718"/>
      <c r="Y33" s="1718"/>
      <c r="Z33" s="1718"/>
      <c r="AA33" s="1718"/>
      <c r="AB33" s="1718"/>
      <c r="AC33" s="1718"/>
      <c r="AD33" s="1718"/>
      <c r="AE33" s="1718"/>
      <c r="AF33" s="1718"/>
      <c r="AG33" s="1718"/>
      <c r="AH33" s="1718"/>
      <c r="AI33" s="1718"/>
      <c r="AJ33" s="1718"/>
      <c r="AK33" s="1718"/>
      <c r="AL33" s="1718"/>
      <c r="AM33" s="1718"/>
      <c r="AN33" s="1718"/>
      <c r="AO33" s="1718"/>
      <c r="AP33" s="1349"/>
      <c r="AQ33" s="1718"/>
      <c r="AR33" s="1718"/>
      <c r="AS33" s="1718"/>
      <c r="AT33" s="1718"/>
      <c r="AU33" s="1349"/>
      <c r="AV33" s="1718"/>
      <c r="AW33" s="1718"/>
      <c r="AX33" s="1718"/>
      <c r="AY33" s="1718"/>
      <c r="AZ33" s="1349"/>
      <c r="BA33" s="1721"/>
      <c r="BB33" s="1721"/>
      <c r="BC33" s="1721"/>
      <c r="BD33" s="1721"/>
      <c r="BE33" s="1349"/>
      <c r="BF33" s="1721"/>
      <c r="BG33" s="1721"/>
      <c r="BH33" s="1721"/>
      <c r="BI33" s="1721"/>
      <c r="BK33" s="1721"/>
      <c r="BL33" s="1718"/>
      <c r="BM33" s="1718"/>
      <c r="BN33" s="1718"/>
      <c r="BP33" s="1721"/>
      <c r="BQ33" s="1718"/>
      <c r="BR33" s="1718"/>
      <c r="BS33" s="1719"/>
      <c r="BT33" s="1718"/>
      <c r="BU33" s="1718"/>
      <c r="BV33" s="1718"/>
      <c r="BW33" s="1718"/>
      <c r="BX33" s="1718"/>
      <c r="BY33" s="1718"/>
      <c r="BZ33" s="1720"/>
      <c r="CA33" s="1718"/>
      <c r="CB33" s="1718"/>
      <c r="CC33" s="1718"/>
      <c r="CD33" s="1718"/>
      <c r="CE33" s="1718"/>
      <c r="CF33" s="1718"/>
      <c r="CG33" s="1723"/>
      <c r="CH33" s="1718"/>
      <c r="CI33" s="1718"/>
      <c r="CJ33" s="1718"/>
      <c r="CK33" s="1718"/>
      <c r="CL33" s="1718"/>
      <c r="CM33" s="1718"/>
      <c r="CN33" s="1538"/>
      <c r="CO33" s="1349"/>
      <c r="CP33" s="1349"/>
    </row>
    <row r="34" spans="1:101" s="1291" customFormat="1">
      <c r="A34" s="1724" t="str">
        <f>A29</f>
        <v>Net Income from Operations (GAAP)</v>
      </c>
      <c r="B34" s="1681"/>
      <c r="C34" s="1681"/>
      <c r="D34" s="1681"/>
      <c r="E34" s="1681"/>
      <c r="F34" s="1681"/>
      <c r="G34" s="1681"/>
      <c r="H34" s="1681"/>
      <c r="I34" s="1681"/>
      <c r="J34" s="1681"/>
      <c r="K34" s="1681"/>
      <c r="L34" s="1681"/>
      <c r="M34" s="1681"/>
      <c r="N34" s="1681"/>
      <c r="O34" s="1681"/>
      <c r="P34" s="1681"/>
      <c r="Q34" s="1681"/>
      <c r="R34" s="1681"/>
      <c r="S34" s="1681"/>
      <c r="T34" s="1681"/>
      <c r="U34" s="1681"/>
      <c r="V34" s="1681"/>
      <c r="W34" s="1681">
        <f>W29</f>
        <v>-21.688000000000009</v>
      </c>
      <c r="X34" s="1681">
        <f t="shared" ref="X34:AY34" si="7">X29</f>
        <v>-12.520000000000062</v>
      </c>
      <c r="Y34" s="1681">
        <f t="shared" si="7"/>
        <v>7.510999999999858</v>
      </c>
      <c r="Z34" s="1681">
        <f t="shared" si="7"/>
        <v>11.518000000000129</v>
      </c>
      <c r="AA34" s="1681">
        <f t="shared" si="7"/>
        <v>0</v>
      </c>
      <c r="AB34" s="1681">
        <f t="shared" si="7"/>
        <v>5.2130000000000267</v>
      </c>
      <c r="AC34" s="1681">
        <f t="shared" si="7"/>
        <v>-40.478999999999971</v>
      </c>
      <c r="AD34" s="1681">
        <f t="shared" si="7"/>
        <v>-2.7950000000001243</v>
      </c>
      <c r="AE34" s="1681">
        <f t="shared" si="7"/>
        <v>69.059000000000111</v>
      </c>
      <c r="AF34" s="1681">
        <f t="shared" si="7"/>
        <v>0</v>
      </c>
      <c r="AG34" s="1681">
        <f t="shared" si="7"/>
        <v>-21.05699999999996</v>
      </c>
      <c r="AH34" s="1681">
        <f t="shared" si="7"/>
        <v>-32.763000000000048</v>
      </c>
      <c r="AI34" s="1681">
        <f t="shared" si="7"/>
        <v>-10.277000000000019</v>
      </c>
      <c r="AJ34" s="1681">
        <f t="shared" si="7"/>
        <v>57.35200000000026</v>
      </c>
      <c r="AK34" s="1681">
        <f t="shared" si="7"/>
        <v>0</v>
      </c>
      <c r="AL34" s="1681">
        <f t="shared" si="7"/>
        <v>-4.404932839999951</v>
      </c>
      <c r="AM34" s="1681">
        <f t="shared" si="7"/>
        <v>-31.349530800000004</v>
      </c>
      <c r="AN34" s="1681">
        <f t="shared" si="7"/>
        <v>-7.447000000000024</v>
      </c>
      <c r="AO34" s="1681">
        <f t="shared" si="7"/>
        <v>71.151709892994788</v>
      </c>
      <c r="AP34" s="1681">
        <f t="shared" si="7"/>
        <v>0</v>
      </c>
      <c r="AQ34" s="1681">
        <f t="shared" si="7"/>
        <v>-5.5630000000001054</v>
      </c>
      <c r="AR34" s="1681">
        <f t="shared" si="7"/>
        <v>-25.014000000000038</v>
      </c>
      <c r="AS34" s="1681">
        <f t="shared" si="7"/>
        <v>-16.856999999999996</v>
      </c>
      <c r="AT34" s="1681">
        <f t="shared" si="7"/>
        <v>63.584000000000117</v>
      </c>
      <c r="AU34" s="1681">
        <f t="shared" si="7"/>
        <v>0</v>
      </c>
      <c r="AV34" s="1681">
        <f t="shared" si="7"/>
        <v>11.773999999999981</v>
      </c>
      <c r="AW34" s="1681">
        <f t="shared" si="7"/>
        <v>-6.4700000000001525</v>
      </c>
      <c r="AX34" s="1681">
        <f t="shared" si="7"/>
        <v>-34.214000000000141</v>
      </c>
      <c r="AY34" s="1681">
        <f t="shared" si="7"/>
        <v>104.14500000000007</v>
      </c>
      <c r="AZ34" s="1681"/>
      <c r="BA34" s="1681">
        <f>BA29</f>
        <v>25.69500000000005</v>
      </c>
      <c r="BB34" s="1681">
        <f>BB29</f>
        <v>10.900000000000119</v>
      </c>
      <c r="BC34" s="1681">
        <f>BC29</f>
        <v>15.116000000000039</v>
      </c>
      <c r="BD34" s="1681">
        <f>BD29</f>
        <v>98.770999999999987</v>
      </c>
      <c r="BE34" s="1681"/>
      <c r="BF34" s="1681">
        <f>BF29</f>
        <v>37.514000000000038</v>
      </c>
      <c r="BG34" s="1681">
        <f>BG29</f>
        <v>20.394000000000176</v>
      </c>
      <c r="BH34" s="1681">
        <f>BH29</f>
        <v>32.403999999999968</v>
      </c>
      <c r="BI34" s="1681">
        <f>BI29</f>
        <v>125.56099999999992</v>
      </c>
      <c r="BK34" s="1681">
        <f>BK29</f>
        <v>52.368000000000109</v>
      </c>
      <c r="BL34" s="1681">
        <f>BL29</f>
        <v>46.901999999999923</v>
      </c>
      <c r="BM34" s="1681">
        <f>BM29</f>
        <v>44.878999999999948</v>
      </c>
      <c r="BN34" s="1681">
        <f>BN29</f>
        <v>147.515446</v>
      </c>
      <c r="BP34" s="1681">
        <f>BP29</f>
        <v>71.204901915798033</v>
      </c>
      <c r="BQ34" s="1681">
        <f>BQ29</f>
        <v>62.819824256391307</v>
      </c>
      <c r="BR34" s="1681">
        <f>BR29</f>
        <v>63.767339086420861</v>
      </c>
      <c r="BS34" s="1725">
        <f>BS29</f>
        <v>182.05058171014193</v>
      </c>
      <c r="BT34" s="1681"/>
      <c r="BU34" s="1681"/>
      <c r="BV34" s="1681"/>
      <c r="BW34" s="1681"/>
      <c r="BX34" s="1681"/>
      <c r="BY34" s="1681"/>
      <c r="BZ34" s="1685"/>
      <c r="CA34" s="1681"/>
      <c r="CB34" s="1681"/>
      <c r="CC34" s="1681">
        <f t="shared" ref="CC34:CI34" si="8">CC29</f>
        <v>27.945457723102525</v>
      </c>
      <c r="CD34" s="1681">
        <f t="shared" si="8"/>
        <v>16.142237498878973</v>
      </c>
      <c r="CE34" s="1681">
        <f t="shared" si="8"/>
        <v>75.23335247826131</v>
      </c>
      <c r="CF34" s="1681">
        <f t="shared" si="8"/>
        <v>150.48200000000014</v>
      </c>
      <c r="CG34" s="1681">
        <f t="shared" si="8"/>
        <v>215.87299999999954</v>
      </c>
      <c r="CH34" s="1681">
        <f t="shared" si="8"/>
        <v>291.66444599999966</v>
      </c>
      <c r="CI34" s="1681">
        <f t="shared" si="8"/>
        <v>379.84264696875221</v>
      </c>
      <c r="CJ34" s="1681">
        <f>CJ29</f>
        <v>422.99960772172301</v>
      </c>
      <c r="CK34" s="1681">
        <f>CK29</f>
        <v>469.80147407334482</v>
      </c>
      <c r="CL34" s="1681">
        <f>CL29</f>
        <v>523.68369395958007</v>
      </c>
      <c r="CM34" s="1681">
        <f>CM29</f>
        <v>575.79356268785455</v>
      </c>
      <c r="CN34" s="1685"/>
      <c r="CO34" s="1681"/>
      <c r="CP34" s="1681"/>
      <c r="CQ34"/>
      <c r="CR34"/>
      <c r="CS34"/>
      <c r="CT34"/>
      <c r="CU34"/>
      <c r="CV34"/>
    </row>
    <row r="35" spans="1:101">
      <c r="A35" s="1726" t="s">
        <v>874</v>
      </c>
      <c r="B35" s="1349"/>
      <c r="C35" s="1687"/>
      <c r="D35" s="1687"/>
      <c r="E35" s="1687"/>
      <c r="F35" s="1687"/>
      <c r="G35" s="1687"/>
      <c r="H35" s="1687"/>
      <c r="I35" s="1687"/>
      <c r="J35" s="1687"/>
      <c r="K35" s="1687"/>
      <c r="L35" s="1687"/>
      <c r="M35" s="1687"/>
      <c r="N35" s="1687"/>
      <c r="O35" s="1687"/>
      <c r="P35" s="1687"/>
      <c r="Q35" s="1687"/>
      <c r="R35" s="1687"/>
      <c r="S35" s="1687"/>
      <c r="T35" s="1687"/>
      <c r="U35" s="1687"/>
      <c r="V35" s="1687"/>
      <c r="W35" s="1687">
        <f t="array" ref="W35:Z35">TRANSPOSE('qtrP&amp;L_new'!AI216:AI219)</f>
        <v>0</v>
      </c>
      <c r="X35" s="1687">
        <v>0</v>
      </c>
      <c r="Y35" s="1687">
        <v>0</v>
      </c>
      <c r="Z35" s="1687">
        <v>0</v>
      </c>
      <c r="AA35" s="1687"/>
      <c r="AB35" s="1687">
        <f t="array" ref="AB35:AE35">TRANSPOSE('qtrP&amp;L_new'!AM216:AM219)</f>
        <v>0</v>
      </c>
      <c r="AC35" s="1687">
        <v>0</v>
      </c>
      <c r="AD35" s="1687">
        <v>0</v>
      </c>
      <c r="AE35" s="1687">
        <v>0</v>
      </c>
      <c r="AF35" s="1687"/>
      <c r="AG35" s="1687">
        <f t="array" ref="AG35:AJ35">TRANSPOSE('qtrP&amp;L_new'!AQ216:AQ219)</f>
        <v>0</v>
      </c>
      <c r="AH35" s="1687">
        <v>0</v>
      </c>
      <c r="AI35" s="1687">
        <v>0</v>
      </c>
      <c r="AJ35" s="1687">
        <v>0</v>
      </c>
      <c r="AK35" s="1687"/>
      <c r="AL35" s="1687">
        <f t="array" ref="AL35:AO35">TRANSPOSE('qtrP&amp;L_new'!AU216:AU219)</f>
        <v>7.1689999999999996</v>
      </c>
      <c r="AM35" s="1687">
        <v>7.0259999999999998</v>
      </c>
      <c r="AN35" s="1687">
        <v>7.0620000000000003</v>
      </c>
      <c r="AO35" s="1687">
        <v>10.036</v>
      </c>
      <c r="AP35" s="1349"/>
      <c r="AQ35" s="1687">
        <f t="array" ref="AQ35:AT35">TRANSPOSE('qtrP&amp;L_new'!AY216:AY219)</f>
        <v>8.83</v>
      </c>
      <c r="AR35" s="1687">
        <v>6.835</v>
      </c>
      <c r="AS35" s="1687">
        <v>6.835</v>
      </c>
      <c r="AT35" s="1687">
        <v>6.8259999999999996</v>
      </c>
      <c r="AU35" s="1349"/>
      <c r="AV35" s="1687">
        <f t="array" ref="AV35:AY35">TRANSPOSE('qtrP&amp;L_new'!BC216:BC219)</f>
        <v>6.5709999999999997</v>
      </c>
      <c r="AW35" s="1687">
        <v>6.5350000000000001</v>
      </c>
      <c r="AX35" s="1687">
        <v>6.4930000000000003</v>
      </c>
      <c r="AY35" s="1687">
        <v>6.3609999999999998</v>
      </c>
      <c r="AZ35" s="1349"/>
      <c r="BA35" s="1687">
        <f t="array" ref="BA35:BD35">TRANSPOSE('qtrP&amp;L_new'!BG216:BG219)</f>
        <v>6.0570000000000004</v>
      </c>
      <c r="BB35" s="1687">
        <v>5.992</v>
      </c>
      <c r="BC35" s="1687">
        <v>5.992</v>
      </c>
      <c r="BD35" s="1687">
        <v>6.09</v>
      </c>
      <c r="BE35" s="1349"/>
      <c r="BF35" s="1687">
        <f t="array" ref="BF35:BI35">TRANSPOSE('qtrP&amp;L_new'!BK216:BK219)</f>
        <v>6.2220000000000004</v>
      </c>
      <c r="BG35" s="1687">
        <v>5.8520000000000003</v>
      </c>
      <c r="BH35" s="1687">
        <v>5.8520000000000003</v>
      </c>
      <c r="BI35" s="1687">
        <v>5.9020000000000001</v>
      </c>
      <c r="BK35" s="1687">
        <f t="array" ref="BK35:BN35">TRANSPOSE('qtrP&amp;L_new'!BO216:BO219)</f>
        <v>6.0090000000000003</v>
      </c>
      <c r="BL35" s="1687">
        <v>5.9119999999999999</v>
      </c>
      <c r="BM35" s="1687">
        <v>5.83</v>
      </c>
      <c r="BN35" s="1687">
        <v>5.5739999999999998</v>
      </c>
      <c r="BP35" s="1687">
        <f t="array" ref="BP35:BS35">TRANSPOSE('qtrP&amp;L_new'!BS216:BS219)</f>
        <v>5.5</v>
      </c>
      <c r="BQ35" s="1687">
        <v>5</v>
      </c>
      <c r="BR35" s="1687">
        <v>5</v>
      </c>
      <c r="BS35" s="1689">
        <v>5.3900000000000006</v>
      </c>
      <c r="BT35" s="1687"/>
      <c r="BU35" s="1687"/>
      <c r="BV35" s="1687"/>
      <c r="BW35" s="1687"/>
      <c r="BX35" s="1687"/>
      <c r="BY35" s="1687"/>
      <c r="BZ35" s="1690"/>
      <c r="CA35" s="1687"/>
      <c r="CB35" s="1687"/>
      <c r="CC35" s="1687">
        <f>'yrP&amp;L_new'!E62</f>
        <v>31.292999999999999</v>
      </c>
      <c r="CD35" s="1687">
        <f>'yrP&amp;L_new'!F62</f>
        <v>29.326000000000001</v>
      </c>
      <c r="CE35" s="1687">
        <f>'yrP&amp;L_new'!G62</f>
        <v>25.96</v>
      </c>
      <c r="CF35" s="1687">
        <f>'yrP&amp;L_new'!H62</f>
        <v>24.131</v>
      </c>
      <c r="CG35" s="1687">
        <f>'yrP&amp;L_new'!I62</f>
        <v>23.828000000000003</v>
      </c>
      <c r="CH35" s="1687">
        <f>'yrP&amp;L_new'!J62</f>
        <v>23.324999999999996</v>
      </c>
      <c r="CI35" s="1687">
        <f>'yrP&amp;L_new'!K62</f>
        <v>20.89</v>
      </c>
      <c r="CJ35" s="1687">
        <f>'yrP&amp;L_new'!L62</f>
        <v>20.224</v>
      </c>
      <c r="CK35" s="1687">
        <f>'yrP&amp;L_new'!M62</f>
        <v>18.917999999999999</v>
      </c>
      <c r="CL35" s="1687">
        <f>'yrP&amp;L_new'!N62</f>
        <v>18.419</v>
      </c>
      <c r="CM35" s="1687">
        <f>'yrP&amp;L_new'!O62</f>
        <v>17.129670000000001</v>
      </c>
      <c r="CN35" s="1538"/>
      <c r="CO35" s="1349"/>
      <c r="CP35" s="1349"/>
    </row>
    <row r="36" spans="1:101">
      <c r="A36" s="1727" t="s">
        <v>870</v>
      </c>
      <c r="B36" s="1349"/>
      <c r="C36" s="1718"/>
      <c r="D36" s="1718"/>
      <c r="E36" s="1718"/>
      <c r="F36" s="1718"/>
      <c r="G36" s="1718"/>
      <c r="H36" s="1718"/>
      <c r="I36" s="1718"/>
      <c r="J36" s="1718"/>
      <c r="K36" s="1718"/>
      <c r="L36" s="1718"/>
      <c r="M36" s="1718"/>
      <c r="N36" s="1718"/>
      <c r="O36" s="1718"/>
      <c r="P36" s="1718"/>
      <c r="Q36" s="1718"/>
      <c r="R36" s="1718"/>
      <c r="S36" s="1718"/>
      <c r="T36" s="1718"/>
      <c r="U36" s="1718"/>
      <c r="V36" s="1718"/>
      <c r="W36" s="1687">
        <f t="array" ref="W36:Z36">TRANSPOSE('qtrP&amp;L_new'!AI226:AI229)</f>
        <v>15.25</v>
      </c>
      <c r="X36" s="1687">
        <v>4.2000000000000003E-2</v>
      </c>
      <c r="Y36" s="1687">
        <v>6.4370000000000003</v>
      </c>
      <c r="Z36" s="1687">
        <v>49.661999999999992</v>
      </c>
      <c r="AA36" s="1687"/>
      <c r="AB36" s="1687">
        <f t="array" ref="AB36:AE36">TRANSPOSE('qtrP&amp;L_new'!AM226:AM229)</f>
        <v>0.185</v>
      </c>
      <c r="AC36" s="1687">
        <v>7.2999999999999995E-2</v>
      </c>
      <c r="AD36" s="1687">
        <v>0.252</v>
      </c>
      <c r="AE36" s="1687">
        <v>1.57</v>
      </c>
      <c r="AF36" s="1687"/>
      <c r="AG36" s="1687">
        <f t="array" ref="AG36:AJ36">TRANSPOSE('qtrP&amp;L_new'!AQ226:AQ229)</f>
        <v>37.773000000000003</v>
      </c>
      <c r="AH36" s="1687">
        <v>2.5000000000000001E-2</v>
      </c>
      <c r="AI36" s="1687">
        <v>0</v>
      </c>
      <c r="AJ36" s="1687">
        <v>1.7010000000000001</v>
      </c>
      <c r="AK36" s="1687"/>
      <c r="AL36" s="1687">
        <f t="array" ref="AL36:AO36">TRANSPOSE('qtrP&amp;L_new'!AU226:AU229)</f>
        <v>1.2999999999999999E-2</v>
      </c>
      <c r="AM36" s="1687">
        <v>7.3829999999999991</v>
      </c>
      <c r="AN36" s="1687">
        <v>1.1519999999999999</v>
      </c>
      <c r="AO36" s="1687">
        <v>10.197999999999999</v>
      </c>
      <c r="AP36" s="1349"/>
      <c r="AQ36" s="1687">
        <f t="array" ref="AQ36:AT36">TRANSPOSE('qtrP&amp;L_new'!AY226:AY229)</f>
        <v>8.9049999999999994</v>
      </c>
      <c r="AR36" s="1687">
        <v>10.570999999999998</v>
      </c>
      <c r="AS36" s="1687">
        <v>12.517000000000001</v>
      </c>
      <c r="AT36" s="1687">
        <v>20.724</v>
      </c>
      <c r="AU36" s="1349"/>
      <c r="AV36" s="1687">
        <f t="array" ref="AV36:AY36">TRANSPOSE('qtrP&amp;L_new'!BC226:BC229)</f>
        <v>4.9520000000000008</v>
      </c>
      <c r="AW36" s="1687">
        <v>2.7089999999999996</v>
      </c>
      <c r="AX36" s="1687">
        <v>71.525000000000006</v>
      </c>
      <c r="AY36" s="1687">
        <v>3.093</v>
      </c>
      <c r="AZ36" s="1349"/>
      <c r="BA36" s="1687">
        <f t="array" ref="BA36:BD36">TRANSPOSE('qtrP&amp;L_new'!BG226:BG229)</f>
        <v>3.0830000000000002</v>
      </c>
      <c r="BB36" s="1687">
        <v>0.51100000000000001</v>
      </c>
      <c r="BC36" s="1687">
        <v>0.32400000000000001</v>
      </c>
      <c r="BD36" s="1687">
        <v>4.4550000000000001</v>
      </c>
      <c r="BE36" s="1349"/>
      <c r="BF36" s="1687">
        <f t="array" ref="BF36:BI36">TRANSPOSE('qtrP&amp;L_new'!BK226:BK229)</f>
        <v>0.34499999999999997</v>
      </c>
      <c r="BG36" s="1687">
        <v>5.3290000000000006</v>
      </c>
      <c r="BH36" s="1687">
        <v>0.106</v>
      </c>
      <c r="BI36" s="1687">
        <v>2.4220000000000002</v>
      </c>
      <c r="BK36" s="1687">
        <f t="array" ref="BK36:BN36">TRANSPOSE('qtrP&amp;L_new'!BO226:BO229)</f>
        <v>6.3E-2</v>
      </c>
      <c r="BL36" s="1687">
        <v>1.03</v>
      </c>
      <c r="BM36" s="1687">
        <v>2.5999999999999999E-2</v>
      </c>
      <c r="BN36" s="1687">
        <v>6.2929999999999993</v>
      </c>
      <c r="BP36" s="1687">
        <f t="array" ref="BP36:BS36">TRANSPOSE('qtrP&amp;L_new'!BS226:BS229)</f>
        <v>0</v>
      </c>
      <c r="BQ36" s="1687">
        <v>0</v>
      </c>
      <c r="BR36" s="1687">
        <v>0</v>
      </c>
      <c r="BS36" s="1689">
        <v>0</v>
      </c>
      <c r="BT36" s="1718"/>
      <c r="BU36" s="1718"/>
      <c r="BV36" s="1718"/>
      <c r="BW36" s="1718"/>
      <c r="BX36" s="1718"/>
      <c r="BY36" s="1718"/>
      <c r="BZ36" s="1720"/>
      <c r="CA36" s="1718"/>
      <c r="CB36" s="1718"/>
      <c r="CC36" s="1687">
        <f>'yrP&amp;L_new'!E63</f>
        <v>18.745999999999995</v>
      </c>
      <c r="CD36" s="1687">
        <f>'yrP&amp;L_new'!F63</f>
        <v>52.716999999999999</v>
      </c>
      <c r="CE36" s="1687">
        <f>'yrP&amp;L_new'!G63</f>
        <v>82.279000000000011</v>
      </c>
      <c r="CF36" s="1687">
        <f>'yrP&amp;L_new'!H63</f>
        <v>8.3730000000000011</v>
      </c>
      <c r="CG36" s="1687">
        <f>'yrP&amp;L_new'!I63</f>
        <v>8.202</v>
      </c>
      <c r="CH36" s="1687">
        <f>'yrP&amp;L_new'!J63</f>
        <v>7.411999999999999</v>
      </c>
      <c r="CI36" s="1687">
        <f>'yrP&amp;L_new'!K63</f>
        <v>0</v>
      </c>
      <c r="CJ36" s="1687">
        <f>'yrP&amp;L_new'!L63</f>
        <v>0</v>
      </c>
      <c r="CK36" s="1687">
        <f>'yrP&amp;L_new'!M63</f>
        <v>0</v>
      </c>
      <c r="CL36" s="1687">
        <f>'yrP&amp;L_new'!N63</f>
        <v>0</v>
      </c>
      <c r="CM36" s="1687">
        <f>'yrP&amp;L_new'!O63</f>
        <v>0</v>
      </c>
      <c r="CN36" s="1538"/>
      <c r="CO36" s="1349"/>
      <c r="CP36" s="1349"/>
    </row>
    <row r="37" spans="1:101">
      <c r="A37" s="1727" t="s">
        <v>928</v>
      </c>
      <c r="B37" s="1349"/>
      <c r="C37" s="1718"/>
      <c r="D37" s="1718"/>
      <c r="E37" s="1718"/>
      <c r="F37" s="1718"/>
      <c r="G37" s="1718"/>
      <c r="H37" s="1718"/>
      <c r="I37" s="1718"/>
      <c r="J37" s="1718"/>
      <c r="K37" s="1718"/>
      <c r="L37" s="1718"/>
      <c r="M37" s="1718"/>
      <c r="N37" s="1718"/>
      <c r="O37" s="1718"/>
      <c r="P37" s="1718"/>
      <c r="Q37" s="1718"/>
      <c r="R37" s="1718"/>
      <c r="S37" s="1718"/>
      <c r="T37" s="1718"/>
      <c r="U37" s="1718"/>
      <c r="V37" s="1718"/>
      <c r="W37" s="1687">
        <f t="array" ref="W37:Z37">TRANSPOSE('qtrP&amp;L_new'!AI236:AI239)</f>
        <v>0.98299999999999998</v>
      </c>
      <c r="X37" s="1687">
        <v>1.0209999999999999</v>
      </c>
      <c r="Y37" s="1687">
        <v>1.0660000000000001</v>
      </c>
      <c r="Z37" s="1687">
        <v>1.1280000000000001</v>
      </c>
      <c r="AA37" s="1687"/>
      <c r="AB37" s="1687">
        <f t="array" ref="AB37:AE37">TRANSPOSE('qtrP&amp;L_new'!AM236:AM239)</f>
        <v>1.0620000000000001</v>
      </c>
      <c r="AC37" s="1687">
        <v>1.1180000000000001</v>
      </c>
      <c r="AD37" s="1687">
        <v>0.96399999999999997</v>
      </c>
      <c r="AE37" s="1687">
        <v>1.1449999999999996</v>
      </c>
      <c r="AF37" s="1687"/>
      <c r="AG37" s="1687">
        <f t="array" ref="AG37:AJ37">TRANSPOSE('qtrP&amp;L_new'!AQ236:AQ239)</f>
        <v>1.1160000000000001</v>
      </c>
      <c r="AH37" s="1687">
        <v>1.0409999999999999</v>
      </c>
      <c r="AI37" s="1687">
        <v>1.0389999999999999</v>
      </c>
      <c r="AJ37" s="1687">
        <v>1.0890000000000004</v>
      </c>
      <c r="AK37" s="1687"/>
      <c r="AL37" s="1687">
        <f t="array" ref="AL37:AO37">TRANSPOSE('qtrP&amp;L_new'!AU236:AU239)</f>
        <v>1.0349999999999999</v>
      </c>
      <c r="AM37" s="1687">
        <v>1.0509999999999999</v>
      </c>
      <c r="AN37" s="1687">
        <v>1</v>
      </c>
      <c r="AO37" s="1687">
        <v>1.2050000000000001</v>
      </c>
      <c r="AP37" s="1349"/>
      <c r="AQ37" s="1687">
        <f t="array" ref="AQ37:AT37">TRANSPOSE('qtrP&amp;L_new'!AY236:AY239)</f>
        <v>1.0720000000000001</v>
      </c>
      <c r="AR37" s="1687">
        <v>1.103</v>
      </c>
      <c r="AS37" s="1687">
        <v>0.7</v>
      </c>
      <c r="AT37" s="1687">
        <v>3.5000000000000003E-2</v>
      </c>
      <c r="AU37" s="1349"/>
      <c r="AV37" s="1687">
        <f t="array" ref="AV37:AY37">TRANSPOSE('qtrP&amp;L_new'!BC236:BC239)</f>
        <v>6.6000000000000003E-2</v>
      </c>
      <c r="AW37" s="1687">
        <v>0.06</v>
      </c>
      <c r="AX37" s="1687">
        <v>2.8000000000000001E-2</v>
      </c>
      <c r="AY37" s="1687">
        <v>3.1E-2</v>
      </c>
      <c r="AZ37" s="1349"/>
      <c r="BA37" s="1687">
        <f>'qtrP&amp;L_new'!BG236+'qtrP&amp;L_new'!BG246</f>
        <v>7.2999999999999995E-2</v>
      </c>
      <c r="BB37" s="1687">
        <f>'qtrP&amp;L_new'!BG237+'qtrP&amp;L_new'!BG247</f>
        <v>0</v>
      </c>
      <c r="BC37" s="1687">
        <f>'qtrP&amp;L_new'!BG238+'qtrP&amp;L_new'!BG248</f>
        <v>1.6E-2</v>
      </c>
      <c r="BD37" s="1687">
        <f>'qtrP&amp;L_new'!BG239+'qtrP&amp;L_new'!BG249</f>
        <v>5.617</v>
      </c>
      <c r="BE37" s="1349"/>
      <c r="BF37" s="1687">
        <f>'qtrP&amp;L_new'!BK236+'qtrP&amp;L_new'!BK246</f>
        <v>0</v>
      </c>
      <c r="BG37" s="1687">
        <f>'qtrP&amp;L_new'!BK237+'qtrP&amp;L_new'!BK247</f>
        <v>1.4</v>
      </c>
      <c r="BH37" s="1687">
        <f>'qtrP&amp;L_new'!BK238+'qtrP&amp;L_new'!BK248</f>
        <v>0</v>
      </c>
      <c r="BI37" s="1687">
        <f>'qtrP&amp;L_new'!BK239+'qtrP&amp;L_new'!BK249</f>
        <v>2.0569999999999999</v>
      </c>
      <c r="BK37" s="1687">
        <f>'qtrP&amp;L_new'!BO236+'qtrP&amp;L_new'!BO246</f>
        <v>0</v>
      </c>
      <c r="BL37" s="1687">
        <f>'qtrP&amp;L_new'!BO237+'qtrP&amp;L_new'!BO247</f>
        <v>0</v>
      </c>
      <c r="BM37" s="1687">
        <f>'qtrP&amp;L_new'!BO238+'qtrP&amp;L_new'!BO248</f>
        <v>0</v>
      </c>
      <c r="BN37" s="1687">
        <f>'qtrP&amp;L_new'!BO239+'qtrP&amp;L_new'!BO249</f>
        <v>0</v>
      </c>
      <c r="BP37" s="1687">
        <f t="array" ref="BP37:BS37">TRANSPOSE('qtrP&amp;L_new'!BS236:BS239)</f>
        <v>0</v>
      </c>
      <c r="BQ37" s="1687">
        <v>0</v>
      </c>
      <c r="BR37" s="1687">
        <v>0</v>
      </c>
      <c r="BS37" s="1689">
        <v>0</v>
      </c>
      <c r="BT37" s="1718"/>
      <c r="BU37" s="1718"/>
      <c r="BV37" s="1718"/>
      <c r="BW37" s="1718"/>
      <c r="BX37" s="1718"/>
      <c r="BY37" s="1718"/>
      <c r="BZ37" s="1720"/>
      <c r="CA37" s="1718"/>
      <c r="CB37" s="1718"/>
      <c r="CC37" s="1687">
        <f>'yrP&amp;L_new'!E64</f>
        <v>4.2910000000000004</v>
      </c>
      <c r="CD37" s="1687">
        <f>'yrP&amp;L_new'!F64</f>
        <v>2.91</v>
      </c>
      <c r="CE37" s="1687">
        <f>'yrP&amp;L_new'!G64</f>
        <v>0.185</v>
      </c>
      <c r="CF37" s="1687">
        <f>'yrP&amp;L_new'!H64</f>
        <v>5.7059999999999995</v>
      </c>
      <c r="CG37" s="1687">
        <f>'yrP&amp;L_new'!I64</f>
        <v>3.4569999999999999</v>
      </c>
      <c r="CH37" s="1687">
        <f>'yrP&amp;L_new'!J64</f>
        <v>0</v>
      </c>
      <c r="CI37" s="1687">
        <f>'yrP&amp;L_new'!K64</f>
        <v>0</v>
      </c>
      <c r="CJ37" s="1687">
        <f>'yrP&amp;L_new'!L64</f>
        <v>0</v>
      </c>
      <c r="CK37" s="1687">
        <f>'yrP&amp;L_new'!M64</f>
        <v>0</v>
      </c>
      <c r="CL37" s="1687">
        <f>'yrP&amp;L_new'!N64</f>
        <v>0</v>
      </c>
      <c r="CM37" s="1687">
        <f>'yrP&amp;L_new'!O64</f>
        <v>0</v>
      </c>
      <c r="CN37" s="1538"/>
      <c r="CO37" s="1349"/>
      <c r="CP37" s="1349"/>
    </row>
    <row r="38" spans="1:101">
      <c r="A38" s="1727" t="s">
        <v>871</v>
      </c>
      <c r="B38" s="1349"/>
      <c r="C38" s="1718"/>
      <c r="D38" s="1718"/>
      <c r="E38" s="1718"/>
      <c r="F38" s="1718"/>
      <c r="G38" s="1718"/>
      <c r="H38" s="1718"/>
      <c r="I38" s="1718"/>
      <c r="J38" s="1718"/>
      <c r="K38" s="1718"/>
      <c r="L38" s="1718"/>
      <c r="M38" s="1718"/>
      <c r="N38" s="1718"/>
      <c r="O38" s="1718"/>
      <c r="P38" s="1718"/>
      <c r="Q38" s="1718"/>
      <c r="R38" s="1718"/>
      <c r="S38" s="1718"/>
      <c r="T38" s="1718"/>
      <c r="U38" s="1718"/>
      <c r="V38" s="1718"/>
      <c r="W38" s="1687">
        <f t="array" ref="W38:Z38">TRANSPOSE('qtrP&amp;L_new'!AI256:AI259)</f>
        <v>-5.6815499999999997</v>
      </c>
      <c r="X38" s="1687">
        <v>-0.37204999999999994</v>
      </c>
      <c r="Y38" s="1687">
        <v>-2.6260499999999998</v>
      </c>
      <c r="Z38" s="1687">
        <v>-17.776499999999995</v>
      </c>
      <c r="AA38" s="1687"/>
      <c r="AB38" s="1687">
        <f t="array" ref="AB38:AE38">TRANSPOSE('qtrP&amp;L_new'!AM256:AM259)</f>
        <v>-0.43645</v>
      </c>
      <c r="AC38" s="1687">
        <v>-0.41685</v>
      </c>
      <c r="AD38" s="1687">
        <v>-0.42559999999999998</v>
      </c>
      <c r="AE38" s="1687">
        <v>-0.95024999999999993</v>
      </c>
      <c r="AF38" s="1687"/>
      <c r="AG38" s="1687">
        <f t="array" ref="AG38:AJ38">TRANSPOSE('qtrP&amp;L_new'!AQ256:AQ259)</f>
        <v>-13.61115</v>
      </c>
      <c r="AH38" s="1687">
        <v>-0.37309999999999993</v>
      </c>
      <c r="AI38" s="1687">
        <v>-0.36364999999999997</v>
      </c>
      <c r="AJ38" s="1687">
        <v>-0.97650000000000015</v>
      </c>
      <c r="AK38" s="1687"/>
      <c r="AL38" s="1687">
        <f t="array" ref="AL38:AO38">TRANSPOSE('qtrP&amp;L_new'!AU256:AU259)</f>
        <v>-3.3450000000000002</v>
      </c>
      <c r="AM38" s="1687">
        <v>-5.2910000000000004</v>
      </c>
      <c r="AN38" s="1687">
        <v>-3.52</v>
      </c>
      <c r="AO38" s="1687">
        <v>-6.9770000000000003</v>
      </c>
      <c r="AP38" s="1349"/>
      <c r="AQ38" s="1687">
        <f t="array" ref="AQ38:AT38">TRANSPOSE('qtrP&amp;L_new'!AY256:AY259)</f>
        <v>-7.109</v>
      </c>
      <c r="AR38" s="1687">
        <v>-7.0709999999999997</v>
      </c>
      <c r="AS38" s="1687">
        <v>-6.5279999999999996</v>
      </c>
      <c r="AT38" s="1687">
        <v>-10.151</v>
      </c>
      <c r="AU38" s="1349"/>
      <c r="AV38" s="1687">
        <f t="array" ref="AV38:AY38">TRANSPOSE('qtrP&amp;L_new'!BC256:BC259)</f>
        <v>-4.7510000000000003</v>
      </c>
      <c r="AW38" s="1687">
        <v>-3.7109999999999999</v>
      </c>
      <c r="AX38" s="1687">
        <v>-31.920999999999999</v>
      </c>
      <c r="AY38" s="1687">
        <v>-4.6989999999999998</v>
      </c>
      <c r="AZ38" s="1349"/>
      <c r="BA38" s="1687">
        <f t="array" ref="BA38:BD38">TRANSPOSE('qtrP&amp;L_new'!BG256:BG259)</f>
        <v>-3.5009999999999999</v>
      </c>
      <c r="BB38" s="1687">
        <v>-2.5459999999999998</v>
      </c>
      <c r="BC38" s="1687">
        <v>-2.4</v>
      </c>
      <c r="BD38" s="1687">
        <v>-5.6710000000000003</v>
      </c>
      <c r="BE38" s="1349"/>
      <c r="BF38" s="1687">
        <f t="array" ref="BF38:BI38">TRANSPOSE('qtrP&amp;L_new'!BK256:BK259)</f>
        <v>-2.4710000000000001</v>
      </c>
      <c r="BG38" s="1687">
        <v>-4.7309999999999999</v>
      </c>
      <c r="BH38" s="1687">
        <v>-2.085</v>
      </c>
      <c r="BI38" s="1687">
        <v>-9.8070000000000004</v>
      </c>
      <c r="BK38" s="1687">
        <f t="array" ref="BK38:BN38">TRANSPOSE('qtrP&amp;L_new'!BO256:BO259)</f>
        <v>-1.8480000000000001</v>
      </c>
      <c r="BL38" s="1687">
        <v>-2.569</v>
      </c>
      <c r="BM38" s="1687">
        <v>-1.944</v>
      </c>
      <c r="BN38" s="1687">
        <v>-3.5609999999999999</v>
      </c>
      <c r="BP38" s="1687">
        <f t="array" ref="BP38:BS38">TRANSPOSE('qtrP&amp;L_new'!BS256:BS259)</f>
        <v>-1.3199999999999998</v>
      </c>
      <c r="BQ38" s="1687">
        <v>-1.2</v>
      </c>
      <c r="BR38" s="1687">
        <v>-1.2</v>
      </c>
      <c r="BS38" s="1689">
        <v>-1.2936000000000001</v>
      </c>
      <c r="BT38" s="1718"/>
      <c r="BU38" s="1718"/>
      <c r="BV38" s="1718"/>
      <c r="BW38" s="1718"/>
      <c r="BX38" s="1718"/>
      <c r="BY38" s="1718"/>
      <c r="BZ38" s="1720"/>
      <c r="CA38" s="1718"/>
      <c r="CB38" s="1718"/>
      <c r="CC38" s="1687">
        <f>'yrP&amp;L_new'!E65</f>
        <v>-19.133000000000003</v>
      </c>
      <c r="CD38" s="1687">
        <f>'yrP&amp;L_new'!F65</f>
        <v>-30.858999999999998</v>
      </c>
      <c r="CE38" s="1687">
        <f>'yrP&amp;L_new'!G65</f>
        <v>-45.081999999999994</v>
      </c>
      <c r="CF38" s="1687">
        <f>'yrP&amp;L_new'!H65</f>
        <v>-14.117999999999999</v>
      </c>
      <c r="CG38" s="1687">
        <f>'yrP&amp;L_new'!I65</f>
        <v>-19.094000000000001</v>
      </c>
      <c r="CH38" s="1687">
        <f>'yrP&amp;L_new'!J65</f>
        <v>-9.9220000000000006</v>
      </c>
      <c r="CI38" s="1687">
        <f>'yrP&amp;L_new'!K65</f>
        <v>-5.0136000000000003</v>
      </c>
      <c r="CJ38" s="1687">
        <f>'yrP&amp;L_new'!L65</f>
        <v>-4.756588471319863</v>
      </c>
      <c r="CK38" s="1687">
        <f>'yrP&amp;L_new'!M65</f>
        <v>-4.4494234919120439</v>
      </c>
      <c r="CL38" s="1687">
        <f>'yrP&amp;L_new'!N65</f>
        <v>-4.3320610686926706</v>
      </c>
      <c r="CM38" s="1687">
        <f>'yrP&amp;L_new'!O65</f>
        <v>-4.0288167938841832</v>
      </c>
      <c r="CN38" s="1538"/>
      <c r="CO38" s="1349"/>
      <c r="CP38" s="1349"/>
      <c r="CW38" s="1312"/>
    </row>
    <row r="39" spans="1:101">
      <c r="A39" s="1728" t="s">
        <v>872</v>
      </c>
      <c r="B39" s="1315"/>
      <c r="C39" s="1315"/>
      <c r="D39" s="1315"/>
      <c r="E39" s="1315"/>
      <c r="F39" s="1315"/>
      <c r="G39" s="1315"/>
      <c r="H39" s="1315"/>
      <c r="I39" s="1315"/>
      <c r="J39" s="1315"/>
      <c r="K39" s="1315"/>
      <c r="L39" s="1315"/>
      <c r="M39" s="1315"/>
      <c r="N39" s="1315"/>
      <c r="O39" s="1315"/>
      <c r="P39" s="1315"/>
      <c r="Q39" s="1315"/>
      <c r="R39" s="1315"/>
      <c r="S39" s="1315"/>
      <c r="T39" s="1315"/>
      <c r="U39" s="1315"/>
      <c r="V39" s="1315"/>
      <c r="W39" s="1729">
        <f>SUM(W34:W38)</f>
        <v>-11.13655000000001</v>
      </c>
      <c r="X39" s="1729">
        <f t="shared" ref="X39:AY39" si="9">SUM(X34:X38)</f>
        <v>-11.829050000000061</v>
      </c>
      <c r="Y39" s="1729">
        <f t="shared" si="9"/>
        <v>12.38794999999986</v>
      </c>
      <c r="Z39" s="1729">
        <f t="shared" si="9"/>
        <v>44.531500000000122</v>
      </c>
      <c r="AA39" s="1729">
        <f t="shared" si="9"/>
        <v>0</v>
      </c>
      <c r="AB39" s="1729">
        <f t="shared" si="9"/>
        <v>6.0235500000000268</v>
      </c>
      <c r="AC39" s="1729">
        <f t="shared" si="9"/>
        <v>-39.704849999999965</v>
      </c>
      <c r="AD39" s="1729">
        <f t="shared" si="9"/>
        <v>-2.0046000000001243</v>
      </c>
      <c r="AE39" s="1729">
        <f t="shared" si="9"/>
        <v>70.823750000000103</v>
      </c>
      <c r="AF39" s="1729">
        <f t="shared" si="9"/>
        <v>0</v>
      </c>
      <c r="AG39" s="1729">
        <f t="shared" si="9"/>
        <v>4.2208500000000431</v>
      </c>
      <c r="AH39" s="1729">
        <f t="shared" si="9"/>
        <v>-32.070100000000046</v>
      </c>
      <c r="AI39" s="1729">
        <f t="shared" si="9"/>
        <v>-9.6016500000000189</v>
      </c>
      <c r="AJ39" s="1729">
        <f t="shared" si="9"/>
        <v>59.165500000000257</v>
      </c>
      <c r="AK39" s="1729">
        <f t="shared" si="9"/>
        <v>0</v>
      </c>
      <c r="AL39" s="1729">
        <f t="shared" si="9"/>
        <v>0.46706716000004844</v>
      </c>
      <c r="AM39" s="1729">
        <f t="shared" si="9"/>
        <v>-21.180530800000007</v>
      </c>
      <c r="AN39" s="1729">
        <f t="shared" si="9"/>
        <v>-1.7530000000000239</v>
      </c>
      <c r="AO39" s="1729">
        <f t="shared" si="9"/>
        <v>85.613709892994777</v>
      </c>
      <c r="AP39" s="1315">
        <f t="shared" si="9"/>
        <v>0</v>
      </c>
      <c r="AQ39" s="1729">
        <f t="shared" si="9"/>
        <v>6.1349999999998932</v>
      </c>
      <c r="AR39" s="1729">
        <f t="shared" si="9"/>
        <v>-13.57600000000004</v>
      </c>
      <c r="AS39" s="1729">
        <f t="shared" si="9"/>
        <v>-3.3329999999999931</v>
      </c>
      <c r="AT39" s="1729">
        <f t="shared" si="9"/>
        <v>81.018000000000114</v>
      </c>
      <c r="AU39" s="1315">
        <f t="shared" si="9"/>
        <v>0</v>
      </c>
      <c r="AV39" s="1729">
        <f t="shared" si="9"/>
        <v>18.611999999999981</v>
      </c>
      <c r="AW39" s="1729">
        <f t="shared" si="9"/>
        <v>-0.87700000000015255</v>
      </c>
      <c r="AX39" s="1729">
        <f t="shared" si="9"/>
        <v>11.910999999999866</v>
      </c>
      <c r="AY39" s="1729">
        <f t="shared" si="9"/>
        <v>108.93100000000008</v>
      </c>
      <c r="AZ39" s="1315"/>
      <c r="BA39" s="1729">
        <f>SUM(BA34:BA38)</f>
        <v>31.40700000000005</v>
      </c>
      <c r="BB39" s="1729">
        <f>SUM(BB34:BB38)</f>
        <v>14.85700000000012</v>
      </c>
      <c r="BC39" s="1729">
        <f>SUM(BC34:BC38)</f>
        <v>19.048000000000041</v>
      </c>
      <c r="BD39" s="1729">
        <f>SUM(BD34:BD38)</f>
        <v>109.26199999999999</v>
      </c>
      <c r="BE39" s="1315"/>
      <c r="BF39" s="1729">
        <f>SUM(BF34:BF38)</f>
        <v>41.610000000000042</v>
      </c>
      <c r="BG39" s="1730">
        <f>SUM(BG34:BG38)</f>
        <v>28.244000000000177</v>
      </c>
      <c r="BH39" s="1730">
        <f>SUM(BH34:BH38)</f>
        <v>36.276999999999973</v>
      </c>
      <c r="BI39" s="1730">
        <f>SUM(BI34:BI38)</f>
        <v>126.13499999999989</v>
      </c>
      <c r="BK39" s="1729">
        <f>SUM(BK34:BK38)</f>
        <v>56.592000000000112</v>
      </c>
      <c r="BL39" s="1730">
        <f>SUM(BL34:BL38)</f>
        <v>51.27499999999992</v>
      </c>
      <c r="BM39" s="1730">
        <f>SUM(BM34:BM38)</f>
        <v>48.790999999999947</v>
      </c>
      <c r="BN39" s="1730">
        <f>SUM(BN34:BN38)</f>
        <v>155.82144600000001</v>
      </c>
      <c r="BP39" s="1729">
        <f>SUM(BP34:BP38)</f>
        <v>75.384901915798039</v>
      </c>
      <c r="BQ39" s="1730">
        <f>SUM(BQ34:BQ38)</f>
        <v>66.619824256391311</v>
      </c>
      <c r="BR39" s="1730">
        <f>SUM(BR34:BR38)</f>
        <v>67.567339086420859</v>
      </c>
      <c r="BS39" s="1731">
        <f>SUM(BS34:BS38)</f>
        <v>186.14698171014194</v>
      </c>
      <c r="BT39" s="1732"/>
      <c r="BU39" s="1732"/>
      <c r="BV39" s="1732"/>
      <c r="BW39" s="1732"/>
      <c r="BX39" s="1732"/>
      <c r="BY39" s="1732"/>
      <c r="BZ39" s="1733"/>
      <c r="CA39" s="1732"/>
      <c r="CB39" s="1732"/>
      <c r="CC39" s="1730">
        <f t="shared" ref="CC39:CI39" si="10">SUM(CC34:CC38)</f>
        <v>63.142457723102517</v>
      </c>
      <c r="CD39" s="1730">
        <f t="shared" si="10"/>
        <v>70.236237498878978</v>
      </c>
      <c r="CE39" s="1730">
        <f t="shared" si="10"/>
        <v>138.57535247826132</v>
      </c>
      <c r="CF39" s="1730">
        <f t="shared" si="10"/>
        <v>174.57400000000013</v>
      </c>
      <c r="CG39" s="1730">
        <f t="shared" si="10"/>
        <v>232.26599999999954</v>
      </c>
      <c r="CH39" s="1730">
        <f t="shared" si="10"/>
        <v>312.4794459999996</v>
      </c>
      <c r="CI39" s="1730">
        <f t="shared" si="10"/>
        <v>395.7190469687522</v>
      </c>
      <c r="CJ39" s="1730">
        <f>SUM(CJ34:CJ38)</f>
        <v>438.46701925040315</v>
      </c>
      <c r="CK39" s="1730">
        <f>SUM(CK34:CK38)</f>
        <v>484.27005058143277</v>
      </c>
      <c r="CL39" s="1730">
        <f>SUM(CL34:CL38)</f>
        <v>537.77063289088733</v>
      </c>
      <c r="CM39" s="1730">
        <f>SUM(CM34:CM38)</f>
        <v>588.8944158939704</v>
      </c>
      <c r="CN39" s="1538"/>
      <c r="CO39" s="1349"/>
      <c r="CP39" s="1349"/>
    </row>
    <row r="40" spans="1:101">
      <c r="A40" s="1532" t="s">
        <v>925</v>
      </c>
      <c r="B40" s="1522"/>
      <c r="C40" s="1533"/>
      <c r="D40" s="1533"/>
      <c r="E40" s="1533"/>
      <c r="F40" s="1533"/>
      <c r="G40" s="1533"/>
      <c r="H40" s="1533"/>
      <c r="I40" s="1533"/>
      <c r="J40" s="1533"/>
      <c r="K40" s="1533"/>
      <c r="L40" s="1533"/>
      <c r="M40" s="1533"/>
      <c r="N40" s="1533"/>
      <c r="O40" s="1533"/>
      <c r="P40" s="1533"/>
      <c r="Q40" s="1533"/>
      <c r="R40" s="1533"/>
      <c r="S40" s="1533"/>
      <c r="T40" s="1533"/>
      <c r="U40" s="1533"/>
      <c r="V40" s="1533"/>
      <c r="W40" s="1534">
        <f>IF(ISERROR(W39/W41),"NA",W39/W41)</f>
        <v>-0.15573846431921465</v>
      </c>
      <c r="X40" s="1534">
        <f>IF(ISERROR(X39/X41),"NA",X39/X41)</f>
        <v>-0.16542269206847848</v>
      </c>
      <c r="Y40" s="1534">
        <f>IF(ISERROR(Y39/Y41),"NA",Y39/Y41)</f>
        <v>0.17323859804546216</v>
      </c>
      <c r="Z40" s="1534">
        <f>IF(ISERROR(Z39/Z41),"NA",Z39/Z41)</f>
        <v>0.62274828594413167</v>
      </c>
      <c r="AA40" s="1534"/>
      <c r="AB40" s="1534">
        <f>IF(ISERROR(AB39/AB41),"NA",AB39/AB41)</f>
        <v>8.4236000085305476E-2</v>
      </c>
      <c r="AC40" s="1534">
        <f>IF(ISERROR(AC39/AC41),"NA",AC39/AC41)</f>
        <v>-0.55525026736509586</v>
      </c>
      <c r="AD40" s="1534">
        <f>IF(ISERROR(AD39/AD41),"NA",AD39/AD41)</f>
        <v>-2.803321725079282E-2</v>
      </c>
      <c r="AE40" s="1534">
        <f>IF(ISERROR(AE39/AE41),"NA",AE39/AE41)</f>
        <v>0.99043079430595515</v>
      </c>
      <c r="AF40" s="1534"/>
      <c r="AG40" s="1534">
        <f>IF(ISERROR(AG39/AG41),"NA",AG39/AG41)</f>
        <v>5.9026242159534441E-2</v>
      </c>
      <c r="AH40" s="1534">
        <f>IF(ISERROR(AH39/AH41),"NA",AH39/AH41)</f>
        <v>-0.44848253045724651</v>
      </c>
      <c r="AI40" s="1534">
        <f>IF(ISERROR(AI39/AI41),"NA",AI39/AI41)</f>
        <v>-0.13427374060463868</v>
      </c>
      <c r="AJ40" s="1534">
        <f>IF(ISERROR(AJ39/AJ41),"NA",AJ39/AJ41)</f>
        <v>0.82739664534155788</v>
      </c>
      <c r="AK40" s="1534"/>
      <c r="AL40" s="1534">
        <f>IF(ISERROR(AL39/AL41),"NA",AL39/AL41)</f>
        <v>6.6125889412218773E-3</v>
      </c>
      <c r="AM40" s="1534">
        <f>IF(ISERROR(AM39/AM41),"NA",AM39/AM41)</f>
        <v>-0.29775945561151107</v>
      </c>
      <c r="AN40" s="1534">
        <f>IF(ISERROR(AN39/AN41),"NA",AN39/AN41)</f>
        <v>-2.4471952706171821E-2</v>
      </c>
      <c r="AO40" s="1534">
        <f>IF(ISERROR(AO39/AO41),"NA",AO39/AO41)</f>
        <v>1.1787160164814114</v>
      </c>
      <c r="AP40" s="1517"/>
      <c r="AQ40" s="1534">
        <f>IF(ISERROR(AQ39/AQ41),"NA",AQ39/AQ41)</f>
        <v>8.474735480505613E-2</v>
      </c>
      <c r="AR40" s="1534">
        <f>IF(ISERROR(AR39/AR41),"NA",AR39/AR41)</f>
        <v>-0.18623792800702424</v>
      </c>
      <c r="AS40" s="1534">
        <f>IF(ISERROR(AS39/AS41),"NA",AS39/AS41)</f>
        <v>-4.5306871474206388E-2</v>
      </c>
      <c r="AT40" s="1534">
        <f>IF(ISERROR(AT39/AT41),"NA",AT39/AT41)</f>
        <v>1.0738114487932262</v>
      </c>
      <c r="AU40" s="1517"/>
      <c r="AV40" s="1534">
        <f>IF(ISERROR(AV39/AV41),"NA",AV39/AV41)</f>
        <v>0.24661781658694273</v>
      </c>
      <c r="AW40" s="1534">
        <f>IF(ISERROR(AW39/AW41),"NA",AW39/AW41)</f>
        <v>-1.1856799069844964E-2</v>
      </c>
      <c r="AX40" s="1534">
        <f>IF(ISERROR(AX39/AX41),"NA",AX39/AX41)</f>
        <v>0.15669894227227105</v>
      </c>
      <c r="AY40" s="1534">
        <f>IF(ISERROR(AY39/AY41),"NA",AY39/AY41)</f>
        <v>1.4280414263240704</v>
      </c>
      <c r="AZ40" s="1517"/>
      <c r="BA40" s="1534">
        <f>IF(ISERROR(BA39/BA41),"NA",BA39/BA41)</f>
        <v>0.41054365302414408</v>
      </c>
      <c r="BB40" s="1534">
        <f>IF(ISERROR(BB39/BB41),"NA",BB39/BB41)</f>
        <v>0.19418122884291306</v>
      </c>
      <c r="BC40" s="1534">
        <f>IF(ISERROR(BC39/BC41),"NA",BC39/BC41)</f>
        <v>0.25264609915908481</v>
      </c>
      <c r="BD40" s="1534">
        <f>IF(ISERROR(BD39/BD41),"NA",BD39/BD41)</f>
        <v>1.4892526612782311</v>
      </c>
      <c r="BE40" s="1517"/>
      <c r="BF40" s="1534">
        <f>IF(ISERROR(BF39/BF41),"NA",BF39/BF41)</f>
        <v>0.57454123689988046</v>
      </c>
      <c r="BG40" s="1516">
        <f>IF(ISERROR(BG39/BG41),"NA",BG39/BG41)</f>
        <v>0.39234861850056507</v>
      </c>
      <c r="BH40" s="1516">
        <f>IF(ISERROR(BH39/BH41),"NA",BH39/BH41)</f>
        <v>0.50668324091791517</v>
      </c>
      <c r="BI40" s="1516">
        <f>IF(ISERROR(BI39/BI41),"NA",BI39/BI41)</f>
        <v>1.7796072123931246</v>
      </c>
      <c r="BJ40" s="1516"/>
      <c r="BK40" s="2053">
        <f>IF(ISERROR(BK39/BK41),"NA",BK39/BK41)</f>
        <v>0.79144115796098335</v>
      </c>
      <c r="BL40" s="1516">
        <f>IF(ISERROR(BL39/BL41),"NA",BL39/BL41)</f>
        <v>0.72421293484555194</v>
      </c>
      <c r="BM40" s="1516">
        <f>IF(ISERROR(BM39/BM41),"NA",BM39/BM41)</f>
        <v>0.70161487467824668</v>
      </c>
      <c r="BN40" s="1516">
        <f>IF(ISERROR(BN39/BN41),"NA",BN39/BN41)</f>
        <v>2.2483434961402495</v>
      </c>
      <c r="BO40" s="1516"/>
      <c r="BP40" s="2053">
        <f>IF(ISERROR(BP39/BP41),"NA",BP39/BP41)</f>
        <v>1.0940410988433065</v>
      </c>
      <c r="BQ40" s="1516">
        <f>IF(ISERROR(BQ39/BQ41),"NA",BQ39/BQ41)</f>
        <v>0.97248119489659612</v>
      </c>
      <c r="BR40" s="1516">
        <f>IF(ISERROR(BR39/BR41),"NA",BR39/BR41)</f>
        <v>0.99210541203172853</v>
      </c>
      <c r="BS40" s="1518">
        <f>IF(ISERROR(BS39/BS41),"NA",BS39/BS41)</f>
        <v>2.7493830841170075</v>
      </c>
      <c r="BT40" s="1519" t="str">
        <f t="shared" ref="BT40:CB40" si="11">IF(ISERROR(BT39/BT41),"NA",BT39/BT41)</f>
        <v>NA</v>
      </c>
      <c r="BU40" s="1519" t="str">
        <f t="shared" si="11"/>
        <v>NA</v>
      </c>
      <c r="BV40" s="1519" t="str">
        <f t="shared" si="11"/>
        <v>NA</v>
      </c>
      <c r="BW40" s="1519" t="str">
        <f t="shared" si="11"/>
        <v>NA</v>
      </c>
      <c r="BX40" s="1519" t="str">
        <f t="shared" si="11"/>
        <v>NA</v>
      </c>
      <c r="BY40" s="1519" t="str">
        <f t="shared" si="11"/>
        <v>NA</v>
      </c>
      <c r="BZ40" s="1521" t="str">
        <f t="shared" si="11"/>
        <v>NA</v>
      </c>
      <c r="CA40" s="1520" t="str">
        <f t="shared" si="11"/>
        <v>NA</v>
      </c>
      <c r="CB40" s="1520" t="str">
        <f t="shared" si="11"/>
        <v>NA</v>
      </c>
      <c r="CC40" s="1520">
        <f t="shared" ref="CC40:CI40" si="12">IF(ISERROR(CC39/CC41),"NA",CC39/CC41)</f>
        <v>0.88301218951442884</v>
      </c>
      <c r="CD40" s="1520">
        <f t="shared" si="12"/>
        <v>0.94583158952737834</v>
      </c>
      <c r="CE40" s="1520">
        <f t="shared" si="12"/>
        <v>1.8266045274930645</v>
      </c>
      <c r="CF40" s="1520">
        <f t="shared" si="12"/>
        <v>2.3139853929456695</v>
      </c>
      <c r="CG40" s="1520">
        <f t="shared" si="12"/>
        <v>3.2384657213368402</v>
      </c>
      <c r="CH40" s="1520">
        <f t="shared" si="12"/>
        <v>4.4457012007739527</v>
      </c>
      <c r="CI40" s="1520">
        <f t="shared" si="12"/>
        <v>5.8292560502136297</v>
      </c>
      <c r="CJ40" s="1520">
        <f>IF(ISERROR(CJ39/CJ41),"NA",CJ39/CJ41)</f>
        <v>6.6030690697229266</v>
      </c>
      <c r="CK40" s="1520">
        <f>IF(ISERROR(CK39/CK41),"NA",CK39/CK41)</f>
        <v>7.4531811455119907</v>
      </c>
      <c r="CL40" s="1520">
        <f>IF(ISERROR(CL39/CL41),"NA",CL39/CL41)</f>
        <v>8.4499842343328595</v>
      </c>
      <c r="CM40" s="1520">
        <f>IF(ISERROR(CM39/CM41),"NA",CM39/CM41)</f>
        <v>9.2532916928551572</v>
      </c>
      <c r="CN40" s="1538"/>
      <c r="CO40" s="1349"/>
      <c r="CP40" s="1349"/>
      <c r="CW40" s="1587"/>
    </row>
    <row r="41" spans="1:101">
      <c r="A41" s="1538" t="s">
        <v>197</v>
      </c>
      <c r="B41" s="1349"/>
      <c r="C41" s="1718"/>
      <c r="D41" s="1718"/>
      <c r="E41" s="1718"/>
      <c r="F41" s="1718"/>
      <c r="G41" s="1718"/>
      <c r="H41" s="1718"/>
      <c r="I41" s="1718"/>
      <c r="J41" s="1718"/>
      <c r="K41" s="1718"/>
      <c r="L41" s="1718"/>
      <c r="M41" s="1718"/>
      <c r="N41" s="1718"/>
      <c r="O41" s="1718"/>
      <c r="P41" s="1718"/>
      <c r="Q41" s="1718"/>
      <c r="R41" s="1718"/>
      <c r="S41" s="1718"/>
      <c r="T41" s="1718"/>
      <c r="U41" s="1718"/>
      <c r="V41" s="1718"/>
      <c r="W41" s="1687">
        <f t="shared" ref="W41:AI41" si="13">W31</f>
        <v>71.508025000000004</v>
      </c>
      <c r="X41" s="1687">
        <f t="shared" si="13"/>
        <v>71.508025000000004</v>
      </c>
      <c r="Y41" s="1687">
        <f t="shared" si="13"/>
        <v>71.508025000000004</v>
      </c>
      <c r="Z41" s="1687">
        <f t="shared" si="13"/>
        <v>71.508025000000004</v>
      </c>
      <c r="AA41" s="1687">
        <f t="shared" si="13"/>
        <v>0</v>
      </c>
      <c r="AB41" s="1687">
        <f t="shared" si="13"/>
        <v>71.508025000000004</v>
      </c>
      <c r="AC41" s="1687">
        <f t="shared" si="13"/>
        <v>71.508025000000004</v>
      </c>
      <c r="AD41" s="1687">
        <f t="shared" si="13"/>
        <v>71.508025000000004</v>
      </c>
      <c r="AE41" s="1687">
        <f t="shared" si="13"/>
        <v>71.508025000000004</v>
      </c>
      <c r="AF41" s="1687">
        <f t="shared" si="13"/>
        <v>0</v>
      </c>
      <c r="AG41" s="1687">
        <f t="shared" si="13"/>
        <v>71.508025000000004</v>
      </c>
      <c r="AH41" s="1687">
        <f t="shared" si="13"/>
        <v>71.508025000000004</v>
      </c>
      <c r="AI41" s="1687">
        <f t="shared" si="13"/>
        <v>71.508025000000004</v>
      </c>
      <c r="AJ41" s="1687">
        <f>AJ31</f>
        <v>71.508025000000004</v>
      </c>
      <c r="AK41" s="1687"/>
      <c r="AL41" s="1687">
        <f t="array" ref="AL41:AO41">TRANSPOSE('qtrP&amp;L_new'!AU286:AU289)</f>
        <v>70.633025000000004</v>
      </c>
      <c r="AM41" s="1687">
        <v>71.133025000000004</v>
      </c>
      <c r="AN41" s="1687">
        <v>71.633025000000004</v>
      </c>
      <c r="AO41" s="1687">
        <v>72.633025000000004</v>
      </c>
      <c r="AP41" s="1349"/>
      <c r="AQ41" s="1687">
        <f t="array" ref="AQ41:AT41">TRANSPOSE('qtrP&amp;L_new'!AY286:AY289)</f>
        <v>72.391639999999995</v>
      </c>
      <c r="AR41" s="1687">
        <v>72.896000000000001</v>
      </c>
      <c r="AS41" s="1687">
        <v>73.564999999999998</v>
      </c>
      <c r="AT41" s="1687">
        <v>75.448999999999998</v>
      </c>
      <c r="AU41" s="1349"/>
      <c r="AV41" s="1687">
        <f t="array" ref="AV41:AY41">TRANSPOSE('qtrP&amp;L_new'!BC286:BC289)</f>
        <v>75.468999999999994</v>
      </c>
      <c r="AW41" s="1687">
        <v>73.965999999999994</v>
      </c>
      <c r="AX41" s="1687">
        <v>76.012</v>
      </c>
      <c r="AY41" s="1687">
        <v>76.28</v>
      </c>
      <c r="AZ41" s="1349"/>
      <c r="BA41" s="1687">
        <f t="array" ref="BA41:BD41">TRANSPOSE('qtrP&amp;L_new'!BG286:BG289)</f>
        <v>76.501000000000005</v>
      </c>
      <c r="BB41" s="1687">
        <v>76.510999999999996</v>
      </c>
      <c r="BC41" s="1687">
        <v>75.394000000000005</v>
      </c>
      <c r="BD41" s="1687">
        <v>73.367000000000004</v>
      </c>
      <c r="BE41" s="1349"/>
      <c r="BF41" s="1687">
        <f t="array" ref="BF41:BI41">TRANSPOSE('qtrP&amp;L_new'!BK286:BK289)</f>
        <v>72.423000000000002</v>
      </c>
      <c r="BG41" s="1687">
        <v>71.986999999999995</v>
      </c>
      <c r="BH41" s="1687">
        <v>71.596999999999994</v>
      </c>
      <c r="BI41" s="1687">
        <v>70.878</v>
      </c>
      <c r="BK41" s="1687">
        <f t="array" ref="BK41:BN41">TRANSPOSE('qtrP&amp;L_new'!BO286:BO289)</f>
        <v>71.504999999999995</v>
      </c>
      <c r="BL41" s="1687">
        <v>70.801000000000002</v>
      </c>
      <c r="BM41" s="1687">
        <v>69.540999999999997</v>
      </c>
      <c r="BN41" s="1687">
        <v>69.305000000000007</v>
      </c>
      <c r="BP41" s="1687">
        <f t="array" ref="BP41:BS41">TRANSPOSE('qtrP&amp;L_new'!BS286:BS289)</f>
        <v>68.905000000000001</v>
      </c>
      <c r="BQ41" s="1687">
        <v>68.504999999999995</v>
      </c>
      <c r="BR41" s="1687">
        <v>68.10499999999999</v>
      </c>
      <c r="BS41" s="1689">
        <v>67.704999999999984</v>
      </c>
      <c r="BT41" s="1718"/>
      <c r="BU41" s="1718"/>
      <c r="BV41" s="1718"/>
      <c r="BW41" s="1718"/>
      <c r="BX41" s="1718"/>
      <c r="BY41" s="1718"/>
      <c r="BZ41" s="1720"/>
      <c r="CA41" s="1718"/>
      <c r="CB41" s="1718"/>
      <c r="CC41" s="1714">
        <f>CC31</f>
        <v>71.508025000000004</v>
      </c>
      <c r="CD41" s="1714">
        <f t="shared" ref="CD41:CI41" si="14">CD31</f>
        <v>74.258713999999998</v>
      </c>
      <c r="CE41" s="1714">
        <f t="shared" si="14"/>
        <v>75.864999999999995</v>
      </c>
      <c r="CF41" s="1714">
        <f t="shared" si="14"/>
        <v>75.442999999999998</v>
      </c>
      <c r="CG41" s="1714">
        <f t="shared" si="14"/>
        <v>71.721000000000004</v>
      </c>
      <c r="CH41" s="1714">
        <f>CH31</f>
        <v>70.287999999999997</v>
      </c>
      <c r="CI41" s="1714">
        <f t="shared" si="14"/>
        <v>67.884999999999991</v>
      </c>
      <c r="CJ41" s="1714">
        <f>CJ31</f>
        <v>66.40351851851851</v>
      </c>
      <c r="CK41" s="1714">
        <f>CK31</f>
        <v>64.974947089947079</v>
      </c>
      <c r="CL41" s="1714">
        <f>CL31</f>
        <v>63.641613756613744</v>
      </c>
      <c r="CM41" s="1714">
        <f>CM31</f>
        <v>63.641613756613744</v>
      </c>
      <c r="CN41" s="1538"/>
      <c r="CO41" s="1745"/>
      <c r="CP41" s="1349"/>
    </row>
    <row r="42" spans="1:101" ht="13.5" customHeight="1" outlineLevel="1">
      <c r="A42" s="1538" t="s">
        <v>198</v>
      </c>
      <c r="B42" s="1349">
        <f t="shared" ref="B42:AY43" si="15">B41</f>
        <v>0</v>
      </c>
      <c r="C42" s="1718"/>
      <c r="D42" s="1718"/>
      <c r="E42" s="1718"/>
      <c r="F42" s="1718"/>
      <c r="G42" s="1718"/>
      <c r="H42" s="1718"/>
      <c r="I42" s="1718"/>
      <c r="J42" s="1718"/>
      <c r="K42" s="1718"/>
      <c r="L42" s="1718"/>
      <c r="M42" s="1718"/>
      <c r="N42" s="1718"/>
      <c r="O42" s="1718"/>
      <c r="P42" s="1718"/>
      <c r="Q42" s="1718"/>
      <c r="R42" s="1718"/>
      <c r="S42" s="1718"/>
      <c r="T42" s="1718"/>
      <c r="U42" s="1718"/>
      <c r="V42" s="1718">
        <f t="shared" si="15"/>
        <v>0</v>
      </c>
      <c r="W42" s="1687">
        <f t="shared" si="15"/>
        <v>71.508025000000004</v>
      </c>
      <c r="X42" s="1687">
        <f t="shared" si="15"/>
        <v>71.508025000000004</v>
      </c>
      <c r="Y42" s="1687">
        <f t="shared" si="15"/>
        <v>71.508025000000004</v>
      </c>
      <c r="Z42" s="1687">
        <f t="shared" si="15"/>
        <v>71.508025000000004</v>
      </c>
      <c r="AA42" s="1687">
        <f t="shared" si="15"/>
        <v>0</v>
      </c>
      <c r="AB42" s="1687">
        <f t="shared" si="15"/>
        <v>71.508025000000004</v>
      </c>
      <c r="AC42" s="1687">
        <f t="shared" si="15"/>
        <v>71.508025000000004</v>
      </c>
      <c r="AD42" s="1687">
        <f t="shared" si="15"/>
        <v>71.508025000000004</v>
      </c>
      <c r="AE42" s="1687">
        <f t="shared" si="15"/>
        <v>71.508025000000004</v>
      </c>
      <c r="AF42" s="1687">
        <f t="shared" si="15"/>
        <v>0</v>
      </c>
      <c r="AG42" s="1687">
        <f t="shared" si="15"/>
        <v>71.508025000000004</v>
      </c>
      <c r="AH42" s="1687">
        <f t="shared" si="15"/>
        <v>71.508025000000004</v>
      </c>
      <c r="AI42" s="1687">
        <f t="shared" si="15"/>
        <v>71.508025000000004</v>
      </c>
      <c r="AJ42" s="1687">
        <f t="shared" si="15"/>
        <v>71.508025000000004</v>
      </c>
      <c r="AK42" s="1687">
        <f t="shared" si="15"/>
        <v>0</v>
      </c>
      <c r="AL42" s="1687">
        <f t="shared" si="15"/>
        <v>70.633025000000004</v>
      </c>
      <c r="AM42" s="1687">
        <f t="shared" si="15"/>
        <v>71.133025000000004</v>
      </c>
      <c r="AN42" s="1687">
        <f t="shared" si="15"/>
        <v>71.633025000000004</v>
      </c>
      <c r="AO42" s="1687">
        <f t="shared" si="15"/>
        <v>72.633025000000004</v>
      </c>
      <c r="AP42" s="1349">
        <f t="shared" si="15"/>
        <v>0</v>
      </c>
      <c r="AQ42" s="1687">
        <f t="shared" si="15"/>
        <v>72.391639999999995</v>
      </c>
      <c r="AR42" s="1687">
        <f t="shared" si="15"/>
        <v>72.896000000000001</v>
      </c>
      <c r="AS42" s="1687">
        <f t="shared" si="15"/>
        <v>73.564999999999998</v>
      </c>
      <c r="AT42" s="1687">
        <f t="shared" si="15"/>
        <v>75.448999999999998</v>
      </c>
      <c r="AU42" s="1349">
        <f t="shared" si="15"/>
        <v>0</v>
      </c>
      <c r="AV42" s="1687">
        <f t="shared" si="15"/>
        <v>75.468999999999994</v>
      </c>
      <c r="AW42" s="1687">
        <f t="shared" si="15"/>
        <v>73.965999999999994</v>
      </c>
      <c r="AX42" s="1687">
        <f t="shared" si="15"/>
        <v>76.012</v>
      </c>
      <c r="AY42" s="1687">
        <f t="shared" si="15"/>
        <v>76.28</v>
      </c>
      <c r="AZ42" s="1349"/>
      <c r="BA42" s="1687">
        <f t="shared" ref="BA42:BD43" si="16">BA41</f>
        <v>76.501000000000005</v>
      </c>
      <c r="BB42" s="1687">
        <f t="shared" si="16"/>
        <v>76.510999999999996</v>
      </c>
      <c r="BC42" s="1687">
        <f t="shared" si="16"/>
        <v>75.394000000000005</v>
      </c>
      <c r="BD42" s="1687">
        <f t="shared" si="16"/>
        <v>73.367000000000004</v>
      </c>
      <c r="BE42" s="1349"/>
      <c r="BF42" s="1687">
        <f t="shared" ref="BF42:BI43" si="17">BF41</f>
        <v>72.423000000000002</v>
      </c>
      <c r="BG42" s="1687">
        <f t="shared" si="17"/>
        <v>71.986999999999995</v>
      </c>
      <c r="BH42" s="1687">
        <f t="shared" si="17"/>
        <v>71.596999999999994</v>
      </c>
      <c r="BI42" s="1687">
        <f t="shared" si="17"/>
        <v>70.878</v>
      </c>
      <c r="BK42" s="1687">
        <f t="shared" ref="BK42:BN43" si="18">BK41</f>
        <v>71.504999999999995</v>
      </c>
      <c r="BL42" s="1687">
        <f t="shared" si="18"/>
        <v>70.801000000000002</v>
      </c>
      <c r="BM42" s="1687">
        <f t="shared" si="18"/>
        <v>69.540999999999997</v>
      </c>
      <c r="BN42" s="1687">
        <f t="shared" si="18"/>
        <v>69.305000000000007</v>
      </c>
      <c r="BP42" s="1687">
        <f t="shared" ref="BP42:BS42" si="19">BP41</f>
        <v>68.905000000000001</v>
      </c>
      <c r="BQ42" s="1687">
        <f t="shared" si="19"/>
        <v>68.504999999999995</v>
      </c>
      <c r="BR42" s="1687">
        <f t="shared" si="19"/>
        <v>68.10499999999999</v>
      </c>
      <c r="BS42" s="1689">
        <f t="shared" si="19"/>
        <v>67.704999999999984</v>
      </c>
      <c r="BT42" s="1718"/>
      <c r="BU42" s="1718"/>
      <c r="BV42" s="1718"/>
      <c r="BW42" s="1718"/>
      <c r="BX42" s="1718"/>
      <c r="BY42" s="1718"/>
      <c r="BZ42" s="1720"/>
      <c r="CA42" s="1718"/>
      <c r="CB42" s="1718"/>
      <c r="CC42" s="1714">
        <f t="shared" ref="CC42:CH43" si="20">CC41</f>
        <v>71.508025000000004</v>
      </c>
      <c r="CD42" s="1714">
        <f t="shared" si="20"/>
        <v>74.258713999999998</v>
      </c>
      <c r="CE42" s="1714">
        <f t="shared" si="20"/>
        <v>75.864999999999995</v>
      </c>
      <c r="CF42" s="1714">
        <f t="shared" si="20"/>
        <v>75.442999999999998</v>
      </c>
      <c r="CG42" s="1714">
        <f t="shared" si="20"/>
        <v>71.721000000000004</v>
      </c>
      <c r="CH42" s="1714">
        <f t="shared" si="20"/>
        <v>70.287999999999997</v>
      </c>
      <c r="CI42" s="1714">
        <f t="shared" ref="CI42:CK43" si="21">CI41</f>
        <v>67.884999999999991</v>
      </c>
      <c r="CJ42" s="1714">
        <f t="shared" si="21"/>
        <v>66.40351851851851</v>
      </c>
      <c r="CK42" s="1714">
        <f t="shared" si="21"/>
        <v>64.974947089947079</v>
      </c>
      <c r="CL42" s="1714">
        <f>CL41</f>
        <v>63.641613756613744</v>
      </c>
      <c r="CM42" s="1714">
        <f>CM41</f>
        <v>63.641613756613744</v>
      </c>
      <c r="CN42" s="1538"/>
      <c r="CO42" s="1349"/>
      <c r="CP42" s="1349"/>
    </row>
    <row r="43" spans="1:101" outlineLevel="1">
      <c r="A43" s="1538" t="s">
        <v>201</v>
      </c>
      <c r="B43" s="1349">
        <f t="shared" si="15"/>
        <v>0</v>
      </c>
      <c r="C43" s="1718"/>
      <c r="D43" s="1718"/>
      <c r="E43" s="1718"/>
      <c r="F43" s="1718"/>
      <c r="G43" s="1718"/>
      <c r="H43" s="1718"/>
      <c r="I43" s="1718"/>
      <c r="J43" s="1718"/>
      <c r="K43" s="1718"/>
      <c r="L43" s="1718"/>
      <c r="M43" s="1718"/>
      <c r="N43" s="1718"/>
      <c r="O43" s="1718"/>
      <c r="P43" s="1718"/>
      <c r="Q43" s="1718"/>
      <c r="R43" s="1718"/>
      <c r="S43" s="1718"/>
      <c r="T43" s="1718"/>
      <c r="U43" s="1718"/>
      <c r="V43" s="1718">
        <f t="shared" si="15"/>
        <v>0</v>
      </c>
      <c r="W43" s="1687">
        <f t="shared" si="15"/>
        <v>71.508025000000004</v>
      </c>
      <c r="X43" s="1687">
        <f t="shared" si="15"/>
        <v>71.508025000000004</v>
      </c>
      <c r="Y43" s="1687">
        <f t="shared" si="15"/>
        <v>71.508025000000004</v>
      </c>
      <c r="Z43" s="1687">
        <f t="shared" si="15"/>
        <v>71.508025000000004</v>
      </c>
      <c r="AA43" s="1687">
        <f t="shared" si="15"/>
        <v>0</v>
      </c>
      <c r="AB43" s="1687">
        <f t="shared" si="15"/>
        <v>71.508025000000004</v>
      </c>
      <c r="AC43" s="1687">
        <f t="shared" si="15"/>
        <v>71.508025000000004</v>
      </c>
      <c r="AD43" s="1687">
        <f t="shared" si="15"/>
        <v>71.508025000000004</v>
      </c>
      <c r="AE43" s="1687">
        <f t="shared" si="15"/>
        <v>71.508025000000004</v>
      </c>
      <c r="AF43" s="1687">
        <f t="shared" si="15"/>
        <v>0</v>
      </c>
      <c r="AG43" s="1687">
        <f t="shared" si="15"/>
        <v>71.508025000000004</v>
      </c>
      <c r="AH43" s="1687">
        <f t="shared" si="15"/>
        <v>71.508025000000004</v>
      </c>
      <c r="AI43" s="1687">
        <f t="shared" si="15"/>
        <v>71.508025000000004</v>
      </c>
      <c r="AJ43" s="1687">
        <f t="shared" si="15"/>
        <v>71.508025000000004</v>
      </c>
      <c r="AK43" s="1687">
        <f t="shared" si="15"/>
        <v>0</v>
      </c>
      <c r="AL43" s="1687">
        <f t="shared" si="15"/>
        <v>70.633025000000004</v>
      </c>
      <c r="AM43" s="1687">
        <f t="shared" si="15"/>
        <v>71.133025000000004</v>
      </c>
      <c r="AN43" s="1687">
        <f t="shared" si="15"/>
        <v>71.633025000000004</v>
      </c>
      <c r="AO43" s="1687">
        <f t="shared" si="15"/>
        <v>72.633025000000004</v>
      </c>
      <c r="AP43" s="1349">
        <f t="shared" si="15"/>
        <v>0</v>
      </c>
      <c r="AQ43" s="1687">
        <f t="shared" si="15"/>
        <v>72.391639999999995</v>
      </c>
      <c r="AR43" s="1687">
        <f t="shared" si="15"/>
        <v>72.896000000000001</v>
      </c>
      <c r="AS43" s="1687">
        <f t="shared" si="15"/>
        <v>73.564999999999998</v>
      </c>
      <c r="AT43" s="1687">
        <f t="shared" si="15"/>
        <v>75.448999999999998</v>
      </c>
      <c r="AU43" s="1349">
        <f t="shared" si="15"/>
        <v>0</v>
      </c>
      <c r="AV43" s="1687">
        <f t="shared" si="15"/>
        <v>75.468999999999994</v>
      </c>
      <c r="AW43" s="1687">
        <f t="shared" si="15"/>
        <v>73.965999999999994</v>
      </c>
      <c r="AX43" s="1687">
        <f t="shared" si="15"/>
        <v>76.012</v>
      </c>
      <c r="AY43" s="1687">
        <f t="shared" si="15"/>
        <v>76.28</v>
      </c>
      <c r="AZ43" s="1349"/>
      <c r="BA43" s="1687">
        <f t="shared" si="16"/>
        <v>76.501000000000005</v>
      </c>
      <c r="BB43" s="1687">
        <f t="shared" si="16"/>
        <v>76.510999999999996</v>
      </c>
      <c r="BC43" s="1687">
        <f t="shared" si="16"/>
        <v>75.394000000000005</v>
      </c>
      <c r="BD43" s="1687">
        <f t="shared" si="16"/>
        <v>73.367000000000004</v>
      </c>
      <c r="BE43" s="1349"/>
      <c r="BF43" s="1687">
        <f t="shared" si="17"/>
        <v>72.423000000000002</v>
      </c>
      <c r="BG43" s="1687">
        <f t="shared" si="17"/>
        <v>71.986999999999995</v>
      </c>
      <c r="BH43" s="1687">
        <f t="shared" si="17"/>
        <v>71.596999999999994</v>
      </c>
      <c r="BI43" s="1687">
        <f t="shared" si="17"/>
        <v>70.878</v>
      </c>
      <c r="BK43" s="1687">
        <f t="shared" si="18"/>
        <v>71.504999999999995</v>
      </c>
      <c r="BL43" s="1687">
        <f t="shared" si="18"/>
        <v>70.801000000000002</v>
      </c>
      <c r="BM43" s="1687">
        <f t="shared" si="18"/>
        <v>69.540999999999997</v>
      </c>
      <c r="BN43" s="1687">
        <f t="shared" si="18"/>
        <v>69.305000000000007</v>
      </c>
      <c r="BP43" s="1687">
        <f t="shared" ref="BP43:BS43" si="22">BP42</f>
        <v>68.905000000000001</v>
      </c>
      <c r="BQ43" s="1687">
        <f t="shared" si="22"/>
        <v>68.504999999999995</v>
      </c>
      <c r="BR43" s="1687">
        <f t="shared" si="22"/>
        <v>68.10499999999999</v>
      </c>
      <c r="BS43" s="1689">
        <f t="shared" si="22"/>
        <v>67.704999999999984</v>
      </c>
      <c r="BT43" s="1718"/>
      <c r="BU43" s="1718"/>
      <c r="BV43" s="1718"/>
      <c r="BW43" s="1718"/>
      <c r="BX43" s="1718"/>
      <c r="BY43" s="1718"/>
      <c r="BZ43" s="1720"/>
      <c r="CA43" s="1718"/>
      <c r="CB43" s="1718"/>
      <c r="CC43" s="1714">
        <f t="shared" si="20"/>
        <v>71.508025000000004</v>
      </c>
      <c r="CD43" s="1714">
        <f t="shared" si="20"/>
        <v>74.258713999999998</v>
      </c>
      <c r="CE43" s="1714">
        <f t="shared" si="20"/>
        <v>75.864999999999995</v>
      </c>
      <c r="CF43" s="1714">
        <f t="shared" si="20"/>
        <v>75.442999999999998</v>
      </c>
      <c r="CG43" s="1714">
        <f t="shared" si="20"/>
        <v>71.721000000000004</v>
      </c>
      <c r="CH43" s="1714">
        <f t="shared" si="20"/>
        <v>70.287999999999997</v>
      </c>
      <c r="CI43" s="1714">
        <f t="shared" si="21"/>
        <v>67.884999999999991</v>
      </c>
      <c r="CJ43" s="1714">
        <f t="shared" si="21"/>
        <v>66.40351851851851</v>
      </c>
      <c r="CK43" s="1714">
        <f t="shared" si="21"/>
        <v>64.974947089947079</v>
      </c>
      <c r="CL43" s="1714">
        <f>CL42</f>
        <v>63.641613756613744</v>
      </c>
      <c r="CM43" s="1714">
        <f>CM42</f>
        <v>63.641613756613744</v>
      </c>
      <c r="CN43" s="1538"/>
      <c r="CO43" s="1349"/>
      <c r="CP43" s="1349"/>
    </row>
    <row r="44" spans="1:101" ht="12" customHeight="1">
      <c r="A44" s="1538"/>
      <c r="B44" s="1349"/>
      <c r="C44" s="1718"/>
      <c r="D44" s="1718"/>
      <c r="E44" s="1718"/>
      <c r="F44" s="1718"/>
      <c r="G44" s="1718"/>
      <c r="H44" s="1718"/>
      <c r="I44" s="1718"/>
      <c r="J44" s="1718"/>
      <c r="K44" s="1718"/>
      <c r="L44" s="1718"/>
      <c r="M44" s="1718"/>
      <c r="N44" s="1718"/>
      <c r="O44" s="1718"/>
      <c r="P44" s="1718"/>
      <c r="Q44" s="1718"/>
      <c r="R44" s="1718"/>
      <c r="S44" s="1718"/>
      <c r="T44" s="1718"/>
      <c r="U44" s="1718"/>
      <c r="V44" s="1718"/>
      <c r="W44" s="1687"/>
      <c r="X44" s="1687"/>
      <c r="Y44" s="1687"/>
      <c r="Z44" s="1687"/>
      <c r="AA44" s="1687"/>
      <c r="AB44" s="1687"/>
      <c r="AC44" s="1687"/>
      <c r="AD44" s="1687"/>
      <c r="AE44" s="1687"/>
      <c r="AF44" s="1687"/>
      <c r="AG44" s="1687"/>
      <c r="AH44" s="1687"/>
      <c r="AI44" s="1687"/>
      <c r="AJ44" s="1687"/>
      <c r="AK44" s="1687"/>
      <c r="AL44" s="1687"/>
      <c r="AM44" s="1687"/>
      <c r="AN44" s="1687"/>
      <c r="AO44" s="1687"/>
      <c r="AP44" s="1349"/>
      <c r="AQ44" s="1687"/>
      <c r="AR44" s="1687"/>
      <c r="AS44" s="1687"/>
      <c r="AT44" s="1687"/>
      <c r="AU44" s="1349"/>
      <c r="AV44" s="1687"/>
      <c r="AW44" s="1687"/>
      <c r="AX44" s="1687"/>
      <c r="AY44" s="1687"/>
      <c r="AZ44" s="1349"/>
      <c r="BA44" s="1687"/>
      <c r="BB44" s="1687"/>
      <c r="BC44" s="1687"/>
      <c r="BD44" s="1687"/>
      <c r="BE44" s="1349"/>
      <c r="BF44" s="1687"/>
      <c r="BG44" s="1687"/>
      <c r="BH44" s="1687"/>
      <c r="BI44" s="1687"/>
      <c r="BK44" s="1687"/>
      <c r="BL44" s="1687"/>
      <c r="BM44" s="1687"/>
      <c r="BN44" s="1687"/>
      <c r="BP44" s="1687"/>
      <c r="BQ44" s="1687"/>
      <c r="BR44" s="1687"/>
      <c r="BS44" s="1689"/>
      <c r="BT44" s="1718"/>
      <c r="BU44" s="1718"/>
      <c r="BV44" s="1718"/>
      <c r="BW44" s="1718"/>
      <c r="BX44" s="1718"/>
      <c r="BY44" s="1718"/>
      <c r="BZ44" s="1720"/>
      <c r="CA44" s="1718"/>
      <c r="CB44" s="1718"/>
      <c r="CC44" s="1714"/>
      <c r="CD44" s="1714"/>
      <c r="CE44" s="1714"/>
      <c r="CF44" s="1714"/>
      <c r="CG44" s="1714"/>
      <c r="CH44" s="1714"/>
      <c r="CI44" s="1714"/>
      <c r="CJ44" s="1714"/>
      <c r="CK44" s="1714"/>
      <c r="CL44" s="1714"/>
      <c r="CM44" s="1714"/>
      <c r="CN44" s="1538"/>
      <c r="CO44" s="1349"/>
      <c r="CP44" s="1349"/>
    </row>
    <row r="45" spans="1:101">
      <c r="A45" s="1727"/>
      <c r="B45" s="1349"/>
      <c r="C45" s="1718"/>
      <c r="D45" s="1718"/>
      <c r="E45" s="1718"/>
      <c r="F45" s="1718"/>
      <c r="G45" s="1718"/>
      <c r="H45" s="1718"/>
      <c r="I45" s="1718"/>
      <c r="J45" s="1718"/>
      <c r="K45" s="1718"/>
      <c r="L45" s="1718"/>
      <c r="M45" s="1718"/>
      <c r="N45" s="1718"/>
      <c r="O45" s="1718"/>
      <c r="P45" s="1718"/>
      <c r="Q45" s="1718"/>
      <c r="R45" s="1718"/>
      <c r="S45" s="1718"/>
      <c r="T45" s="1718"/>
      <c r="U45" s="1718"/>
      <c r="V45" s="1718"/>
      <c r="W45" s="1718"/>
      <c r="X45" s="1718"/>
      <c r="Y45" s="1718"/>
      <c r="Z45" s="1718"/>
      <c r="AA45" s="1718"/>
      <c r="AB45" s="1718"/>
      <c r="AC45" s="1718"/>
      <c r="AD45" s="1718"/>
      <c r="AE45" s="1718"/>
      <c r="AF45" s="1718"/>
      <c r="AG45" s="1718"/>
      <c r="AH45" s="1718"/>
      <c r="AI45" s="1718"/>
      <c r="AJ45" s="1718"/>
      <c r="AK45" s="1718"/>
      <c r="AL45" s="1718"/>
      <c r="AM45" s="1718"/>
      <c r="AN45" s="1718"/>
      <c r="AO45" s="1718"/>
      <c r="AP45" s="1349"/>
      <c r="AQ45" s="1718"/>
      <c r="AR45" s="1718"/>
      <c r="AS45" s="1718"/>
      <c r="AT45" s="1718"/>
      <c r="AU45" s="1349"/>
      <c r="AV45" s="1718"/>
      <c r="AW45" s="1718"/>
      <c r="AX45" s="1718"/>
      <c r="AY45" s="1718"/>
      <c r="AZ45" s="1349"/>
      <c r="BA45" s="1718"/>
      <c r="BB45" s="1718"/>
      <c r="BC45" s="1718"/>
      <c r="BD45" s="1718"/>
      <c r="BE45" s="1349"/>
      <c r="BF45" s="1718"/>
      <c r="BG45" s="1718"/>
      <c r="BH45" s="1718"/>
      <c r="BI45" s="1718"/>
      <c r="BK45" s="1718"/>
      <c r="BL45" s="1718"/>
      <c r="BM45" s="1718"/>
      <c r="BN45" s="1718"/>
      <c r="BP45" s="1718"/>
      <c r="BQ45" s="1718"/>
      <c r="BR45" s="1718"/>
      <c r="BS45" s="1719"/>
      <c r="BT45" s="1718"/>
      <c r="BU45" s="1718"/>
      <c r="BV45" s="1718"/>
      <c r="BW45" s="1718"/>
      <c r="BX45" s="1718"/>
      <c r="BY45" s="1718"/>
      <c r="BZ45" s="1720"/>
      <c r="CA45" s="1718"/>
      <c r="CB45" s="1718"/>
      <c r="CC45" s="1718"/>
      <c r="CD45" s="1718"/>
      <c r="CE45" s="1718"/>
      <c r="CF45" s="1718"/>
      <c r="CG45" s="1718"/>
      <c r="CH45" s="1718"/>
      <c r="CI45" s="1718"/>
      <c r="CJ45" s="1718"/>
      <c r="CK45" s="1718"/>
      <c r="CL45" s="1718"/>
      <c r="CM45" s="1718"/>
      <c r="CN45" s="1538"/>
      <c r="CO45" s="1349"/>
      <c r="CP45" s="1349"/>
      <c r="CW45" s="1670"/>
    </row>
    <row r="46" spans="1:101" s="1291" customFormat="1">
      <c r="A46" s="1734" t="s">
        <v>855</v>
      </c>
      <c r="B46" s="1681"/>
      <c r="C46" s="1681"/>
      <c r="D46" s="1681"/>
      <c r="E46" s="1681"/>
      <c r="F46" s="1681"/>
      <c r="G46" s="1681"/>
      <c r="H46" s="1681"/>
      <c r="I46" s="1681"/>
      <c r="J46" s="1681"/>
      <c r="K46" s="1681"/>
      <c r="L46" s="1681"/>
      <c r="M46" s="1681"/>
      <c r="N46" s="1681"/>
      <c r="O46" s="1681"/>
      <c r="P46" s="1681"/>
      <c r="Q46" s="1681"/>
      <c r="R46" s="1681"/>
      <c r="S46" s="1681"/>
      <c r="T46" s="1681"/>
      <c r="U46" s="1681"/>
      <c r="V46" s="1681"/>
      <c r="W46" s="1681">
        <f t="shared" ref="W46:AY46" si="23">W23</f>
        <v>-36.247000000000007</v>
      </c>
      <c r="X46" s="1681">
        <f t="shared" si="23"/>
        <v>-11.610000000000063</v>
      </c>
      <c r="Y46" s="1681">
        <f t="shared" si="23"/>
        <v>34.048999999999857</v>
      </c>
      <c r="Z46" s="1681">
        <f t="shared" si="23"/>
        <v>53.299000000000127</v>
      </c>
      <c r="AA46" s="1681">
        <f t="shared" si="23"/>
        <v>0</v>
      </c>
      <c r="AB46" s="1681">
        <f t="shared" si="23"/>
        <v>36.166000000000025</v>
      </c>
      <c r="AC46" s="1681">
        <f t="shared" si="23"/>
        <v>-38.912999999999968</v>
      </c>
      <c r="AD46" s="1681">
        <f t="shared" si="23"/>
        <v>19.494999999999877</v>
      </c>
      <c r="AE46" s="1681">
        <f t="shared" si="23"/>
        <v>135.68900000000011</v>
      </c>
      <c r="AF46" s="1681">
        <f t="shared" si="23"/>
        <v>0</v>
      </c>
      <c r="AG46" s="1681">
        <f t="shared" si="23"/>
        <v>-1.3839999999999542</v>
      </c>
      <c r="AH46" s="1681">
        <f t="shared" si="23"/>
        <v>-23.585000000000051</v>
      </c>
      <c r="AI46" s="1681">
        <f t="shared" si="23"/>
        <v>11.139999999999981</v>
      </c>
      <c r="AJ46" s="1681">
        <f t="shared" si="23"/>
        <v>132.05700000000027</v>
      </c>
      <c r="AK46" s="1681">
        <f t="shared" si="23"/>
        <v>0</v>
      </c>
      <c r="AL46" s="1681">
        <f t="shared" si="23"/>
        <v>23.335830730000055</v>
      </c>
      <c r="AM46" s="1681">
        <f t="shared" si="23"/>
        <v>-19.759250599999998</v>
      </c>
      <c r="AN46" s="1681">
        <f t="shared" si="23"/>
        <v>5.7699999999999729</v>
      </c>
      <c r="AO46" s="1681">
        <f t="shared" si="23"/>
        <v>134.23691639699479</v>
      </c>
      <c r="AP46" s="1681">
        <f t="shared" si="23"/>
        <v>0</v>
      </c>
      <c r="AQ46" s="1681">
        <f t="shared" si="23"/>
        <v>25.655999999999892</v>
      </c>
      <c r="AR46" s="1681">
        <f t="shared" si="23"/>
        <v>-5.9100000000000428</v>
      </c>
      <c r="AS46" s="1681">
        <f t="shared" si="23"/>
        <v>8.1840000000000064</v>
      </c>
      <c r="AT46" s="1681">
        <f t="shared" si="23"/>
        <v>132.16700000000012</v>
      </c>
      <c r="AU46" s="1681">
        <f t="shared" si="23"/>
        <v>0</v>
      </c>
      <c r="AV46" s="1681">
        <f t="shared" si="23"/>
        <v>46.111999999999981</v>
      </c>
      <c r="AW46" s="1681">
        <f t="shared" si="23"/>
        <v>14.782999999999847</v>
      </c>
      <c r="AX46" s="1681">
        <f t="shared" si="23"/>
        <v>-41.599000000000146</v>
      </c>
      <c r="AY46" s="1681">
        <f t="shared" si="23"/>
        <v>178.76500000000007</v>
      </c>
      <c r="AZ46" s="1681"/>
      <c r="BA46" s="1681">
        <f>BA23</f>
        <v>56.144000000000048</v>
      </c>
      <c r="BB46" s="1681">
        <f>BB23</f>
        <v>33.184000000000118</v>
      </c>
      <c r="BC46" s="1681">
        <f>BC23</f>
        <v>39.05000000000004</v>
      </c>
      <c r="BD46" s="1681">
        <f>BD23</f>
        <v>169.49599999999998</v>
      </c>
      <c r="BE46" s="1681"/>
      <c r="BF46" s="1681">
        <f>BF23</f>
        <v>75.097000000000037</v>
      </c>
      <c r="BG46" s="1681">
        <f>BG23</f>
        <v>47.767000000000174</v>
      </c>
      <c r="BH46" s="1681">
        <f>BH23</f>
        <v>63.011999999999965</v>
      </c>
      <c r="BI46" s="1681">
        <f>BI23</f>
        <v>203.49699999999993</v>
      </c>
      <c r="BK46" s="1681">
        <f>BK23</f>
        <v>88.798000000000101</v>
      </c>
      <c r="BL46" s="1681">
        <f>BL23</f>
        <v>77.607999999999919</v>
      </c>
      <c r="BM46" s="1681">
        <f>BM23</f>
        <v>83.149999999999949</v>
      </c>
      <c r="BN46" s="1681">
        <f>BN23</f>
        <v>238.20100000000002</v>
      </c>
      <c r="BP46" s="1681">
        <f>BP23</f>
        <v>104.00612739474754</v>
      </c>
      <c r="BQ46" s="1681">
        <f>BQ23</f>
        <v>91.609541776086957</v>
      </c>
      <c r="BR46" s="1681">
        <f>BR23</f>
        <v>100.02311878189448</v>
      </c>
      <c r="BS46" s="1725">
        <f>BS23</f>
        <v>261.01429960829989</v>
      </c>
      <c r="BT46" s="1681"/>
      <c r="BU46" s="1681"/>
      <c r="BV46" s="1681"/>
      <c r="BW46" s="1681"/>
      <c r="BX46" s="1681"/>
      <c r="BY46" s="1681"/>
      <c r="BZ46" s="1685">
        <f t="shared" ref="BZ46:CI46" si="24">BZ23</f>
        <v>39.468619947577345</v>
      </c>
      <c r="CA46" s="1681">
        <f t="shared" si="24"/>
        <v>157.56483366097984</v>
      </c>
      <c r="CB46" s="1681">
        <f t="shared" si="24"/>
        <v>115.07261995820608</v>
      </c>
      <c r="CC46" s="1681">
        <f t="shared" si="24"/>
        <v>143.57870799710253</v>
      </c>
      <c r="CD46" s="1681">
        <f t="shared" si="24"/>
        <v>160.08923749887896</v>
      </c>
      <c r="CE46" s="1681">
        <f t="shared" si="24"/>
        <v>198.0593524782613</v>
      </c>
      <c r="CF46" s="1681">
        <f t="shared" si="24"/>
        <v>297.87400000000014</v>
      </c>
      <c r="CG46" s="1681">
        <f t="shared" si="24"/>
        <v>389.37299999999954</v>
      </c>
      <c r="CH46" s="1681">
        <f t="shared" si="24"/>
        <v>487.75699999999966</v>
      </c>
      <c r="CI46" s="1713">
        <f t="shared" si="24"/>
        <v>556.653087561029</v>
      </c>
      <c r="CJ46" s="1681">
        <f>CJ23</f>
        <v>608.08181661176241</v>
      </c>
      <c r="CK46" s="1681">
        <f>CK23</f>
        <v>664.27634443176203</v>
      </c>
      <c r="CL46" s="1681">
        <f>CL23</f>
        <v>729.72859902902542</v>
      </c>
      <c r="CM46" s="1681">
        <f>CM23</f>
        <v>792.86346330198444</v>
      </c>
      <c r="CN46" s="1685"/>
      <c r="CO46" s="1681"/>
      <c r="CP46" s="1681"/>
      <c r="CQ46"/>
      <c r="CR46"/>
      <c r="CS46"/>
      <c r="CT46"/>
      <c r="CU46"/>
      <c r="CV46"/>
    </row>
    <row r="47" spans="1:101">
      <c r="A47" s="1727" t="s">
        <v>875</v>
      </c>
      <c r="B47" s="1349"/>
      <c r="C47" s="1687"/>
      <c r="D47" s="1687"/>
      <c r="E47" s="1687"/>
      <c r="F47" s="1687"/>
      <c r="G47" s="1687"/>
      <c r="H47" s="1687"/>
      <c r="I47" s="1687"/>
      <c r="J47" s="1687"/>
      <c r="K47" s="1687"/>
      <c r="L47" s="1687"/>
      <c r="M47" s="1687"/>
      <c r="N47" s="1687"/>
      <c r="O47" s="1687"/>
      <c r="P47" s="1687"/>
      <c r="Q47" s="1687"/>
      <c r="R47" s="1687"/>
      <c r="S47" s="1687"/>
      <c r="T47" s="1687"/>
      <c r="U47" s="1687"/>
      <c r="V47" s="1687"/>
      <c r="W47" s="1687">
        <f t="array" ref="W47:Z47">TRANSPOSE('qtrP&amp;L_new'!AI319:AI322)</f>
        <v>16.149000000000001</v>
      </c>
      <c r="X47" s="1687">
        <v>1.008</v>
      </c>
      <c r="Y47" s="1687">
        <v>7.44</v>
      </c>
      <c r="Z47" s="1687">
        <v>50.688999999999993</v>
      </c>
      <c r="AA47" s="1687"/>
      <c r="AB47" s="1687">
        <f t="array" ref="AB47:AE47">TRANSPOSE('qtrP&amp;L_new'!AM319:AM322)</f>
        <v>1.1620000000000001</v>
      </c>
      <c r="AC47" s="1687">
        <v>1.083</v>
      </c>
      <c r="AD47" s="1687">
        <v>1.111</v>
      </c>
      <c r="AE47" s="1687">
        <v>2.629</v>
      </c>
      <c r="AF47" s="1687"/>
      <c r="AG47" s="1687">
        <f t="array" ref="AG47:AJ47">TRANSPOSE('qtrP&amp;L_new'!AQ319:AQ322)</f>
        <v>38.889000000000003</v>
      </c>
      <c r="AH47" s="1687">
        <v>1.0289999999999999</v>
      </c>
      <c r="AI47" s="1687">
        <v>1.002</v>
      </c>
      <c r="AJ47" s="1687">
        <v>2.7820000000000005</v>
      </c>
      <c r="AK47" s="1687"/>
      <c r="AL47" s="1687">
        <f t="array" ref="AL47:AO47">TRANSPOSE('qtrP&amp;L_new'!AU319:AU322)</f>
        <v>1.0259999999999998</v>
      </c>
      <c r="AM47" s="1687">
        <v>8.4089999999999989</v>
      </c>
      <c r="AN47" s="1687">
        <v>2.0680000000000001</v>
      </c>
      <c r="AO47" s="1687">
        <v>11.391999999999999</v>
      </c>
      <c r="AP47" s="1349"/>
      <c r="AQ47" s="1687">
        <f t="array" ref="AQ47:AT47">TRANSPOSE('qtrP&amp;L_new'!AY319:AY322)</f>
        <v>9.9009999999999998</v>
      </c>
      <c r="AR47" s="1687">
        <v>11.583999999999998</v>
      </c>
      <c r="AS47" s="1687">
        <v>13.198</v>
      </c>
      <c r="AT47" s="1687">
        <v>20.722000000000001</v>
      </c>
      <c r="AU47" s="1349"/>
      <c r="AV47" s="1687">
        <f t="array" ref="AV47:AY47">TRANSPOSE('qtrP&amp;L_new'!BC319:BC322)</f>
        <v>5.0060000000000011</v>
      </c>
      <c r="AW47" s="1687">
        <v>2.7569999999999997</v>
      </c>
      <c r="AX47" s="1687">
        <v>71.545000000000016</v>
      </c>
      <c r="AY47" s="1687">
        <v>3.117</v>
      </c>
      <c r="AZ47" s="1349"/>
      <c r="BA47" s="1687">
        <f t="array" ref="BA47:BD47">TRANSPOSE('qtrP&amp;L_new'!BG319:BG322)</f>
        <v>3.141</v>
      </c>
      <c r="BB47" s="1687">
        <v>0.46300000000000002</v>
      </c>
      <c r="BC47" s="1687">
        <v>0.30900000000000005</v>
      </c>
      <c r="BD47" s="1687">
        <v>10.071999999999999</v>
      </c>
      <c r="BE47" s="1349"/>
      <c r="BF47" s="1687">
        <f t="array" ref="BF47:BI47">TRANSPOSE('qtrP&amp;L_new'!BK319:BK322)</f>
        <v>0.33099999999999996</v>
      </c>
      <c r="BG47" s="1687">
        <v>6.7149999999999999</v>
      </c>
      <c r="BH47" s="1687">
        <v>0.106</v>
      </c>
      <c r="BI47" s="1687">
        <v>4.4930000000000003</v>
      </c>
      <c r="BK47" s="1687">
        <f t="array" ref="BK47:BN47">TRANSPOSE('qtrP&amp;L_new'!BO319:BO322)</f>
        <v>4.9000000000000002E-2</v>
      </c>
      <c r="BL47" s="1687">
        <v>0.995</v>
      </c>
      <c r="BM47" s="1687">
        <v>2.5999999999999999E-2</v>
      </c>
      <c r="BN47" s="1687">
        <v>6.2929999999999993</v>
      </c>
      <c r="BP47" s="1687">
        <f t="array" ref="BP47:BS47">TRANSPOSE('qtrP&amp;L_new'!BS319:BS322)</f>
        <v>-1.4E-2</v>
      </c>
      <c r="BQ47" s="1687">
        <v>-3.5000000000000003E-2</v>
      </c>
      <c r="BR47" s="1687">
        <v>0</v>
      </c>
      <c r="BS47" s="1689">
        <v>0</v>
      </c>
      <c r="BT47" s="1687"/>
      <c r="BU47" s="1687"/>
      <c r="BV47" s="1687"/>
      <c r="BW47" s="1687"/>
      <c r="BX47" s="1687"/>
      <c r="BY47" s="1687"/>
      <c r="BZ47" s="1690">
        <f>'yrP&amp;L_new'!B74</f>
        <v>75.286000000000001</v>
      </c>
      <c r="CA47" s="1687">
        <f>'yrP&amp;L_new'!C74</f>
        <v>5.9849999999999994</v>
      </c>
      <c r="CB47" s="1687">
        <f>'yrP&amp;L_new'!D74</f>
        <v>43.702000000000005</v>
      </c>
      <c r="CC47" s="1687">
        <f>'yrP&amp;L_new'!E74</f>
        <v>22.894999999999996</v>
      </c>
      <c r="CD47" s="1687">
        <f>'yrP&amp;L_new'!F74</f>
        <v>55.404999999999994</v>
      </c>
      <c r="CE47" s="1687">
        <f>'yrP&amp;L_new'!G74</f>
        <v>82.425000000000011</v>
      </c>
      <c r="CF47" s="1687">
        <f>'yrP&amp;L_new'!H74</f>
        <v>13.985000000000001</v>
      </c>
      <c r="CG47" s="1687">
        <f>'yrP&amp;L_new'!I74</f>
        <v>11.645</v>
      </c>
      <c r="CH47" s="1687">
        <f>'yrP&amp;L_new'!J74</f>
        <v>7.3629999999999987</v>
      </c>
      <c r="CI47" s="1687">
        <f>'yrP&amp;L_new'!K74</f>
        <v>-4.9000000000000002E-2</v>
      </c>
      <c r="CJ47" s="1687">
        <f>'yrP&amp;L_new'!L74</f>
        <v>-4.9000000000000002E-2</v>
      </c>
      <c r="CK47" s="1687">
        <f>'yrP&amp;L_new'!M74</f>
        <v>-4.9000000000000002E-2</v>
      </c>
      <c r="CL47" s="1687">
        <f>'yrP&amp;L_new'!N74</f>
        <v>-4.9000000000000002E-2</v>
      </c>
      <c r="CM47" s="1687">
        <f>'yrP&amp;L_new'!O74</f>
        <v>-4.9000000000000002E-2</v>
      </c>
      <c r="CN47" s="1538"/>
      <c r="CO47" s="1349"/>
      <c r="CP47" s="1349"/>
    </row>
    <row r="48" spans="1:101">
      <c r="A48" s="1735" t="s">
        <v>859</v>
      </c>
      <c r="B48" s="1349"/>
      <c r="C48" s="1687"/>
      <c r="D48" s="1687"/>
      <c r="E48" s="1687"/>
      <c r="F48" s="1687"/>
      <c r="G48" s="1687"/>
      <c r="H48" s="1687"/>
      <c r="I48" s="1687"/>
      <c r="J48" s="1687"/>
      <c r="K48" s="1687"/>
      <c r="L48" s="1687"/>
      <c r="M48" s="1687"/>
      <c r="N48" s="1687"/>
      <c r="O48" s="1687"/>
      <c r="P48" s="1687"/>
      <c r="Q48" s="1687"/>
      <c r="R48" s="1687"/>
      <c r="S48" s="1687"/>
      <c r="T48" s="1687"/>
      <c r="U48" s="1687"/>
      <c r="V48" s="1687"/>
      <c r="W48" s="1687">
        <f>W47+W46</f>
        <v>-20.098000000000006</v>
      </c>
      <c r="X48" s="1687">
        <f t="shared" ref="X48:AY48" si="25">X47+X46</f>
        <v>-10.602000000000064</v>
      </c>
      <c r="Y48" s="1687">
        <f t="shared" si="25"/>
        <v>41.488999999999855</v>
      </c>
      <c r="Z48" s="1687">
        <f t="shared" si="25"/>
        <v>103.98800000000011</v>
      </c>
      <c r="AA48" s="1687">
        <f t="shared" si="25"/>
        <v>0</v>
      </c>
      <c r="AB48" s="1687">
        <f t="shared" si="25"/>
        <v>37.328000000000024</v>
      </c>
      <c r="AC48" s="1687">
        <f t="shared" si="25"/>
        <v>-37.82999999999997</v>
      </c>
      <c r="AD48" s="1687">
        <f t="shared" si="25"/>
        <v>20.605999999999877</v>
      </c>
      <c r="AE48" s="1687">
        <f>AE47+AE46</f>
        <v>138.3180000000001</v>
      </c>
      <c r="AF48" s="1687">
        <f>AF47+AF46</f>
        <v>0</v>
      </c>
      <c r="AG48" s="1687">
        <f>AG47+AG46</f>
        <v>37.505000000000052</v>
      </c>
      <c r="AH48" s="1687">
        <f>AH47+AH46</f>
        <v>-22.556000000000051</v>
      </c>
      <c r="AI48" s="1687">
        <f>AI47+AI46</f>
        <v>12.141999999999982</v>
      </c>
      <c r="AJ48" s="1687">
        <f t="shared" si="25"/>
        <v>134.83900000000028</v>
      </c>
      <c r="AK48" s="1687">
        <f t="shared" si="25"/>
        <v>0</v>
      </c>
      <c r="AL48" s="1687">
        <f t="shared" si="25"/>
        <v>24.361830730000055</v>
      </c>
      <c r="AM48" s="1687">
        <f t="shared" si="25"/>
        <v>-11.350250599999999</v>
      </c>
      <c r="AN48" s="1687">
        <f t="shared" si="25"/>
        <v>7.8379999999999725</v>
      </c>
      <c r="AO48" s="1687">
        <f t="shared" si="25"/>
        <v>145.62891639699478</v>
      </c>
      <c r="AP48" s="1349">
        <f t="shared" si="25"/>
        <v>0</v>
      </c>
      <c r="AQ48" s="1687">
        <f t="shared" si="25"/>
        <v>35.556999999999888</v>
      </c>
      <c r="AR48" s="1687">
        <f t="shared" si="25"/>
        <v>5.6739999999999551</v>
      </c>
      <c r="AS48" s="1687">
        <f t="shared" si="25"/>
        <v>21.382000000000005</v>
      </c>
      <c r="AT48" s="1687">
        <f t="shared" si="25"/>
        <v>152.88900000000012</v>
      </c>
      <c r="AU48" s="1349">
        <f t="shared" si="25"/>
        <v>0</v>
      </c>
      <c r="AV48" s="1687">
        <f t="shared" si="25"/>
        <v>51.117999999999981</v>
      </c>
      <c r="AW48" s="1687">
        <f t="shared" si="25"/>
        <v>17.539999999999846</v>
      </c>
      <c r="AX48" s="1687">
        <f t="shared" si="25"/>
        <v>29.94599999999987</v>
      </c>
      <c r="AY48" s="1687">
        <f t="shared" si="25"/>
        <v>181.88200000000006</v>
      </c>
      <c r="AZ48" s="1349"/>
      <c r="BA48" s="1687">
        <f>BA47+BA46</f>
        <v>59.285000000000046</v>
      </c>
      <c r="BB48" s="1687">
        <f>BB47+BB46</f>
        <v>33.647000000000119</v>
      </c>
      <c r="BC48" s="1687">
        <f>BC47+BC46</f>
        <v>39.359000000000037</v>
      </c>
      <c r="BD48" s="1687">
        <f>BD47+BD46</f>
        <v>179.56799999999998</v>
      </c>
      <c r="BE48" s="1349"/>
      <c r="BF48" s="1687">
        <f>BF47+BF46</f>
        <v>75.42800000000004</v>
      </c>
      <c r="BG48" s="1687">
        <f>BG47+BG46</f>
        <v>54.48200000000017</v>
      </c>
      <c r="BH48" s="1687">
        <f>BH47+BH46</f>
        <v>63.117999999999967</v>
      </c>
      <c r="BI48" s="1687">
        <f>BI47+BI46</f>
        <v>207.98999999999992</v>
      </c>
      <c r="BK48" s="1687">
        <f>BK47+BK46</f>
        <v>88.847000000000108</v>
      </c>
      <c r="BL48" s="1687">
        <f>BL47+BL46</f>
        <v>78.602999999999923</v>
      </c>
      <c r="BM48" s="1687">
        <f>BM47+BM46</f>
        <v>83.175999999999945</v>
      </c>
      <c r="BN48" s="1687">
        <f>BN47+BN46</f>
        <v>244.49400000000003</v>
      </c>
      <c r="BP48" s="1687">
        <f>BP47+BP46</f>
        <v>103.99212739474754</v>
      </c>
      <c r="BQ48" s="1687">
        <f>BQ47+BQ46</f>
        <v>91.57454177608696</v>
      </c>
      <c r="BR48" s="1687">
        <f>BR47+BR46</f>
        <v>100.02311878189448</v>
      </c>
      <c r="BS48" s="1689">
        <f>BS47+BS46</f>
        <v>261.01429960829989</v>
      </c>
      <c r="BT48" s="1687"/>
      <c r="BU48" s="1687"/>
      <c r="BV48" s="1687"/>
      <c r="BW48" s="1687"/>
      <c r="BX48" s="1687"/>
      <c r="BY48" s="1687"/>
      <c r="BZ48" s="1690">
        <f>BZ47+BZ46</f>
        <v>114.75461994757734</v>
      </c>
      <c r="CA48" s="1687">
        <f>CA47+CA46</f>
        <v>163.54983366097986</v>
      </c>
      <c r="CB48" s="1687">
        <f>CB47+CB46</f>
        <v>158.77461995820607</v>
      </c>
      <c r="CC48" s="1687">
        <f t="shared" ref="CC48:CI48" si="26">CC47+CC46</f>
        <v>166.47370799710251</v>
      </c>
      <c r="CD48" s="1687">
        <f t="shared" si="26"/>
        <v>215.49423749887896</v>
      </c>
      <c r="CE48" s="1687">
        <f t="shared" si="26"/>
        <v>280.48435247826131</v>
      </c>
      <c r="CF48" s="1687">
        <f t="shared" si="26"/>
        <v>311.85900000000015</v>
      </c>
      <c r="CG48" s="1687">
        <f t="shared" si="26"/>
        <v>401.01799999999952</v>
      </c>
      <c r="CH48" s="1687">
        <f t="shared" si="26"/>
        <v>495.11999999999966</v>
      </c>
      <c r="CI48" s="2257">
        <f t="shared" si="26"/>
        <v>556.60408756102902</v>
      </c>
      <c r="CJ48" s="1687">
        <f>CJ47+CJ46</f>
        <v>608.03281661176243</v>
      </c>
      <c r="CK48" s="1687">
        <f>CK47+CK46</f>
        <v>664.22734443176205</v>
      </c>
      <c r="CL48" s="1687">
        <f>CL47+CL46</f>
        <v>729.67959902902544</v>
      </c>
      <c r="CM48" s="1687">
        <f>CM47+CM46</f>
        <v>792.81446330198446</v>
      </c>
      <c r="CN48" s="1538"/>
      <c r="CO48" s="1349"/>
      <c r="CP48" s="1349"/>
    </row>
    <row r="49" spans="1:102">
      <c r="A49" s="1736" t="s">
        <v>873</v>
      </c>
      <c r="B49" s="1352"/>
      <c r="C49" s="1737"/>
      <c r="D49" s="1737"/>
      <c r="E49" s="1737"/>
      <c r="F49" s="1737"/>
      <c r="G49" s="1737"/>
      <c r="H49" s="1737"/>
      <c r="I49" s="1737"/>
      <c r="J49" s="1737"/>
      <c r="K49" s="1737"/>
      <c r="L49" s="1737"/>
      <c r="M49" s="1737"/>
      <c r="N49" s="1737"/>
      <c r="O49" s="1737"/>
      <c r="P49" s="1737"/>
      <c r="Q49" s="1737"/>
      <c r="R49" s="1737"/>
      <c r="S49" s="1737"/>
      <c r="T49" s="1737"/>
      <c r="U49" s="1737"/>
      <c r="V49" s="1737"/>
      <c r="W49" s="1737">
        <f t="shared" ref="W49:AY49" si="27">W20</f>
        <v>39.679000000000002</v>
      </c>
      <c r="X49" s="1737">
        <f t="shared" si="27"/>
        <v>37.665999999999997</v>
      </c>
      <c r="Y49" s="1737">
        <f t="shared" si="27"/>
        <v>36.21</v>
      </c>
      <c r="Z49" s="1737">
        <f t="shared" si="27"/>
        <v>42.832999999999998</v>
      </c>
      <c r="AA49" s="1737">
        <f t="shared" si="27"/>
        <v>0</v>
      </c>
      <c r="AB49" s="1737">
        <f t="shared" si="27"/>
        <v>36.728999999999999</v>
      </c>
      <c r="AC49" s="1737">
        <f t="shared" si="27"/>
        <v>35.506</v>
      </c>
      <c r="AD49" s="1737">
        <f t="shared" si="27"/>
        <v>36.96</v>
      </c>
      <c r="AE49" s="1737">
        <f t="shared" si="27"/>
        <v>37.563999999999993</v>
      </c>
      <c r="AF49" s="1737">
        <f t="shared" si="27"/>
        <v>0</v>
      </c>
      <c r="AG49" s="1737">
        <f t="shared" si="27"/>
        <v>36.619999999999997</v>
      </c>
      <c r="AH49" s="1737">
        <f t="shared" si="27"/>
        <v>37.366999999999997</v>
      </c>
      <c r="AI49" s="1737">
        <f t="shared" si="27"/>
        <v>39.188000000000002</v>
      </c>
      <c r="AJ49" s="1737">
        <f t="shared" si="27"/>
        <v>39.894999999999996</v>
      </c>
      <c r="AK49" s="1737">
        <f t="shared" si="27"/>
        <v>0</v>
      </c>
      <c r="AL49" s="1737">
        <f t="shared" si="27"/>
        <v>39.937748829999997</v>
      </c>
      <c r="AM49" s="1737">
        <f t="shared" si="27"/>
        <v>39.978999999999999</v>
      </c>
      <c r="AN49" s="1737">
        <f t="shared" si="27"/>
        <v>40.844000000000001</v>
      </c>
      <c r="AO49" s="1737">
        <f t="shared" si="27"/>
        <v>46.037999999999997</v>
      </c>
      <c r="AP49" s="1352">
        <f t="shared" si="27"/>
        <v>0</v>
      </c>
      <c r="AQ49" s="1737">
        <f t="shared" si="27"/>
        <v>43.991999999999997</v>
      </c>
      <c r="AR49" s="1737">
        <f t="shared" si="27"/>
        <v>41.247</v>
      </c>
      <c r="AS49" s="1737">
        <f t="shared" si="27"/>
        <v>41.070999999999998</v>
      </c>
      <c r="AT49" s="1737">
        <f t="shared" si="27"/>
        <v>41.884</v>
      </c>
      <c r="AU49" s="1352">
        <f t="shared" si="27"/>
        <v>0</v>
      </c>
      <c r="AV49" s="1737">
        <f t="shared" si="27"/>
        <v>41.207999999999998</v>
      </c>
      <c r="AW49" s="1737">
        <f t="shared" si="27"/>
        <v>40.548999999999999</v>
      </c>
      <c r="AX49" s="1737">
        <f t="shared" si="27"/>
        <v>42.584000000000003</v>
      </c>
      <c r="AY49" s="1737">
        <f t="shared" si="27"/>
        <v>43.238999999999997</v>
      </c>
      <c r="AZ49" s="1352"/>
      <c r="BA49" s="1737">
        <f>BA20</f>
        <v>42.155000000000001</v>
      </c>
      <c r="BB49" s="1737">
        <f>BB20</f>
        <v>41.746000000000002</v>
      </c>
      <c r="BC49" s="1737">
        <f>BC20</f>
        <v>43.186</v>
      </c>
      <c r="BD49" s="1737">
        <f>BD20</f>
        <v>45.012</v>
      </c>
      <c r="BE49" s="1352"/>
      <c r="BF49" s="1737">
        <f>BF20</f>
        <v>45.545000000000002</v>
      </c>
      <c r="BG49" s="1737">
        <f>BG20</f>
        <v>44.613</v>
      </c>
      <c r="BH49" s="1687">
        <f>BH20</f>
        <v>46.472000000000001</v>
      </c>
      <c r="BI49" s="1687">
        <f>BI20</f>
        <v>46.956000000000003</v>
      </c>
      <c r="BK49" s="1687">
        <f>BK20</f>
        <v>48.012</v>
      </c>
      <c r="BL49" s="1687">
        <f>BL20</f>
        <v>48.7</v>
      </c>
      <c r="BM49" s="1737">
        <f>BM20</f>
        <v>50.835999999999999</v>
      </c>
      <c r="BN49" s="1687">
        <f>BN20</f>
        <v>53.555</v>
      </c>
      <c r="BP49" s="1687">
        <f>BP20</f>
        <v>54.25356</v>
      </c>
      <c r="BQ49" s="1687">
        <f>BQ20</f>
        <v>54.544000000000004</v>
      </c>
      <c r="BR49" s="1737">
        <f>BR20</f>
        <v>56.936319999999995</v>
      </c>
      <c r="BS49" s="1738">
        <f>BS20</f>
        <v>59.9816</v>
      </c>
      <c r="BT49" s="1687"/>
      <c r="BU49" s="1687"/>
      <c r="BV49" s="1687"/>
      <c r="BW49" s="1687"/>
      <c r="BX49" s="1687"/>
      <c r="BY49" s="1687"/>
      <c r="BZ49" s="1739">
        <f t="shared" ref="BZ49:CI49" si="28">BZ20</f>
        <v>156.38800000000001</v>
      </c>
      <c r="CA49" s="1737">
        <f t="shared" si="28"/>
        <v>146.75899999999999</v>
      </c>
      <c r="CB49" s="1737">
        <f t="shared" si="28"/>
        <v>153.07</v>
      </c>
      <c r="CC49" s="1737">
        <f t="shared" si="28"/>
        <v>166.79874882999997</v>
      </c>
      <c r="CD49" s="1737">
        <f t="shared" si="28"/>
        <v>168.19400000000002</v>
      </c>
      <c r="CE49" s="1737">
        <f t="shared" si="28"/>
        <v>167.58</v>
      </c>
      <c r="CF49" s="1737">
        <f t="shared" si="28"/>
        <v>172.09900000000002</v>
      </c>
      <c r="CG49" s="1737">
        <f t="shared" si="28"/>
        <v>183.58600000000001</v>
      </c>
      <c r="CH49" s="1737">
        <f t="shared" si="28"/>
        <v>201.10300000000001</v>
      </c>
      <c r="CI49" s="1737">
        <f t="shared" si="28"/>
        <v>225.71548000000001</v>
      </c>
      <c r="CJ49" s="1737">
        <f>CJ20</f>
        <v>249.18084738921414</v>
      </c>
      <c r="CK49" s="1737">
        <f>CK20</f>
        <v>274.01575129373856</v>
      </c>
      <c r="CL49" s="1737">
        <f>CL20</f>
        <v>300.27841321814662</v>
      </c>
      <c r="CM49" s="1737">
        <f>CM20</f>
        <v>328.0297614982685</v>
      </c>
      <c r="CN49" s="1538"/>
      <c r="CO49" s="1349"/>
      <c r="CP49" s="1349"/>
    </row>
    <row r="50" spans="1:102" s="1291" customFormat="1">
      <c r="A50" s="1526" t="s">
        <v>340</v>
      </c>
      <c r="B50" s="1535"/>
      <c r="C50" s="1535"/>
      <c r="D50" s="1535"/>
      <c r="E50" s="1535"/>
      <c r="F50" s="1535"/>
      <c r="G50" s="1535"/>
      <c r="H50" s="1535"/>
      <c r="I50" s="1535"/>
      <c r="J50" s="1535"/>
      <c r="K50" s="1535"/>
      <c r="L50" s="1535"/>
      <c r="M50" s="1535"/>
      <c r="N50" s="1535"/>
      <c r="O50" s="1535"/>
      <c r="P50" s="1535"/>
      <c r="Q50" s="1535"/>
      <c r="R50" s="1535"/>
      <c r="S50" s="1535"/>
      <c r="T50" s="1535"/>
      <c r="U50" s="1535"/>
      <c r="V50" s="1535"/>
      <c r="W50" s="1536">
        <f t="shared" ref="W50:AY50" si="29">SUM(W48:W49)</f>
        <v>19.580999999999996</v>
      </c>
      <c r="X50" s="1536">
        <f t="shared" si="29"/>
        <v>27.063999999999933</v>
      </c>
      <c r="Y50" s="1536">
        <f t="shared" si="29"/>
        <v>77.698999999999856</v>
      </c>
      <c r="Z50" s="1536">
        <f t="shared" si="29"/>
        <v>146.82100000000011</v>
      </c>
      <c r="AA50" s="1536">
        <f t="shared" si="29"/>
        <v>0</v>
      </c>
      <c r="AB50" s="1536">
        <f t="shared" si="29"/>
        <v>74.057000000000016</v>
      </c>
      <c r="AC50" s="1536">
        <f t="shared" si="29"/>
        <v>-2.3239999999999696</v>
      </c>
      <c r="AD50" s="1536">
        <f t="shared" si="29"/>
        <v>57.565999999999875</v>
      </c>
      <c r="AE50" s="1536">
        <f t="shared" si="29"/>
        <v>175.88200000000009</v>
      </c>
      <c r="AF50" s="1536">
        <f t="shared" si="29"/>
        <v>0</v>
      </c>
      <c r="AG50" s="1536">
        <f t="shared" si="29"/>
        <v>74.125000000000057</v>
      </c>
      <c r="AH50" s="1536">
        <f t="shared" si="29"/>
        <v>14.810999999999947</v>
      </c>
      <c r="AI50" s="1536">
        <f t="shared" si="29"/>
        <v>51.329999999999984</v>
      </c>
      <c r="AJ50" s="1536">
        <f t="shared" si="29"/>
        <v>174.73400000000026</v>
      </c>
      <c r="AK50" s="1536">
        <f t="shared" si="29"/>
        <v>0</v>
      </c>
      <c r="AL50" s="1536">
        <f t="shared" si="29"/>
        <v>64.299579560000055</v>
      </c>
      <c r="AM50" s="1536">
        <f t="shared" si="29"/>
        <v>28.6287494</v>
      </c>
      <c r="AN50" s="1536">
        <f t="shared" si="29"/>
        <v>48.681999999999974</v>
      </c>
      <c r="AO50" s="1536">
        <f t="shared" si="29"/>
        <v>191.66691639699479</v>
      </c>
      <c r="AP50" s="1524">
        <f t="shared" si="29"/>
        <v>0</v>
      </c>
      <c r="AQ50" s="1536">
        <f t="shared" si="29"/>
        <v>79.548999999999893</v>
      </c>
      <c r="AR50" s="1536">
        <f t="shared" si="29"/>
        <v>46.920999999999957</v>
      </c>
      <c r="AS50" s="1536">
        <f t="shared" si="29"/>
        <v>62.453000000000003</v>
      </c>
      <c r="AT50" s="1536">
        <f t="shared" si="29"/>
        <v>194.77300000000014</v>
      </c>
      <c r="AU50" s="1524">
        <f t="shared" si="29"/>
        <v>0</v>
      </c>
      <c r="AV50" s="1536">
        <f t="shared" si="29"/>
        <v>92.325999999999979</v>
      </c>
      <c r="AW50" s="1536">
        <f t="shared" si="29"/>
        <v>58.088999999999842</v>
      </c>
      <c r="AX50" s="1536">
        <f t="shared" si="29"/>
        <v>72.529999999999873</v>
      </c>
      <c r="AY50" s="1536">
        <f t="shared" si="29"/>
        <v>225.12100000000007</v>
      </c>
      <c r="AZ50" s="1524"/>
      <c r="BA50" s="1536">
        <f>SUM(BA48:BA49)</f>
        <v>101.44000000000005</v>
      </c>
      <c r="BB50" s="1536">
        <f>SUM(BB48:BB49)</f>
        <v>75.393000000000114</v>
      </c>
      <c r="BC50" s="1536">
        <f>SUM(BC48:BC49)</f>
        <v>82.545000000000044</v>
      </c>
      <c r="BD50" s="1536">
        <f>SUM(BD48:BD49)</f>
        <v>224.57999999999998</v>
      </c>
      <c r="BE50" s="1524"/>
      <c r="BF50" s="1536">
        <f>SUM(BF48:BF49)</f>
        <v>120.97300000000004</v>
      </c>
      <c r="BG50" s="1536">
        <f>SUM(BG48:BG49)</f>
        <v>99.095000000000169</v>
      </c>
      <c r="BH50" s="1977">
        <f>SUM(BH48:BH49)</f>
        <v>109.58999999999997</v>
      </c>
      <c r="BI50" s="1977">
        <f>SUM(BI48:BI49)</f>
        <v>254.94599999999991</v>
      </c>
      <c r="BJ50" s="1977"/>
      <c r="BK50" s="1977">
        <f>SUM(BK48:BK49)</f>
        <v>136.85900000000009</v>
      </c>
      <c r="BL50" s="1977">
        <f>SUM(BL48:BL49)</f>
        <v>127.30299999999993</v>
      </c>
      <c r="BM50" s="1536">
        <f>SUM(BM48:BM49)</f>
        <v>134.01199999999994</v>
      </c>
      <c r="BN50" s="1977">
        <f>SUM(BN48:BN49)</f>
        <v>298.04900000000004</v>
      </c>
      <c r="BO50" s="1977"/>
      <c r="BP50" s="1977">
        <f>SUM(BP48:BP49)</f>
        <v>158.24568739474753</v>
      </c>
      <c r="BQ50" s="1977">
        <f>SUM(BQ48:BQ49)</f>
        <v>146.11854177608697</v>
      </c>
      <c r="BR50" s="1536">
        <f>SUM(BR48:BR49)</f>
        <v>156.95943878189448</v>
      </c>
      <c r="BS50" s="1537">
        <f>SUM(BS48:BS49)</f>
        <v>320.99589960829991</v>
      </c>
      <c r="BT50" s="1525"/>
      <c r="BU50" s="1525"/>
      <c r="BV50" s="1525"/>
      <c r="BW50" s="1525"/>
      <c r="BX50" s="1525"/>
      <c r="BY50" s="1525"/>
      <c r="BZ50" s="1526">
        <f>SUM(BZ48:BZ49)</f>
        <v>271.14261994757737</v>
      </c>
      <c r="CA50" s="1524">
        <f>SUM(CA48:CA49)</f>
        <v>310.30883366097987</v>
      </c>
      <c r="CB50" s="1524">
        <f>SUM(CB48:CB49)</f>
        <v>311.84461995820607</v>
      </c>
      <c r="CC50" s="1524">
        <f t="shared" ref="CC50:CI50" si="30">SUM(CC48:CC49)</f>
        <v>333.27245682710247</v>
      </c>
      <c r="CD50" s="1524">
        <f t="shared" si="30"/>
        <v>383.68823749887895</v>
      </c>
      <c r="CE50" s="1524">
        <f t="shared" si="30"/>
        <v>448.0643524782613</v>
      </c>
      <c r="CF50" s="1524">
        <f t="shared" si="30"/>
        <v>483.9580000000002</v>
      </c>
      <c r="CG50" s="1524">
        <f t="shared" si="30"/>
        <v>584.60399999999959</v>
      </c>
      <c r="CH50" s="1524">
        <f t="shared" si="30"/>
        <v>696.22299999999973</v>
      </c>
      <c r="CI50" s="1524">
        <f t="shared" si="30"/>
        <v>782.31956756102909</v>
      </c>
      <c r="CJ50" s="1524">
        <f>SUM(CJ48:CJ49)</f>
        <v>857.21366400097656</v>
      </c>
      <c r="CK50" s="1524">
        <f>SUM(CK48:CK49)</f>
        <v>938.24309572550055</v>
      </c>
      <c r="CL50" s="1524">
        <f>SUM(CL48:CL49)</f>
        <v>1029.9580122471721</v>
      </c>
      <c r="CM50" s="1524">
        <f>SUM(CM48:CM49)</f>
        <v>1120.844224800253</v>
      </c>
      <c r="CN50" s="1685"/>
      <c r="CO50" s="1681"/>
      <c r="CP50" s="1681"/>
      <c r="CQ50"/>
      <c r="CR50"/>
      <c r="CS50"/>
      <c r="CT50"/>
      <c r="CU50"/>
      <c r="CV50"/>
    </row>
    <row r="51" spans="1:102" hidden="1">
      <c r="A51" s="1740"/>
      <c r="B51" s="1349"/>
      <c r="C51" s="1718"/>
      <c r="D51" s="1718"/>
      <c r="E51" s="1718"/>
      <c r="F51" s="1718"/>
      <c r="G51" s="1718"/>
      <c r="H51" s="1718"/>
      <c r="I51" s="1718"/>
      <c r="J51" s="1718"/>
      <c r="K51" s="1718"/>
      <c r="L51" s="1718"/>
      <c r="M51" s="1718"/>
      <c r="N51" s="1718"/>
      <c r="O51" s="1718"/>
      <c r="P51" s="1718"/>
      <c r="Q51" s="1718"/>
      <c r="R51" s="1718"/>
      <c r="S51" s="1718"/>
      <c r="T51" s="1718"/>
      <c r="U51" s="1718"/>
      <c r="V51" s="1718"/>
      <c r="W51" s="1718"/>
      <c r="X51" s="1718"/>
      <c r="Y51" s="1718"/>
      <c r="Z51" s="1718"/>
      <c r="AA51" s="1718"/>
      <c r="AB51" s="1718"/>
      <c r="AC51" s="1718"/>
      <c r="AD51" s="1718"/>
      <c r="AE51" s="1718"/>
      <c r="AF51" s="1718"/>
      <c r="AG51" s="1718"/>
      <c r="AH51" s="1718"/>
      <c r="AI51" s="1718"/>
      <c r="AJ51" s="1718"/>
      <c r="AK51" s="1718"/>
      <c r="AL51" s="1718"/>
      <c r="AM51" s="1718"/>
      <c r="AN51" s="1718"/>
      <c r="AO51" s="1718"/>
      <c r="AP51" s="1349"/>
      <c r="AQ51" s="1718"/>
      <c r="AR51" s="1718"/>
      <c r="AS51" s="1718"/>
      <c r="AT51" s="1718"/>
      <c r="AU51" s="1349"/>
      <c r="AV51" s="1718"/>
      <c r="AW51" s="1718"/>
      <c r="AX51" s="1718"/>
      <c r="AY51" s="1718"/>
      <c r="AZ51" s="1349"/>
      <c r="BA51" s="1718"/>
      <c r="BB51" s="1718"/>
      <c r="BC51" s="1718"/>
      <c r="BD51" s="1718"/>
      <c r="BE51" s="1349"/>
      <c r="BF51" s="1718"/>
      <c r="BG51" s="1718"/>
      <c r="BH51" s="1718"/>
      <c r="BI51" s="1718"/>
      <c r="BK51" s="1718"/>
      <c r="BL51" s="1718"/>
      <c r="BM51" s="1718"/>
      <c r="BN51" s="1718"/>
      <c r="BP51" s="1718"/>
      <c r="BQ51" s="1718"/>
      <c r="BR51" s="1718"/>
      <c r="BS51" s="1741"/>
      <c r="BT51" s="1718"/>
      <c r="BU51" s="1718"/>
      <c r="BV51" s="1718"/>
      <c r="BW51" s="1718"/>
      <c r="BX51" s="1718"/>
      <c r="BY51" s="1718"/>
      <c r="BZ51" s="1720"/>
      <c r="CA51" s="1718"/>
      <c r="CB51" s="1718"/>
      <c r="CC51" s="1718"/>
      <c r="CD51" s="1718"/>
      <c r="CE51" s="1718"/>
      <c r="CF51" s="1718"/>
      <c r="CG51" s="1718"/>
      <c r="CH51" s="1718"/>
      <c r="CI51" s="1718"/>
      <c r="CJ51" s="1718"/>
      <c r="CK51" s="1718"/>
      <c r="CL51" s="1718"/>
      <c r="CM51" s="1718"/>
      <c r="CN51" s="1538"/>
      <c r="CO51" s="1349"/>
      <c r="CP51" s="1349"/>
    </row>
    <row r="52" spans="1:102">
      <c r="A52" s="1538"/>
      <c r="B52" s="1349"/>
      <c r="C52" s="1718"/>
      <c r="D52" s="1718"/>
      <c r="E52" s="1718"/>
      <c r="F52" s="1718"/>
      <c r="G52" s="1718"/>
      <c r="H52" s="1718"/>
      <c r="I52" s="1718"/>
      <c r="J52" s="1718"/>
      <c r="K52" s="1718"/>
      <c r="L52" s="1718"/>
      <c r="M52" s="1718"/>
      <c r="N52" s="1718"/>
      <c r="O52" s="1718"/>
      <c r="P52" s="1718"/>
      <c r="Q52" s="1718"/>
      <c r="R52" s="1718"/>
      <c r="S52" s="1718"/>
      <c r="T52" s="1718"/>
      <c r="U52" s="1718"/>
      <c r="V52" s="1718"/>
      <c r="W52" s="1718"/>
      <c r="X52" s="1718"/>
      <c r="Y52" s="1718"/>
      <c r="Z52" s="1718"/>
      <c r="AA52" s="1718"/>
      <c r="AB52" s="1718"/>
      <c r="AC52" s="1718"/>
      <c r="AD52" s="1718"/>
      <c r="AE52" s="1718"/>
      <c r="AF52" s="1718"/>
      <c r="AG52" s="1718"/>
      <c r="AH52" s="1718"/>
      <c r="AI52" s="1718"/>
      <c r="AJ52" s="1718"/>
      <c r="AK52" s="1718"/>
      <c r="AL52" s="1718"/>
      <c r="AM52" s="1718"/>
      <c r="AN52" s="1718"/>
      <c r="AO52" s="1718"/>
      <c r="AP52" s="1349"/>
      <c r="AQ52" s="1718"/>
      <c r="AR52" s="1718"/>
      <c r="AS52" s="1718"/>
      <c r="AT52" s="1718"/>
      <c r="AU52" s="1349"/>
      <c r="AV52" s="1718"/>
      <c r="AW52" s="1718"/>
      <c r="AX52" s="1718"/>
      <c r="AY52" s="1718"/>
      <c r="AZ52" s="1349"/>
      <c r="BA52" s="1718"/>
      <c r="BB52" s="1718"/>
      <c r="BC52" s="1718"/>
      <c r="BD52" s="1718"/>
      <c r="BE52" s="1349"/>
      <c r="BF52" s="1718"/>
      <c r="BG52" s="1718"/>
      <c r="BH52" s="1718"/>
      <c r="BI52" s="1718"/>
      <c r="BK52" s="1718"/>
      <c r="BL52" s="1718"/>
      <c r="BM52" s="1718"/>
      <c r="BN52" s="1718"/>
      <c r="BP52" s="1718"/>
      <c r="BQ52" s="1718"/>
      <c r="BR52" s="1718"/>
      <c r="BS52" s="1719"/>
      <c r="BT52" s="1718"/>
      <c r="BU52" s="1718"/>
      <c r="BV52" s="1718"/>
      <c r="BW52" s="1718"/>
      <c r="BX52" s="1718"/>
      <c r="BY52" s="1718"/>
      <c r="BZ52" s="1720"/>
      <c r="CA52" s="1718"/>
      <c r="CB52" s="1718"/>
      <c r="CC52" s="1718"/>
      <c r="CD52" s="1718"/>
      <c r="CE52" s="1718"/>
      <c r="CF52" s="1718"/>
      <c r="CG52" s="1718"/>
      <c r="CH52" s="1718"/>
      <c r="CI52" s="1718"/>
      <c r="CJ52" s="1718"/>
      <c r="CK52" s="1718"/>
      <c r="CL52" s="1718"/>
      <c r="CM52" s="1718"/>
      <c r="CN52" s="1538"/>
      <c r="CO52" s="1349"/>
      <c r="CP52" s="1349"/>
    </row>
    <row r="53" spans="1:102" hidden="1" outlineLevel="2">
      <c r="A53" s="1538"/>
      <c r="B53" s="1349"/>
      <c r="C53" s="1349"/>
      <c r="D53" s="1349"/>
      <c r="E53" s="1349"/>
      <c r="F53" s="1349"/>
      <c r="G53" s="1349"/>
      <c r="H53" s="1349"/>
      <c r="I53" s="1349"/>
      <c r="J53" s="1349"/>
      <c r="K53" s="1349"/>
      <c r="L53" s="1349"/>
      <c r="M53" s="1349"/>
      <c r="N53" s="1349"/>
      <c r="O53" s="1349"/>
      <c r="P53" s="1349"/>
      <c r="Q53" s="1349"/>
      <c r="R53" s="1349"/>
      <c r="S53" s="1349"/>
      <c r="T53" s="1349"/>
      <c r="U53" s="1349"/>
      <c r="V53" s="1349"/>
      <c r="W53" s="1349"/>
      <c r="X53" s="1349"/>
      <c r="Y53" s="1349"/>
      <c r="Z53" s="1349"/>
      <c r="AA53" s="1349"/>
      <c r="AB53" s="1349"/>
      <c r="AC53" s="1349"/>
      <c r="AD53" s="1349"/>
      <c r="AE53" s="1349"/>
      <c r="AF53" s="1349"/>
      <c r="AG53" s="1349"/>
      <c r="AH53" s="1349"/>
      <c r="AI53" s="1349"/>
      <c r="AJ53" s="1349"/>
      <c r="AK53" s="1349"/>
      <c r="AL53" s="1349"/>
      <c r="AM53" s="1349"/>
      <c r="AN53" s="1349"/>
      <c r="AO53" s="1349"/>
      <c r="AP53" s="1349"/>
      <c r="AQ53" s="1349"/>
      <c r="AR53" s="1349"/>
      <c r="AS53" s="1349"/>
      <c r="AT53" s="1349"/>
      <c r="AU53" s="1349"/>
      <c r="AV53" s="1349"/>
      <c r="AW53" s="1349"/>
      <c r="AX53" s="1349"/>
      <c r="AY53" s="1349"/>
      <c r="AZ53" s="1349"/>
      <c r="BA53" s="1349"/>
      <c r="BB53" s="1349"/>
      <c r="BC53" s="1349"/>
      <c r="BD53" s="1349"/>
      <c r="BE53" s="1349"/>
      <c r="BF53" s="1349"/>
      <c r="BG53" s="1349"/>
      <c r="BH53" s="1349"/>
      <c r="BI53" s="1721"/>
      <c r="BK53" s="1349"/>
      <c r="BL53" s="1349"/>
      <c r="BM53" s="1349"/>
      <c r="BN53" s="1721"/>
      <c r="BP53" s="1349"/>
      <c r="BQ53" s="1349"/>
      <c r="BR53" s="1349"/>
      <c r="BS53" s="1742"/>
      <c r="BT53" s="1349"/>
      <c r="BU53" s="1349"/>
      <c r="BV53" s="1349"/>
      <c r="BW53" s="1349"/>
      <c r="BX53" s="1349"/>
      <c r="BY53" s="1349"/>
      <c r="BZ53" s="1538"/>
      <c r="CA53" s="1349"/>
      <c r="CB53" s="1349"/>
      <c r="CC53" s="1349"/>
      <c r="CD53" s="1349"/>
      <c r="CE53" s="1349"/>
      <c r="CF53" s="1349"/>
      <c r="CG53" s="1349"/>
      <c r="CH53" s="1349"/>
      <c r="CI53" s="1349"/>
      <c r="CJ53" s="1349"/>
      <c r="CK53" s="1349"/>
      <c r="CL53" s="1349"/>
      <c r="CM53" s="1349"/>
      <c r="CN53" s="1538"/>
      <c r="CO53" s="1349"/>
      <c r="CP53" s="1349"/>
    </row>
    <row r="54" spans="1:102" collapsed="1">
      <c r="A54" s="1676" t="s">
        <v>203</v>
      </c>
      <c r="B54" s="1349"/>
      <c r="C54" s="1349"/>
      <c r="D54" s="1349"/>
      <c r="E54" s="1349"/>
      <c r="F54" s="1349"/>
      <c r="G54" s="1349"/>
      <c r="H54" s="1349"/>
      <c r="I54" s="1349"/>
      <c r="J54" s="1349"/>
      <c r="K54" s="1349"/>
      <c r="L54" s="1349"/>
      <c r="M54" s="1349"/>
      <c r="N54" s="1349"/>
      <c r="O54" s="1349"/>
      <c r="P54" s="1349"/>
      <c r="Q54" s="1349"/>
      <c r="R54" s="1349"/>
      <c r="S54" s="1349"/>
      <c r="T54" s="1349"/>
      <c r="U54" s="1349"/>
      <c r="V54" s="1349"/>
      <c r="W54" s="1349"/>
      <c r="X54" s="1349"/>
      <c r="Y54" s="1349"/>
      <c r="Z54" s="1349"/>
      <c r="AA54" s="1349"/>
      <c r="AB54" s="1349"/>
      <c r="AC54" s="1349"/>
      <c r="AD54" s="1349"/>
      <c r="AE54" s="1349"/>
      <c r="AF54" s="1349"/>
      <c r="AG54" s="1349"/>
      <c r="AH54" s="1349"/>
      <c r="AI54" s="1349"/>
      <c r="AJ54" s="1349"/>
      <c r="AK54" s="1349"/>
      <c r="AL54" s="1349"/>
      <c r="AM54" s="1349"/>
      <c r="AN54" s="1349"/>
      <c r="AO54" s="1349"/>
      <c r="AP54" s="1349"/>
      <c r="AQ54" s="1349"/>
      <c r="AR54" s="1349"/>
      <c r="AS54" s="1349"/>
      <c r="AT54" s="1349"/>
      <c r="AU54" s="1349"/>
      <c r="AV54" s="1743"/>
      <c r="AW54" s="1743"/>
      <c r="AX54" s="1743"/>
      <c r="AY54" s="1743"/>
      <c r="AZ54" s="1349"/>
      <c r="BA54" s="1743"/>
      <c r="BB54" s="1743"/>
      <c r="BC54" s="1743"/>
      <c r="BD54" s="1743"/>
      <c r="BE54" s="1349"/>
      <c r="BF54" s="1743"/>
      <c r="BG54" s="1743"/>
      <c r="BH54" s="1743"/>
      <c r="BI54" s="1743"/>
      <c r="BK54" s="1743"/>
      <c r="BL54" s="1743"/>
      <c r="BM54" s="1743"/>
      <c r="BN54" s="1743"/>
      <c r="BP54" s="1743"/>
      <c r="BQ54" s="1743"/>
      <c r="BR54" s="1743"/>
      <c r="BS54" s="1744"/>
      <c r="BT54" s="1349"/>
      <c r="BU54" s="1349"/>
      <c r="BV54" s="1349"/>
      <c r="BW54" s="1349"/>
      <c r="BX54" s="1349"/>
      <c r="BY54" s="1349"/>
      <c r="BZ54" s="1538"/>
      <c r="CA54" s="1349"/>
      <c r="CB54" s="1349"/>
      <c r="CC54" s="1349"/>
      <c r="CD54" s="1349"/>
      <c r="CE54" s="1349"/>
      <c r="CF54" s="1349"/>
      <c r="CG54" s="1349"/>
      <c r="CH54" s="1349"/>
      <c r="CI54" s="1349"/>
      <c r="CJ54" s="1349"/>
      <c r="CK54" s="1349"/>
      <c r="CL54" s="1349"/>
      <c r="CM54" s="1349"/>
      <c r="CN54" s="1538"/>
      <c r="CO54" s="1349"/>
      <c r="CP54" s="1349"/>
    </row>
    <row r="55" spans="1:102">
      <c r="A55" s="1538" t="s">
        <v>204</v>
      </c>
      <c r="B55" s="1349"/>
      <c r="C55" s="1745"/>
      <c r="D55" s="1745"/>
      <c r="E55" s="1745"/>
      <c r="F55" s="1745"/>
      <c r="G55" s="1745"/>
      <c r="H55" s="1745"/>
      <c r="I55" s="1745"/>
      <c r="J55" s="1745"/>
      <c r="K55" s="1745"/>
      <c r="L55" s="1745"/>
      <c r="M55" s="1745"/>
      <c r="N55" s="1745"/>
      <c r="O55" s="1745"/>
      <c r="P55" s="1745"/>
      <c r="Q55" s="1745"/>
      <c r="R55" s="1745"/>
      <c r="S55" s="1745"/>
      <c r="T55" s="1745"/>
      <c r="U55" s="1745"/>
      <c r="V55" s="1745"/>
      <c r="W55" s="1745">
        <f>W12/W10</f>
        <v>0.33231049475750052</v>
      </c>
      <c r="X55" s="1745">
        <f>X12/X10</f>
        <v>0.39477558496842974</v>
      </c>
      <c r="Y55" s="1745">
        <f>Y12/Y10</f>
        <v>0.39995346032779511</v>
      </c>
      <c r="Z55" s="1745">
        <f>Z12/Z10</f>
        <v>0.39279101113960563</v>
      </c>
      <c r="AA55" s="1745"/>
      <c r="AB55" s="1745">
        <f>AB12/AB10</f>
        <v>0.38262369254636869</v>
      </c>
      <c r="AC55" s="1745">
        <f>AC12/AC10</f>
        <v>0.35589982847341339</v>
      </c>
      <c r="AD55" s="1745">
        <f>AD12/AD10</f>
        <v>0.38556326950101716</v>
      </c>
      <c r="AE55" s="1745">
        <f>AE12/AE10</f>
        <v>0.40798728606686269</v>
      </c>
      <c r="AF55" s="1745"/>
      <c r="AG55" s="1745">
        <f>AG12/AG10</f>
        <v>0.3786300656239876</v>
      </c>
      <c r="AH55" s="1745">
        <f>AH12/AH10</f>
        <v>0.36087018449635655</v>
      </c>
      <c r="AI55" s="1745">
        <f>AI12/AI10</f>
        <v>0.39820933987490303</v>
      </c>
      <c r="AJ55" s="1745">
        <f>AJ12/AJ10</f>
        <v>0.40123564423243036</v>
      </c>
      <c r="AK55" s="1745"/>
      <c r="AL55" s="1745">
        <f>AL12/AL10</f>
        <v>0.36902364402501026</v>
      </c>
      <c r="AM55" s="1745">
        <f>AM12/AM10</f>
        <v>0.37102408405621468</v>
      </c>
      <c r="AN55" s="1745">
        <f>AN12/AN10</f>
        <v>0.38589452977288835</v>
      </c>
      <c r="AO55" s="1745">
        <f>AO12/AO10</f>
        <v>0.41376009905947819</v>
      </c>
      <c r="AP55" s="1349"/>
      <c r="AQ55" s="1745">
        <f>AQ12/AQ10</f>
        <v>0.37310342690652598</v>
      </c>
      <c r="AR55" s="1745">
        <f>AR12/AR10</f>
        <v>0.37707466242473103</v>
      </c>
      <c r="AS55" s="1745">
        <f>AS12/AS10</f>
        <v>0.38972683940471697</v>
      </c>
      <c r="AT55" s="1745">
        <f>AT12/AT10</f>
        <v>0.41665186464279913</v>
      </c>
      <c r="AU55" s="1349"/>
      <c r="AV55" s="1745">
        <f>AV12/AV10</f>
        <v>0.38094461515826455</v>
      </c>
      <c r="AW55" s="1745">
        <f>AW12/AW10</f>
        <v>0.38190998111310948</v>
      </c>
      <c r="AX55" s="1745">
        <f>AX12/AX10</f>
        <v>0.39635804965384702</v>
      </c>
      <c r="AY55" s="1745">
        <f>AY12/AY10</f>
        <v>0.42186416509914759</v>
      </c>
      <c r="AZ55" s="1349"/>
      <c r="BA55" s="1745">
        <f>BA12/BA10</f>
        <v>0.39738423865589123</v>
      </c>
      <c r="BB55" s="1745">
        <f>BB12/BB10</f>
        <v>0.39179859082797164</v>
      </c>
      <c r="BC55" s="1745">
        <f>BC12/BC10</f>
        <v>0.39752016027479398</v>
      </c>
      <c r="BD55" s="1745">
        <f>BD12/BD10</f>
        <v>0.40989726558621054</v>
      </c>
      <c r="BE55" s="1349"/>
      <c r="BF55" s="1745">
        <f>BF12/BF10</f>
        <v>0.40071803347704399</v>
      </c>
      <c r="BG55" s="1745">
        <f>BG12/BG10</f>
        <v>0.39634262457442043</v>
      </c>
      <c r="BH55" s="1745">
        <f>BH12/BH10</f>
        <v>0.4116952182332787</v>
      </c>
      <c r="BI55" s="1745">
        <f>BI12/BI10</f>
        <v>0.41792533138757143</v>
      </c>
      <c r="BK55" s="1745">
        <f>BK12/BK10</f>
        <v>0.40856383666061175</v>
      </c>
      <c r="BL55" s="1745">
        <f>BL12/BL10</f>
        <v>0.40719500243540313</v>
      </c>
      <c r="BM55" s="1745">
        <f>BM12/BM10</f>
        <v>0.42167495151814777</v>
      </c>
      <c r="BN55" s="1745">
        <f>BN12/BN10</f>
        <v>0.4202337945167075</v>
      </c>
      <c r="BP55" s="1745">
        <f>BP12/BP10</f>
        <v>0.41300000000000003</v>
      </c>
      <c r="BQ55" s="1745">
        <f>BQ12/BQ10</f>
        <v>0.41150000000000003</v>
      </c>
      <c r="BR55" s="1745">
        <f>BR12/BR10</f>
        <v>0.42640000000000006</v>
      </c>
      <c r="BS55" s="1746">
        <f>BS12/BS10</f>
        <v>0.4244</v>
      </c>
      <c r="BT55" s="1745">
        <f t="shared" ref="BT55:BY55" si="31">BT12/BT10</f>
        <v>0.38269136631281553</v>
      </c>
      <c r="BU55" s="1745">
        <f t="shared" si="31"/>
        <v>0.37898176158807939</v>
      </c>
      <c r="BV55" s="1745">
        <f t="shared" si="31"/>
        <v>0.37091801481838349</v>
      </c>
      <c r="BW55" s="1745">
        <f t="shared" si="31"/>
        <v>0.38251620954514487</v>
      </c>
      <c r="BX55" s="1745">
        <f t="shared" si="31"/>
        <v>0.38803138926621206</v>
      </c>
      <c r="BY55" s="1745">
        <f t="shared" si="31"/>
        <v>0.38405490110649509</v>
      </c>
      <c r="BZ55" s="1692">
        <f t="shared" ref="BZ55:CF55" si="32">BZ12/BZ10</f>
        <v>0.380709548969972</v>
      </c>
      <c r="CA55" s="1745">
        <f t="shared" si="32"/>
        <v>0.38621518082887463</v>
      </c>
      <c r="CB55" s="1745">
        <f t="shared" si="32"/>
        <v>0.38677171058401189</v>
      </c>
      <c r="CC55" s="1745">
        <f t="shared" si="32"/>
        <v>0.38730639699926162</v>
      </c>
      <c r="CD55" s="1745">
        <f t="shared" si="32"/>
        <v>0.39108861134594375</v>
      </c>
      <c r="CE55" s="1745">
        <f t="shared" si="32"/>
        <v>0.39748331292278499</v>
      </c>
      <c r="CF55" s="1745">
        <f t="shared" si="32"/>
        <v>0.39994473352458915</v>
      </c>
      <c r="CG55" s="1745">
        <f t="shared" ref="CG55:CL55" si="33">CG12/CG10</f>
        <v>0.40759064167366443</v>
      </c>
      <c r="CH55" s="1745">
        <f t="shared" si="33"/>
        <v>0.41507068636657513</v>
      </c>
      <c r="CI55" s="1745">
        <f t="shared" si="33"/>
        <v>0.41937323737577387</v>
      </c>
      <c r="CJ55" s="1745">
        <f t="shared" si="33"/>
        <v>0.41900000000000004</v>
      </c>
      <c r="CK55" s="1745">
        <f t="shared" si="33"/>
        <v>0.41979999999999995</v>
      </c>
      <c r="CL55" s="1745">
        <f t="shared" si="33"/>
        <v>0.42049999999999993</v>
      </c>
      <c r="CM55" s="1745">
        <f t="shared" ref="CM55" si="34">CM12/CM10</f>
        <v>0.42100000000000004</v>
      </c>
      <c r="CN55" s="1538"/>
      <c r="CO55" s="1349"/>
      <c r="CP55" s="1349"/>
      <c r="CW55" s="1670"/>
      <c r="CX55" s="1587"/>
    </row>
    <row r="56" spans="1:102">
      <c r="A56" s="1538" t="s">
        <v>205</v>
      </c>
      <c r="B56" s="1349"/>
      <c r="C56" s="1745"/>
      <c r="D56" s="1745"/>
      <c r="E56" s="1745"/>
      <c r="F56" s="1745"/>
      <c r="G56" s="1745"/>
      <c r="H56" s="1745"/>
      <c r="I56" s="1745"/>
      <c r="J56" s="1745"/>
      <c r="K56" s="1745"/>
      <c r="L56" s="1745"/>
      <c r="M56" s="1745"/>
      <c r="N56" s="1745"/>
      <c r="O56" s="1745"/>
      <c r="P56" s="1745"/>
      <c r="Q56" s="1745"/>
      <c r="R56" s="1745"/>
      <c r="S56" s="1745"/>
      <c r="T56" s="1745"/>
      <c r="U56" s="1745"/>
      <c r="V56" s="1745"/>
      <c r="W56" s="1745">
        <f>W13/W$10</f>
        <v>0.31577641158349629</v>
      </c>
      <c r="X56" s="1745">
        <f>X13/X10</f>
        <v>0.38024160530002371</v>
      </c>
      <c r="Y56" s="1745">
        <f>Y13/Y10</f>
        <v>0.32276179711912556</v>
      </c>
      <c r="Z56" s="1745">
        <f>Z13/Z10</f>
        <v>0.27131473427427316</v>
      </c>
      <c r="AA56" s="1745"/>
      <c r="AB56" s="1745">
        <f>AB13/AB10</f>
        <v>0.31131647363632503</v>
      </c>
      <c r="AC56" s="1745">
        <f>AC13/AC10</f>
        <v>0.37293859348198971</v>
      </c>
      <c r="AD56" s="1745">
        <f>AD13/AD10</f>
        <v>0.33281596297306182</v>
      </c>
      <c r="AE56" s="1745">
        <f>AE13/AE10</f>
        <v>0.26994212062748113</v>
      </c>
      <c r="AF56" s="1745"/>
      <c r="AG56" s="1745">
        <f>AG13/AG10</f>
        <v>0.31087493985992609</v>
      </c>
      <c r="AH56" s="1745">
        <f>AH13/AH10</f>
        <v>0.34878092743546663</v>
      </c>
      <c r="AI56" s="1745">
        <f>AI13/AI10</f>
        <v>0.35289535676888889</v>
      </c>
      <c r="AJ56" s="1745">
        <f>AJ13/AJ10</f>
        <v>0.27015078979531087</v>
      </c>
      <c r="AK56" s="1745"/>
      <c r="AL56" s="1745">
        <f>AL13/AL10</f>
        <v>0.31311427792532048</v>
      </c>
      <c r="AM56" s="1745">
        <f>AM13/AM10</f>
        <v>0.34989570387875946</v>
      </c>
      <c r="AN56" s="1745">
        <f>AN13/AN10</f>
        <v>0.3460864516155695</v>
      </c>
      <c r="AO56" s="1745">
        <f>AO13/AO10</f>
        <v>0.27263798220916818</v>
      </c>
      <c r="AP56" s="1349"/>
      <c r="AQ56" s="1745">
        <f>AQ13/AQ10</f>
        <v>0.30769953042826709</v>
      </c>
      <c r="AR56" s="1745">
        <f>AR13/AR10</f>
        <v>0.33906119158129355</v>
      </c>
      <c r="AS56" s="1745">
        <f>AS13/AS10</f>
        <v>0.34114449761484716</v>
      </c>
      <c r="AT56" s="1745">
        <f>AT13/AT10</f>
        <v>0.28043502211309945</v>
      </c>
      <c r="AU56" s="1349"/>
      <c r="AV56" s="1745">
        <f>AV13/AV10</f>
        <v>0.30756938283334917</v>
      </c>
      <c r="AW56" s="1745">
        <f>AW13/AW10</f>
        <v>0.33540855956557281</v>
      </c>
      <c r="AX56" s="1745">
        <f>AX13/AX10</f>
        <v>0.34279421269653643</v>
      </c>
      <c r="AY56" s="1745">
        <f>AY13/AY10</f>
        <v>0.28133747867523201</v>
      </c>
      <c r="AZ56" s="1349"/>
      <c r="BA56" s="1745">
        <f>BA13/BA10</f>
        <v>0.31923936168863937</v>
      </c>
      <c r="BB56" s="1745">
        <f>BB13/BB10</f>
        <v>0.33350812519991818</v>
      </c>
      <c r="BC56" s="1745">
        <f>BC13/BC10</f>
        <v>0.33813448199102109</v>
      </c>
      <c r="BD56" s="1745">
        <f>BD13/BD10</f>
        <v>0.27403718532758642</v>
      </c>
      <c r="BE56" s="1349"/>
      <c r="BF56" s="1745">
        <f>BF13/BF10</f>
        <v>0.31448852783646608</v>
      </c>
      <c r="BG56" s="1745">
        <f>BG13/BG10</f>
        <v>0.32437036523557167</v>
      </c>
      <c r="BH56" s="1745">
        <f>BH13/BH10</f>
        <v>0.33596901534336365</v>
      </c>
      <c r="BI56" s="1745">
        <f>BI13/BI10</f>
        <v>0.27388496869280987</v>
      </c>
      <c r="BK56" s="1745">
        <f>BK13/BK10</f>
        <v>0.31254483693835933</v>
      </c>
      <c r="BL56" s="1745">
        <f>BL13/BL10</f>
        <v>0.32070738191229031</v>
      </c>
      <c r="BM56" s="1745">
        <f>BM13/BM10</f>
        <v>0.33389307361384318</v>
      </c>
      <c r="BN56" s="1745">
        <f>BN13/BN10</f>
        <v>0.27119275888578703</v>
      </c>
      <c r="BP56" s="1745">
        <f>BP13/BP10</f>
        <v>0.312</v>
      </c>
      <c r="BQ56" s="1745">
        <f>BQ13/BQ10</f>
        <v>0.31950000000000001</v>
      </c>
      <c r="BR56" s="1745">
        <f>BR13/BR10</f>
        <v>0.3327</v>
      </c>
      <c r="BS56" s="1746">
        <f>BS13/BS10</f>
        <v>0.27100000000000002</v>
      </c>
      <c r="BT56" s="1745">
        <f t="shared" ref="BT56:BY56" si="35">BT13/BT10</f>
        <v>0.31471034559923916</v>
      </c>
      <c r="BU56" s="1745">
        <f t="shared" si="35"/>
        <v>0.2993146532326616</v>
      </c>
      <c r="BV56" s="1745">
        <f t="shared" si="35"/>
        <v>0.30309915938492815</v>
      </c>
      <c r="BW56" s="1745">
        <f t="shared" si="35"/>
        <v>0.30870935264967775</v>
      </c>
      <c r="BX56" s="1745">
        <f t="shared" si="35"/>
        <v>0.31858574819369195</v>
      </c>
      <c r="BY56" s="1745">
        <f t="shared" si="35"/>
        <v>0.31227482361795916</v>
      </c>
      <c r="BZ56" s="1692">
        <f t="shared" ref="BZ56:CI56" si="36">BZ13/BZ10</f>
        <v>0.31620414236623434</v>
      </c>
      <c r="CA56" s="1745">
        <f t="shared" si="36"/>
        <v>0.31378988784069778</v>
      </c>
      <c r="CB56" s="1745">
        <f t="shared" si="36"/>
        <v>0.31626482109859178</v>
      </c>
      <c r="CC56" s="1745">
        <f t="shared" si="36"/>
        <v>0.31620391583440183</v>
      </c>
      <c r="CD56" s="1745">
        <f t="shared" si="36"/>
        <v>0.31435054928251888</v>
      </c>
      <c r="CE56" s="1745">
        <f t="shared" si="36"/>
        <v>0.31397793002145186</v>
      </c>
      <c r="CF56" s="1745">
        <f t="shared" si="36"/>
        <v>0.31334365706387146</v>
      </c>
      <c r="CG56" s="1745">
        <f t="shared" si="36"/>
        <v>0.30960101242571469</v>
      </c>
      <c r="CH56" s="1745">
        <f t="shared" si="36"/>
        <v>0.30625664158654581</v>
      </c>
      <c r="CI56" s="1745">
        <f t="shared" si="36"/>
        <v>0.30610548645515073</v>
      </c>
      <c r="CJ56" s="1745">
        <f>CJ13/CJ10</f>
        <v>0.30609999999999998</v>
      </c>
      <c r="CK56" s="1745">
        <f>CK13/CK10</f>
        <v>0.307</v>
      </c>
      <c r="CL56" s="1745">
        <f>CL13/CL10</f>
        <v>0.30709999999999998</v>
      </c>
      <c r="CM56" s="1745">
        <f>CM13/CM10</f>
        <v>0.30769999999999997</v>
      </c>
      <c r="CN56" s="1538"/>
      <c r="CO56" s="1349"/>
      <c r="CP56" s="1349"/>
    </row>
    <row r="57" spans="1:102">
      <c r="A57" s="1538" t="s">
        <v>380</v>
      </c>
      <c r="B57" s="1349"/>
      <c r="C57" s="1745"/>
      <c r="D57" s="1745"/>
      <c r="E57" s="1745"/>
      <c r="F57" s="1745"/>
      <c r="G57" s="1745"/>
      <c r="H57" s="1745"/>
      <c r="I57" s="1745"/>
      <c r="J57" s="1745"/>
      <c r="K57" s="1745"/>
      <c r="L57" s="1745"/>
      <c r="M57" s="1745"/>
      <c r="N57" s="1745"/>
      <c r="O57" s="1745"/>
      <c r="P57" s="1745"/>
      <c r="Q57" s="1745"/>
      <c r="R57" s="1745"/>
      <c r="S57" s="1745"/>
      <c r="T57" s="1745"/>
      <c r="U57" s="1745"/>
      <c r="V57" s="1745"/>
      <c r="W57" s="1745">
        <f>W21/W$10</f>
        <v>-1.2024678239561083E-2</v>
      </c>
      <c r="X57" s="1745">
        <f>X21/X$10</f>
        <v>-2.2812413513690875E-2</v>
      </c>
      <c r="Y57" s="1745">
        <f>Y21/Y$10</f>
        <v>-1.2088851799801462E-2</v>
      </c>
      <c r="Z57" s="1745">
        <f>Z21/Z$10</f>
        <v>-9.7872389838850465E-3</v>
      </c>
      <c r="AA57" s="1745"/>
      <c r="AB57" s="1745">
        <f>AB21/AB$10</f>
        <v>-1.14521649129631E-2</v>
      </c>
      <c r="AC57" s="1745">
        <f>AC21/AC$10</f>
        <v>-1.4096740994854202E-2</v>
      </c>
      <c r="AD57" s="1745">
        <f>AD21/AD$10</f>
        <v>-1.3330443516906591E-2</v>
      </c>
      <c r="AE57" s="1745">
        <f>AE21/AE$10</f>
        <v>-9.1532911106846186E-3</v>
      </c>
      <c r="AF57" s="1745"/>
      <c r="AG57" s="1745">
        <f>AG21/AG$10</f>
        <v>-1.0826827800805313E-2</v>
      </c>
      <c r="AH57" s="1745">
        <f>AH21/AH$10</f>
        <v>-1.1856068388565436E-2</v>
      </c>
      <c r="AI57" s="1745">
        <f>AI21/AI$10</f>
        <v>-1.1168814116081335E-2</v>
      </c>
      <c r="AJ57" s="1745">
        <f>AJ21/AJ$10</f>
        <v>-1.1221849070712161E-2</v>
      </c>
      <c r="AK57" s="1745"/>
      <c r="AL57" s="1745">
        <f>AL21/AL$10</f>
        <v>-1.0014028692391187E-2</v>
      </c>
      <c r="AM57" s="1745">
        <f>AM21/AM$10</f>
        <v>-1.1192096928409943E-2</v>
      </c>
      <c r="AN57" s="1745">
        <f>AN21/AN$10</f>
        <v>-1.0198430819903832E-2</v>
      </c>
      <c r="AO57" s="1745">
        <f>AO21/AO$10</f>
        <v>-1.0185046764242721E-2</v>
      </c>
      <c r="AP57" s="1349"/>
      <c r="AQ57" s="1745">
        <f>AQ21/AQ$10</f>
        <v>-9.8796916093981963E-3</v>
      </c>
      <c r="AR57" s="1745">
        <f>AR21/AR$10</f>
        <v>-1.0198078054520493E-2</v>
      </c>
      <c r="AS57" s="1745">
        <f>AS21/AS$10</f>
        <v>-9.446670837631118E-3</v>
      </c>
      <c r="AT57" s="1745">
        <f>AT21/AT$10</f>
        <v>-9.7558453004885793E-3</v>
      </c>
      <c r="AU57" s="1349"/>
      <c r="AV57" s="1745">
        <f>AV21/AV$10</f>
        <v>-8.4066831580057594E-3</v>
      </c>
      <c r="AW57" s="1745">
        <f>AW21/AW$10</f>
        <v>-9.1157274806651332E-3</v>
      </c>
      <c r="AX57" s="1745">
        <f>AX21/AX$10</f>
        <v>-9.0910504868261435E-3</v>
      </c>
      <c r="AY57" s="1745">
        <f>AY21/AY$10</f>
        <v>-1.1016843032203598E-2</v>
      </c>
      <c r="AZ57" s="1349"/>
      <c r="BA57" s="1745">
        <f>BA21/BA$10</f>
        <v>-7.5499193193238889E-3</v>
      </c>
      <c r="BB57" s="1745">
        <f>BB21/BB$10</f>
        <v>-7.6419004070902566E-3</v>
      </c>
      <c r="BC57" s="1745">
        <f>BC21/BC$10</f>
        <v>-7.6879581049747918E-3</v>
      </c>
      <c r="BD57" s="1745">
        <f>BD21/BD$10</f>
        <v>-6.2527218551255903E-3</v>
      </c>
      <c r="BE57" s="1349"/>
      <c r="BF57" s="1745">
        <f>BF21/BF$10</f>
        <v>-8.0948334333850475E-3</v>
      </c>
      <c r="BG57" s="1745">
        <f>BG21/BG$10</f>
        <v>-5.8802297592213237E-3</v>
      </c>
      <c r="BH57" s="1745">
        <f>BH21/BH$10</f>
        <v>-5.8990019365410401E-3</v>
      </c>
      <c r="BI57" s="1745">
        <f>BI21/BI$10</f>
        <v>-5.9701669617936602E-3</v>
      </c>
      <c r="BK57" s="1745">
        <f>BK21/BK$10</f>
        <v>-5.6284746306475971E-3</v>
      </c>
      <c r="BL57" s="1745">
        <f>BL21/BL$10</f>
        <v>-6.9218264936650176E-3</v>
      </c>
      <c r="BM57" s="1745">
        <f>BM21/BM$10</f>
        <v>-5.4006245449937321E-3</v>
      </c>
      <c r="BN57" s="1745">
        <f>BN21/BN$10</f>
        <v>-4.8440001672837409E-3</v>
      </c>
      <c r="BP57" s="1745">
        <f>BP21/BP$10</f>
        <v>-5.5000000000000005E-3</v>
      </c>
      <c r="BQ57" s="1745">
        <f>BQ21/BQ$10</f>
        <v>-5.5000000000000005E-3</v>
      </c>
      <c r="BR57" s="1745">
        <f>BR21/BR$10</f>
        <v>-5.5000000000000005E-3</v>
      </c>
      <c r="BS57" s="1746">
        <f>BS21/BS$10</f>
        <v>-5.5000000000000005E-3</v>
      </c>
      <c r="BT57" s="1745"/>
      <c r="BU57" s="1745"/>
      <c r="BV57" s="1745"/>
      <c r="BW57" s="1745"/>
      <c r="BX57" s="1745"/>
      <c r="BY57" s="1745"/>
      <c r="BZ57" s="1692">
        <f t="shared" ref="BZ57:CI57" si="37">BZ21/BZ$10</f>
        <v>-1.3476059875432669E-2</v>
      </c>
      <c r="CA57" s="1745">
        <f t="shared" si="37"/>
        <v>-1.1672382999573251E-2</v>
      </c>
      <c r="CB57" s="1745">
        <f t="shared" si="37"/>
        <v>-1.1244808820866113E-2</v>
      </c>
      <c r="CC57" s="1745">
        <f t="shared" si="37"/>
        <v>-1.036047239920833E-2</v>
      </c>
      <c r="CD57" s="1745">
        <f t="shared" si="37"/>
        <v>-9.8075597012582498E-3</v>
      </c>
      <c r="CE57" s="1745">
        <f t="shared" si="37"/>
        <v>-9.5301613624165643E-3</v>
      </c>
      <c r="CF57" s="1745">
        <f t="shared" si="37"/>
        <v>-7.2119024140741639E-3</v>
      </c>
      <c r="CG57" s="1745">
        <f t="shared" si="37"/>
        <v>-6.4223420680922412E-3</v>
      </c>
      <c r="CH57" s="1745">
        <f t="shared" si="37"/>
        <v>-5.6146777049437893E-3</v>
      </c>
      <c r="CI57" s="1745">
        <f t="shared" si="37"/>
        <v>-5.5000000000000005E-3</v>
      </c>
      <c r="CJ57" s="1745">
        <f>CJ21/CJ$10</f>
        <v>-4.9820648457018458E-3</v>
      </c>
      <c r="CK57" s="1745">
        <f>CK21/CK$10</f>
        <v>-4.5305247385914339E-3</v>
      </c>
      <c r="CL57" s="1745">
        <f>CL21/CL$10</f>
        <v>-4.1342803390203107E-3</v>
      </c>
      <c r="CM57" s="1745">
        <f>CM21/CM$10</f>
        <v>-3.7845198384737207E-3</v>
      </c>
      <c r="CN57" s="1538"/>
      <c r="CO57" s="1349"/>
      <c r="CP57" s="1349"/>
    </row>
    <row r="58" spans="1:102">
      <c r="A58" s="1538" t="s">
        <v>190</v>
      </c>
      <c r="B58" s="1349"/>
      <c r="C58" s="1745"/>
      <c r="D58" s="1745"/>
      <c r="E58" s="1745"/>
      <c r="F58" s="1745"/>
      <c r="G58" s="1745"/>
      <c r="H58" s="1745"/>
      <c r="I58" s="1745"/>
      <c r="J58" s="1745"/>
      <c r="K58" s="1745"/>
      <c r="L58" s="1745"/>
      <c r="M58" s="1745"/>
      <c r="N58" s="1745"/>
      <c r="O58" s="1745"/>
      <c r="P58" s="1745"/>
      <c r="Q58" s="1745"/>
      <c r="R58" s="1745"/>
      <c r="S58" s="1745"/>
      <c r="T58" s="1745"/>
      <c r="U58" s="1745"/>
      <c r="V58" s="1745"/>
      <c r="W58" s="1745">
        <f>W20/W$10</f>
        <v>4.7803547527055831E-2</v>
      </c>
      <c r="X58" s="1745">
        <f>X20/X$10</f>
        <v>5.3733498055573786E-2</v>
      </c>
      <c r="Y58" s="1745">
        <f>Y20/Y$10</f>
        <v>4.1507426860497909E-2</v>
      </c>
      <c r="Z58" s="1745">
        <f>Z20/Z$10</f>
        <v>3.8260181381468299E-2</v>
      </c>
      <c r="AA58" s="1745"/>
      <c r="AB58" s="1745">
        <f>AB20/AB$10</f>
        <v>4.1052758646127431E-2</v>
      </c>
      <c r="AC58" s="1745">
        <f>AC20/AC$10</f>
        <v>4.8721783876500856E-2</v>
      </c>
      <c r="AD58" s="1745">
        <f>AD20/AD$10</f>
        <v>4.3067586746928996E-2</v>
      </c>
      <c r="AE58" s="1745">
        <f>AE20/AE$10</f>
        <v>3.1619848011932766E-2</v>
      </c>
      <c r="AF58" s="1745"/>
      <c r="AG58" s="1745">
        <f>AG20/AG$10</f>
        <v>3.9415293176805893E-2</v>
      </c>
      <c r="AH58" s="1745">
        <f>AH20/AH$10</f>
        <v>4.7100330371627114E-2</v>
      </c>
      <c r="AI58" s="1745">
        <f>AI20/AI$10</f>
        <v>4.3607002847563546E-2</v>
      </c>
      <c r="AJ58" s="1745">
        <f>AJ20/AJ$10</f>
        <v>3.2354966298768648E-2</v>
      </c>
      <c r="AK58" s="1745"/>
      <c r="AL58" s="1745">
        <f>AL20/AL$10</f>
        <v>4.0652344246100078E-2</v>
      </c>
      <c r="AM58" s="1745">
        <f>AM20/AM$10</f>
        <v>4.6262287334667196E-2</v>
      </c>
      <c r="AN58" s="1745">
        <f>AN20/AN$10</f>
        <v>4.2198835822931026E-2</v>
      </c>
      <c r="AO58" s="1745">
        <f>AO20/AO$10</f>
        <v>3.646466933137929E-2</v>
      </c>
      <c r="AP58" s="1349"/>
      <c r="AQ58" s="1745">
        <f>AQ20/AQ$10</f>
        <v>4.1306538042258638E-2</v>
      </c>
      <c r="AR58" s="1745">
        <f>AR20/AR$10</f>
        <v>4.2800175571307164E-2</v>
      </c>
      <c r="AS58" s="1745">
        <f>AS20/AS$10</f>
        <v>3.8582360577997972E-2</v>
      </c>
      <c r="AT58" s="1745">
        <f>AT20/AT$10</f>
        <v>3.1390783173209161E-2</v>
      </c>
      <c r="AU58" s="1349"/>
      <c r="AV58" s="1745">
        <f>AV20/AV$10</f>
        <v>3.6523205015825122E-2</v>
      </c>
      <c r="AW58" s="1745">
        <f>AW20/AW$10</f>
        <v>3.8855632672499793E-2</v>
      </c>
      <c r="AX58" s="1745">
        <f>AX20/AX$10</f>
        <v>3.6796245027184156E-2</v>
      </c>
      <c r="AY58" s="1745">
        <f>AY20/AY$10</f>
        <v>2.9110075523677052E-2</v>
      </c>
      <c r="AZ58" s="1349"/>
      <c r="BA58" s="1745">
        <f>BA20/BA$10</f>
        <v>3.56322043110276E-2</v>
      </c>
      <c r="BB58" s="1745">
        <f>BB20/BB$10</f>
        <v>3.6484306312258678E-2</v>
      </c>
      <c r="BC58" s="1745">
        <f>BC20/BC$10</f>
        <v>3.5085296282515201E-2</v>
      </c>
      <c r="BD58" s="1745">
        <f>BD20/BD$10</f>
        <v>2.921398340698703E-2</v>
      </c>
      <c r="BE58" s="1349"/>
      <c r="BF58" s="1745">
        <f>BF20/BF$10</f>
        <v>3.5507963856642781E-2</v>
      </c>
      <c r="BG58" s="1745">
        <f>BG20/BG$10</f>
        <v>3.5546705995683048E-2</v>
      </c>
      <c r="BH58" s="1745">
        <f>BH20/BH$10</f>
        <v>3.4613436615522124E-2</v>
      </c>
      <c r="BI58" s="1745">
        <f>BI20/BI$10</f>
        <v>2.7855242434219312E-2</v>
      </c>
      <c r="BK58" s="1745">
        <f>BK20/BK$10</f>
        <v>3.5655670136779581E-2</v>
      </c>
      <c r="BL58" s="1745">
        <f>BL20/BL$10</f>
        <v>3.5724136312154132E-2</v>
      </c>
      <c r="BM58" s="1745">
        <f>BM20/BM$10</f>
        <v>3.5347772546581863E-2</v>
      </c>
      <c r="BN58" s="1745">
        <f>BN20/BN$10</f>
        <v>2.7650866442003916E-2</v>
      </c>
      <c r="BP58" s="1745">
        <f>BP20/BP$10</f>
        <v>3.6509639536870253E-2</v>
      </c>
      <c r="BQ58" s="1745">
        <f>BQ20/BQ$10</f>
        <v>3.6386665251995388E-2</v>
      </c>
      <c r="BR58" s="1745">
        <f>BR20/BR$10</f>
        <v>3.5984347216279154E-2</v>
      </c>
      <c r="BS58" s="1746">
        <f>BS20/BS$10</f>
        <v>2.9692205575306222E-2</v>
      </c>
      <c r="BT58" s="1745"/>
      <c r="BU58" s="1745"/>
      <c r="BV58" s="1745"/>
      <c r="BW58" s="1745"/>
      <c r="BX58" s="1745"/>
      <c r="BY58" s="1745"/>
      <c r="BZ58" s="1692">
        <f t="shared" ref="BZ58:CI58" si="38">BZ20/BZ$10</f>
        <v>4.4391659858855487E-2</v>
      </c>
      <c r="CA58" s="1745">
        <f t="shared" si="38"/>
        <v>3.9993165471350844E-2</v>
      </c>
      <c r="CB58" s="1745">
        <f t="shared" si="38"/>
        <v>3.9715796077666211E-2</v>
      </c>
      <c r="CC58" s="1745">
        <f t="shared" si="38"/>
        <v>4.0911785830390561E-2</v>
      </c>
      <c r="CD58" s="1745">
        <f t="shared" si="38"/>
        <v>3.7988455343790854E-2</v>
      </c>
      <c r="CE58" s="1745">
        <f t="shared" si="38"/>
        <v>3.4807323869707037E-2</v>
      </c>
      <c r="CF58" s="1745">
        <f t="shared" si="38"/>
        <v>3.3751970020388586E-2</v>
      </c>
      <c r="CG58" s="1745">
        <f t="shared" si="38"/>
        <v>3.2983245892320538E-2</v>
      </c>
      <c r="CH58" s="1745">
        <f t="shared" si="38"/>
        <v>3.3050243838464784E-2</v>
      </c>
      <c r="CI58" s="1745">
        <f t="shared" si="38"/>
        <v>3.4264822257800823E-2</v>
      </c>
      <c r="CJ58" s="1745">
        <f>CJ20/CJ$10</f>
        <v>3.4264822257800823E-2</v>
      </c>
      <c r="CK58" s="1745">
        <f>CK20/CK$10</f>
        <v>3.4264822257800823E-2</v>
      </c>
      <c r="CL58" s="1745">
        <f>CL20/CL$10</f>
        <v>3.4264822257800823E-2</v>
      </c>
      <c r="CM58" s="1745">
        <f>CM20/CM$10</f>
        <v>3.4264822257800823E-2</v>
      </c>
      <c r="CN58" s="1538"/>
      <c r="CO58" s="1349"/>
      <c r="CP58" s="1349"/>
    </row>
    <row r="59" spans="1:102">
      <c r="A59" s="1538" t="s">
        <v>206</v>
      </c>
      <c r="B59" s="1349"/>
      <c r="C59" s="1745"/>
      <c r="D59" s="1745"/>
      <c r="E59" s="1745"/>
      <c r="F59" s="1745"/>
      <c r="G59" s="1745"/>
      <c r="H59" s="1745"/>
      <c r="I59" s="1745"/>
      <c r="J59" s="1745"/>
      <c r="K59" s="1745"/>
      <c r="L59" s="1745"/>
      <c r="M59" s="1745"/>
      <c r="N59" s="1745"/>
      <c r="O59" s="1745"/>
      <c r="P59" s="1745"/>
      <c r="Q59" s="1745"/>
      <c r="R59" s="1745"/>
      <c r="S59" s="1745"/>
      <c r="T59" s="1745"/>
      <c r="U59" s="1745"/>
      <c r="V59" s="1745"/>
      <c r="W59" s="1745">
        <f t="shared" ref="W59:AY59" si="39">W23/W10</f>
        <v>-4.3668821976692779E-2</v>
      </c>
      <c r="X59" s="1745">
        <f t="shared" si="39"/>
        <v>-1.656257400374914E-2</v>
      </c>
      <c r="Y59" s="1745">
        <f t="shared" si="39"/>
        <v>3.9030278298069244E-2</v>
      </c>
      <c r="Z59" s="1745">
        <f t="shared" si="39"/>
        <v>4.7608839153243612E-2</v>
      </c>
      <c r="AA59" s="1745" t="e">
        <f t="shared" si="39"/>
        <v>#DIV/0!</v>
      </c>
      <c r="AB59" s="1745">
        <f t="shared" si="39"/>
        <v>4.0423481967814145E-2</v>
      </c>
      <c r="AC59" s="1745">
        <f t="shared" si="39"/>
        <v>-5.3396912521440777E-2</v>
      </c>
      <c r="AD59" s="1745">
        <f t="shared" si="39"/>
        <v>2.271652066102206E-2</v>
      </c>
      <c r="AE59" s="1745">
        <f t="shared" si="39"/>
        <v>0.11421748367828638</v>
      </c>
      <c r="AF59" s="1745" t="e">
        <f t="shared" si="39"/>
        <v>#DIV/0!</v>
      </c>
      <c r="AG59" s="1745">
        <f t="shared" si="39"/>
        <v>-1.4896440676323746E-3</v>
      </c>
      <c r="AH59" s="1745">
        <f t="shared" si="39"/>
        <v>-2.9728404523104022E-2</v>
      </c>
      <c r="AI59" s="1745">
        <f t="shared" si="39"/>
        <v>1.2396193011173244E-2</v>
      </c>
      <c r="AJ59" s="1745">
        <f t="shared" si="39"/>
        <v>0.1070986285127585</v>
      </c>
      <c r="AK59" s="1745" t="e">
        <f t="shared" si="39"/>
        <v>#DIV/0!</v>
      </c>
      <c r="AL59" s="1745">
        <f t="shared" si="39"/>
        <v>2.3753372483330409E-2</v>
      </c>
      <c r="AM59" s="1745">
        <f t="shared" si="39"/>
        <v>-2.2864707190647468E-2</v>
      </c>
      <c r="AN59" s="1745">
        <f t="shared" si="39"/>
        <v>5.961396599214349E-3</v>
      </c>
      <c r="AO59" s="1745">
        <f t="shared" si="39"/>
        <v>0.10632314106782272</v>
      </c>
      <c r="AP59" s="1349" t="e">
        <f t="shared" si="39"/>
        <v>#DIV/0!</v>
      </c>
      <c r="AQ59" s="1745">
        <f t="shared" si="39"/>
        <v>2.4089846790602457E-2</v>
      </c>
      <c r="AR59" s="1745">
        <f t="shared" si="39"/>
        <v>-6.1325438850444195E-3</v>
      </c>
      <c r="AS59" s="1745">
        <f t="shared" si="39"/>
        <v>7.6881020420816555E-3</v>
      </c>
      <c r="AT59" s="1745">
        <f t="shared" si="39"/>
        <v>9.9055143722030822E-2</v>
      </c>
      <c r="AU59" s="1349" t="e">
        <f t="shared" si="39"/>
        <v>#DIV/0!</v>
      </c>
      <c r="AV59" s="1745">
        <f t="shared" si="39"/>
        <v>4.0869686218446118E-2</v>
      </c>
      <c r="AW59" s="1745">
        <f t="shared" si="39"/>
        <v>1.4165646940678154E-2</v>
      </c>
      <c r="AX59" s="1745">
        <f t="shared" si="39"/>
        <v>-3.5945120159821507E-2</v>
      </c>
      <c r="AY59" s="1745">
        <f t="shared" si="39"/>
        <v>0.12035113325909783</v>
      </c>
      <c r="AZ59" s="1349"/>
      <c r="BA59" s="1745">
        <f>BA23/BA10</f>
        <v>4.7456635721464482E-2</v>
      </c>
      <c r="BB59" s="1745">
        <f>BB23/BB10</f>
        <v>2.9001466503760748E-2</v>
      </c>
      <c r="BC59" s="1745">
        <f>BC23/BC10</f>
        <v>3.1725115079706843E-2</v>
      </c>
      <c r="BD59" s="1745">
        <f>BD23/BD10</f>
        <v>0.11000740539302127</v>
      </c>
      <c r="BE59" s="1349"/>
      <c r="BF59" s="1745">
        <f>BF23/BF10</f>
        <v>5.8547405022336248E-2</v>
      </c>
      <c r="BG59" s="1745">
        <f>BG23/BG10</f>
        <v>3.8059747277605145E-2</v>
      </c>
      <c r="BH59" s="1745">
        <f>BH23/BH10</f>
        <v>4.6932816922389368E-2</v>
      </c>
      <c r="BI59" s="1745">
        <f>BI23/BI10</f>
        <v>0.12071850817012363</v>
      </c>
      <c r="BK59" s="1745">
        <f>BK23/BK10</f>
        <v>6.5945017845658524E-2</v>
      </c>
      <c r="BL59" s="1745">
        <f>BL23/BL10</f>
        <v>5.6929748889397433E-2</v>
      </c>
      <c r="BM59" s="1745">
        <f>BM23/BM10</f>
        <v>5.7816651334650256E-2</v>
      </c>
      <c r="BN59" s="1745">
        <f>BN23/BN10</f>
        <v>0.12298504411076044</v>
      </c>
      <c r="BP59" s="1745">
        <f>BP23/BP10</f>
        <v>6.9990360463129786E-2</v>
      </c>
      <c r="BQ59" s="1745">
        <f>BQ23/BQ10</f>
        <v>6.1113334748004608E-2</v>
      </c>
      <c r="BR59" s="1745">
        <f>BR23/BR10</f>
        <v>6.3215652783720905E-2</v>
      </c>
      <c r="BS59" s="1746">
        <f>BS23/BS10</f>
        <v>0.12920779442469374</v>
      </c>
      <c r="BT59" s="1745">
        <f t="shared" ref="BT59:BY59" si="40">BT23/BT10</f>
        <v>4.225338815927495E-2</v>
      </c>
      <c r="BU59" s="1745">
        <f t="shared" si="40"/>
        <v>5.6392819640982049E-2</v>
      </c>
      <c r="BV59" s="1745">
        <f t="shared" si="40"/>
        <v>3.9378151153965667E-2</v>
      </c>
      <c r="BW59" s="1745">
        <f t="shared" si="40"/>
        <v>2.5020012232522551E-2</v>
      </c>
      <c r="BX59" s="1745">
        <f t="shared" si="40"/>
        <v>2.4525602275485229E-2</v>
      </c>
      <c r="BY59" s="1745">
        <f t="shared" si="40"/>
        <v>2.8768815974387418E-2</v>
      </c>
      <c r="BZ59" s="1692">
        <f t="shared" ref="BZ59:CI59" si="41">BZ23/BZ10</f>
        <v>1.1203401487398599E-2</v>
      </c>
      <c r="CA59" s="1745">
        <f t="shared" si="41"/>
        <v>4.2937853658511153E-2</v>
      </c>
      <c r="CB59" s="1745">
        <f t="shared" si="41"/>
        <v>2.9856932830619298E-2</v>
      </c>
      <c r="CC59" s="1745">
        <f t="shared" si="41"/>
        <v>3.5216459311505043E-2</v>
      </c>
      <c r="CD59" s="1745">
        <f t="shared" si="41"/>
        <v>3.6157906047467152E-2</v>
      </c>
      <c r="CE59" s="1745">
        <f t="shared" si="41"/>
        <v>4.1138059596224512E-2</v>
      </c>
      <c r="CF59" s="1745">
        <f t="shared" si="41"/>
        <v>5.8418900271664763E-2</v>
      </c>
      <c r="CG59" s="1745">
        <f t="shared" si="41"/>
        <v>6.9955145832637067E-2</v>
      </c>
      <c r="CH59" s="1745">
        <f t="shared" si="41"/>
        <v>8.0160354564168895E-2</v>
      </c>
      <c r="CI59" s="1745">
        <f t="shared" si="41"/>
        <v>8.4502928662822302E-2</v>
      </c>
      <c r="CJ59" s="1745">
        <f>CJ23/CJ10</f>
        <v>8.3617242587901069E-2</v>
      </c>
      <c r="CK59" s="1745">
        <f>CK23/CK10</f>
        <v>8.3065702480790621E-2</v>
      </c>
      <c r="CL59" s="1745">
        <f>CL23/CL10</f>
        <v>8.326945808121948E-2</v>
      </c>
      <c r="CM59" s="1745">
        <f>CM23/CM10</f>
        <v>8.281969758067298E-2</v>
      </c>
      <c r="CN59" s="1692"/>
      <c r="CO59" s="1745"/>
      <c r="CP59" s="1745"/>
    </row>
    <row r="60" spans="1:102">
      <c r="A60" s="1538" t="s">
        <v>207</v>
      </c>
      <c r="B60" s="1349"/>
      <c r="C60" s="1745"/>
      <c r="D60" s="1745"/>
      <c r="E60" s="1745"/>
      <c r="F60" s="1745"/>
      <c r="G60" s="1745"/>
      <c r="H60" s="1745"/>
      <c r="I60" s="1745"/>
      <c r="J60" s="1745"/>
      <c r="K60" s="1745"/>
      <c r="L60" s="1745"/>
      <c r="M60" s="1745"/>
      <c r="N60" s="1745"/>
      <c r="O60" s="1745"/>
      <c r="P60" s="1745"/>
      <c r="Q60" s="1745"/>
      <c r="R60" s="1745"/>
      <c r="S60" s="1745"/>
      <c r="T60" s="1745"/>
      <c r="U60" s="1745"/>
      <c r="V60" s="1745"/>
      <c r="W60" s="1745">
        <f t="shared" ref="W60:AY60" si="42">W26/W10</f>
        <v>-6.8869926015881114E-2</v>
      </c>
      <c r="X60" s="1745">
        <f t="shared" si="42"/>
        <v>-4.0480585695984846E-2</v>
      </c>
      <c r="Y60" s="1745">
        <f t="shared" si="42"/>
        <v>1.5431454857664097E-2</v>
      </c>
      <c r="Z60" s="1745">
        <f t="shared" si="42"/>
        <v>2.4248806853657805E-2</v>
      </c>
      <c r="AA60" s="1745" t="e">
        <f t="shared" si="42"/>
        <v>#DIV/0!</v>
      </c>
      <c r="AB60" s="1745">
        <f t="shared" si="42"/>
        <v>9.8370586959778007E-3</v>
      </c>
      <c r="AC60" s="1745">
        <f t="shared" si="42"/>
        <v>-8.9152658662092585E-2</v>
      </c>
      <c r="AD60" s="1745">
        <f t="shared" si="42"/>
        <v>-6.3307954219716063E-3</v>
      </c>
      <c r="AE60" s="1745">
        <f t="shared" si="42"/>
        <v>9.6575049579625441E-2</v>
      </c>
      <c r="AF60" s="1745" t="e">
        <f t="shared" si="42"/>
        <v>#DIV/0!</v>
      </c>
      <c r="AG60" s="1745">
        <f t="shared" si="42"/>
        <v>-3.4698804517582379E-2</v>
      </c>
      <c r="AH60" s="1745">
        <f t="shared" si="42"/>
        <v>-7.0454491024757149E-2</v>
      </c>
      <c r="AI60" s="1745">
        <f t="shared" si="42"/>
        <v>-2.6341353766651147E-2</v>
      </c>
      <c r="AJ60" s="1745">
        <f t="shared" si="42"/>
        <v>8.1839938817930835E-2</v>
      </c>
      <c r="AK60" s="1745" t="e">
        <f t="shared" si="42"/>
        <v>#DIV/0!</v>
      </c>
      <c r="AL60" s="1745">
        <f t="shared" si="42"/>
        <v>-6.2316785906184812E-3</v>
      </c>
      <c r="AM60" s="1745">
        <f t="shared" si="42"/>
        <v>-5.484231949863546E-2</v>
      </c>
      <c r="AN60" s="1745">
        <f t="shared" si="42"/>
        <v>-2.2369185055388322E-2</v>
      </c>
      <c r="AO60" s="1745">
        <f t="shared" si="42"/>
        <v>8.473390995297235E-2</v>
      </c>
      <c r="AP60" s="1349" t="e">
        <f t="shared" si="42"/>
        <v>#DIV/0!</v>
      </c>
      <c r="AQ60" s="1745">
        <f t="shared" si="42"/>
        <v>-8.1191497192992998E-3</v>
      </c>
      <c r="AR60" s="1745">
        <f t="shared" si="42"/>
        <v>-4.0714488057104294E-2</v>
      </c>
      <c r="AS60" s="1745">
        <f t="shared" si="42"/>
        <v>-2.3048336217311002E-2</v>
      </c>
      <c r="AT60" s="1745">
        <f t="shared" si="42"/>
        <v>7.8527172393738409E-2</v>
      </c>
      <c r="AU60" s="1349" t="e">
        <f t="shared" si="42"/>
        <v>#DIV/0!</v>
      </c>
      <c r="AV60" s="1745">
        <f t="shared" si="42"/>
        <v>1.7336291256783605E-2</v>
      </c>
      <c r="AW60" s="1745">
        <f t="shared" si="42"/>
        <v>-1.0313526214064988E-2</v>
      </c>
      <c r="AX60" s="1745">
        <f t="shared" si="42"/>
        <v>-5.0309688479657812E-2</v>
      </c>
      <c r="AY60" s="1745">
        <f t="shared" si="42"/>
        <v>0.11023710045093389</v>
      </c>
      <c r="AZ60" s="1349"/>
      <c r="BA60" s="1745">
        <f>BA26/BA10</f>
        <v>3.4944157476507975E-2</v>
      </c>
      <c r="BB60" s="1745">
        <f>BB26/BB10</f>
        <v>1.6243408161731521E-2</v>
      </c>
      <c r="BC60" s="1745">
        <f>BC26/BC10</f>
        <v>1.9707755226722898E-2</v>
      </c>
      <c r="BD60" s="1745">
        <f>BD26/BD10</f>
        <v>0.10039726915585659</v>
      </c>
      <c r="BE60" s="1349"/>
      <c r="BF60" s="1745">
        <f>BF26/BF10</f>
        <v>4.689047065886006E-2</v>
      </c>
      <c r="BG60" s="1745">
        <f>BG26/BG10</f>
        <v>2.6041131330708883E-2</v>
      </c>
      <c r="BH60" s="1745">
        <f>BH26/BH10</f>
        <v>3.7131684790704583E-2</v>
      </c>
      <c r="BI60" s="1745">
        <f>BI26/BI10</f>
        <v>0.11302681651406075</v>
      </c>
      <c r="BK60" s="1745">
        <f>BK26/BK10</f>
        <v>5.5908970061178828E-2</v>
      </c>
      <c r="BL60" s="1745">
        <f>BL26/BL10</f>
        <v>4.6260922636338506E-2</v>
      </c>
      <c r="BM60" s="1745">
        <f>BM26/BM10</f>
        <v>4.714264755066689E-2</v>
      </c>
      <c r="BN60" s="1745">
        <f>BN26/BN10</f>
        <v>0.11505042520532274</v>
      </c>
      <c r="BP60" s="1745">
        <f>BP26/BP10</f>
        <v>5.989619165553349E-2</v>
      </c>
      <c r="BQ60" s="1745">
        <f>BQ26/BQ10</f>
        <v>5.110673496104489E-2</v>
      </c>
      <c r="BR60" s="1745">
        <f>BR26/BR10</f>
        <v>5.3735496562802736E-2</v>
      </c>
      <c r="BS60" s="1746">
        <f>BS26/BS10</f>
        <v>0.12178246593012886</v>
      </c>
      <c r="BT60" s="1745" t="e">
        <f>#REF!/BT10</f>
        <v>#REF!</v>
      </c>
      <c r="BU60" s="1745" t="e">
        <f>#REF!/BU10</f>
        <v>#REF!</v>
      </c>
      <c r="BV60" s="1745" t="e">
        <f>#REF!/BV10</f>
        <v>#REF!</v>
      </c>
      <c r="BW60" s="1745" t="e">
        <f>#REF!/BW10</f>
        <v>#REF!</v>
      </c>
      <c r="BX60" s="1745" t="e">
        <f>#REF!/BX10</f>
        <v>#REF!</v>
      </c>
      <c r="BY60" s="1745" t="e">
        <f>#REF!/BY10</f>
        <v>#REF!</v>
      </c>
      <c r="BZ60" s="1692">
        <f t="shared" ref="BZ60:CI60" si="43">BZ26/BZ10</f>
        <v>-1.2760566977343943E-2</v>
      </c>
      <c r="CA60" s="1745">
        <f t="shared" si="43"/>
        <v>1.5875245778964545E-2</v>
      </c>
      <c r="CB60" s="1745">
        <f t="shared" si="43"/>
        <v>-3.6450159858982417E-3</v>
      </c>
      <c r="CC60" s="1745">
        <f t="shared" si="43"/>
        <v>7.80176974448919E-3</v>
      </c>
      <c r="CD60" s="1745">
        <f t="shared" si="43"/>
        <v>7.3066551279307931E-3</v>
      </c>
      <c r="CE60" s="1745">
        <f t="shared" si="43"/>
        <v>2.3743744418586277E-2</v>
      </c>
      <c r="CF60" s="1745">
        <f t="shared" si="43"/>
        <v>4.6847849706566032E-2</v>
      </c>
      <c r="CG60" s="1745">
        <f t="shared" si="43"/>
        <v>5.9865203938600411E-2</v>
      </c>
      <c r="CH60" s="1745">
        <f t="shared" si="43"/>
        <v>7.0500656886394591E-2</v>
      </c>
      <c r="CI60" s="1745">
        <f t="shared" si="43"/>
        <v>7.539460638263111E-2</v>
      </c>
      <c r="CJ60" s="1745">
        <f>CJ26/CJ10</f>
        <v>7.6054200548657178E-2</v>
      </c>
      <c r="CK60" s="1745">
        <f>CK26/CK10</f>
        <v>7.6813357114507333E-2</v>
      </c>
      <c r="CL60" s="1745">
        <f>CL26/CL10</f>
        <v>7.8134500209702876E-2</v>
      </c>
      <c r="CM60" s="1745">
        <f>CM26/CM10</f>
        <v>7.8641439839509858E-2</v>
      </c>
      <c r="CN60" s="1538"/>
      <c r="CO60" s="1349"/>
      <c r="CP60" s="1349"/>
    </row>
    <row r="61" spans="1:102">
      <c r="A61" s="1538" t="s">
        <v>208</v>
      </c>
      <c r="B61" s="1349"/>
      <c r="C61" s="1745"/>
      <c r="D61" s="1745"/>
      <c r="E61" s="1745"/>
      <c r="F61" s="1745"/>
      <c r="G61" s="1745"/>
      <c r="H61" s="1745"/>
      <c r="I61" s="1745"/>
      <c r="J61" s="1745"/>
      <c r="K61" s="1745"/>
      <c r="L61" s="1745"/>
      <c r="M61" s="1745"/>
      <c r="N61" s="1745"/>
      <c r="O61" s="1745"/>
      <c r="P61" s="1745"/>
      <c r="Q61" s="1745"/>
      <c r="R61" s="1745"/>
      <c r="S61" s="1745"/>
      <c r="T61" s="1745"/>
      <c r="U61" s="1745"/>
      <c r="V61" s="1745"/>
      <c r="W61" s="1745">
        <f t="shared" ref="W61:AY61" si="44">W27/W26</f>
        <v>0.62060701478177194</v>
      </c>
      <c r="X61" s="1745">
        <f t="shared" si="44"/>
        <v>0.55878206935438279</v>
      </c>
      <c r="Y61" s="1745">
        <f t="shared" si="44"/>
        <v>0.44205912940128234</v>
      </c>
      <c r="Z61" s="1745">
        <f t="shared" si="44"/>
        <v>0.57571739050355197</v>
      </c>
      <c r="AA61" s="1745" t="e">
        <f t="shared" si="44"/>
        <v>#DIV/0!</v>
      </c>
      <c r="AB61" s="1745">
        <f t="shared" si="44"/>
        <v>0.40768094534711841</v>
      </c>
      <c r="AC61" s="1745">
        <f t="shared" si="44"/>
        <v>0.37695859627520412</v>
      </c>
      <c r="AD61" s="1745">
        <f t="shared" si="44"/>
        <v>0.48555126081353572</v>
      </c>
      <c r="AE61" s="1745">
        <f t="shared" si="44"/>
        <v>0.39807373834219428</v>
      </c>
      <c r="AF61" s="1745" t="e">
        <f t="shared" si="44"/>
        <v>#DIV/0!</v>
      </c>
      <c r="AG61" s="1745">
        <f t="shared" si="44"/>
        <v>0.34682672622371158</v>
      </c>
      <c r="AH61" s="1745">
        <f t="shared" si="44"/>
        <v>0.41384739243223867</v>
      </c>
      <c r="AI61" s="1745">
        <f t="shared" si="44"/>
        <v>0.5658583981074683</v>
      </c>
      <c r="AJ61" s="1745">
        <f t="shared" si="44"/>
        <v>0.43166323133026685</v>
      </c>
      <c r="AK61" s="1745" t="e">
        <f t="shared" si="44"/>
        <v>#DIV/0!</v>
      </c>
      <c r="AL61" s="1745">
        <f t="shared" si="44"/>
        <v>0.28049095354752202</v>
      </c>
      <c r="AM61" s="1745">
        <f t="shared" si="44"/>
        <v>0.33852961412045551</v>
      </c>
      <c r="AN61" s="1745">
        <f t="shared" si="44"/>
        <v>0.65604360075747004</v>
      </c>
      <c r="AO61" s="1745">
        <f t="shared" si="44"/>
        <v>0.3349046285116733</v>
      </c>
      <c r="AP61" s="1349" t="e">
        <f t="shared" si="44"/>
        <v>#DIV/0!</v>
      </c>
      <c r="AQ61" s="1745">
        <f t="shared" si="44"/>
        <v>0.35665548745229125</v>
      </c>
      <c r="AR61" s="1745">
        <f t="shared" si="44"/>
        <v>0.36248948696383482</v>
      </c>
      <c r="AS61" s="1745">
        <f t="shared" si="44"/>
        <v>0.31294069696352156</v>
      </c>
      <c r="AT61" s="1745">
        <f t="shared" si="44"/>
        <v>0.3931492598566475</v>
      </c>
      <c r="AU61" s="1349" t="e">
        <f t="shared" si="44"/>
        <v>#DIV/0!</v>
      </c>
      <c r="AV61" s="1745">
        <f t="shared" si="44"/>
        <v>0.39805725971370182</v>
      </c>
      <c r="AW61" s="1745">
        <f t="shared" si="44"/>
        <v>0.39886648703892402</v>
      </c>
      <c r="AX61" s="1745">
        <f t="shared" si="44"/>
        <v>0.41236281194716767</v>
      </c>
      <c r="AY61" s="1745">
        <f t="shared" si="44"/>
        <v>0.36396892672619102</v>
      </c>
      <c r="AZ61" s="1349"/>
      <c r="BA61" s="1745">
        <f>BA27/BA26</f>
        <v>0.37846205945671324</v>
      </c>
      <c r="BB61" s="1745">
        <f>BB27/BB26</f>
        <v>0.41353707091358821</v>
      </c>
      <c r="BC61" s="1745">
        <f>BC27/BC26</f>
        <v>0.37686536400362708</v>
      </c>
      <c r="BD61" s="1745">
        <f>BD27/BD26</f>
        <v>0.36148659568553682</v>
      </c>
      <c r="BE61" s="1349"/>
      <c r="BF61" s="1745">
        <f>BF27/BF26</f>
        <v>0.37627400448915099</v>
      </c>
      <c r="BG61" s="1745">
        <f>BG27/BG26</f>
        <v>0.37600587461371149</v>
      </c>
      <c r="BH61" s="1745">
        <f>BH27/BH26</f>
        <v>0.35000902653802207</v>
      </c>
      <c r="BI61" s="1745">
        <f>BI27/BI26</f>
        <v>0.34099437886748102</v>
      </c>
      <c r="BK61" s="1745">
        <f>BK27/BK26</f>
        <v>0.30439402794750503</v>
      </c>
      <c r="BL61" s="1745">
        <f>BL27/BL26</f>
        <v>0.2562793352784476</v>
      </c>
      <c r="BM61" s="1745">
        <f>BM27/BM26</f>
        <v>0.33805808345255856</v>
      </c>
      <c r="BN61" s="1745">
        <f>BN27/BN26</f>
        <v>0.33800000000000008</v>
      </c>
      <c r="BP61" s="1745">
        <f>BP27/BP26</f>
        <v>0.2</v>
      </c>
      <c r="BQ61" s="1745">
        <f>BQ27/BQ26</f>
        <v>0.18</v>
      </c>
      <c r="BR61" s="1745">
        <f>BR27/BR26</f>
        <v>0.25</v>
      </c>
      <c r="BS61" s="1746">
        <f>BS27/BS26</f>
        <v>0.26</v>
      </c>
      <c r="BT61" s="1745" t="e">
        <f>#REF!/#REF!</f>
        <v>#REF!</v>
      </c>
      <c r="BU61" s="1745" t="e">
        <f>#REF!/#REF!</f>
        <v>#REF!</v>
      </c>
      <c r="BV61" s="1745" t="e">
        <f>#REF!/#REF!</f>
        <v>#REF!</v>
      </c>
      <c r="BW61" s="1745" t="e">
        <f>#REF!/#REF!</f>
        <v>#REF!</v>
      </c>
      <c r="BX61" s="1745" t="e">
        <f>#REF!/#REF!</f>
        <v>#REF!</v>
      </c>
      <c r="BY61" s="1747" t="s">
        <v>312</v>
      </c>
      <c r="BZ61" s="1692">
        <f t="shared" ref="BZ61:CI61" si="45">BZ27/BZ26</f>
        <v>0.66184874455623965</v>
      </c>
      <c r="CA61" s="1745">
        <f t="shared" si="45"/>
        <v>0.37987611899583584</v>
      </c>
      <c r="CB61" s="1745">
        <f t="shared" si="45"/>
        <v>0.29526536067928821</v>
      </c>
      <c r="CC61" s="1745">
        <f t="shared" si="45"/>
        <v>0.12143530499741843</v>
      </c>
      <c r="CD61" s="1745">
        <f t="shared" si="45"/>
        <v>0.5010164145027266</v>
      </c>
      <c r="CE61" s="1745">
        <f t="shared" si="45"/>
        <v>0.34187308201244349</v>
      </c>
      <c r="CF61" s="1745">
        <f t="shared" si="45"/>
        <v>0.37003608597000909</v>
      </c>
      <c r="CG61" s="1745">
        <f t="shared" si="45"/>
        <v>0.35214518084582835</v>
      </c>
      <c r="CH61" s="1745">
        <f t="shared" si="45"/>
        <v>0.3200977994312092</v>
      </c>
      <c r="CI61" s="1745">
        <f t="shared" si="45"/>
        <v>0.23519523691257235</v>
      </c>
      <c r="CJ61" s="1745">
        <f>CJ27/CJ26</f>
        <v>0.23519523691257238</v>
      </c>
      <c r="CK61" s="1745">
        <f>CK27/CK26</f>
        <v>0.23519523691257238</v>
      </c>
      <c r="CL61" s="1745">
        <f>CL27/CL26</f>
        <v>0.23519523691257238</v>
      </c>
      <c r="CM61" s="1745">
        <f>CM27/CM26</f>
        <v>0.23519523691257235</v>
      </c>
      <c r="CN61" s="1538"/>
      <c r="CO61" s="1349"/>
      <c r="CP61" s="1349"/>
    </row>
    <row r="62" spans="1:102">
      <c r="A62" s="1538" t="s">
        <v>209</v>
      </c>
      <c r="B62" s="1349"/>
      <c r="C62" s="1745"/>
      <c r="D62" s="1745"/>
      <c r="E62" s="1745"/>
      <c r="F62" s="1745"/>
      <c r="G62" s="1745"/>
      <c r="H62" s="1745"/>
      <c r="I62" s="1745"/>
      <c r="J62" s="1745"/>
      <c r="K62" s="1745"/>
      <c r="L62" s="1745"/>
      <c r="M62" s="1745"/>
      <c r="N62" s="1745"/>
      <c r="O62" s="1745"/>
      <c r="P62" s="1745"/>
      <c r="Q62" s="1745"/>
      <c r="R62" s="1745"/>
      <c r="S62" s="1745"/>
      <c r="T62" s="1745"/>
      <c r="U62" s="1745"/>
      <c r="V62" s="1745"/>
      <c r="W62" s="1745">
        <f t="shared" ref="W62:AY62" si="46">W29/W10</f>
        <v>-2.6128766822923644E-2</v>
      </c>
      <c r="X62" s="1745">
        <f t="shared" si="46"/>
        <v>-1.7860760252105007E-2</v>
      </c>
      <c r="Y62" s="1745">
        <f t="shared" si="46"/>
        <v>8.6098393578899167E-3</v>
      </c>
      <c r="Z62" s="1745">
        <f t="shared" si="46"/>
        <v>1.0288347049045287E-2</v>
      </c>
      <c r="AA62" s="1745" t="e">
        <f t="shared" si="46"/>
        <v>#DIV/0!</v>
      </c>
      <c r="AB62" s="1745">
        <f t="shared" si="46"/>
        <v>5.8266773073664792E-3</v>
      </c>
      <c r="AC62" s="1745">
        <f t="shared" si="46"/>
        <v>-5.5545797598627746E-2</v>
      </c>
      <c r="AD62" s="1745">
        <f t="shared" si="46"/>
        <v>-3.2568697228807326E-3</v>
      </c>
      <c r="AE62" s="1745">
        <f t="shared" si="46"/>
        <v>5.8131058562881185E-2</v>
      </c>
      <c r="AF62" s="1745" t="e">
        <f t="shared" si="46"/>
        <v>#DIV/0!</v>
      </c>
      <c r="AG62" s="1745">
        <f t="shared" si="46"/>
        <v>-2.2664331742872752E-2</v>
      </c>
      <c r="AH62" s="1745">
        <f t="shared" si="46"/>
        <v>-4.1297083629020834E-2</v>
      </c>
      <c r="AI62" s="1745">
        <f t="shared" si="46"/>
        <v>-1.1435877520271802E-2</v>
      </c>
      <c r="AJ62" s="1745">
        <f t="shared" si="46"/>
        <v>4.6512646375911466E-2</v>
      </c>
      <c r="AK62" s="1745" t="e">
        <f t="shared" si="46"/>
        <v>#DIV/0!</v>
      </c>
      <c r="AL62" s="1745">
        <f t="shared" si="46"/>
        <v>-4.4837491205342254E-3</v>
      </c>
      <c r="AM62" s="1745">
        <f t="shared" si="46"/>
        <v>-3.6276570241291661E-2</v>
      </c>
      <c r="AN62" s="1745">
        <f t="shared" si="46"/>
        <v>-7.6940243456411796E-3</v>
      </c>
      <c r="AO62" s="1745">
        <f t="shared" si="46"/>
        <v>5.6356131317830571E-2</v>
      </c>
      <c r="AP62" s="1349" t="e">
        <f t="shared" si="46"/>
        <v>#DIV/0!</v>
      </c>
      <c r="AQ62" s="1745">
        <f t="shared" si="46"/>
        <v>-5.2234104184644753E-3</v>
      </c>
      <c r="AR62" s="1745">
        <f t="shared" si="46"/>
        <v>-2.5955914169289381E-2</v>
      </c>
      <c r="AS62" s="1745">
        <f t="shared" si="46"/>
        <v>-1.5835573817616123E-2</v>
      </c>
      <c r="AT62" s="1745">
        <f t="shared" si="46"/>
        <v>4.7654272688504799E-2</v>
      </c>
      <c r="AU62" s="1349" t="e">
        <f t="shared" si="46"/>
        <v>#DIV/0!</v>
      </c>
      <c r="AV62" s="1745">
        <f t="shared" si="46"/>
        <v>1.0435454665509715E-2</v>
      </c>
      <c r="AW62" s="1745">
        <f t="shared" si="46"/>
        <v>-6.1998062440770316E-3</v>
      </c>
      <c r="AX62" s="1745">
        <f t="shared" si="46"/>
        <v>-2.9563843870000089E-2</v>
      </c>
      <c r="AY62" s="1745">
        <f t="shared" si="46"/>
        <v>7.0114221314400163E-2</v>
      </c>
      <c r="AZ62" s="1349"/>
      <c r="BA62" s="1745">
        <f>BA29/BA10</f>
        <v>2.1719119671969066E-2</v>
      </c>
      <c r="BB62" s="1745">
        <f>BB29/BB10</f>
        <v>9.5261567288751955E-3</v>
      </c>
      <c r="BC62" s="1745">
        <f>BC29/BC10</f>
        <v>1.2280584879509589E-2</v>
      </c>
      <c r="BD62" s="1745">
        <f>BD29/BD10</f>
        <v>6.4105002112581438E-2</v>
      </c>
      <c r="BE62" s="1349"/>
      <c r="BF62" s="1745">
        <f>BF29/BF10</f>
        <v>2.9246805491669747E-2</v>
      </c>
      <c r="BG62" s="1745">
        <f>BG29/BG10</f>
        <v>1.6249512968775161E-2</v>
      </c>
      <c r="BH62" s="1745">
        <f>BH29/BH10</f>
        <v>2.4135259943393394E-2</v>
      </c>
      <c r="BI62" s="1745">
        <f>BI29/BI10</f>
        <v>7.4485307421479865E-2</v>
      </c>
      <c r="BK62" s="1745">
        <f>BK29/BK10</f>
        <v>3.889061346586014E-2</v>
      </c>
      <c r="BL62" s="1745">
        <f>BL29/BL10</f>
        <v>3.4405204133729987E-2</v>
      </c>
      <c r="BM62" s="1745">
        <f>BM29/BM10</f>
        <v>3.1205694470808988E-2</v>
      </c>
      <c r="BN62" s="1745">
        <f>BN29/BN10</f>
        <v>7.6163381485923637E-2</v>
      </c>
      <c r="BP62" s="1745">
        <f>BP29/BP10</f>
        <v>4.7916953324426796E-2</v>
      </c>
      <c r="BQ62" s="1745">
        <f>BQ29/BQ10</f>
        <v>4.1907522668056807E-2</v>
      </c>
      <c r="BR62" s="1745">
        <f>BR29/BR10</f>
        <v>4.030162242210205E-2</v>
      </c>
      <c r="BS62" s="1746">
        <f>BS29/BS10</f>
        <v>9.0119024788295365E-2</v>
      </c>
      <c r="BT62" s="1745" t="e">
        <f>#REF!/BT10</f>
        <v>#REF!</v>
      </c>
      <c r="BU62" s="1745" t="e">
        <f>#REF!/BU10</f>
        <v>#REF!</v>
      </c>
      <c r="BV62" s="1745" t="e">
        <f>#REF!/BV10</f>
        <v>#REF!</v>
      </c>
      <c r="BW62" s="1745" t="e">
        <f>#REF!/BW10</f>
        <v>#REF!</v>
      </c>
      <c r="BX62" s="1745" t="e">
        <f>#REF!/BX10</f>
        <v>#REF!</v>
      </c>
      <c r="BY62" s="1745" t="e">
        <f>#REF!/BY10</f>
        <v>#REF!</v>
      </c>
      <c r="BZ62" s="1692">
        <f t="shared" ref="BZ62:CI62" si="47">BZ29/BZ10</f>
        <v>-4.3150017435630442E-3</v>
      </c>
      <c r="CA62" s="1745">
        <f t="shared" si="47"/>
        <v>9.8446190243464699E-3</v>
      </c>
      <c r="CB62" s="1745">
        <f t="shared" si="47"/>
        <v>-2.5687690261402261E-3</v>
      </c>
      <c r="CC62" s="1745">
        <f t="shared" si="47"/>
        <v>6.854359456047514E-3</v>
      </c>
      <c r="CD62" s="1745">
        <f t="shared" si="47"/>
        <v>3.645900973726946E-3</v>
      </c>
      <c r="CE62" s="1745">
        <f t="shared" si="47"/>
        <v>1.5626397335688436E-2</v>
      </c>
      <c r="CF62" s="1745">
        <f t="shared" si="47"/>
        <v>2.95124547650371E-2</v>
      </c>
      <c r="CG62" s="1745">
        <f t="shared" si="47"/>
        <v>3.8783960871269577E-2</v>
      </c>
      <c r="CH62" s="1745">
        <f t="shared" si="47"/>
        <v>4.7933551758604961E-2</v>
      </c>
      <c r="CI62" s="1745">
        <f t="shared" si="47"/>
        <v>5.7662154072538038E-2</v>
      </c>
      <c r="CJ62" s="1745">
        <f>CJ29/CJ10</f>
        <v>5.8166614832419451E-2</v>
      </c>
      <c r="CK62" s="1745">
        <f>CK29/CK10</f>
        <v>5.8747221389910752E-2</v>
      </c>
      <c r="CL62" s="1745">
        <f>CL29/CL10</f>
        <v>5.9757637921836373E-2</v>
      </c>
      <c r="CM62" s="1745">
        <f>CM29/CM10</f>
        <v>6.0145347765310539E-2</v>
      </c>
      <c r="CN62" s="1538"/>
      <c r="CO62" s="1349"/>
      <c r="CP62" s="1349"/>
    </row>
    <row r="63" spans="1:102">
      <c r="A63" s="1676" t="s">
        <v>920</v>
      </c>
      <c r="B63" s="1349"/>
      <c r="C63" s="1745"/>
      <c r="D63" s="1745"/>
      <c r="E63" s="1745"/>
      <c r="F63" s="1745"/>
      <c r="G63" s="1745"/>
      <c r="H63" s="1745"/>
      <c r="I63" s="1745"/>
      <c r="J63" s="1745"/>
      <c r="K63" s="1745"/>
      <c r="L63" s="1745"/>
      <c r="M63" s="1745"/>
      <c r="N63" s="1745"/>
      <c r="O63" s="1745"/>
      <c r="P63" s="1745"/>
      <c r="Q63" s="1745"/>
      <c r="R63" s="1745"/>
      <c r="S63" s="1745"/>
      <c r="T63" s="1745"/>
      <c r="U63" s="1745"/>
      <c r="V63" s="1745"/>
      <c r="W63" s="1745"/>
      <c r="X63" s="1745"/>
      <c r="Y63" s="1745"/>
      <c r="Z63" s="1745"/>
      <c r="AA63" s="1745"/>
      <c r="AB63" s="1745"/>
      <c r="AC63" s="1745"/>
      <c r="AD63" s="1745"/>
      <c r="AE63" s="1745"/>
      <c r="AF63" s="1745"/>
      <c r="AG63" s="1745"/>
      <c r="AH63" s="1745"/>
      <c r="AI63" s="1745"/>
      <c r="AJ63" s="1745"/>
      <c r="AK63" s="1745"/>
      <c r="AL63" s="1745"/>
      <c r="AM63" s="1745"/>
      <c r="AN63" s="1745"/>
      <c r="AO63" s="1745"/>
      <c r="AP63" s="1349"/>
      <c r="AQ63" s="1745"/>
      <c r="AR63" s="1745"/>
      <c r="AS63" s="1745"/>
      <c r="AT63" s="1745"/>
      <c r="AU63" s="1349"/>
      <c r="AV63" s="1745"/>
      <c r="AW63" s="1745"/>
      <c r="AX63" s="1745"/>
      <c r="AY63" s="1745"/>
      <c r="AZ63" s="1349"/>
      <c r="BA63" s="1745"/>
      <c r="BB63" s="1745"/>
      <c r="BC63" s="1745"/>
      <c r="BD63" s="1745"/>
      <c r="BE63" s="1349"/>
      <c r="BF63" s="1748"/>
      <c r="BG63" s="1745"/>
      <c r="BH63" s="1745"/>
      <c r="BI63" s="1745"/>
      <c r="BK63" s="1748"/>
      <c r="BL63" s="1745"/>
      <c r="BM63" s="1745">
        <f>BM64-BH64</f>
        <v>1.1557297622842161E-2</v>
      </c>
      <c r="BN63" s="1745"/>
      <c r="BP63" s="1748"/>
      <c r="BQ63" s="1745"/>
      <c r="BR63" s="1745"/>
      <c r="BS63" s="1746"/>
      <c r="BT63" s="1745"/>
      <c r="BU63" s="1745"/>
      <c r="BV63" s="1745"/>
      <c r="BW63" s="1745"/>
      <c r="BX63" s="1745"/>
      <c r="BY63" s="1745"/>
      <c r="BZ63" s="1692"/>
      <c r="CA63" s="1745"/>
      <c r="CB63" s="1745"/>
      <c r="CC63" s="1745"/>
      <c r="CD63" s="1745"/>
      <c r="CE63" s="1745"/>
      <c r="CF63" s="1745"/>
      <c r="CG63" s="1745"/>
      <c r="CH63" s="1745">
        <f>CH65-CD65</f>
        <v>3.2698694188097378E-2</v>
      </c>
      <c r="CI63" s="1745"/>
      <c r="CJ63" s="1745"/>
      <c r="CK63" s="1745"/>
      <c r="CL63" s="1745"/>
      <c r="CM63" s="1745"/>
      <c r="CN63" s="1538"/>
      <c r="CO63" s="1349"/>
      <c r="CP63" s="1349"/>
    </row>
    <row r="64" spans="1:102">
      <c r="A64" s="1538" t="s">
        <v>379</v>
      </c>
      <c r="B64" s="1349"/>
      <c r="C64" s="1745"/>
      <c r="D64" s="1745"/>
      <c r="E64" s="1745"/>
      <c r="F64" s="1745"/>
      <c r="G64" s="1745"/>
      <c r="H64" s="1745"/>
      <c r="I64" s="1745"/>
      <c r="J64" s="1745"/>
      <c r="K64" s="1745"/>
      <c r="L64" s="1745"/>
      <c r="M64" s="1745"/>
      <c r="N64" s="1745"/>
      <c r="O64" s="1745"/>
      <c r="P64" s="1745"/>
      <c r="Q64" s="1745"/>
      <c r="R64" s="1745"/>
      <c r="S64" s="1745"/>
      <c r="T64" s="1745"/>
      <c r="U64" s="1745"/>
      <c r="V64" s="1745"/>
      <c r="W64" s="1745">
        <f t="shared" ref="W64:AY64" si="48">W50/W10</f>
        <v>2.3590344114702486E-2</v>
      </c>
      <c r="X64" s="1745">
        <f t="shared" si="48"/>
        <v>3.8608914973080374E-2</v>
      </c>
      <c r="Y64" s="1745">
        <f t="shared" si="48"/>
        <v>8.9066157404966068E-2</v>
      </c>
      <c r="Z64" s="1745">
        <f t="shared" si="48"/>
        <v>0.13114650130993769</v>
      </c>
      <c r="AA64" s="1745" t="e">
        <f t="shared" si="48"/>
        <v>#DIV/0!</v>
      </c>
      <c r="AB64" s="1745">
        <f t="shared" si="48"/>
        <v>8.2775031910922156E-2</v>
      </c>
      <c r="AC64" s="1745">
        <f t="shared" si="48"/>
        <v>-3.1890222984562191E-3</v>
      </c>
      <c r="AD64" s="1745">
        <f t="shared" si="48"/>
        <v>6.7078698557189093E-2</v>
      </c>
      <c r="AE64" s="1745">
        <f t="shared" si="48"/>
        <v>0.14805031700656912</v>
      </c>
      <c r="AF64" s="1745" t="e">
        <f t="shared" si="48"/>
        <v>#DIV/0!</v>
      </c>
      <c r="AG64" s="1745">
        <f t="shared" si="48"/>
        <v>7.9783140544258307E-2</v>
      </c>
      <c r="AH64" s="1745">
        <f t="shared" si="48"/>
        <v>1.866895905837147E-2</v>
      </c>
      <c r="AI64" s="1745">
        <f t="shared" si="48"/>
        <v>5.7118185571231911E-2</v>
      </c>
      <c r="AJ64" s="1745">
        <f t="shared" si="48"/>
        <v>0.14170980527006016</v>
      </c>
      <c r="AK64" s="1745" t="e">
        <f t="shared" si="48"/>
        <v>#DIV/0!</v>
      </c>
      <c r="AL64" s="1745">
        <f t="shared" si="48"/>
        <v>6.545007467193846E-2</v>
      </c>
      <c r="AM64" s="1745">
        <f t="shared" si="48"/>
        <v>3.3128178062857526E-2</v>
      </c>
      <c r="AN64" s="1745">
        <f t="shared" si="48"/>
        <v>5.0296830024775412E-2</v>
      </c>
      <c r="AO64" s="1745">
        <f t="shared" si="48"/>
        <v>0.15181091116428896</v>
      </c>
      <c r="AP64" s="1349" t="e">
        <f t="shared" si="48"/>
        <v>#DIV/0!</v>
      </c>
      <c r="AQ64" s="1745">
        <f t="shared" si="48"/>
        <v>7.4692984968258505E-2</v>
      </c>
      <c r="AR64" s="1745">
        <f t="shared" si="48"/>
        <v>4.8687832763141599E-2</v>
      </c>
      <c r="AS64" s="1745">
        <f t="shared" si="48"/>
        <v>5.8668748391266533E-2</v>
      </c>
      <c r="AT64" s="1745">
        <f t="shared" si="48"/>
        <v>0.14597643517800288</v>
      </c>
      <c r="AU64" s="1349" t="e">
        <f t="shared" si="48"/>
        <v>#DIV/0!</v>
      </c>
      <c r="AV64" s="1745">
        <f t="shared" si="48"/>
        <v>8.1829776409703694E-2</v>
      </c>
      <c r="AW64" s="1745">
        <f t="shared" si="48"/>
        <v>5.5663144499564332E-2</v>
      </c>
      <c r="AX64" s="1745">
        <f t="shared" si="48"/>
        <v>6.2672169167331912E-2</v>
      </c>
      <c r="AY64" s="1745">
        <f t="shared" si="48"/>
        <v>0.1515596871335069</v>
      </c>
      <c r="AZ64" s="1349"/>
      <c r="BA64" s="1745">
        <f>BA50/BA10</f>
        <v>8.5743821736701267E-2</v>
      </c>
      <c r="BB64" s="1745">
        <f>BB50/BB10</f>
        <v>6.5890415987163387E-2</v>
      </c>
      <c r="BC64" s="1745">
        <f>BC50/BC10</f>
        <v>6.7061450044927029E-2</v>
      </c>
      <c r="BD64" s="1745">
        <f>BD50/BD10</f>
        <v>0.14575838428732665</v>
      </c>
      <c r="BE64" s="1349"/>
      <c r="BF64" s="1749">
        <f>BF50/BF10</f>
        <v>9.4313424341412863E-2</v>
      </c>
      <c r="BG64" s="1745">
        <f>BG50/BG10</f>
        <v>7.8956824930899464E-2</v>
      </c>
      <c r="BH64" s="1745">
        <f>BH50/BH10</f>
        <v>8.1625204826456119E-2</v>
      </c>
      <c r="BI64" s="1745">
        <f>BI50/BI10</f>
        <v>0.15123908845801332</v>
      </c>
      <c r="BK64" s="1745">
        <f>BK50/BK10</f>
        <v>0.10163707738168624</v>
      </c>
      <c r="BL64" s="1745">
        <f>BL50/BL10</f>
        <v>9.3383772586163344E-2</v>
      </c>
      <c r="BM64" s="1745">
        <f>BM50/BM10</f>
        <v>9.318250244929828E-2</v>
      </c>
      <c r="BN64" s="1745">
        <f>BN50/BN10</f>
        <v>0.1538850357982042</v>
      </c>
      <c r="BP64" s="1745">
        <f>BP50/BP10</f>
        <v>0.10649057877577961</v>
      </c>
      <c r="BQ64" s="1745">
        <f>BQ50/BQ10</f>
        <v>9.7476651267163761E-2</v>
      </c>
      <c r="BR64" s="1745">
        <f>BR50/BR10</f>
        <v>9.9200000000000052E-2</v>
      </c>
      <c r="BS64" s="1746">
        <f>BS50/BS10</f>
        <v>0.15889999999999999</v>
      </c>
      <c r="BT64" s="1745" t="e">
        <f>#REF!/BT10</f>
        <v>#REF!</v>
      </c>
      <c r="BU64" s="1745" t="e">
        <f>#REF!/BU10</f>
        <v>#REF!</v>
      </c>
      <c r="BV64" s="1745" t="e">
        <f>#REF!/BV10</f>
        <v>#REF!</v>
      </c>
      <c r="BW64" s="1745" t="e">
        <f>#REF!/BW10</f>
        <v>#REF!</v>
      </c>
      <c r="BX64" s="1745" t="e">
        <f>#REF!/BX10</f>
        <v>#REF!</v>
      </c>
      <c r="BY64" s="1745" t="e">
        <f>#REF!/BY10</f>
        <v>#REF!</v>
      </c>
      <c r="BZ64" s="1692">
        <f t="shared" ref="BZ64:CI64" si="49">BZ50/BZ10</f>
        <v>7.6965438255823845E-2</v>
      </c>
      <c r="CA64" s="1745">
        <f t="shared" si="49"/>
        <v>8.4561986193865138E-2</v>
      </c>
      <c r="CB64" s="1745">
        <f t="shared" si="49"/>
        <v>8.091172231121338E-2</v>
      </c>
      <c r="CC64" s="1748">
        <f t="shared" si="49"/>
        <v>8.174384683649491E-2</v>
      </c>
      <c r="CD64" s="1748">
        <f t="shared" si="49"/>
        <v>8.6660186904193845E-2</v>
      </c>
      <c r="CE64" s="1748">
        <f t="shared" si="49"/>
        <v>9.3065527098588202E-2</v>
      </c>
      <c r="CF64" s="1745">
        <f t="shared" si="49"/>
        <v>9.4913601514983958E-2</v>
      </c>
      <c r="CG64" s="1745">
        <f t="shared" si="49"/>
        <v>0.1050305441680419</v>
      </c>
      <c r="CH64" s="1748">
        <f t="shared" si="49"/>
        <v>0.11442066958696517</v>
      </c>
      <c r="CI64" s="1745">
        <f t="shared" si="49"/>
        <v>0.11876031245742764</v>
      </c>
      <c r="CJ64" s="1745">
        <f>CJ50/CJ10</f>
        <v>0.1178753268627942</v>
      </c>
      <c r="CK64" s="1745">
        <f>CK50/CK10</f>
        <v>0.11732439744013248</v>
      </c>
      <c r="CL64" s="1745">
        <f>CL50/CL10</f>
        <v>0.11752868894044909</v>
      </c>
      <c r="CM64" s="1745">
        <f>CM50/CM10</f>
        <v>0.11707940147274087</v>
      </c>
      <c r="CN64" s="1538"/>
      <c r="CO64" s="1349"/>
      <c r="CP64" s="1349"/>
    </row>
    <row r="65" spans="1:100">
      <c r="A65" s="1538" t="s">
        <v>876</v>
      </c>
      <c r="B65" s="1349"/>
      <c r="C65" s="1745"/>
      <c r="D65" s="1745"/>
      <c r="E65" s="1745"/>
      <c r="F65" s="1745"/>
      <c r="G65" s="1745"/>
      <c r="H65" s="1745"/>
      <c r="I65" s="1745"/>
      <c r="J65" s="1745"/>
      <c r="K65" s="1745"/>
      <c r="L65" s="1745"/>
      <c r="M65" s="1745"/>
      <c r="N65" s="1745"/>
      <c r="O65" s="1745"/>
      <c r="P65" s="1745"/>
      <c r="Q65" s="1745"/>
      <c r="R65" s="1745"/>
      <c r="S65" s="1745"/>
      <c r="T65" s="1745"/>
      <c r="U65" s="1745"/>
      <c r="V65" s="1745"/>
      <c r="W65" s="1745">
        <f t="shared" ref="W65:AY65" si="50">W48/W10</f>
        <v>-2.4213203412353342E-2</v>
      </c>
      <c r="X65" s="1745">
        <f t="shared" si="50"/>
        <v>-1.5124583082493408E-2</v>
      </c>
      <c r="Y65" s="1745">
        <f t="shared" si="50"/>
        <v>4.7558730544468152E-2</v>
      </c>
      <c r="Z65" s="1745">
        <f t="shared" si="50"/>
        <v>9.2886319928469394E-2</v>
      </c>
      <c r="AA65" s="1745" t="e">
        <f t="shared" si="50"/>
        <v>#DIV/0!</v>
      </c>
      <c r="AB65" s="1745">
        <f t="shared" si="50"/>
        <v>4.1722273264794739E-2</v>
      </c>
      <c r="AC65" s="1745">
        <f t="shared" si="50"/>
        <v>-5.191080617495708E-2</v>
      </c>
      <c r="AD65" s="1745">
        <f t="shared" si="50"/>
        <v>2.4011111810260107E-2</v>
      </c>
      <c r="AE65" s="1745">
        <f t="shared" si="50"/>
        <v>0.11643046899463637</v>
      </c>
      <c r="AF65" s="1745" t="e">
        <f t="shared" si="50"/>
        <v>#DIV/0!</v>
      </c>
      <c r="AG65" s="1745">
        <f t="shared" si="50"/>
        <v>4.0367847367452407E-2</v>
      </c>
      <c r="AH65" s="1745">
        <f t="shared" si="50"/>
        <v>-2.8431371313255644E-2</v>
      </c>
      <c r="AI65" s="1745">
        <f t="shared" si="50"/>
        <v>1.3511182723668363E-2</v>
      </c>
      <c r="AJ65" s="1745">
        <f t="shared" si="50"/>
        <v>0.10935483897129152</v>
      </c>
      <c r="AK65" s="1745" t="e">
        <f t="shared" si="50"/>
        <v>#DIV/0!</v>
      </c>
      <c r="AL65" s="1745">
        <f t="shared" si="50"/>
        <v>2.4797730425838372E-2</v>
      </c>
      <c r="AM65" s="1745">
        <f t="shared" si="50"/>
        <v>-1.3134109271809667E-2</v>
      </c>
      <c r="AN65" s="1745">
        <f t="shared" si="50"/>
        <v>8.0979942018443891E-3</v>
      </c>
      <c r="AO65" s="1745">
        <f t="shared" si="50"/>
        <v>0.11534624183290966</v>
      </c>
      <c r="AP65" s="1349" t="e">
        <f t="shared" si="50"/>
        <v>#DIV/0!</v>
      </c>
      <c r="AQ65" s="1745">
        <f t="shared" si="50"/>
        <v>3.338644692599986E-2</v>
      </c>
      <c r="AR65" s="1745">
        <f t="shared" si="50"/>
        <v>5.8876571918344348E-3</v>
      </c>
      <c r="AS65" s="1745">
        <f t="shared" si="50"/>
        <v>2.0086387813268557E-2</v>
      </c>
      <c r="AT65" s="1745">
        <f t="shared" si="50"/>
        <v>0.11458565200479369</v>
      </c>
      <c r="AU65" s="1349" t="e">
        <f t="shared" si="50"/>
        <v>#DIV/0!</v>
      </c>
      <c r="AV65" s="1745">
        <f t="shared" si="50"/>
        <v>4.5306571393878572E-2</v>
      </c>
      <c r="AW65" s="1745">
        <f t="shared" si="50"/>
        <v>1.6807511827064549E-2</v>
      </c>
      <c r="AX65" s="1745">
        <f t="shared" si="50"/>
        <v>2.5875924140147753E-2</v>
      </c>
      <c r="AY65" s="1745">
        <f t="shared" si="50"/>
        <v>0.12244961160982983</v>
      </c>
      <c r="AZ65" s="1349"/>
      <c r="BA65" s="1745">
        <f>BA48/BA10</f>
        <v>5.0111617425673653E-2</v>
      </c>
      <c r="BB65" s="1745">
        <f>BB48/BB10</f>
        <v>2.9406109674904708E-2</v>
      </c>
      <c r="BC65" s="1745">
        <f>BC48/BC10</f>
        <v>3.1976153762411821E-2</v>
      </c>
      <c r="BD65" s="1745">
        <f>BD48/BD10</f>
        <v>0.11654440088033961</v>
      </c>
      <c r="BE65" s="1349"/>
      <c r="BF65" s="1745">
        <f>BF48/BF10</f>
        <v>5.8805460484770075E-2</v>
      </c>
      <c r="BG65" s="1745">
        <f>BG48/BG10</f>
        <v>4.3410118935216416E-2</v>
      </c>
      <c r="BH65" s="1745">
        <f>BH48/BH10</f>
        <v>4.7011768210933988E-2</v>
      </c>
      <c r="BI65" s="1745">
        <f>BI48/BI10</f>
        <v>0.12338384602379401</v>
      </c>
      <c r="BK65" s="1745">
        <f>BK48/BK10</f>
        <v>6.598140724490667E-2</v>
      </c>
      <c r="BL65" s="1745">
        <f>BL48/BL10</f>
        <v>5.7659636274009204E-2</v>
      </c>
      <c r="BM65" s="1745">
        <f>BM48/BM10</f>
        <v>5.783472990271641E-2</v>
      </c>
      <c r="BN65" s="1745">
        <f>BN48/BN10</f>
        <v>0.12623416935620027</v>
      </c>
      <c r="BP65" s="1745">
        <f>BP48/BP10</f>
        <v>6.9980939238909357E-2</v>
      </c>
      <c r="BQ65" s="1745">
        <f>BQ48/BQ10</f>
        <v>6.1089986015168365E-2</v>
      </c>
      <c r="BR65" s="1745">
        <f>BR48/BR10</f>
        <v>6.3215652783720905E-2</v>
      </c>
      <c r="BS65" s="1746">
        <f>BS48/BS10</f>
        <v>0.12920779442469374</v>
      </c>
      <c r="BT65" s="1745"/>
      <c r="BU65" s="1745"/>
      <c r="BV65" s="1745"/>
      <c r="BW65" s="1745"/>
      <c r="BX65" s="1745"/>
      <c r="BY65" s="1745"/>
      <c r="BZ65" s="1692">
        <f t="shared" ref="BZ65:CF65" si="51">BZ48/BZ10</f>
        <v>3.2573778396968345E-2</v>
      </c>
      <c r="CA65" s="1745">
        <f t="shared" si="51"/>
        <v>4.4568820722514287E-2</v>
      </c>
      <c r="CB65" s="1745">
        <f t="shared" si="51"/>
        <v>4.1195926233547168E-2</v>
      </c>
      <c r="CC65" s="1745">
        <f t="shared" si="51"/>
        <v>4.0832061006104349E-2</v>
      </c>
      <c r="CD65" s="1745">
        <f t="shared" si="51"/>
        <v>4.8671731560403005E-2</v>
      </c>
      <c r="CE65" s="1745">
        <f t="shared" si="51"/>
        <v>5.8258203228881172E-2</v>
      </c>
      <c r="CF65" s="1745">
        <f t="shared" si="51"/>
        <v>6.1161631494595373E-2</v>
      </c>
      <c r="CG65" s="1745">
        <f t="shared" ref="CG65:CL65" si="52">CG48/CG10</f>
        <v>7.2047298275721358E-2</v>
      </c>
      <c r="CH65" s="1745">
        <f t="shared" si="52"/>
        <v>8.1370425748500383E-2</v>
      </c>
      <c r="CI65" s="1745">
        <f t="shared" si="52"/>
        <v>8.4495490199626822E-2</v>
      </c>
      <c r="CJ65" s="1745">
        <f t="shared" si="52"/>
        <v>8.3610504604993391E-2</v>
      </c>
      <c r="CK65" s="1745">
        <f t="shared" si="52"/>
        <v>8.3059575182331674E-2</v>
      </c>
      <c r="CL65" s="1745">
        <f t="shared" si="52"/>
        <v>8.3263866682648263E-2</v>
      </c>
      <c r="CM65" s="1745">
        <f t="shared" ref="CM65" si="53">CM48/CM10</f>
        <v>8.2814579214940051E-2</v>
      </c>
      <c r="CN65" s="1538"/>
      <c r="CO65" s="1349"/>
      <c r="CP65" s="1349"/>
    </row>
    <row r="66" spans="1:100">
      <c r="A66" s="1538" t="s">
        <v>896</v>
      </c>
      <c r="B66" s="1349"/>
      <c r="C66" s="1745"/>
      <c r="D66" s="1745"/>
      <c r="E66" s="1745"/>
      <c r="F66" s="1745"/>
      <c r="G66" s="1745"/>
      <c r="H66" s="1745"/>
      <c r="I66" s="1745"/>
      <c r="J66" s="1745"/>
      <c r="K66" s="1745"/>
      <c r="L66" s="1745"/>
      <c r="M66" s="1745"/>
      <c r="N66" s="1745"/>
      <c r="O66" s="1745"/>
      <c r="P66" s="1745"/>
      <c r="Q66" s="1745"/>
      <c r="R66" s="1745"/>
      <c r="S66" s="1745"/>
      <c r="T66" s="1745"/>
      <c r="U66" s="1745"/>
      <c r="V66" s="1745"/>
      <c r="W66" s="1745">
        <f t="shared" ref="W66:AY66" si="54">W39/W10</f>
        <v>-1.3416835031438142E-2</v>
      </c>
      <c r="X66" s="1745">
        <f t="shared" si="54"/>
        <v>-1.6875065979246227E-2</v>
      </c>
      <c r="Y66" s="1745">
        <f t="shared" si="54"/>
        <v>1.4200274194324751E-2</v>
      </c>
      <c r="Z66" s="1745">
        <f t="shared" si="54"/>
        <v>3.9777350808695634E-2</v>
      </c>
      <c r="AA66" s="1745" t="e">
        <f t="shared" si="54"/>
        <v>#DIV/0!</v>
      </c>
      <c r="AB66" s="1745">
        <f t="shared" si="54"/>
        <v>6.7326457116415371E-3</v>
      </c>
      <c r="AC66" s="1745">
        <f t="shared" si="54"/>
        <v>-5.4483499142367019E-2</v>
      </c>
      <c r="AD66" s="1745">
        <f t="shared" si="54"/>
        <v>-2.3358572617126409E-3</v>
      </c>
      <c r="AE66" s="1745">
        <f t="shared" si="54"/>
        <v>5.9616553365858985E-2</v>
      </c>
      <c r="AF66" s="1745" t="e">
        <f t="shared" si="54"/>
        <v>#DIV/0!</v>
      </c>
      <c r="AG66" s="1745">
        <f t="shared" si="54"/>
        <v>4.5430376899323558E-3</v>
      </c>
      <c r="AH66" s="1745">
        <f t="shared" si="54"/>
        <v>-4.0423697515217197E-2</v>
      </c>
      <c r="AI66" s="1745">
        <f t="shared" si="54"/>
        <v>-1.0684372228521725E-2</v>
      </c>
      <c r="AJ66" s="1745">
        <f t="shared" si="54"/>
        <v>4.7983400389768262E-2</v>
      </c>
      <c r="AK66" s="1745" t="e">
        <f t="shared" si="54"/>
        <v>#DIV/0!</v>
      </c>
      <c r="AL66" s="1745">
        <f t="shared" si="54"/>
        <v>4.7542426728137331E-4</v>
      </c>
      <c r="AM66" s="1745">
        <f t="shared" si="54"/>
        <v>-2.4509362459550484E-2</v>
      </c>
      <c r="AN66" s="1745">
        <f t="shared" si="54"/>
        <v>-1.8111487414944445E-3</v>
      </c>
      <c r="AO66" s="1745">
        <f t="shared" si="54"/>
        <v>6.7810843683059452E-2</v>
      </c>
      <c r="AP66" s="1349" t="e">
        <f t="shared" si="54"/>
        <v>#DIV/0!</v>
      </c>
      <c r="AQ66" s="1745">
        <f t="shared" si="54"/>
        <v>5.7604930644038089E-3</v>
      </c>
      <c r="AR66" s="1745">
        <f t="shared" si="54"/>
        <v>-1.4087210792447154E-2</v>
      </c>
      <c r="AS66" s="1745">
        <f t="shared" si="54"/>
        <v>-3.1310415574606655E-3</v>
      </c>
      <c r="AT66" s="1745">
        <f t="shared" si="54"/>
        <v>6.0720525048397082E-2</v>
      </c>
      <c r="AU66" s="1349" t="e">
        <f t="shared" si="54"/>
        <v>#DIV/0!</v>
      </c>
      <c r="AV66" s="1745">
        <f t="shared" si="54"/>
        <v>1.6496066097712498E-2</v>
      </c>
      <c r="AW66" s="1745">
        <f t="shared" si="54"/>
        <v>-8.4037559135338095E-4</v>
      </c>
      <c r="AX66" s="1745">
        <f t="shared" si="54"/>
        <v>1.0292130248891264E-2</v>
      </c>
      <c r="AY66" s="1745">
        <f t="shared" si="54"/>
        <v>7.3336331480137559E-2</v>
      </c>
      <c r="AZ66" s="1349"/>
      <c r="BA66" s="1745">
        <f>BA39/BA10</f>
        <v>2.6547281242947352E-2</v>
      </c>
      <c r="BB66" s="1745">
        <f>BB39/BB10</f>
        <v>1.2984413809256731E-2</v>
      </c>
      <c r="BC66" s="1745">
        <f>BC39/BC10</f>
        <v>1.5475031806357405E-2</v>
      </c>
      <c r="BD66" s="1745">
        <f>BD39/BD10</f>
        <v>7.0913939727499695E-2</v>
      </c>
      <c r="BE66" s="1349"/>
      <c r="BF66" s="1745">
        <f>BF39/BF10</f>
        <v>3.2440144386319196E-2</v>
      </c>
      <c r="BG66" s="1745">
        <f>BG39/BG10</f>
        <v>2.2504228905074267E-2</v>
      </c>
      <c r="BH66" s="1745">
        <f>BH39/BH10</f>
        <v>2.7019961269179184E-2</v>
      </c>
      <c r="BI66" s="1745">
        <f>BI39/BI10</f>
        <v>7.4825815751772926E-2</v>
      </c>
      <c r="BK66" s="1745">
        <f>BK39/BK10</f>
        <v>4.2027528209210907E-2</v>
      </c>
      <c r="BL66" s="1745">
        <f>BL39/BL10</f>
        <v>3.7613040850219714E-2</v>
      </c>
      <c r="BM66" s="1745">
        <f>BM39/BM10</f>
        <v>3.3925823635224527E-2</v>
      </c>
      <c r="BN66" s="1745">
        <f>BN39/BN10</f>
        <v>8.0451834415944834E-2</v>
      </c>
      <c r="BP66" s="1745">
        <f>BP39/BP10</f>
        <v>5.0729861698810295E-2</v>
      </c>
      <c r="BQ66" s="1745">
        <f>BQ39/BQ10</f>
        <v>4.4442527947419944E-2</v>
      </c>
      <c r="BR66" s="1745">
        <f>BR39/BR10</f>
        <v>4.2703261998067989E-2</v>
      </c>
      <c r="BS66" s="1746">
        <f>BS39/BS10</f>
        <v>9.2146832497971079E-2</v>
      </c>
      <c r="BT66" s="1745"/>
      <c r="BU66" s="1745"/>
      <c r="BV66" s="1745"/>
      <c r="BW66" s="1745"/>
      <c r="BX66" s="1745"/>
      <c r="BY66" s="1745"/>
      <c r="BZ66" s="1692">
        <f t="shared" ref="BZ66:CI66" si="55">BZ39/BZ10</f>
        <v>0</v>
      </c>
      <c r="CA66" s="1745">
        <f t="shared" si="55"/>
        <v>0</v>
      </c>
      <c r="CB66" s="1745">
        <f t="shared" si="55"/>
        <v>0</v>
      </c>
      <c r="CC66" s="1745">
        <f t="shared" si="55"/>
        <v>1.5487350626382162E-2</v>
      </c>
      <c r="CD66" s="1745">
        <f t="shared" si="55"/>
        <v>1.5863622791193813E-2</v>
      </c>
      <c r="CE66" s="1745">
        <f t="shared" si="55"/>
        <v>2.8782892791918195E-2</v>
      </c>
      <c r="CF66" s="1745">
        <f t="shared" si="55"/>
        <v>3.4237365785619443E-2</v>
      </c>
      <c r="CG66" s="1745">
        <f t="shared" si="55"/>
        <v>4.1729143782345636E-2</v>
      </c>
      <c r="CH66" s="1745">
        <f t="shared" si="55"/>
        <v>5.1354389963393761E-2</v>
      </c>
      <c r="CI66" s="1745">
        <f t="shared" si="55"/>
        <v>6.0072276870025164E-2</v>
      </c>
      <c r="CJ66" s="1745">
        <f>CJ39/CJ10</f>
        <v>6.0293536352959337E-2</v>
      </c>
      <c r="CK66" s="1745">
        <f>CK39/CK10</f>
        <v>6.0556472135651927E-2</v>
      </c>
      <c r="CL66" s="1745">
        <f>CL39/CL10</f>
        <v>6.1365100987411707E-2</v>
      </c>
      <c r="CM66" s="1745">
        <f>CM39/CM10</f>
        <v>6.1513816298417921E-2</v>
      </c>
      <c r="CN66" s="1538"/>
      <c r="CO66" s="1349"/>
      <c r="CP66" s="1349"/>
    </row>
    <row r="67" spans="1:100">
      <c r="A67" s="1538"/>
      <c r="B67" s="1349"/>
      <c r="C67" s="1349"/>
      <c r="D67" s="1349"/>
      <c r="E67" s="1349"/>
      <c r="F67" s="1349"/>
      <c r="G67" s="1349"/>
      <c r="H67" s="1349"/>
      <c r="I67" s="1349"/>
      <c r="J67" s="1349"/>
      <c r="K67" s="1349"/>
      <c r="L67" s="1349"/>
      <c r="M67" s="1349"/>
      <c r="N67" s="1349"/>
      <c r="O67" s="1349"/>
      <c r="P67" s="1349"/>
      <c r="Q67" s="1349"/>
      <c r="R67" s="1349"/>
      <c r="S67" s="1349"/>
      <c r="T67" s="1349"/>
      <c r="U67" s="1349"/>
      <c r="V67" s="1349"/>
      <c r="W67" s="1349"/>
      <c r="X67" s="1349"/>
      <c r="Y67" s="1349"/>
      <c r="Z67" s="1349"/>
      <c r="AA67" s="1349"/>
      <c r="AB67" s="1349"/>
      <c r="AC67" s="1349"/>
      <c r="AD67" s="1349"/>
      <c r="AE67" s="1349"/>
      <c r="AF67" s="1349"/>
      <c r="AG67" s="1349"/>
      <c r="AH67" s="1349"/>
      <c r="AI67" s="1349"/>
      <c r="AJ67" s="1349"/>
      <c r="AK67" s="1349"/>
      <c r="AL67" s="1349"/>
      <c r="AM67" s="1349"/>
      <c r="AN67" s="1349"/>
      <c r="AO67" s="1349"/>
      <c r="AP67" s="1349"/>
      <c r="AQ67" s="1349"/>
      <c r="AR67" s="1349"/>
      <c r="AS67" s="1349"/>
      <c r="AT67" s="1349"/>
      <c r="AU67" s="1349"/>
      <c r="AV67" s="1349"/>
      <c r="AW67" s="1349"/>
      <c r="AX67" s="1349"/>
      <c r="AY67" s="1349"/>
      <c r="AZ67" s="1349"/>
      <c r="BA67" s="1349"/>
      <c r="BB67" s="1349"/>
      <c r="BC67" s="1349"/>
      <c r="BD67" s="1349"/>
      <c r="BE67" s="1349"/>
      <c r="BF67" s="1743"/>
      <c r="BG67" s="1743"/>
      <c r="BH67" s="1743"/>
      <c r="BI67" s="1743"/>
      <c r="BK67" s="1743"/>
      <c r="BL67" s="1743"/>
      <c r="BM67" s="1743"/>
      <c r="BN67" s="1743"/>
      <c r="BP67" s="1743"/>
      <c r="BQ67" s="1743"/>
      <c r="BR67" s="1743"/>
      <c r="BS67" s="1744"/>
      <c r="BT67" s="1349"/>
      <c r="BU67" s="1349"/>
      <c r="BV67" s="1349"/>
      <c r="BW67" s="1349"/>
      <c r="BX67" s="1349"/>
      <c r="BY67" s="1349"/>
      <c r="BZ67" s="1538"/>
      <c r="CA67" s="1349"/>
      <c r="CB67" s="1349"/>
      <c r="CC67" s="1349"/>
      <c r="CD67" s="1349"/>
      <c r="CE67" s="1349"/>
      <c r="CF67" s="1349"/>
      <c r="CG67" s="1743"/>
      <c r="CH67" s="1349"/>
      <c r="CI67" s="1349"/>
      <c r="CJ67" s="1349"/>
      <c r="CK67" s="1349"/>
      <c r="CL67" s="1349"/>
      <c r="CM67" s="1349"/>
      <c r="CN67" s="1538"/>
      <c r="CO67" s="1349"/>
      <c r="CP67" s="1349"/>
    </row>
    <row r="68" spans="1:100">
      <c r="A68" s="1676" t="s">
        <v>210</v>
      </c>
      <c r="B68" s="1349"/>
      <c r="C68" s="1349"/>
      <c r="D68" s="1349"/>
      <c r="E68" s="1349"/>
      <c r="F68" s="1349"/>
      <c r="G68" s="1349"/>
      <c r="H68" s="1349"/>
      <c r="I68" s="1349"/>
      <c r="J68" s="1349"/>
      <c r="K68" s="1349"/>
      <c r="L68" s="1349"/>
      <c r="M68" s="1349"/>
      <c r="N68" s="1349"/>
      <c r="O68" s="1349"/>
      <c r="P68" s="1349"/>
      <c r="Q68" s="1349"/>
      <c r="R68" s="1349"/>
      <c r="S68" s="1349"/>
      <c r="T68" s="1349"/>
      <c r="U68" s="1349"/>
      <c r="V68" s="1349"/>
      <c r="W68" s="1349"/>
      <c r="X68" s="1349"/>
      <c r="Y68" s="1349"/>
      <c r="Z68" s="1349"/>
      <c r="AA68" s="1349"/>
      <c r="AB68" s="1349"/>
      <c r="AC68" s="1349"/>
      <c r="AD68" s="1349"/>
      <c r="AE68" s="1349"/>
      <c r="AF68" s="1349"/>
      <c r="AG68" s="1349"/>
      <c r="AH68" s="1349"/>
      <c r="AI68" s="1349"/>
      <c r="AJ68" s="1349"/>
      <c r="AK68" s="1349"/>
      <c r="AL68" s="1349"/>
      <c r="AM68" s="1349"/>
      <c r="AN68" s="1349"/>
      <c r="AO68" s="1349"/>
      <c r="AP68" s="1349"/>
      <c r="AQ68" s="1349"/>
      <c r="AR68" s="1349"/>
      <c r="AS68" s="1349"/>
      <c r="AT68" s="1349"/>
      <c r="AU68" s="1743">
        <f>AU70+AP70</f>
        <v>0</v>
      </c>
      <c r="AV68" s="1743"/>
      <c r="AW68" s="1743"/>
      <c r="AX68" s="1743"/>
      <c r="AY68" s="1743"/>
      <c r="AZ68" s="1743"/>
      <c r="BA68" s="1743"/>
      <c r="BB68" s="1743"/>
      <c r="BC68" s="1743"/>
      <c r="BD68" s="1743"/>
      <c r="BE68" s="1349"/>
      <c r="BF68" s="1743"/>
      <c r="BG68" s="1743"/>
      <c r="BH68" s="1745"/>
      <c r="BI68" s="1745"/>
      <c r="BK68" s="1743"/>
      <c r="BL68" s="1743"/>
      <c r="BM68" s="1745"/>
      <c r="BN68" s="1745"/>
      <c r="BP68" s="1743"/>
      <c r="BQ68" s="1743"/>
      <c r="BR68" s="1745"/>
      <c r="BS68" s="1746"/>
      <c r="BT68" s="1349"/>
      <c r="BU68" s="1349"/>
      <c r="BV68" s="1349"/>
      <c r="BW68" s="1349"/>
      <c r="BX68" s="1349"/>
      <c r="BY68" s="1349"/>
      <c r="BZ68" s="1538"/>
      <c r="CA68" s="1349"/>
      <c r="CB68" s="1349"/>
      <c r="CC68" s="1349"/>
      <c r="CD68" s="1349"/>
      <c r="CE68" s="1349"/>
      <c r="CF68" s="1349"/>
      <c r="CG68" s="1349"/>
      <c r="CH68" s="1349"/>
      <c r="CI68" s="1349"/>
      <c r="CJ68" s="1349"/>
      <c r="CK68" s="1349"/>
      <c r="CL68" s="1349"/>
      <c r="CM68" s="1349"/>
      <c r="CN68" s="1538"/>
      <c r="CO68" s="1349"/>
      <c r="CP68" s="1349"/>
    </row>
    <row r="69" spans="1:100">
      <c r="A69" s="1538" t="s">
        <v>98</v>
      </c>
      <c r="B69" s="1349"/>
      <c r="C69" s="1750"/>
      <c r="D69" s="1750"/>
      <c r="E69" s="1750"/>
      <c r="F69" s="1750"/>
      <c r="G69" s="1349"/>
      <c r="H69" s="1745"/>
      <c r="I69" s="1745"/>
      <c r="J69" s="1745"/>
      <c r="K69" s="1745"/>
      <c r="L69" s="1745"/>
      <c r="M69" s="1745"/>
      <c r="N69" s="1745"/>
      <c r="O69" s="1745"/>
      <c r="P69" s="1745"/>
      <c r="Q69" s="1745"/>
      <c r="R69" s="1745"/>
      <c r="S69" s="1745"/>
      <c r="T69" s="1745"/>
      <c r="U69" s="1745"/>
      <c r="V69" s="1745"/>
      <c r="W69" s="1747"/>
      <c r="X69" s="1747"/>
      <c r="Y69" s="1747"/>
      <c r="Z69" s="1747"/>
      <c r="AA69" s="1745"/>
      <c r="AB69" s="1745">
        <f>((AB10/W10)-1)</f>
        <v>7.7869459774975391E-2</v>
      </c>
      <c r="AC69" s="1745">
        <f>((AC10/X10)-1)</f>
        <v>3.9618932405867335E-2</v>
      </c>
      <c r="AD69" s="1745">
        <f>((AD10/Y10)-1)</f>
        <v>-1.6263666730095161E-2</v>
      </c>
      <c r="AE69" s="1745">
        <f>((AE10/Z10)-1)</f>
        <v>6.115930144999826E-2</v>
      </c>
      <c r="AF69" s="1745"/>
      <c r="AG69" s="1745">
        <f>((AG10/AB10)-1)</f>
        <v>3.8452940611035435E-2</v>
      </c>
      <c r="AH69" s="1745">
        <f>((AH10/AC10)-1)</f>
        <v>8.8643567753001529E-2</v>
      </c>
      <c r="AI69" s="1745">
        <f>((AI10/AD10)-1)</f>
        <v>4.716576592953059E-2</v>
      </c>
      <c r="AJ69" s="1745">
        <f>((AJ10/AE10)-1)</f>
        <v>3.7923783741923289E-2</v>
      </c>
      <c r="AK69" s="1745"/>
      <c r="AL69" s="1745">
        <f>((AL10/AG10)-1)</f>
        <v>5.7412422264582874E-2</v>
      </c>
      <c r="AM69" s="1745">
        <f>((AM10/AH10)-1)</f>
        <v>8.928255026476517E-2</v>
      </c>
      <c r="AN69" s="1745">
        <f>((AN10/AI10)-1)</f>
        <v>7.7037777231286908E-2</v>
      </c>
      <c r="AO69" s="1745">
        <f>((AO10/AJ10)-1)</f>
        <v>2.3921474152118982E-2</v>
      </c>
      <c r="AP69" s="1349"/>
      <c r="AQ69" s="1745">
        <f>((AQ10/AL10)-1)</f>
        <v>8.406899164155468E-2</v>
      </c>
      <c r="AR69" s="1745">
        <f>((AR10/AM10)-1)</f>
        <v>0.11517234522072739</v>
      </c>
      <c r="AS69" s="1745">
        <f>((AS10/AN10)-1)</f>
        <v>9.9812582782825343E-2</v>
      </c>
      <c r="AT69" s="1745">
        <f>((AT10/AO10)-1)</f>
        <v>5.6821964495954891E-2</v>
      </c>
      <c r="AU69" s="1349"/>
      <c r="AV69" s="1745">
        <f>((AV10/AQ10)-1)</f>
        <v>5.9394580160054389E-2</v>
      </c>
      <c r="AW69" s="1745">
        <f>((AW10/AR10)-1)</f>
        <v>8.2877543163873746E-2</v>
      </c>
      <c r="AX69" s="1745">
        <f>((AX10/AS10)-1)</f>
        <v>8.7167520587091429E-2</v>
      </c>
      <c r="AY69" s="1745">
        <f>((AY10/AT10)-1)</f>
        <v>0.11323360891329171</v>
      </c>
      <c r="AZ69" s="1349"/>
      <c r="BA69" s="1745">
        <f>((BA10/AV10)-1)</f>
        <v>4.8561114415090589E-2</v>
      </c>
      <c r="BB69" s="1745">
        <f>((BB10/AW10)-1)</f>
        <v>9.6434296906517281E-2</v>
      </c>
      <c r="BC69" s="1745">
        <f>((BC10/AX10)-1)</f>
        <v>6.3591556841315899E-2</v>
      </c>
      <c r="BD69" s="1745">
        <f>((BD10/AY10)-1)</f>
        <v>3.7302017959258471E-2</v>
      </c>
      <c r="BE69" s="1349"/>
      <c r="BF69" s="1745">
        <f>((BF10/BA10)-1)</f>
        <v>8.4197829524985668E-2</v>
      </c>
      <c r="BG69" s="1745">
        <f>((BG10/BB10)-1)</f>
        <v>9.6865282664666985E-2</v>
      </c>
      <c r="BH69" s="1745">
        <f>((BH10/BC10)-1)</f>
        <v>9.0759014238524172E-2</v>
      </c>
      <c r="BI69" s="1745">
        <f>((BI10/BD10)-1)</f>
        <v>9.4073803405961609E-2</v>
      </c>
      <c r="BK69" s="1745">
        <f>((BK10/BF10)-1)</f>
        <v>4.9799246883454051E-2</v>
      </c>
      <c r="BL69" s="1745">
        <f>((BL10/BG10)-1)</f>
        <v>8.6188392044001194E-2</v>
      </c>
      <c r="BM69" s="1745">
        <f>((BM10/BH10)-1)</f>
        <v>7.1180545210784985E-2</v>
      </c>
      <c r="BN69" s="1745">
        <f>((BN10/BI10)-1)</f>
        <v>0.14896586908225884</v>
      </c>
      <c r="BP69" s="1745">
        <f>((BP10/BK10)-1)</f>
        <v>0.10356902356902364</v>
      </c>
      <c r="BQ69" s="1745">
        <f>((BQ10/BL10)-1)</f>
        <v>9.9607023411371287E-2</v>
      </c>
      <c r="BR69" s="1745">
        <f>((BR10/BM10)-1)</f>
        <v>0.1001868399675061</v>
      </c>
      <c r="BS69" s="1746">
        <f>((BS10/BN10)-1)</f>
        <v>4.2999999999999927E-2</v>
      </c>
      <c r="BT69" s="1750" t="s">
        <v>90</v>
      </c>
      <c r="BU69" s="1745">
        <f>((BU10/BT10)-1)</f>
        <v>0.11884082294857268</v>
      </c>
      <c r="BV69" s="1745">
        <f>((BV10/BU10)-1)</f>
        <v>8.4602355117755934E-2</v>
      </c>
      <c r="BW69" s="1745">
        <f>((BW10/BV10)-1)</f>
        <v>-8.3297940328835862E-3</v>
      </c>
      <c r="BX69" s="1745">
        <f>((BX10/BW10)-1)</f>
        <v>-5.134753874963871E-3</v>
      </c>
      <c r="BY69" s="1745">
        <f>((BY10/BX10)-1)</f>
        <v>4.3047652536979841E-2</v>
      </c>
      <c r="BZ69" s="1751" t="s">
        <v>313</v>
      </c>
      <c r="CA69" s="1745">
        <f t="shared" ref="CA69:CI69" si="56">((CA10/BZ10)-1)</f>
        <v>4.1638257419851943E-2</v>
      </c>
      <c r="CB69" s="1745">
        <f t="shared" si="56"/>
        <v>5.0286652339954108E-2</v>
      </c>
      <c r="CC69" s="1745">
        <f t="shared" si="56"/>
        <v>5.7834048081879086E-2</v>
      </c>
      <c r="CD69" s="1745">
        <f t="shared" si="56"/>
        <v>8.596170996477448E-2</v>
      </c>
      <c r="CE69" s="1745">
        <f t="shared" si="56"/>
        <v>8.7408410564600469E-2</v>
      </c>
      <c r="CF69" s="1745">
        <f t="shared" si="56"/>
        <v>5.9077321360621937E-2</v>
      </c>
      <c r="CG69" s="1745">
        <f t="shared" si="56"/>
        <v>9.1608595682389993E-2</v>
      </c>
      <c r="CH69" s="1745">
        <f t="shared" si="56"/>
        <v>9.3195195577177259E-2</v>
      </c>
      <c r="CI69" s="1745">
        <f t="shared" si="56"/>
        <v>8.2602386578097819E-2</v>
      </c>
      <c r="CJ69" s="1745">
        <f>((CJ10/CI10)-1)</f>
        <v>0.1039599383667178</v>
      </c>
      <c r="CK69" s="1745">
        <f>((CK10/CJ10)-1)</f>
        <v>9.9666182873729969E-2</v>
      </c>
      <c r="CL69" s="1745">
        <f>((CL10/CK10)-1)</f>
        <v>9.5843621399176904E-2</v>
      </c>
      <c r="CM69" s="1745">
        <f>((CM10/CL10)-1)</f>
        <v>9.2418725617685382E-2</v>
      </c>
      <c r="CN69" s="1538"/>
      <c r="CO69" s="1349"/>
      <c r="CP69" s="1349"/>
    </row>
    <row r="70" spans="1:100">
      <c r="A70" s="1538" t="s">
        <v>211</v>
      </c>
      <c r="B70" s="1349"/>
      <c r="C70" s="1750"/>
      <c r="D70" s="1750"/>
      <c r="E70" s="1750"/>
      <c r="F70" s="1750"/>
      <c r="G70" s="1349"/>
      <c r="H70" s="1750"/>
      <c r="I70" s="1750"/>
      <c r="J70" s="1750"/>
      <c r="K70" s="1750"/>
      <c r="L70" s="1349"/>
      <c r="M70" s="1745"/>
      <c r="N70" s="1745"/>
      <c r="O70" s="1745"/>
      <c r="P70" s="1745"/>
      <c r="Q70" s="1745"/>
      <c r="R70" s="1745"/>
      <c r="S70" s="1745"/>
      <c r="T70" s="1745"/>
      <c r="U70" s="1745"/>
      <c r="V70" s="1745"/>
      <c r="W70" s="1745">
        <f>'qtrP&amp;L'!AK11/100</f>
        <v>-0.02</v>
      </c>
      <c r="X70" s="1745">
        <f>'qtrP&amp;L'!AK12/100</f>
        <v>-7.0000000000000007E-2</v>
      </c>
      <c r="Y70" s="1745">
        <f>'qtrP&amp;L'!AK13/100</f>
        <v>0</v>
      </c>
      <c r="Z70" s="1745">
        <f>'qtrP&amp;L'!AK14/100</f>
        <v>-7.0000000000000007E-2</v>
      </c>
      <c r="AA70" s="1745"/>
      <c r="AB70" s="1745">
        <f>'qtrP&amp;L'!AO11/100</f>
        <v>3.3000000000000002E-2</v>
      </c>
      <c r="AC70" s="1745">
        <f>'qtrP&amp;L'!AO12/100</f>
        <v>3.0000000000000001E-3</v>
      </c>
      <c r="AD70" s="1745">
        <f>'qtrP&amp;L'!AO13/100</f>
        <v>-5.5999999999999994E-2</v>
      </c>
      <c r="AE70" s="1745">
        <f>'qtrP&amp;L'!AO14/100</f>
        <v>1.2E-2</v>
      </c>
      <c r="AF70" s="1745"/>
      <c r="AG70" s="1745">
        <f>'qtrP&amp;L'!AS11/100</f>
        <v>5.0000000000000001E-3</v>
      </c>
      <c r="AH70" s="1745">
        <f>'qtrP&amp;L'!AS12/100</f>
        <v>0.04</v>
      </c>
      <c r="AI70" s="1745">
        <f>'qtrP&amp;L'!AS13/100</f>
        <v>1.4999999999999999E-2</v>
      </c>
      <c r="AJ70" s="1745">
        <f>'qtrP&amp;L'!AS14/100</f>
        <v>-1.7000000000000001E-2</v>
      </c>
      <c r="AK70" s="1745"/>
      <c r="AL70" s="1745">
        <f>'qtrP&amp;L'!AW11/100</f>
        <v>6.0000000000000001E-3</v>
      </c>
      <c r="AM70" s="1745">
        <f>'qtrP&amp;L'!AW12/100</f>
        <v>2.8999999999999998E-2</v>
      </c>
      <c r="AN70" s="1745">
        <f>'qtrP&amp;L'!AW13/100</f>
        <v>2.1000000000000001E-2</v>
      </c>
      <c r="AO70" s="1745">
        <f>'qtrP&amp;L'!AW14/100</f>
        <v>-3.0000000000000001E-3</v>
      </c>
      <c r="AP70" s="1349"/>
      <c r="AQ70" s="1745">
        <f>'qtrP&amp;L'!BA11/100</f>
        <v>3.4000000000000002E-2</v>
      </c>
      <c r="AR70" s="1745">
        <f>'qtrP&amp;L'!BA12/100</f>
        <v>7.8E-2</v>
      </c>
      <c r="AS70" s="1745">
        <f>'qtrP&amp;L'!BA13/100</f>
        <v>3.9E-2</v>
      </c>
      <c r="AT70" s="1745">
        <f>'qtrP&amp;L'!BA14/100</f>
        <v>0.04</v>
      </c>
      <c r="AU70" s="1349"/>
      <c r="AV70" s="1745">
        <f>'qtrP&amp;L'!BE11/100</f>
        <v>2.7000000000000003E-2</v>
      </c>
      <c r="AW70" s="1745">
        <f>'qtrP&amp;L'!BE12/100</f>
        <v>4.7E-2</v>
      </c>
      <c r="AX70" s="1745">
        <f>'qtrP&amp;L'!BE13/100</f>
        <v>5.2000000000000005E-2</v>
      </c>
      <c r="AY70" s="1745">
        <f>'qtrP&amp;L'!BE14/100</f>
        <v>6.7000000000000004E-2</v>
      </c>
      <c r="AZ70" s="1349"/>
      <c r="BA70" s="1745">
        <f>'qtrP&amp;L'!BJ11/100</f>
        <v>8.0000000000000002E-3</v>
      </c>
      <c r="BB70" s="1745">
        <f>'qtrP&amp;L'!BJ12/100</f>
        <v>5.5999999999999994E-2</v>
      </c>
      <c r="BC70" s="1745">
        <f>'qtrP&amp;L_new'!BI13/100</f>
        <v>2.7999999999999997E-2</v>
      </c>
      <c r="BD70" s="1745">
        <f>'qtrP&amp;L_new'!BI14/100</f>
        <v>1E-3</v>
      </c>
      <c r="BE70" s="1349"/>
      <c r="BF70" s="1745">
        <f>'qtrP&amp;L_new'!$BM$11/100</f>
        <v>4.2999999999999997E-2</v>
      </c>
      <c r="BG70" s="1745">
        <f>'qtrP&amp;L_new'!$BM$12/100</f>
        <v>5.4000000000000006E-2</v>
      </c>
      <c r="BH70" s="1745">
        <f>'qtrP&amp;L_new'!BM13/100</f>
        <v>3.7000000000000005E-2</v>
      </c>
      <c r="BI70" s="1745">
        <f>'qtrP&amp;L_new'!BM14/100</f>
        <v>4.5999999999999999E-2</v>
      </c>
      <c r="BK70" s="1745">
        <f>'qtrP&amp;L_new'!$BQ$11/100</f>
        <v>5.0000000000000001E-3</v>
      </c>
      <c r="BL70" s="1745">
        <f>'qtrP&amp;L_new'!$BQ$12/100</f>
        <v>3.5000000000000003E-2</v>
      </c>
      <c r="BM70" s="1745">
        <f>'qtrP&amp;L_new'!BQ13/100</f>
        <v>3.1E-2</v>
      </c>
      <c r="BN70" s="1745">
        <f>'qtrP&amp;L_new'!BQ14/100</f>
        <v>5.9000000000000004E-2</v>
      </c>
      <c r="BP70" s="1745">
        <f t="array" ref="BP70:BS70">TRANSPOSE('qtrP&amp;L_new'!BU11:BU14/100)</f>
        <v>0.03</v>
      </c>
      <c r="BQ70" s="1745">
        <v>0.03</v>
      </c>
      <c r="BR70" s="1745">
        <v>0.03</v>
      </c>
      <c r="BS70" s="1746">
        <v>0.03</v>
      </c>
      <c r="BT70" s="1750" t="s">
        <v>90</v>
      </c>
      <c r="BU70" s="1750" t="s">
        <v>90</v>
      </c>
      <c r="BV70" s="1745">
        <f>yrSales!H40</f>
        <v>4.2999999999999997E-2</v>
      </c>
      <c r="BW70" s="1745">
        <f>yrSales!I40</f>
        <v>-2.1999999999999999E-2</v>
      </c>
      <c r="BX70" s="1745">
        <f>yrSales!J40</f>
        <v>-5.1999999999999998E-2</v>
      </c>
      <c r="BY70" s="1745">
        <f>yrSales!K40</f>
        <v>-2.5000000000000001E-2</v>
      </c>
      <c r="BZ70" s="1751" t="s">
        <v>313</v>
      </c>
      <c r="CA70" s="1745">
        <f>yrSales!M40</f>
        <v>-2E-3</v>
      </c>
      <c r="CB70" s="1745">
        <f>yrSales!N40</f>
        <v>6.9999999999999993E-3</v>
      </c>
      <c r="CC70" s="1745">
        <f>yrSales!P40</f>
        <v>1.2E-2</v>
      </c>
      <c r="CD70" s="1745">
        <f>yrSales!Q40</f>
        <v>4.7E-2</v>
      </c>
      <c r="CE70" s="1745">
        <f>yrSales!R40</f>
        <v>4.9000000000000002E-2</v>
      </c>
      <c r="CF70" s="1745">
        <f>yrSales!S40</f>
        <v>2.1484157270581374E-2</v>
      </c>
      <c r="CG70" s="1745">
        <f>yrSales!T40</f>
        <v>4.494161951463501E-2</v>
      </c>
      <c r="CH70" s="1745">
        <f>yrSales!U40</f>
        <v>3.4000000000000002E-2</v>
      </c>
      <c r="CI70" s="1745">
        <f>yrSales!V40</f>
        <v>2.9999999999999995E-2</v>
      </c>
      <c r="CJ70" s="1745">
        <f>yrSales!W40</f>
        <v>0.03</v>
      </c>
      <c r="CK70" s="1745">
        <f>yrSales!X40</f>
        <v>0.03</v>
      </c>
      <c r="CL70" s="1745">
        <f>yrSales!Y40</f>
        <v>0.03</v>
      </c>
      <c r="CM70" s="1745">
        <f>yrSales!Z40</f>
        <v>0.03</v>
      </c>
      <c r="CN70" s="1538"/>
      <c r="CO70" s="1349"/>
      <c r="CP70" s="1349"/>
    </row>
    <row r="71" spans="1:100">
      <c r="A71" s="1538" t="s">
        <v>189</v>
      </c>
      <c r="B71" s="1349"/>
      <c r="C71" s="1750"/>
      <c r="D71" s="1750"/>
      <c r="E71" s="1750"/>
      <c r="F71" s="1750"/>
      <c r="G71" s="1349"/>
      <c r="H71" s="1745"/>
      <c r="I71" s="1745"/>
      <c r="J71" s="1745"/>
      <c r="K71" s="1745"/>
      <c r="L71" s="1745"/>
      <c r="M71" s="1745"/>
      <c r="N71" s="1745"/>
      <c r="O71" s="1745"/>
      <c r="P71" s="1745"/>
      <c r="Q71" s="1745"/>
      <c r="R71" s="1745"/>
      <c r="S71" s="1745"/>
      <c r="T71" s="1745"/>
      <c r="U71" s="1745"/>
      <c r="V71" s="1745"/>
      <c r="W71" s="1747"/>
      <c r="X71" s="1747"/>
      <c r="Y71" s="1747"/>
      <c r="Z71" s="1747"/>
      <c r="AA71" s="1745"/>
      <c r="AB71" s="1745">
        <f>((AB13/W13)-1)</f>
        <v>6.2645932211149669E-2</v>
      </c>
      <c r="AC71" s="1745">
        <f>((AC13/X13)-1)</f>
        <v>1.9651760892320569E-2</v>
      </c>
      <c r="AD71" s="1745">
        <f>((AD13/Y13)-1)</f>
        <v>1.4380134176702697E-2</v>
      </c>
      <c r="AE71" s="1745">
        <f>((AE13/Z13)-1)</f>
        <v>5.5790769798052864E-2</v>
      </c>
      <c r="AF71" s="1745"/>
      <c r="AG71" s="1745">
        <f>((AG13/AB13)-1)</f>
        <v>3.6980124080882248E-2</v>
      </c>
      <c r="AH71" s="1745">
        <f>((AH13/AC13)-1)</f>
        <v>1.8125020696963201E-2</v>
      </c>
      <c r="AI71" s="1745">
        <f>((AI13/AD13)-1)</f>
        <v>0.11034318565356527</v>
      </c>
      <c r="AJ71" s="1745">
        <f>((AJ13/AE13)-1)</f>
        <v>3.8726113855210853E-2</v>
      </c>
      <c r="AK71" s="1745"/>
      <c r="AL71" s="1745">
        <f>((AL13/AG13)-1)</f>
        <v>6.5029324061379068E-2</v>
      </c>
      <c r="AM71" s="1745">
        <f>((AM13/AH13)-1)</f>
        <v>9.2764124031007755E-2</v>
      </c>
      <c r="AN71" s="1745">
        <f>((AN13/AI13)-1)</f>
        <v>5.6256976546191773E-2</v>
      </c>
      <c r="AO71" s="1745">
        <f>((AO13/AJ13)-1)</f>
        <v>3.3348393558226608E-2</v>
      </c>
      <c r="AP71" s="1349"/>
      <c r="AQ71" s="1745">
        <f>((AQ13/AL13)-1)</f>
        <v>6.5321970911556893E-2</v>
      </c>
      <c r="AR71" s="1745">
        <f>((AR13/AM13)-1)</f>
        <v>8.0641059600042864E-2</v>
      </c>
      <c r="AS71" s="1745">
        <f>((AS13/AN13)-1)</f>
        <v>8.4107769236510199E-2</v>
      </c>
      <c r="AT71" s="1745">
        <f>((AT13/AO13)-1)</f>
        <v>8.7045497408563488E-2</v>
      </c>
      <c r="AU71" s="1349"/>
      <c r="AV71" s="1745">
        <f>((AV13/AQ13)-1)</f>
        <v>5.8946488294314481E-2</v>
      </c>
      <c r="AW71" s="1745">
        <f>((AW13/AR13)-1)</f>
        <v>7.1211940371591176E-2</v>
      </c>
      <c r="AX71" s="1745">
        <f>((AX13/AS13)-1)</f>
        <v>9.2424872435281413E-2</v>
      </c>
      <c r="AY71" s="1745">
        <f>((AY13/AT13)-1)</f>
        <v>0.11681606080528528</v>
      </c>
      <c r="AZ71" s="1349"/>
      <c r="BA71" s="1745">
        <f>((BA13/AV13)-1)</f>
        <v>8.8346238412084555E-2</v>
      </c>
      <c r="BB71" s="1745">
        <f>((BB13/AW13)-1)</f>
        <v>9.0221869232571139E-2</v>
      </c>
      <c r="BC71" s="1745">
        <f>((BC13/AX13)-1)</f>
        <v>4.9133756645232118E-2</v>
      </c>
      <c r="BD71" s="1745">
        <f>((BD13/AY13)-1)</f>
        <v>1.0385557852821803E-2</v>
      </c>
      <c r="BE71" s="1349"/>
      <c r="BF71" s="1745">
        <f>((BF13/BA13)-1)</f>
        <v>6.8063090613986965E-2</v>
      </c>
      <c r="BG71" s="1745">
        <f>((BG13/BB13)-1)</f>
        <v>6.6812366681865631E-2</v>
      </c>
      <c r="BH71" s="1745">
        <f>((BH13/BC13)-1)</f>
        <v>8.3773621172258839E-2</v>
      </c>
      <c r="BI71" s="1745">
        <f>((BI13/BD13)-1)</f>
        <v>9.3466089411408104E-2</v>
      </c>
      <c r="BK71" s="1745">
        <f>((BK13/BF13)-1)</f>
        <v>4.3310980824770473E-2</v>
      </c>
      <c r="BL71" s="1745">
        <f>((BL13/BG13)-1)</f>
        <v>7.3922505907610514E-2</v>
      </c>
      <c r="BM71" s="1745">
        <f>((BM13/BH13)-1)</f>
        <v>6.4561755107832131E-2</v>
      </c>
      <c r="BN71" s="1745">
        <f>((BN13/BI13)-1)</f>
        <v>0.1376718678253035</v>
      </c>
      <c r="BP71" s="1745">
        <f>((BP13/BK13)-1)</f>
        <v>0.10164525105062472</v>
      </c>
      <c r="BQ71" s="1745">
        <f>((BQ13/BL13)-1)</f>
        <v>9.546728199732013E-2</v>
      </c>
      <c r="BR71" s="1745">
        <f>((BR13/BM13)-1)</f>
        <v>9.6255629670580767E-2</v>
      </c>
      <c r="BS71" s="1746">
        <f>((BS13/BN13)-1)</f>
        <v>4.2258654549989005E-2</v>
      </c>
      <c r="BT71" s="1750" t="s">
        <v>90</v>
      </c>
      <c r="BU71" s="1745">
        <f>((BU13/BT13)-1)</f>
        <v>6.4106908547106434E-2</v>
      </c>
      <c r="BV71" s="1745">
        <f>((BV13/BU13)-1)</f>
        <v>9.8315964663344246E-2</v>
      </c>
      <c r="BW71" s="1745">
        <f>((BW13/BV13)-1)</f>
        <v>1.002545816134659E-2</v>
      </c>
      <c r="BX71" s="1745">
        <f>((BX13/BW13)-1)</f>
        <v>2.6693509828060513E-2</v>
      </c>
      <c r="BY71" s="1745">
        <f>((BY13/BX13)-1)</f>
        <v>2.2385726818777263E-2</v>
      </c>
      <c r="BZ71" s="1751" t="s">
        <v>313</v>
      </c>
      <c r="CA71" s="1745">
        <f t="shared" ref="CA71:CF71" si="57">((CA13/BZ13)-1)</f>
        <v>3.3685231067542842E-2</v>
      </c>
      <c r="CB71" s="1745">
        <f t="shared" si="57"/>
        <v>5.8570505538939166E-2</v>
      </c>
      <c r="CC71" s="1745">
        <f t="shared" si="57"/>
        <v>5.7630333796035549E-2</v>
      </c>
      <c r="CD71" s="1745">
        <f t="shared" si="57"/>
        <v>7.9596560739587874E-2</v>
      </c>
      <c r="CE71" s="1745">
        <f t="shared" si="57"/>
        <v>8.6119437730459047E-2</v>
      </c>
      <c r="CF71" s="1745">
        <f t="shared" si="57"/>
        <v>5.6937858549080067E-2</v>
      </c>
      <c r="CG71" s="1745">
        <f t="shared" ref="CG71:CM71" si="58">((CG13/CF13)-1)</f>
        <v>7.8570185727393715E-2</v>
      </c>
      <c r="CH71" s="1745">
        <f t="shared" si="58"/>
        <v>8.1386286733621471E-2</v>
      </c>
      <c r="CI71" s="1745">
        <f t="shared" si="58"/>
        <v>8.2068060513709185E-2</v>
      </c>
      <c r="CJ71" s="1745">
        <f t="shared" si="58"/>
        <v>0.10394015163646286</v>
      </c>
      <c r="CK71" s="1745">
        <f t="shared" si="58"/>
        <v>0.1028994385567954</v>
      </c>
      <c r="CL71" s="1745">
        <f t="shared" si="58"/>
        <v>9.6200573718850935E-2</v>
      </c>
      <c r="CM71" s="1745">
        <f t="shared" si="58"/>
        <v>9.4553050708439557E-2</v>
      </c>
      <c r="CN71" s="1538"/>
      <c r="CO71" s="1349"/>
      <c r="CP71" s="1349"/>
    </row>
    <row r="72" spans="1:100">
      <c r="A72" s="1538" t="s">
        <v>191</v>
      </c>
      <c r="B72" s="1349"/>
      <c r="C72" s="1750"/>
      <c r="D72" s="1750"/>
      <c r="E72" s="1750"/>
      <c r="F72" s="1750"/>
      <c r="G72" s="1349"/>
      <c r="H72" s="1745"/>
      <c r="I72" s="1745"/>
      <c r="J72" s="1745"/>
      <c r="K72" s="1745"/>
      <c r="L72" s="1745"/>
      <c r="M72" s="1745"/>
      <c r="N72" s="1745"/>
      <c r="O72" s="1745"/>
      <c r="P72" s="1745"/>
      <c r="Q72" s="1745"/>
      <c r="R72" s="1745"/>
      <c r="S72" s="1745"/>
      <c r="T72" s="1745"/>
      <c r="U72" s="1745"/>
      <c r="V72" s="1745"/>
      <c r="W72" s="1747"/>
      <c r="X72" s="1747"/>
      <c r="Y72" s="1747"/>
      <c r="Z72" s="1747"/>
      <c r="AA72" s="1745"/>
      <c r="AB72" s="1745">
        <f t="shared" ref="AB72:AK73" si="59">AB23/W23-1</f>
        <v>-1.9977653323033635</v>
      </c>
      <c r="AC72" s="1745">
        <f t="shared" si="59"/>
        <v>2.3516795865632867</v>
      </c>
      <c r="AD72" s="1745">
        <f t="shared" si="59"/>
        <v>-0.42744280301917947</v>
      </c>
      <c r="AE72" s="1745">
        <f t="shared" si="59"/>
        <v>1.5458076136512839</v>
      </c>
      <c r="AF72" s="1745" t="e">
        <f t="shared" si="59"/>
        <v>#DIV/0!</v>
      </c>
      <c r="AG72" s="1745">
        <f t="shared" si="59"/>
        <v>-1.0382679865066624</v>
      </c>
      <c r="AH72" s="1745">
        <f t="shared" si="59"/>
        <v>-0.39390435073111629</v>
      </c>
      <c r="AI72" s="1745">
        <f t="shared" si="59"/>
        <v>-0.42857142857142594</v>
      </c>
      <c r="AJ72" s="1745">
        <f t="shared" si="59"/>
        <v>-2.6767092395108216E-2</v>
      </c>
      <c r="AK72" s="1745" t="e">
        <f t="shared" si="59"/>
        <v>#DIV/0!</v>
      </c>
      <c r="AL72" s="1745">
        <f t="shared" ref="AL72:AU73" si="60">AL23/AG23-1</f>
        <v>-17.861149371387882</v>
      </c>
      <c r="AM72" s="1745">
        <f t="shared" si="60"/>
        <v>-0.162211125715499</v>
      </c>
      <c r="AN72" s="1745">
        <f t="shared" si="60"/>
        <v>-0.48204667863554918</v>
      </c>
      <c r="AO72" s="1745">
        <f t="shared" si="60"/>
        <v>1.6507389967926889E-2</v>
      </c>
      <c r="AP72" s="1349" t="e">
        <f t="shared" si="60"/>
        <v>#DIV/0!</v>
      </c>
      <c r="AQ72" s="1745">
        <f t="shared" si="60"/>
        <v>9.9425184251832777E-2</v>
      </c>
      <c r="AR72" s="1745">
        <f t="shared" si="60"/>
        <v>-0.7008995877606794</v>
      </c>
      <c r="AS72" s="1745">
        <f t="shared" si="60"/>
        <v>0.41837088388215671</v>
      </c>
      <c r="AT72" s="1745">
        <f t="shared" si="60"/>
        <v>-1.5419874447004323E-2</v>
      </c>
      <c r="AU72" s="1349" t="e">
        <f t="shared" si="60"/>
        <v>#DIV/0!</v>
      </c>
      <c r="AV72" s="1745">
        <f t="shared" ref="AV72:AY73" si="61">AV23/AQ23-1</f>
        <v>0.79731836607421935</v>
      </c>
      <c r="AW72" s="1745">
        <f t="shared" si="61"/>
        <v>-3.5013536379018171</v>
      </c>
      <c r="AX72" s="1745">
        <f t="shared" si="61"/>
        <v>-6.0829667644183916</v>
      </c>
      <c r="AY72" s="1745">
        <f t="shared" si="61"/>
        <v>0.35256909818638471</v>
      </c>
      <c r="AZ72" s="1349"/>
      <c r="BA72" s="1745">
        <f t="shared" ref="BA72:BD73" si="62">BA23/AV23-1</f>
        <v>0.21755725190839859</v>
      </c>
      <c r="BB72" s="1745">
        <f t="shared" si="62"/>
        <v>1.2447405803964324</v>
      </c>
      <c r="BC72" s="1745">
        <f t="shared" si="62"/>
        <v>-1.9387244885694344</v>
      </c>
      <c r="BD72" s="1745">
        <f t="shared" si="62"/>
        <v>-5.1850194389282511E-2</v>
      </c>
      <c r="BE72" s="1349"/>
      <c r="BF72" s="1745">
        <f t="shared" ref="BF72:BH73" si="63">BF23/BA23-1</f>
        <v>0.33757836990595558</v>
      </c>
      <c r="BG72" s="1745">
        <f t="shared" si="63"/>
        <v>0.43945877531340405</v>
      </c>
      <c r="BH72" s="1745">
        <f t="shared" si="63"/>
        <v>0.61362355953905001</v>
      </c>
      <c r="BI72" s="1745">
        <f>BI23/BD23-1</f>
        <v>0.20060060414405023</v>
      </c>
      <c r="BK72" s="1745">
        <f t="shared" ref="BK72:BN73" si="64">BK23/BF23-1</f>
        <v>0.18244403904283879</v>
      </c>
      <c r="BL72" s="1745">
        <f t="shared" si="64"/>
        <v>0.62471999497560327</v>
      </c>
      <c r="BM72" s="1745">
        <f t="shared" si="64"/>
        <v>0.31958991938043546</v>
      </c>
      <c r="BN72" s="1745">
        <f t="shared" si="64"/>
        <v>0.17053814061140993</v>
      </c>
      <c r="BP72" s="1745">
        <f t="shared" ref="BP72:BP73" si="65">BP23/BK23-1</f>
        <v>0.17126655324159801</v>
      </c>
      <c r="BQ72" s="1745">
        <f t="shared" ref="BQ72:BQ73" si="66">BQ23/BL23-1</f>
        <v>0.18041364003823124</v>
      </c>
      <c r="BR72" s="1745">
        <f t="shared" ref="BR72:BR73" si="67">BR23/BM23-1</f>
        <v>0.20292385787004852</v>
      </c>
      <c r="BS72" s="1746">
        <f t="shared" ref="BS72:BS73" si="68">BS23/BN23-1</f>
        <v>9.5773315847959894E-2</v>
      </c>
      <c r="BT72" s="1750" t="s">
        <v>90</v>
      </c>
      <c r="BU72" s="1745" t="e">
        <f>((#REF!/#REF!)-1)</f>
        <v>#REF!</v>
      </c>
      <c r="BV72" s="1745" t="e">
        <f>((#REF!/#REF!)-1)</f>
        <v>#REF!</v>
      </c>
      <c r="BW72" s="1745" t="e">
        <f>((#REF!/#REF!)-1)</f>
        <v>#REF!</v>
      </c>
      <c r="BX72" s="1745" t="e">
        <f>((#REF!/#REF!)-1)</f>
        <v>#REF!</v>
      </c>
      <c r="BY72" s="1745" t="e">
        <f>((#REF!/#REF!)-1)</f>
        <v>#REF!</v>
      </c>
      <c r="BZ72" s="1751" t="s">
        <v>313</v>
      </c>
      <c r="CA72" s="1747">
        <f>IFERROR((CA23/BW23-1),"-")</f>
        <v>0.82980877553106169</v>
      </c>
      <c r="CB72" s="1747">
        <f>IFERROR((CB23/BX23-1),"-")</f>
        <v>0.37031997568569341</v>
      </c>
      <c r="CC72" s="1747">
        <f>IFERROR((CC23/BY23-1),"-")</f>
        <v>0.39744129094742697</v>
      </c>
      <c r="CD72" s="1745">
        <f t="shared" ref="CD72:CI73" si="69">CD23/CC23-1</f>
        <v>0.1149928825248212</v>
      </c>
      <c r="CE72" s="1745">
        <f t="shared" si="69"/>
        <v>0.23718093466244561</v>
      </c>
      <c r="CF72" s="1745">
        <f t="shared" si="69"/>
        <v>0.50396331338452871</v>
      </c>
      <c r="CG72" s="1745">
        <f t="shared" si="69"/>
        <v>0.30717350289048184</v>
      </c>
      <c r="CH72" s="1745">
        <f t="shared" si="69"/>
        <v>0.25267288692333634</v>
      </c>
      <c r="CI72" s="1745">
        <f t="shared" si="69"/>
        <v>0.14125084327037718</v>
      </c>
      <c r="CJ72" s="1745">
        <f t="shared" ref="CJ72:CM73" si="70">CJ23/CI23-1</f>
        <v>9.2389192119759933E-2</v>
      </c>
      <c r="CK72" s="1745">
        <f t="shared" si="70"/>
        <v>9.2412774539314624E-2</v>
      </c>
      <c r="CL72" s="1745">
        <f t="shared" si="70"/>
        <v>9.8531665542377356E-2</v>
      </c>
      <c r="CM72" s="1745">
        <f t="shared" si="70"/>
        <v>8.6518281395255858E-2</v>
      </c>
      <c r="CN72" s="1538"/>
      <c r="CO72" s="1349"/>
      <c r="CP72" s="1349"/>
    </row>
    <row r="73" spans="1:100">
      <c r="A73" s="1538" t="s">
        <v>311</v>
      </c>
      <c r="B73" s="1349"/>
      <c r="C73" s="1750"/>
      <c r="D73" s="1750"/>
      <c r="E73" s="1750"/>
      <c r="F73" s="1750"/>
      <c r="G73" s="1349"/>
      <c r="H73" s="1745"/>
      <c r="I73" s="1745"/>
      <c r="J73" s="1745"/>
      <c r="K73" s="1745"/>
      <c r="L73" s="1745"/>
      <c r="M73" s="1745"/>
      <c r="N73" s="1745"/>
      <c r="O73" s="1745"/>
      <c r="P73" s="1745"/>
      <c r="Q73" s="1745"/>
      <c r="R73" s="1745"/>
      <c r="S73" s="1745"/>
      <c r="T73" s="1745"/>
      <c r="U73" s="1745"/>
      <c r="V73" s="1745"/>
      <c r="W73" s="1747"/>
      <c r="X73" s="1747"/>
      <c r="Y73" s="1747"/>
      <c r="Z73" s="1747"/>
      <c r="AA73" s="1745"/>
      <c r="AB73" s="1745">
        <f t="shared" si="59"/>
        <v>0.30820346113395169</v>
      </c>
      <c r="AC73" s="1745">
        <f t="shared" si="59"/>
        <v>0.55415722295121084</v>
      </c>
      <c r="AD73" s="1745">
        <f t="shared" si="59"/>
        <v>0.21086122310195754</v>
      </c>
      <c r="AE73" s="1745">
        <f t="shared" si="59"/>
        <v>-0.19856989905169764</v>
      </c>
      <c r="AF73" s="1745" t="e">
        <f t="shared" si="59"/>
        <v>#DIV/0!</v>
      </c>
      <c r="AG73" s="1745">
        <f t="shared" si="59"/>
        <v>0.12749862963639691</v>
      </c>
      <c r="AH73" s="1745">
        <f t="shared" si="59"/>
        <v>0.23997390336569846</v>
      </c>
      <c r="AI73" s="1745">
        <f t="shared" si="59"/>
        <v>0.39650192554557107</v>
      </c>
      <c r="AJ73" s="1745">
        <f t="shared" si="59"/>
        <v>0.48599646929719964</v>
      </c>
      <c r="AK73" s="1745" t="e">
        <f t="shared" si="59"/>
        <v>#DIV/0!</v>
      </c>
      <c r="AL73" s="1745">
        <f t="shared" si="60"/>
        <v>-4.5246400142606946E-2</v>
      </c>
      <c r="AM73" s="1745">
        <f t="shared" si="60"/>
        <v>-0.14470900402352216</v>
      </c>
      <c r="AN73" s="1745">
        <f t="shared" si="60"/>
        <v>-0.21231184648971613</v>
      </c>
      <c r="AO73" s="1745">
        <f t="shared" si="60"/>
        <v>-0.12482881669609935</v>
      </c>
      <c r="AP73" s="1349" t="e">
        <f t="shared" si="60"/>
        <v>#DIV/0!</v>
      </c>
      <c r="AQ73" s="1745">
        <f t="shared" si="60"/>
        <v>0.16447273283490782</v>
      </c>
      <c r="AR73" s="1745">
        <f t="shared" si="60"/>
        <v>0.20599460063548314</v>
      </c>
      <c r="AS73" s="1745">
        <f t="shared" si="60"/>
        <v>0.19320958389555454</v>
      </c>
      <c r="AT73" s="1745">
        <f t="shared" si="60"/>
        <v>4.8718674080014956E-3</v>
      </c>
      <c r="AU73" s="1349" t="e">
        <f t="shared" si="60"/>
        <v>#DIV/0!</v>
      </c>
      <c r="AV73" s="1745">
        <f t="shared" si="61"/>
        <v>-0.22595691338949941</v>
      </c>
      <c r="AW73" s="1745">
        <f t="shared" si="61"/>
        <v>-0.23347436012842437</v>
      </c>
      <c r="AX73" s="1745">
        <f t="shared" si="61"/>
        <v>-0.49191601210305946</v>
      </c>
      <c r="AY73" s="1745">
        <f t="shared" si="61"/>
        <v>-0.45151515151515154</v>
      </c>
      <c r="AZ73" s="1349"/>
      <c r="BA73" s="1745">
        <f t="shared" si="62"/>
        <v>-0.44249020789394389</v>
      </c>
      <c r="BB73" s="1745">
        <f t="shared" si="62"/>
        <v>-0.42856024426524697</v>
      </c>
      <c r="BC73" s="1745">
        <f t="shared" si="62"/>
        <v>-0.11020211742059671</v>
      </c>
      <c r="BD73" s="1745">
        <f t="shared" si="62"/>
        <v>-1.4377953804166843E-2</v>
      </c>
      <c r="BE73" s="1349"/>
      <c r="BF73" s="1745">
        <f t="shared" si="63"/>
        <v>1.0065527257988149E-2</v>
      </c>
      <c r="BG73" s="1745">
        <f t="shared" si="63"/>
        <v>3.3292231812577011E-2</v>
      </c>
      <c r="BH73" s="1745">
        <f t="shared" si="63"/>
        <v>-0.11039751216873983</v>
      </c>
      <c r="BI73" s="1745">
        <f>BI24/BD24-1</f>
        <v>-0.12433308570270829</v>
      </c>
      <c r="BK73" s="1745">
        <f t="shared" si="64"/>
        <v>-9.6174424826110272E-2</v>
      </c>
      <c r="BL73" s="1745">
        <f t="shared" si="64"/>
        <v>-3.5799522673030992E-2</v>
      </c>
      <c r="BM73" s="1745">
        <f t="shared" si="64"/>
        <v>0.16657800744737439</v>
      </c>
      <c r="BN73" s="1745">
        <f t="shared" si="64"/>
        <v>0.18525374055221366</v>
      </c>
      <c r="BP73" s="1745">
        <f t="shared" si="65"/>
        <v>0.10996004143850824</v>
      </c>
      <c r="BQ73" s="1745">
        <f t="shared" si="66"/>
        <v>3.1353135313531233E-2</v>
      </c>
      <c r="BR73" s="1745">
        <f t="shared" si="67"/>
        <v>-2.2864959937463403E-2</v>
      </c>
      <c r="BS73" s="1746">
        <f t="shared" si="68"/>
        <v>-2.3945861530452861E-2</v>
      </c>
      <c r="BT73" s="1750"/>
      <c r="BU73" s="1745"/>
      <c r="BV73" s="1745"/>
      <c r="BW73" s="1745"/>
      <c r="BX73" s="1745"/>
      <c r="BY73" s="1745"/>
      <c r="BZ73" s="1751"/>
      <c r="CA73" s="1745"/>
      <c r="CB73" s="1745"/>
      <c r="CC73" s="1752" t="str">
        <f>IFERROR((CC24/BY24-1),"-")</f>
        <v>-</v>
      </c>
      <c r="CD73" s="1745">
        <f t="shared" si="69"/>
        <v>0.14286735607974865</v>
      </c>
      <c r="CE73" s="1745">
        <f t="shared" si="69"/>
        <v>-0.34440538911373975</v>
      </c>
      <c r="CF73" s="1745">
        <f t="shared" si="69"/>
        <v>-0.29548032718371231</v>
      </c>
      <c r="CG73" s="1745">
        <f t="shared" si="69"/>
        <v>-4.8118644067796756E-2</v>
      </c>
      <c r="CH73" s="1745">
        <f t="shared" si="69"/>
        <v>4.6580367158704394E-2</v>
      </c>
      <c r="CI73" s="1745">
        <f t="shared" si="69"/>
        <v>2.0807458699831471E-2</v>
      </c>
      <c r="CJ73" s="1745">
        <f t="shared" si="70"/>
        <v>-8.333333333333337E-2</v>
      </c>
      <c r="CK73" s="1745">
        <f t="shared" si="70"/>
        <v>-9.0909090909090939E-2</v>
      </c>
      <c r="CL73" s="1745">
        <f t="shared" si="70"/>
        <v>-9.9999999999999978E-2</v>
      </c>
      <c r="CM73" s="1745">
        <f t="shared" si="70"/>
        <v>-0.11111111111111116</v>
      </c>
      <c r="CN73" s="1538"/>
      <c r="CO73" s="1349"/>
      <c r="CP73" s="1349"/>
    </row>
    <row r="74" spans="1:100">
      <c r="A74" s="1740" t="str">
        <f>A48</f>
        <v>Adjusted Operating Income</v>
      </c>
      <c r="B74" s="1349"/>
      <c r="C74" s="1750"/>
      <c r="D74" s="1750"/>
      <c r="E74" s="1750"/>
      <c r="F74" s="1750"/>
      <c r="G74" s="1349"/>
      <c r="H74" s="1745"/>
      <c r="I74" s="1745"/>
      <c r="J74" s="1745"/>
      <c r="K74" s="1745"/>
      <c r="L74" s="1745"/>
      <c r="M74" s="1745"/>
      <c r="N74" s="1745"/>
      <c r="O74" s="1745"/>
      <c r="P74" s="1745"/>
      <c r="Q74" s="1745"/>
      <c r="R74" s="1745"/>
      <c r="S74" s="1745"/>
      <c r="T74" s="1745"/>
      <c r="U74" s="1745"/>
      <c r="V74" s="1745"/>
      <c r="W74" s="1747"/>
      <c r="X74" s="1747"/>
      <c r="Y74" s="1747"/>
      <c r="Z74" s="1747"/>
      <c r="AA74" s="1745"/>
      <c r="AB74" s="1745">
        <f t="shared" ref="AB74:AY74" si="71">AB48/W48-1</f>
        <v>-2.857299233754603</v>
      </c>
      <c r="AC74" s="1745">
        <f t="shared" si="71"/>
        <v>2.5681946802489852</v>
      </c>
      <c r="AD74" s="1745">
        <f t="shared" si="71"/>
        <v>-0.50333823423076118</v>
      </c>
      <c r="AE74" s="1745">
        <f t="shared" si="71"/>
        <v>0.33013424625918319</v>
      </c>
      <c r="AF74" s="1745" t="e">
        <f t="shared" si="71"/>
        <v>#DIV/0!</v>
      </c>
      <c r="AG74" s="1745">
        <f t="shared" si="71"/>
        <v>4.7417488212608827E-3</v>
      </c>
      <c r="AH74" s="1745">
        <f t="shared" si="71"/>
        <v>-0.40375363468146797</v>
      </c>
      <c r="AI74" s="1745">
        <f t="shared" si="71"/>
        <v>-0.41075414927690701</v>
      </c>
      <c r="AJ74" s="1745">
        <f t="shared" si="71"/>
        <v>-2.515218554345644E-2</v>
      </c>
      <c r="AK74" s="1745" t="e">
        <f t="shared" si="71"/>
        <v>#DIV/0!</v>
      </c>
      <c r="AL74" s="1745">
        <f t="shared" si="71"/>
        <v>-0.35043778882815568</v>
      </c>
      <c r="AM74" s="1745">
        <f t="shared" si="71"/>
        <v>-0.49679683454513324</v>
      </c>
      <c r="AN74" s="1745">
        <f t="shared" si="71"/>
        <v>-0.35447208038214595</v>
      </c>
      <c r="AO74" s="1745">
        <f t="shared" si="71"/>
        <v>8.0020738784732037E-2</v>
      </c>
      <c r="AP74" s="1349" t="e">
        <f t="shared" si="71"/>
        <v>#DIV/0!</v>
      </c>
      <c r="AQ74" s="1745">
        <f t="shared" si="71"/>
        <v>0.4595372734534966</v>
      </c>
      <c r="AR74" s="1745">
        <f t="shared" si="71"/>
        <v>-1.4999008568145584</v>
      </c>
      <c r="AS74" s="1745">
        <f t="shared" si="71"/>
        <v>1.7279918346517071</v>
      </c>
      <c r="AT74" s="1745">
        <f t="shared" si="71"/>
        <v>4.9853310610468604E-2</v>
      </c>
      <c r="AU74" s="1349" t="e">
        <f t="shared" si="71"/>
        <v>#DIV/0!</v>
      </c>
      <c r="AV74" s="1745">
        <f t="shared" si="71"/>
        <v>0.43763534606407006</v>
      </c>
      <c r="AW74" s="1745">
        <f t="shared" si="71"/>
        <v>2.0912936200211467</v>
      </c>
      <c r="AX74" s="1745">
        <f t="shared" si="71"/>
        <v>0.40052380506967844</v>
      </c>
      <c r="AY74" s="1745">
        <f t="shared" si="71"/>
        <v>0.18963430985878582</v>
      </c>
      <c r="AZ74" s="1349"/>
      <c r="BA74" s="1745">
        <f>BA48/AV48-1</f>
        <v>0.15976759654133699</v>
      </c>
      <c r="BB74" s="1745">
        <f>BB48/AW48-1</f>
        <v>0.91830102622579335</v>
      </c>
      <c r="BC74" s="1745">
        <f>BC48/AX48-1</f>
        <v>0.31433246510386059</v>
      </c>
      <c r="BD74" s="1745">
        <f>BD48/AY48-1</f>
        <v>-1.2722534390429363E-2</v>
      </c>
      <c r="BE74" s="1349"/>
      <c r="BF74" s="1745">
        <f>BF48/BA48-1</f>
        <v>0.27229484692586636</v>
      </c>
      <c r="BG74" s="1745">
        <f>BG48/BB48-1</f>
        <v>0.61922311052991286</v>
      </c>
      <c r="BH74" s="1745">
        <f>BH48/BC48-1</f>
        <v>0.6036484666785209</v>
      </c>
      <c r="BI74" s="1745">
        <f>BI48/BD48-1</f>
        <v>0.15827987169206059</v>
      </c>
      <c r="BK74" s="1745">
        <f>BK48/BF48-1</f>
        <v>0.17790475685421936</v>
      </c>
      <c r="BL74" s="1745">
        <f>BL48/BG48-1</f>
        <v>0.44273337983186511</v>
      </c>
      <c r="BM74" s="1745">
        <f>BM48/BH48-1</f>
        <v>0.31778573465572402</v>
      </c>
      <c r="BN74" s="1745">
        <f>BN48/BI48-1</f>
        <v>0.17550843790566906</v>
      </c>
      <c r="BP74" s="1745">
        <f>BP48/BK48-1</f>
        <v>0.17046301388620222</v>
      </c>
      <c r="BQ74" s="1745">
        <f>BQ48/BL48-1</f>
        <v>0.16502603941436145</v>
      </c>
      <c r="BR74" s="1745">
        <f>BR48/BM48-1</f>
        <v>0.20254783569652957</v>
      </c>
      <c r="BS74" s="1746">
        <f>BS48/BN48-1</f>
        <v>6.7569345702961581E-2</v>
      </c>
      <c r="BT74" s="1750"/>
      <c r="BU74" s="1745"/>
      <c r="BV74" s="1745"/>
      <c r="BW74" s="1745"/>
      <c r="BX74" s="1745"/>
      <c r="BY74" s="1745"/>
      <c r="BZ74" s="1751"/>
      <c r="CA74" s="1745"/>
      <c r="CB74" s="1745"/>
      <c r="CC74" s="1752" t="str">
        <f>IFERROR((CC48/BY48-1),"-")</f>
        <v>-</v>
      </c>
      <c r="CD74" s="1745">
        <f t="shared" ref="CD74:CM74" si="72">CD48/CC48-1</f>
        <v>0.29446409340885027</v>
      </c>
      <c r="CE74" s="1745">
        <f t="shared" si="72"/>
        <v>0.30158632422697829</v>
      </c>
      <c r="CF74" s="1745">
        <f t="shared" si="72"/>
        <v>0.1118588158110192</v>
      </c>
      <c r="CG74" s="1745">
        <f t="shared" si="72"/>
        <v>0.28589522829227088</v>
      </c>
      <c r="CH74" s="1745">
        <f t="shared" si="72"/>
        <v>0.23465779590941116</v>
      </c>
      <c r="CI74" s="1745">
        <f t="shared" si="72"/>
        <v>0.12418017361655642</v>
      </c>
      <c r="CJ74" s="1745">
        <f t="shared" si="72"/>
        <v>9.2397325495915394E-2</v>
      </c>
      <c r="CK74" s="1745">
        <f t="shared" si="72"/>
        <v>9.2420221877400177E-2</v>
      </c>
      <c r="CL74" s="1745">
        <f t="shared" si="72"/>
        <v>9.8538934215749441E-2</v>
      </c>
      <c r="CM74" s="1745">
        <f t="shared" si="72"/>
        <v>8.6524091336761755E-2</v>
      </c>
      <c r="CN74" s="1538"/>
      <c r="CO74" s="1349"/>
      <c r="CP74" s="1349"/>
    </row>
    <row r="75" spans="1:100" s="1349" customFormat="1">
      <c r="A75" s="1349" t="s">
        <v>340</v>
      </c>
      <c r="C75" s="1750"/>
      <c r="D75" s="1750"/>
      <c r="E75" s="1750"/>
      <c r="F75" s="1750"/>
      <c r="H75" s="1745"/>
      <c r="I75" s="1745"/>
      <c r="J75" s="1745"/>
      <c r="K75" s="1745"/>
      <c r="L75" s="1745"/>
      <c r="M75" s="1745"/>
      <c r="N75" s="1745"/>
      <c r="O75" s="1745"/>
      <c r="P75" s="1745"/>
      <c r="Q75" s="1745"/>
      <c r="R75" s="1745"/>
      <c r="S75" s="1745"/>
      <c r="T75" s="1745"/>
      <c r="U75" s="1745"/>
      <c r="V75" s="1745"/>
      <c r="W75" s="1747"/>
      <c r="X75" s="1747"/>
      <c r="Y75" s="1747"/>
      <c r="Z75" s="1747"/>
      <c r="AA75" s="1745"/>
      <c r="AB75" s="1745">
        <f t="shared" ref="AB75:AY75" si="73">AB50/W50-1</f>
        <v>2.7820846739185963</v>
      </c>
      <c r="AC75" s="1745">
        <f t="shared" si="73"/>
        <v>-1.0858705291161681</v>
      </c>
      <c r="AD75" s="1745">
        <f t="shared" si="73"/>
        <v>-0.25911530392926574</v>
      </c>
      <c r="AE75" s="1745">
        <f t="shared" si="73"/>
        <v>0.19793490032079841</v>
      </c>
      <c r="AF75" s="1745" t="e">
        <f t="shared" si="73"/>
        <v>#DIV/0!</v>
      </c>
      <c r="AG75" s="1745">
        <f t="shared" si="73"/>
        <v>9.1821164778527198E-4</v>
      </c>
      <c r="AH75" s="1745">
        <f t="shared" si="73"/>
        <v>-7.3730636833047072</v>
      </c>
      <c r="AI75" s="1745">
        <f t="shared" si="73"/>
        <v>-0.10832783240106836</v>
      </c>
      <c r="AJ75" s="1745">
        <f t="shared" si="73"/>
        <v>-6.5271033988687499E-3</v>
      </c>
      <c r="AK75" s="1745" t="e">
        <f t="shared" si="73"/>
        <v>#DIV/0!</v>
      </c>
      <c r="AL75" s="1745">
        <f t="shared" si="73"/>
        <v>-0.13255204640809437</v>
      </c>
      <c r="AM75" s="1745">
        <f t="shared" si="73"/>
        <v>0.93293831611640687</v>
      </c>
      <c r="AN75" s="1745">
        <f t="shared" si="73"/>
        <v>-5.1587765439314426E-2</v>
      </c>
      <c r="AO75" s="1745">
        <f t="shared" si="73"/>
        <v>9.6906820635906499E-2</v>
      </c>
      <c r="AP75" s="1349" t="e">
        <f t="shared" si="73"/>
        <v>#DIV/0!</v>
      </c>
      <c r="AQ75" s="1745">
        <f t="shared" si="73"/>
        <v>0.23716205524750134</v>
      </c>
      <c r="AR75" s="1745">
        <f t="shared" si="73"/>
        <v>0.63894689720536513</v>
      </c>
      <c r="AS75" s="1745">
        <f t="shared" si="73"/>
        <v>0.2828766279117545</v>
      </c>
      <c r="AT75" s="1745">
        <f t="shared" si="73"/>
        <v>1.6205632465916997E-2</v>
      </c>
      <c r="AU75" s="1349" t="e">
        <f t="shared" si="73"/>
        <v>#DIV/0!</v>
      </c>
      <c r="AV75" s="1745">
        <f t="shared" si="73"/>
        <v>0.16061798388414816</v>
      </c>
      <c r="AW75" s="1745">
        <f t="shared" si="73"/>
        <v>0.23801709255983239</v>
      </c>
      <c r="AX75" s="1745">
        <f t="shared" si="73"/>
        <v>0.16135333770995586</v>
      </c>
      <c r="AY75" s="1745">
        <f t="shared" si="73"/>
        <v>0.15581215055474784</v>
      </c>
      <c r="BA75" s="1745">
        <f>BA50/AV50-1</f>
        <v>9.8715421441414986E-2</v>
      </c>
      <c r="BB75" s="1745">
        <f>BB50/AW50-1</f>
        <v>0.29788772400971464</v>
      </c>
      <c r="BC75" s="1745">
        <f>BC50/AX50-1</f>
        <v>0.13808079415414576</v>
      </c>
      <c r="BD75" s="1745">
        <f>BD50/AY50-1</f>
        <v>-2.4031520826581776E-3</v>
      </c>
      <c r="BF75" s="1745">
        <f>BF50/BA50-1</f>
        <v>0.19255717665615113</v>
      </c>
      <c r="BG75" s="1745">
        <f>BG50/BB50-1</f>
        <v>0.314379319034924</v>
      </c>
      <c r="BH75" s="1745">
        <f>BH50/BC50-1</f>
        <v>0.32763946938033706</v>
      </c>
      <c r="BI75" s="1745">
        <f>BI50/BD50-1</f>
        <v>0.13521239647341665</v>
      </c>
      <c r="BK75" s="1745">
        <f>BK50/BF50-1</f>
        <v>0.13131855868664943</v>
      </c>
      <c r="BL75" s="1745">
        <f>BL50/BG50-1</f>
        <v>0.28465613804934375</v>
      </c>
      <c r="BM75" s="1745">
        <f>BM50/BH50-1</f>
        <v>0.22284880007299912</v>
      </c>
      <c r="BN75" s="1745">
        <f>BN50/BI50-1</f>
        <v>0.16906717500961044</v>
      </c>
      <c r="BP75" s="1745">
        <f>BP50/BK50-1</f>
        <v>0.15626803786924803</v>
      </c>
      <c r="BQ75" s="1745">
        <f>BQ50/BL50-1</f>
        <v>0.14780124408762596</v>
      </c>
      <c r="BR75" s="1745">
        <f>BR50/BM50-1</f>
        <v>0.1712342087417138</v>
      </c>
      <c r="BS75" s="1746">
        <f>BS50/BN50-1</f>
        <v>7.6990359331183367E-2</v>
      </c>
      <c r="BT75" s="1750" t="s">
        <v>90</v>
      </c>
      <c r="BU75" s="1745" t="e">
        <f>((#REF!/#REF!)-1)</f>
        <v>#REF!</v>
      </c>
      <c r="BV75" s="1745" t="e">
        <f>((#REF!/#REF!)-1)</f>
        <v>#REF!</v>
      </c>
      <c r="BW75" s="1745" t="e">
        <f>((#REF!/#REF!)-1)</f>
        <v>#REF!</v>
      </c>
      <c r="BX75" s="1745" t="e">
        <f>((#REF!/#REF!)-1)</f>
        <v>#REF!</v>
      </c>
      <c r="BY75" s="1745" t="e">
        <f>((#REF!/#REF!)-1)</f>
        <v>#REF!</v>
      </c>
      <c r="BZ75" s="1751" t="s">
        <v>313</v>
      </c>
      <c r="CA75" s="1745">
        <f>CA50/BZ50-1</f>
        <v>0.14444875438975568</v>
      </c>
      <c r="CB75" s="1745">
        <f>CB50/CA50-1</f>
        <v>4.9492187480040251E-3</v>
      </c>
      <c r="CC75" s="1752" t="str">
        <f>IFERROR((CC50/BY50-1),"-")</f>
        <v>-</v>
      </c>
      <c r="CD75" s="1745">
        <f t="shared" ref="CD75:CM75" si="74">CD50/CC50-1</f>
        <v>0.15127496929016115</v>
      </c>
      <c r="CE75" s="1745">
        <f t="shared" si="74"/>
        <v>0.16778235214878179</v>
      </c>
      <c r="CF75" s="1745">
        <f t="shared" si="74"/>
        <v>8.0108241870190611E-2</v>
      </c>
      <c r="CG75" s="1745">
        <f t="shared" si="74"/>
        <v>0.20796432748296212</v>
      </c>
      <c r="CH75" s="1745">
        <f t="shared" si="74"/>
        <v>0.19093095497122881</v>
      </c>
      <c r="CI75" s="1745">
        <f t="shared" si="74"/>
        <v>0.12366234318749791</v>
      </c>
      <c r="CJ75" s="1745">
        <f t="shared" si="74"/>
        <v>9.5733379996410406E-2</v>
      </c>
      <c r="CK75" s="1745">
        <f t="shared" si="74"/>
        <v>9.4526528364381912E-2</v>
      </c>
      <c r="CL75" s="1745">
        <f t="shared" si="74"/>
        <v>9.7751762778230278E-2</v>
      </c>
      <c r="CM75" s="1745">
        <f t="shared" si="74"/>
        <v>8.8242638507937343E-2</v>
      </c>
      <c r="CN75" s="1538"/>
      <c r="CQ75"/>
      <c r="CR75"/>
      <c r="CS75"/>
      <c r="CT75"/>
      <c r="CU75"/>
      <c r="CV75"/>
    </row>
    <row r="76" spans="1:100" s="1349" customFormat="1">
      <c r="A76" s="1352" t="s">
        <v>366</v>
      </c>
      <c r="B76" s="1352"/>
      <c r="C76" s="1753"/>
      <c r="D76" s="1753"/>
      <c r="E76" s="1753"/>
      <c r="F76" s="1753"/>
      <c r="G76" s="1352"/>
      <c r="H76" s="1753"/>
      <c r="I76" s="1753"/>
      <c r="J76" s="1753"/>
      <c r="K76" s="1753"/>
      <c r="L76" s="1754"/>
      <c r="M76" s="1754"/>
      <c r="N76" s="1754"/>
      <c r="O76" s="1754"/>
      <c r="P76" s="1754"/>
      <c r="Q76" s="1754"/>
      <c r="R76" s="1754"/>
      <c r="S76" s="1754"/>
      <c r="T76" s="1754"/>
      <c r="U76" s="1754"/>
      <c r="V76" s="1754"/>
      <c r="W76" s="1755"/>
      <c r="X76" s="1755"/>
      <c r="Y76" s="1755"/>
      <c r="Z76" s="1755"/>
      <c r="AA76" s="1754"/>
      <c r="AB76" s="1755">
        <f t="shared" ref="AB76:AY76" si="75">AB40/W40-1</f>
        <v>-1.5408811526011217</v>
      </c>
      <c r="AC76" s="1755">
        <f t="shared" si="75"/>
        <v>2.3565544147670145</v>
      </c>
      <c r="AD76" s="1755">
        <f t="shared" si="75"/>
        <v>-1.1618185414051676</v>
      </c>
      <c r="AE76" s="1755">
        <f t="shared" si="75"/>
        <v>0.59041914150657204</v>
      </c>
      <c r="AF76" s="1754" t="e">
        <f t="shared" si="75"/>
        <v>#DIV/0!</v>
      </c>
      <c r="AG76" s="1755">
        <f t="shared" si="75"/>
        <v>-0.2992753442737216</v>
      </c>
      <c r="AH76" s="1755">
        <f t="shared" si="75"/>
        <v>-0.19228759206998447</v>
      </c>
      <c r="AI76" s="1755">
        <f t="shared" si="75"/>
        <v>3.7898084405863628</v>
      </c>
      <c r="AJ76" s="1755">
        <f t="shared" si="75"/>
        <v>-0.16460932949751783</v>
      </c>
      <c r="AK76" s="1754" t="e">
        <f t="shared" si="75"/>
        <v>#DIV/0!</v>
      </c>
      <c r="AL76" s="1755">
        <f t="shared" si="75"/>
        <v>-0.88797204939203889</v>
      </c>
      <c r="AM76" s="1755">
        <f t="shared" si="75"/>
        <v>-0.33607345796070809</v>
      </c>
      <c r="AN76" s="1755">
        <f t="shared" si="75"/>
        <v>-0.81774580349088444</v>
      </c>
      <c r="AO76" s="1755">
        <f t="shared" si="75"/>
        <v>0.42460816479963515</v>
      </c>
      <c r="AP76" s="1352" t="e">
        <f t="shared" si="75"/>
        <v>#DIV/0!</v>
      </c>
      <c r="AQ76" s="1755">
        <f t="shared" si="75"/>
        <v>11.816062749153204</v>
      </c>
      <c r="AR76" s="1755">
        <f t="shared" si="75"/>
        <v>-0.37453563775314591</v>
      </c>
      <c r="AS76" s="1755">
        <f t="shared" si="75"/>
        <v>0.85137949628269771</v>
      </c>
      <c r="AT76" s="1755">
        <f t="shared" si="75"/>
        <v>-8.8999017762850241E-2</v>
      </c>
      <c r="AU76" s="1352" t="e">
        <f t="shared" si="75"/>
        <v>#DIV/0!</v>
      </c>
      <c r="AV76" s="1755">
        <f t="shared" si="75"/>
        <v>1.9100355657617434</v>
      </c>
      <c r="AW76" s="1755">
        <f t="shared" si="75"/>
        <v>-0.93633520735154563</v>
      </c>
      <c r="AX76" s="1755">
        <f t="shared" si="75"/>
        <v>-4.4586131677946721</v>
      </c>
      <c r="AY76" s="1755">
        <f t="shared" si="75"/>
        <v>0.32988098416061384</v>
      </c>
      <c r="AZ76" s="1352"/>
      <c r="BA76" s="1755">
        <f>BA40/AV40-1</f>
        <v>0.66469583871046423</v>
      </c>
      <c r="BB76" s="1755">
        <f>BB40/AW40-1</f>
        <v>-17.377204985852231</v>
      </c>
      <c r="BC76" s="1755">
        <f>BC40/AX40-1</f>
        <v>0.61230251778025102</v>
      </c>
      <c r="BD76" s="1755">
        <f>BD40/AY40-1</f>
        <v>4.2863766992897956E-2</v>
      </c>
      <c r="BE76" s="1352"/>
      <c r="BF76" s="1755">
        <f>BF40/BA40-1</f>
        <v>0.39946442398438853</v>
      </c>
      <c r="BG76" s="1755">
        <f>BG40/BB40-1</f>
        <v>1.0205280440261486</v>
      </c>
      <c r="BH76" s="1755">
        <f>BH40/BC40-1</f>
        <v>1.0055058938347972</v>
      </c>
      <c r="BI76" s="1755">
        <f>BI40/BD40-1</f>
        <v>0.19496661558132189</v>
      </c>
      <c r="BJ76" s="1352"/>
      <c r="BK76" s="1755">
        <f>BK40/BF40-1</f>
        <v>0.37751845669330053</v>
      </c>
      <c r="BL76" s="1755">
        <f>BL40/BG40-1</f>
        <v>0.8458404100243031</v>
      </c>
      <c r="BM76" s="1755">
        <f>BM40/BH40-1</f>
        <v>0.38472090256466807</v>
      </c>
      <c r="BN76" s="1755">
        <f>BN40/BI40-1</f>
        <v>0.2633931130885856</v>
      </c>
      <c r="BO76" s="1352"/>
      <c r="BP76" s="1755">
        <f>BP40/BK40-1</f>
        <v>0.38234041512564443</v>
      </c>
      <c r="BQ76" s="1755">
        <f>BQ40/BL40-1</f>
        <v>0.34281113758896153</v>
      </c>
      <c r="BR76" s="1755">
        <f>BR40/BM40-1</f>
        <v>0.41403132664012832</v>
      </c>
      <c r="BS76" s="1756">
        <f>BS40/BN40-1</f>
        <v>0.22284832759624895</v>
      </c>
      <c r="BT76" s="1753" t="s">
        <v>90</v>
      </c>
      <c r="BU76" s="1755" t="s">
        <v>90</v>
      </c>
      <c r="BV76" s="1755" t="s">
        <v>90</v>
      </c>
      <c r="BW76" s="1755" t="s">
        <v>90</v>
      </c>
      <c r="BX76" s="1755" t="s">
        <v>90</v>
      </c>
      <c r="BY76" s="1755" t="s">
        <v>90</v>
      </c>
      <c r="BZ76" s="1757" t="s">
        <v>313</v>
      </c>
      <c r="CA76" s="1755" t="s">
        <v>313</v>
      </c>
      <c r="CB76" s="1755" t="s">
        <v>313</v>
      </c>
      <c r="CC76" s="1758" t="str">
        <f>IFERROR((CC40/CB40-1),"-")</f>
        <v>-</v>
      </c>
      <c r="CD76" s="1755">
        <f t="shared" ref="CD76:CI76" si="76">CD40/CC40-1</f>
        <v>7.1142166279147379E-2</v>
      </c>
      <c r="CE76" s="1755">
        <f t="shared" si="76"/>
        <v>0.9312153957617324</v>
      </c>
      <c r="CF76" s="1755">
        <f t="shared" si="76"/>
        <v>0.26682341914563978</v>
      </c>
      <c r="CG76" s="1755">
        <f t="shared" si="76"/>
        <v>0.39951865349258786</v>
      </c>
      <c r="CH76" s="1755">
        <f t="shared" si="76"/>
        <v>0.37278007035342808</v>
      </c>
      <c r="CI76" s="1755">
        <f t="shared" si="76"/>
        <v>0.31121183969782185</v>
      </c>
      <c r="CJ76" s="1755">
        <f>CJ40/CI40-1</f>
        <v>0.13274644531714097</v>
      </c>
      <c r="CK76" s="1755">
        <f>CK40/CJ40-1</f>
        <v>0.12874499218660085</v>
      </c>
      <c r="CL76" s="1755">
        <f>CL40/CK40-1</f>
        <v>0.1337419645866389</v>
      </c>
      <c r="CM76" s="1755">
        <f>CM40/CL40-1</f>
        <v>9.5066148793320204E-2</v>
      </c>
      <c r="CN76" s="1538"/>
      <c r="CQ76"/>
      <c r="CR76"/>
      <c r="CS76"/>
      <c r="CT76"/>
      <c r="CU76"/>
      <c r="CV76"/>
    </row>
    <row r="77" spans="1:100" ht="89.25">
      <c r="A77" s="1759" t="s">
        <v>923</v>
      </c>
      <c r="CH77" s="1694"/>
    </row>
    <row r="78" spans="1:100">
      <c r="A78" s="1760"/>
      <c r="BE78" s="1349"/>
      <c r="BF78" s="1349"/>
      <c r="BG78" s="1349"/>
      <c r="BH78" s="1349"/>
      <c r="BL78" s="1349"/>
      <c r="BM78" s="1349"/>
      <c r="BN78" s="1349"/>
      <c r="BQ78" s="1349"/>
      <c r="BR78" s="1349"/>
      <c r="BS78" s="1349"/>
      <c r="BT78" s="1349"/>
      <c r="BU78" s="1349"/>
      <c r="BV78" s="1349"/>
      <c r="BW78" s="1349"/>
      <c r="BX78" s="1349"/>
      <c r="BY78" s="1349"/>
      <c r="BZ78" s="1349"/>
      <c r="CA78" s="1349"/>
      <c r="CB78" s="1349"/>
      <c r="CC78" s="1349"/>
      <c r="CD78" s="1349"/>
      <c r="CE78" s="1349"/>
      <c r="CF78" s="1349"/>
      <c r="CG78" s="1349"/>
      <c r="CH78" s="1349"/>
      <c r="CI78" s="1349"/>
      <c r="CJ78" s="1349"/>
      <c r="CK78" s="1349"/>
      <c r="CL78" s="1349"/>
      <c r="CM78" s="1349"/>
    </row>
    <row r="79" spans="1:100">
      <c r="A79" s="1352"/>
      <c r="B79" s="1352"/>
      <c r="C79" s="1352"/>
      <c r="D79" s="1352"/>
      <c r="E79" s="1352"/>
      <c r="F79" s="1352"/>
      <c r="G79" s="1352"/>
      <c r="H79" s="1352"/>
      <c r="I79" s="1352"/>
      <c r="J79" s="1352"/>
      <c r="K79" s="1352"/>
      <c r="L79" s="1352"/>
      <c r="M79" s="1352"/>
      <c r="N79" s="1352"/>
      <c r="O79" s="1352"/>
      <c r="P79" s="1352"/>
      <c r="Q79" s="1352"/>
      <c r="R79" s="1352"/>
      <c r="S79" s="1352"/>
      <c r="T79" s="1352"/>
      <c r="U79" s="1352"/>
      <c r="V79" s="1352"/>
      <c r="W79" s="1352"/>
      <c r="X79" s="1352"/>
      <c r="Y79" s="1352"/>
      <c r="Z79" s="1352"/>
      <c r="AA79" s="1352"/>
      <c r="AB79" s="1352"/>
      <c r="AC79" s="1352"/>
      <c r="AD79" s="1352"/>
      <c r="AE79" s="1352"/>
      <c r="AF79" s="1352"/>
      <c r="AG79" s="1352"/>
      <c r="AH79" s="1352"/>
      <c r="AI79" s="1352"/>
      <c r="AJ79" s="1352"/>
      <c r="AK79" s="1352"/>
      <c r="AL79" s="1352"/>
      <c r="AM79" s="1352"/>
      <c r="AN79" s="1352"/>
      <c r="AO79" s="1352"/>
      <c r="AP79" s="1352"/>
      <c r="AQ79" s="1352"/>
      <c r="AR79" s="1352"/>
      <c r="AS79" s="1352"/>
      <c r="AT79" s="1352"/>
      <c r="BE79" s="1349"/>
      <c r="BJ79" s="1349"/>
      <c r="BK79" s="1349"/>
      <c r="BL79" s="1349"/>
      <c r="BM79" s="1349"/>
      <c r="BP79" s="1349"/>
      <c r="BQ79" s="1352"/>
      <c r="BR79" s="1352"/>
      <c r="BS79" s="1303"/>
      <c r="BT79" s="1303"/>
      <c r="BU79" s="1303"/>
      <c r="BV79" s="1303"/>
      <c r="BW79" s="1303"/>
      <c r="BX79" s="1303"/>
      <c r="BY79" s="1303" t="str">
        <f>BZ6</f>
        <v>Fiscal Year Ending January 31,</v>
      </c>
      <c r="BZ79" s="1304"/>
      <c r="CA79" s="1304"/>
      <c r="CB79" s="1304"/>
      <c r="CC79" s="1304"/>
      <c r="CD79" s="1304"/>
      <c r="CE79" s="1304"/>
      <c r="CF79" s="1304"/>
      <c r="CG79" s="1304"/>
      <c r="CH79" s="1304"/>
      <c r="CI79" s="1304"/>
      <c r="CJ79" s="1304"/>
      <c r="CK79" s="1304"/>
    </row>
    <row r="80" spans="1:100">
      <c r="A80" s="1676" t="s">
        <v>213</v>
      </c>
      <c r="B80" s="1349"/>
      <c r="C80" s="1349"/>
      <c r="D80" s="1349"/>
      <c r="E80" s="1349"/>
      <c r="F80" s="1349"/>
      <c r="G80" s="1349"/>
      <c r="H80" s="1349"/>
      <c r="I80" s="1349"/>
      <c r="J80" s="1349"/>
      <c r="K80" s="1349"/>
      <c r="L80" s="1349"/>
      <c r="M80" s="1349"/>
      <c r="N80" s="1349"/>
      <c r="O80" s="1349"/>
      <c r="P80" s="1349"/>
      <c r="Q80" s="1349"/>
      <c r="R80" s="1349"/>
      <c r="S80" s="1677"/>
      <c r="T80" s="1677"/>
      <c r="U80" s="1677"/>
      <c r="V80" s="1677"/>
      <c r="Y80" s="1677"/>
      <c r="Z80" s="1677"/>
      <c r="AW80" s="1677" t="s">
        <v>83</v>
      </c>
      <c r="AX80" s="1677" t="s">
        <v>84</v>
      </c>
      <c r="AY80" s="1677" t="s">
        <v>242</v>
      </c>
      <c r="BA80" s="1761" t="s">
        <v>247</v>
      </c>
      <c r="BB80" s="1761" t="s">
        <v>611</v>
      </c>
      <c r="BF80" s="1761" t="s">
        <v>626</v>
      </c>
      <c r="BG80" s="1761" t="s">
        <v>933</v>
      </c>
      <c r="BH80" s="1761">
        <v>2016</v>
      </c>
      <c r="BI80" s="1678" t="s">
        <v>245</v>
      </c>
      <c r="BJ80" s="1349"/>
      <c r="BK80" s="2199"/>
      <c r="BL80" s="1349"/>
      <c r="BM80" s="1349"/>
      <c r="BP80" s="1349"/>
      <c r="BQ80" s="1676" t="s">
        <v>213</v>
      </c>
      <c r="BR80" s="1349"/>
      <c r="BS80" s="1349"/>
      <c r="BT80" s="1677" t="str">
        <f t="shared" ref="BT80:BZ80" si="77">BT7</f>
        <v>2004A</v>
      </c>
      <c r="BU80" s="1677" t="str">
        <f t="shared" si="77"/>
        <v>2005A</v>
      </c>
      <c r="BV80" s="1677" t="str">
        <f t="shared" si="77"/>
        <v>2006A</v>
      </c>
      <c r="BW80" s="1677" t="str">
        <f t="shared" si="77"/>
        <v>2007A</v>
      </c>
      <c r="BX80" s="1677" t="str">
        <f t="shared" si="77"/>
        <v>2008A</v>
      </c>
      <c r="BY80" s="1677" t="str">
        <f t="shared" si="77"/>
        <v>2009A</v>
      </c>
      <c r="BZ80" s="1677" t="str">
        <f t="shared" si="77"/>
        <v>2009R</v>
      </c>
      <c r="CA80" s="1677" t="s">
        <v>84</v>
      </c>
      <c r="CB80" s="1677" t="s">
        <v>242</v>
      </c>
      <c r="CC80" s="1677" t="s">
        <v>247</v>
      </c>
      <c r="CD80" s="1677" t="s">
        <v>611</v>
      </c>
      <c r="CE80" s="1677" t="s">
        <v>626</v>
      </c>
      <c r="CF80" s="1677" t="s">
        <v>38</v>
      </c>
      <c r="CG80" s="1677" t="s">
        <v>244</v>
      </c>
      <c r="CH80" s="1677" t="s">
        <v>245</v>
      </c>
      <c r="CI80" s="1677" t="s">
        <v>341</v>
      </c>
      <c r="CJ80" s="1677" t="s">
        <v>420</v>
      </c>
      <c r="CK80" s="1677" t="s">
        <v>421</v>
      </c>
      <c r="CL80" s="1761" t="s">
        <v>422</v>
      </c>
      <c r="CM80" s="1678" t="str">
        <f>CM7</f>
        <v>2022E</v>
      </c>
    </row>
    <row r="81" spans="1:91">
      <c r="A81" s="1538" t="s">
        <v>231</v>
      </c>
      <c r="B81" s="1349"/>
      <c r="C81" s="1349"/>
      <c r="D81" s="1349"/>
      <c r="E81" s="1349"/>
      <c r="F81" s="1349"/>
      <c r="G81" s="1349"/>
      <c r="H81" s="1349"/>
      <c r="I81" s="1349"/>
      <c r="J81" s="1349"/>
      <c r="K81" s="1349"/>
      <c r="L81" s="1349"/>
      <c r="M81" s="1349"/>
      <c r="N81" s="1349"/>
      <c r="O81" s="1349"/>
      <c r="P81" s="1349"/>
      <c r="Q81" s="1349"/>
      <c r="R81" s="1349"/>
      <c r="S81" s="1349"/>
      <c r="T81" s="1349"/>
      <c r="U81" s="1349"/>
      <c r="V81" s="1349"/>
      <c r="Y81" s="1762"/>
      <c r="Z81" s="1762"/>
      <c r="AW81" s="1763" t="s">
        <v>90</v>
      </c>
      <c r="AX81" s="1762">
        <f>turn!R71</f>
        <v>3.1991432385603726</v>
      </c>
      <c r="AY81" s="1762">
        <f>turn!R78</f>
        <v>3.1904728478323081</v>
      </c>
      <c r="BA81" s="1762">
        <f>turn!R85</f>
        <v>3.5382000249716503</v>
      </c>
      <c r="BB81" s="1762">
        <f>turn!R92</f>
        <v>3.5034063242950677</v>
      </c>
      <c r="BF81" s="1762">
        <f>turn!$R99</f>
        <v>3.7753617223283116</v>
      </c>
      <c r="BG81" s="1762">
        <f>turn!$R106</f>
        <v>3.6590008978160911</v>
      </c>
      <c r="BH81" s="1762">
        <f>turn!$R113</f>
        <v>4.2344077339508077</v>
      </c>
      <c r="BI81" s="2200">
        <f>turn!$R120</f>
        <v>4.6172244078687168</v>
      </c>
      <c r="BJ81" s="1349"/>
      <c r="BK81" s="1349"/>
      <c r="BL81" s="1349"/>
      <c r="BM81" s="1349"/>
      <c r="BP81" s="1349"/>
      <c r="BQ81" s="1538" t="s">
        <v>214</v>
      </c>
      <c r="BR81" s="1349"/>
      <c r="BS81" s="1349"/>
      <c r="BT81" s="1764">
        <f>yrSales!F18</f>
        <v>349</v>
      </c>
      <c r="BU81" s="1764">
        <f>yrSales!G18</f>
        <v>362</v>
      </c>
      <c r="BV81" s="1764">
        <f>yrSales!H18</f>
        <v>368</v>
      </c>
      <c r="BW81" s="1764">
        <f>yrSales!I18</f>
        <v>379</v>
      </c>
      <c r="BX81" s="1764">
        <f>yrSales!J18</f>
        <v>397</v>
      </c>
      <c r="BY81" s="1764">
        <f>yrSales!K18</f>
        <v>433</v>
      </c>
      <c r="BZ81" s="1764">
        <f>yrSales!L18</f>
        <v>442</v>
      </c>
      <c r="CA81" s="1764">
        <f>yrSales!M18</f>
        <v>460</v>
      </c>
      <c r="CB81" s="1764">
        <f>yrSales!N18</f>
        <v>477</v>
      </c>
      <c r="CC81" s="1764">
        <f>yrSales!P18</f>
        <v>500</v>
      </c>
      <c r="CD81" s="1764">
        <f>yrSales!Q18</f>
        <v>521</v>
      </c>
      <c r="CE81" s="1764">
        <f>yrSales!R18</f>
        <v>542</v>
      </c>
      <c r="CF81" s="1764">
        <f>yrSales!S18</f>
        <v>567</v>
      </c>
      <c r="CG81" s="1764">
        <f>yrSales!T18</f>
        <v>592</v>
      </c>
      <c r="CH81" s="1764">
        <f>yrSales!U18</f>
        <v>629</v>
      </c>
      <c r="CI81" s="1764">
        <f>yrSales!V18</f>
        <v>669</v>
      </c>
      <c r="CJ81" s="1764">
        <f>yrSales!W18</f>
        <v>709</v>
      </c>
      <c r="CK81" s="1764">
        <f>yrSales!X18</f>
        <v>749</v>
      </c>
      <c r="CL81" s="1764">
        <f>yrSales!Y18</f>
        <v>789</v>
      </c>
      <c r="CM81" s="1978">
        <f>yrSales!Z18</f>
        <v>829</v>
      </c>
    </row>
    <row r="82" spans="1:91">
      <c r="A82" s="1538" t="s">
        <v>232</v>
      </c>
      <c r="B82" s="1349"/>
      <c r="C82" s="1349"/>
      <c r="D82" s="1349"/>
      <c r="E82" s="1349"/>
      <c r="F82" s="1349"/>
      <c r="G82" s="1349"/>
      <c r="H82" s="1349"/>
      <c r="I82" s="1349"/>
      <c r="J82" s="1349"/>
      <c r="K82" s="1349"/>
      <c r="L82" s="1349"/>
      <c r="M82" s="1349"/>
      <c r="N82" s="1349"/>
      <c r="O82" s="1349"/>
      <c r="P82" s="1349"/>
      <c r="Q82" s="1349"/>
      <c r="R82" s="1349"/>
      <c r="S82" s="1349"/>
      <c r="T82" s="1349"/>
      <c r="U82" s="1349"/>
      <c r="V82" s="1349"/>
      <c r="Y82" s="1745"/>
      <c r="Z82" s="1745"/>
      <c r="AW82" s="1745">
        <f>bal!W63</f>
        <v>0.22795229049641691</v>
      </c>
      <c r="AX82" s="1745">
        <f>bal!Y63</f>
        <v>0.29564067379871728</v>
      </c>
      <c r="AY82" s="1745">
        <f>bal!AA63</f>
        <v>0.4049555887784716</v>
      </c>
      <c r="BA82" s="1745">
        <f>bal!AC63</f>
        <v>0.7356856172540025</v>
      </c>
      <c r="BB82" s="1745">
        <f>bal!AE63</f>
        <v>0.75409414875592307</v>
      </c>
      <c r="BF82" s="1745">
        <f>bal!$AG63</f>
        <v>0.78822834306232481</v>
      </c>
      <c r="BG82" s="1745">
        <f>bal!$AI63</f>
        <v>0.76346856781123318</v>
      </c>
      <c r="BH82" s="1745">
        <f>bal!$AK63</f>
        <v>0.9122869505379041</v>
      </c>
      <c r="BI82" s="1746">
        <f>bal!$AM63</f>
        <v>0.97832736704749901</v>
      </c>
      <c r="BJ82" s="1349"/>
      <c r="BK82" s="1349"/>
      <c r="BL82" s="1349"/>
      <c r="BM82" s="1349"/>
      <c r="BP82" s="1349"/>
      <c r="BQ82" s="1538" t="s">
        <v>215</v>
      </c>
      <c r="BR82" s="1349"/>
      <c r="BS82" s="1349"/>
      <c r="BT82" s="1765">
        <f>yrSales!F31</f>
        <v>27.315000000000001</v>
      </c>
      <c r="BU82" s="1765">
        <f>yrSales!G31</f>
        <v>29.3</v>
      </c>
      <c r="BV82" s="1765">
        <f>yrSales!H31</f>
        <v>29.44</v>
      </c>
      <c r="BW82" s="1765">
        <f>yrSales!I31</f>
        <v>30.32</v>
      </c>
      <c r="BX82" s="1765">
        <f>yrSales!J31</f>
        <v>31.76</v>
      </c>
      <c r="BY82" s="1765">
        <f>yrSales!K31</f>
        <v>34.64</v>
      </c>
      <c r="BZ82" s="1765">
        <f>yrSales!L31</f>
        <v>35.36</v>
      </c>
      <c r="CA82" s="1765">
        <f>yrSales!M31</f>
        <v>36.800000000000004</v>
      </c>
      <c r="CB82" s="1765">
        <f>yrSales!N31</f>
        <v>38.160000000000004</v>
      </c>
      <c r="CC82" s="1765">
        <f>yrSales!P31</f>
        <v>42</v>
      </c>
      <c r="CD82" s="1765">
        <f>yrSales!Q31</f>
        <v>41.01</v>
      </c>
      <c r="CE82" s="1765">
        <f>yrSales!R31</f>
        <v>42.212000000000003</v>
      </c>
      <c r="CF82" s="1765">
        <f>yrSales!S31</f>
        <v>43.468000000000004</v>
      </c>
      <c r="CG82" s="1765">
        <f>yrSales!T31</f>
        <v>44.735999999999997</v>
      </c>
      <c r="CH82" s="1765">
        <f>yrSales!U31</f>
        <v>45.692999999999998</v>
      </c>
      <c r="CI82" s="1765">
        <f>yrSales!V31</f>
        <v>47.492999999999995</v>
      </c>
      <c r="CJ82" s="1765">
        <f>yrSales!W31</f>
        <v>48.592999999999996</v>
      </c>
      <c r="CK82" s="1765">
        <f>yrSales!X31</f>
        <v>49.692999999999998</v>
      </c>
      <c r="CL82" s="1765">
        <f>yrSales!Y31</f>
        <v>50.792999999999999</v>
      </c>
      <c r="CM82" s="1979">
        <f>yrSales!Z31</f>
        <v>51.893000000000001</v>
      </c>
    </row>
    <row r="83" spans="1:91">
      <c r="A83" s="1538" t="s">
        <v>233</v>
      </c>
      <c r="B83" s="1349"/>
      <c r="C83" s="1349"/>
      <c r="D83" s="1349"/>
      <c r="E83" s="1349"/>
      <c r="F83" s="1349"/>
      <c r="G83" s="1349"/>
      <c r="H83" s="1349"/>
      <c r="I83" s="1349"/>
      <c r="J83" s="1349"/>
      <c r="K83" s="1349"/>
      <c r="L83" s="1349"/>
      <c r="M83" s="1349"/>
      <c r="N83" s="1349"/>
      <c r="O83" s="1349"/>
      <c r="P83" s="1349"/>
      <c r="Q83" s="1349"/>
      <c r="R83" s="1349"/>
      <c r="S83" s="1349"/>
      <c r="T83" s="1349"/>
      <c r="U83" s="1349"/>
      <c r="V83" s="1349"/>
      <c r="Y83" s="1745"/>
      <c r="Z83" s="1745"/>
      <c r="AW83" s="1745">
        <f>dtc!S53</f>
        <v>0.90145759838454242</v>
      </c>
      <c r="AX83" s="1745">
        <f>dtc!U53</f>
        <v>0.87978435655409004</v>
      </c>
      <c r="AY83" s="1745">
        <f>dtc!W53</f>
        <v>1.0738560942844322</v>
      </c>
      <c r="BA83" s="1745">
        <f>dtc!Y53</f>
        <v>1.0639060481017033</v>
      </c>
      <c r="BB83" s="1745">
        <f>dtc!AA53</f>
        <v>1.1177631666480137</v>
      </c>
      <c r="BF83" s="1745">
        <f>dtc!$AC53</f>
        <v>1.055678721342145</v>
      </c>
      <c r="BG83" s="1745">
        <f>dtc!$AE53</f>
        <v>1.0821161012971461</v>
      </c>
      <c r="BH83" s="1745">
        <f>dtc!$AG53</f>
        <v>1.0460936697545686</v>
      </c>
      <c r="BI83" s="1746">
        <f>dtc!$AI53</f>
        <v>0.92850728241328906</v>
      </c>
      <c r="BJ83" s="1349"/>
      <c r="BK83" s="1349"/>
      <c r="BL83" s="1349"/>
      <c r="BM83" s="1349"/>
      <c r="BP83" s="1349"/>
      <c r="BQ83" s="1538" t="s">
        <v>216</v>
      </c>
      <c r="BR83" s="1349"/>
      <c r="BS83" s="1349"/>
      <c r="BT83" s="1766" t="s">
        <v>313</v>
      </c>
      <c r="BU83" s="1745">
        <f t="shared" ref="BU83:CE83" si="78">BU82/BT82-1</f>
        <v>7.2670693758008387E-2</v>
      </c>
      <c r="BV83" s="1745">
        <f t="shared" si="78"/>
        <v>4.778156996587013E-3</v>
      </c>
      <c r="BW83" s="1745">
        <f t="shared" si="78"/>
        <v>2.9891304347825942E-2</v>
      </c>
      <c r="BX83" s="1745">
        <f t="shared" si="78"/>
        <v>4.7493403693931402E-2</v>
      </c>
      <c r="BY83" s="1745">
        <f t="shared" si="78"/>
        <v>9.0680100755667459E-2</v>
      </c>
      <c r="BZ83" s="1745">
        <f>BZ82/BX82-1</f>
        <v>0.11335012594458438</v>
      </c>
      <c r="CA83" s="1745">
        <f t="shared" si="78"/>
        <v>4.0723981900452566E-2</v>
      </c>
      <c r="CB83" s="1745">
        <f t="shared" si="78"/>
        <v>3.6956521739130332E-2</v>
      </c>
      <c r="CC83" s="1745">
        <f t="shared" si="78"/>
        <v>0.10062893081761004</v>
      </c>
      <c r="CD83" s="1745">
        <f t="shared" si="78"/>
        <v>-2.3571428571428577E-2</v>
      </c>
      <c r="CE83" s="1745">
        <f t="shared" si="78"/>
        <v>2.9309924408680965E-2</v>
      </c>
      <c r="CF83" s="1745">
        <f t="shared" ref="CF83:CM83" si="79">CF82/CE82-1</f>
        <v>2.9754572159575554E-2</v>
      </c>
      <c r="CG83" s="1745">
        <f t="shared" si="79"/>
        <v>2.9170884328701518E-2</v>
      </c>
      <c r="CH83" s="1745">
        <f t="shared" si="79"/>
        <v>2.1392167381974359E-2</v>
      </c>
      <c r="CI83" s="1745">
        <f t="shared" si="79"/>
        <v>3.9393342525113173E-2</v>
      </c>
      <c r="CJ83" s="1745">
        <f t="shared" si="79"/>
        <v>2.316130798222904E-2</v>
      </c>
      <c r="CK83" s="1745">
        <f t="shared" si="79"/>
        <v>2.2637005329985804E-2</v>
      </c>
      <c r="CL83" s="1745">
        <f t="shared" si="79"/>
        <v>2.2135914515122979E-2</v>
      </c>
      <c r="CM83" s="1746">
        <f t="shared" si="79"/>
        <v>2.1656527474258391E-2</v>
      </c>
    </row>
    <row r="84" spans="1:91">
      <c r="A84" s="1541" t="s">
        <v>234</v>
      </c>
      <c r="B84" s="1754"/>
      <c r="C84" s="1352"/>
      <c r="D84" s="1352"/>
      <c r="E84" s="1352"/>
      <c r="F84" s="1352"/>
      <c r="G84" s="1352"/>
      <c r="H84" s="1352"/>
      <c r="I84" s="1352"/>
      <c r="J84" s="1352"/>
      <c r="K84" s="1352"/>
      <c r="L84" s="1352"/>
      <c r="M84" s="1352"/>
      <c r="N84" s="1352"/>
      <c r="O84" s="1352"/>
      <c r="P84" s="1352"/>
      <c r="Q84" s="1352"/>
      <c r="R84" s="1352"/>
      <c r="S84" s="1352"/>
      <c r="T84" s="1352"/>
      <c r="U84" s="1352"/>
      <c r="V84" s="1352"/>
      <c r="W84" s="1352"/>
      <c r="X84" s="1352"/>
      <c r="Y84" s="1754"/>
      <c r="Z84" s="1754"/>
      <c r="AA84" s="1352"/>
      <c r="AB84" s="1352"/>
      <c r="AC84" s="1352"/>
      <c r="AD84" s="1352"/>
      <c r="AE84" s="1352"/>
      <c r="AF84" s="1352"/>
      <c r="AG84" s="1352"/>
      <c r="AH84" s="1352"/>
      <c r="AI84" s="1352"/>
      <c r="AJ84" s="1352"/>
      <c r="AK84" s="1352"/>
      <c r="AL84" s="1352"/>
      <c r="AM84" s="1352"/>
      <c r="AN84" s="1352"/>
      <c r="AO84" s="1352"/>
      <c r="AP84" s="1352"/>
      <c r="AW84" s="1352" t="s">
        <v>90</v>
      </c>
      <c r="AX84" s="1754">
        <f>flow!Y9/((bal!Y45+bal!W45)/2)</f>
        <v>0.18126849350315019</v>
      </c>
      <c r="AY84" s="1754">
        <f>flow!AA9/((bal!AA45+bal!Y45)/2)</f>
        <v>-0.16383037078636606</v>
      </c>
      <c r="AZ84" s="1352"/>
      <c r="BA84" s="1754">
        <f>flow!AC9/((bal!AC45+bal!AA45)/2)</f>
        <v>-0.29757186372091754</v>
      </c>
      <c r="BB84" s="1754">
        <f>flow!AE9/((bal!AE45+bal!AC45)/2)</f>
        <v>-0.14055150146425771</v>
      </c>
      <c r="BF84" s="1754">
        <f>flow!AG9/((bal!AG45+bal!AE45)/2)</f>
        <v>-0.60951210383561549</v>
      </c>
      <c r="BG84" s="1754">
        <f>flow!AI9/((bal!AI45+bal!AG45)/2)</f>
        <v>-1.8243227679680964</v>
      </c>
      <c r="BH84" s="1754">
        <f>flow!AK9/((bal!AK45+bal!AI45)/2)</f>
        <v>-2.900855987207219</v>
      </c>
      <c r="BI84" s="1530"/>
      <c r="BK84" s="1349"/>
      <c r="BL84" s="1349"/>
      <c r="BM84" s="1349"/>
      <c r="BN84" s="1349"/>
      <c r="BP84" s="1349"/>
      <c r="BQ84" s="1538" t="s">
        <v>217</v>
      </c>
      <c r="BR84" s="1349"/>
      <c r="BS84" s="1349"/>
      <c r="BT84" s="1764">
        <f>yrSales!F34*1000</f>
        <v>78266.475644699138</v>
      </c>
      <c r="BU84" s="1764">
        <f>yrSales!G34*1000</f>
        <v>80939.226519337026</v>
      </c>
      <c r="BV84" s="1764">
        <f>yrSales!H34*1000</f>
        <v>80000</v>
      </c>
      <c r="BW84" s="1764">
        <f>yrSales!I34*1000</f>
        <v>80000</v>
      </c>
      <c r="BX84" s="1764">
        <f>yrSales!J34*1000</f>
        <v>80000</v>
      </c>
      <c r="BY84" s="1764">
        <f>yrSales!K34*1000</f>
        <v>80000</v>
      </c>
      <c r="BZ84" s="1764">
        <f>yrSales!L34*1000</f>
        <v>80000</v>
      </c>
      <c r="CA84" s="1764">
        <f>yrSales!M34*1000</f>
        <v>80000.000000000015</v>
      </c>
      <c r="CB84" s="1764">
        <f>yrSales!N34*1000</f>
        <v>80000</v>
      </c>
      <c r="CC84" s="1764">
        <f>yrSales!P34*1000</f>
        <v>84000</v>
      </c>
      <c r="CD84" s="1764">
        <f>yrSales!Q34*1000</f>
        <v>78714.011516314771</v>
      </c>
      <c r="CE84" s="1764">
        <f>yrSales!R34*1000</f>
        <v>77881.918819188199</v>
      </c>
      <c r="CF84" s="1764">
        <f>yrSales!S34*1000</f>
        <v>76663.139329805999</v>
      </c>
      <c r="CG84" s="1764">
        <f>yrSales!T34*1000</f>
        <v>75567.567567567559</v>
      </c>
      <c r="CH84" s="1764">
        <f>yrSales!U34*1000</f>
        <v>72643.87917329093</v>
      </c>
      <c r="CI84" s="1764">
        <f>yrSales!V34*1000</f>
        <v>70991.031390134522</v>
      </c>
      <c r="CJ84" s="1764">
        <f>yrSales!W34*1000</f>
        <v>68537.376586741884</v>
      </c>
      <c r="CK84" s="1764">
        <f>yrSales!X34*1000</f>
        <v>66345.794392523356</v>
      </c>
      <c r="CL84" s="1764">
        <f>yrSales!Y34*1000</f>
        <v>64376.42585551332</v>
      </c>
      <c r="CM84" s="1978">
        <f>yrSales!Z34*1000</f>
        <v>62597.104945717721</v>
      </c>
    </row>
    <row r="85" spans="1:91">
      <c r="AG85" s="1349"/>
      <c r="AH85" s="1349"/>
      <c r="AI85" s="1349"/>
      <c r="AJ85" s="1349"/>
      <c r="AM85" s="1349"/>
      <c r="AN85" s="1349"/>
      <c r="AO85" s="1349"/>
      <c r="AP85" s="1349"/>
      <c r="AQ85" s="1349"/>
      <c r="AR85" s="1349"/>
      <c r="AS85" s="1349"/>
      <c r="AT85" s="1349"/>
      <c r="AU85" s="1349"/>
      <c r="AV85" s="1349"/>
      <c r="AW85" s="1349"/>
      <c r="AX85" s="1349"/>
      <c r="AY85" s="1349"/>
      <c r="AZ85" s="1349"/>
      <c r="BA85" s="1349"/>
      <c r="BB85" s="1349"/>
      <c r="BG85" s="1349"/>
      <c r="BH85" s="1349"/>
      <c r="BJ85" s="1349"/>
      <c r="BK85" s="1349"/>
      <c r="BL85" s="1349"/>
      <c r="BM85" s="1349"/>
      <c r="BN85" s="1349"/>
      <c r="BO85" s="1349"/>
      <c r="BP85" s="1349"/>
      <c r="BQ85" s="1541" t="s">
        <v>218</v>
      </c>
      <c r="BR85" s="1352"/>
      <c r="BS85" s="1352"/>
      <c r="BT85" s="1767">
        <f>yrSales!F37</f>
        <v>107.29845687778094</v>
      </c>
      <c r="BU85" s="1767">
        <f>yrSales!G37</f>
        <v>112.02833171421001</v>
      </c>
      <c r="BV85" s="1767">
        <f>yrSales!H37</f>
        <v>117.08590398365679</v>
      </c>
      <c r="BW85" s="1767">
        <f>yrSales!I37</f>
        <v>113.90251004016064</v>
      </c>
      <c r="BX85" s="1767">
        <f>yrSales!J37</f>
        <v>109.3240012886598</v>
      </c>
      <c r="BY85" s="1767">
        <f>yrSales!K37</f>
        <v>106.68617469879518</v>
      </c>
      <c r="BZ85" s="1768" t="str">
        <f>yrSales!L37</f>
        <v>NA</v>
      </c>
      <c r="CA85" s="1767">
        <f>yrSales!M37</f>
        <v>101.70737250554323</v>
      </c>
      <c r="CB85" s="1767">
        <f>yrSales!N37</f>
        <v>102.83175026680895</v>
      </c>
      <c r="CC85" s="1767">
        <f>yrSales!P37</f>
        <v>101.72240945783446</v>
      </c>
      <c r="CD85" s="1767">
        <f>yrSales!Q37</f>
        <v>106.67059483731882</v>
      </c>
      <c r="CE85" s="1767">
        <f>yrSales!R37</f>
        <v>115.70267477349738</v>
      </c>
      <c r="CF85" s="1767">
        <f>yrSales!S37</f>
        <v>119.02268907563024</v>
      </c>
      <c r="CG85" s="1767">
        <f>yrSales!T37</f>
        <v>126.20828987347511</v>
      </c>
      <c r="CH85" s="1767">
        <f>yrSales!U37</f>
        <v>134.57554545555075</v>
      </c>
      <c r="CI85" s="1767">
        <f>yrSales!V37</f>
        <v>141.38137044983725</v>
      </c>
      <c r="CJ85" s="1767">
        <f>yrSales!W37</f>
        <v>154.25844855418512</v>
      </c>
      <c r="CK85" s="1767">
        <f>yrSales!X37</f>
        <v>164.57100934881493</v>
      </c>
      <c r="CL85" s="1767">
        <f>yrSales!Y37</f>
        <v>174.42151956020044</v>
      </c>
      <c r="CM85" s="1980">
        <f>yrSales!Z37</f>
        <v>186.45907426725068</v>
      </c>
    </row>
    <row r="86" spans="1:91" hidden="1" outlineLevel="1">
      <c r="A86" s="1769" t="s">
        <v>618</v>
      </c>
      <c r="B86" s="1770"/>
      <c r="C86" s="1770"/>
      <c r="D86" s="1770"/>
      <c r="E86" s="1770"/>
      <c r="F86" s="1770"/>
      <c r="G86" s="1770"/>
      <c r="H86" s="1770"/>
      <c r="I86" s="1770"/>
      <c r="J86" s="1770"/>
      <c r="K86" s="1770"/>
      <c r="L86" s="1770"/>
      <c r="M86" s="1770"/>
      <c r="N86" s="1770"/>
      <c r="O86" s="1770"/>
      <c r="P86" s="1770"/>
      <c r="Q86" s="1770"/>
      <c r="R86" s="1770"/>
      <c r="S86" s="1770"/>
      <c r="T86" s="1770"/>
      <c r="U86" s="1770"/>
      <c r="V86" s="1770"/>
      <c r="W86" s="1770"/>
      <c r="X86" s="1770"/>
      <c r="Y86" s="1770"/>
      <c r="Z86" s="1770"/>
      <c r="AA86" s="1770"/>
      <c r="AB86" s="1770"/>
      <c r="AC86" s="1770"/>
      <c r="AD86" s="1770"/>
      <c r="AE86" s="1770"/>
      <c r="AF86" s="1770"/>
      <c r="AG86" s="1770"/>
      <c r="AH86" s="1770"/>
      <c r="AI86" s="1770"/>
      <c r="AJ86" s="1770"/>
      <c r="AK86" s="1770"/>
      <c r="AL86" s="1770"/>
      <c r="AM86" s="1770"/>
      <c r="AN86" s="1770"/>
      <c r="AO86" s="1770"/>
      <c r="AP86" s="1770"/>
      <c r="AQ86" s="1770"/>
      <c r="AR86" s="1770"/>
      <c r="AS86" s="1770"/>
      <c r="AT86" s="1770"/>
      <c r="AU86" s="1770"/>
      <c r="AV86" s="1770" t="s">
        <v>619</v>
      </c>
      <c r="AW86" s="1770" t="s">
        <v>620</v>
      </c>
      <c r="AX86" s="1770" t="s">
        <v>621</v>
      </c>
      <c r="AY86" s="1771" t="s">
        <v>622</v>
      </c>
      <c r="AZ86" s="1770"/>
      <c r="BA86" s="1770"/>
      <c r="BB86" s="1770"/>
      <c r="BC86" s="1770"/>
      <c r="BD86" s="1770"/>
      <c r="BE86" s="1349"/>
      <c r="BF86" s="1349"/>
      <c r="BG86" s="1349"/>
      <c r="BH86" s="1349"/>
      <c r="BK86" s="1349"/>
      <c r="BL86" s="1349"/>
      <c r="BM86" s="1349"/>
      <c r="BN86" s="1349"/>
      <c r="BP86" s="1349"/>
    </row>
    <row r="87" spans="1:91" hidden="1" outlineLevel="1">
      <c r="A87" s="1538" t="s">
        <v>204</v>
      </c>
      <c r="B87" s="1349"/>
      <c r="C87" s="1349"/>
      <c r="D87" s="1349"/>
      <c r="E87" s="1349"/>
      <c r="F87" s="1349"/>
      <c r="G87" s="1349"/>
      <c r="H87" s="1349"/>
      <c r="I87" s="1349"/>
      <c r="J87" s="1349"/>
      <c r="K87" s="1349"/>
      <c r="L87" s="1349"/>
      <c r="M87" s="1349"/>
      <c r="N87" s="1349"/>
      <c r="O87" s="1349"/>
      <c r="P87" s="1349"/>
      <c r="Q87" s="1349"/>
      <c r="R87" s="1349"/>
      <c r="S87" s="1349"/>
      <c r="T87" s="1349"/>
      <c r="U87" s="1349"/>
      <c r="V87" s="1349"/>
      <c r="W87" s="1349"/>
      <c r="X87" s="1349"/>
      <c r="Y87" s="1349"/>
      <c r="Z87" s="1349"/>
      <c r="AA87" s="1349"/>
      <c r="AB87" s="1349"/>
      <c r="AC87" s="1349"/>
      <c r="AD87" s="1349"/>
      <c r="AE87" s="1349"/>
      <c r="AF87" s="1349"/>
      <c r="AG87" s="1349"/>
      <c r="AH87" s="1349"/>
      <c r="AI87" s="1349"/>
      <c r="AJ87" s="1349"/>
      <c r="AK87" s="1349"/>
      <c r="AL87" s="1349"/>
      <c r="AM87" s="1349"/>
      <c r="AN87" s="1349"/>
      <c r="AO87" s="1349"/>
      <c r="AP87" s="1349"/>
      <c r="AQ87" s="1349"/>
      <c r="AR87" s="1349"/>
      <c r="AS87" s="1349"/>
      <c r="AT87" s="1349"/>
      <c r="AU87" s="1349"/>
      <c r="AV87" s="1772">
        <f t="shared" ref="AV87:AY88" si="80">(AV55-AQ55)*10000</f>
        <v>78.411882517385735</v>
      </c>
      <c r="AW87" s="1772">
        <f t="shared" si="80"/>
        <v>48.353186883784424</v>
      </c>
      <c r="AX87" s="1772">
        <f t="shared" si="80"/>
        <v>66.312102491300479</v>
      </c>
      <c r="AY87" s="1773">
        <f t="shared" si="80"/>
        <v>52.123004563484621</v>
      </c>
      <c r="AZ87" s="1349"/>
      <c r="BA87" s="1772"/>
      <c r="BB87" s="1772"/>
      <c r="BC87" s="1772"/>
      <c r="BD87" s="1772"/>
      <c r="BE87" s="1349"/>
      <c r="BF87" s="1349"/>
      <c r="BG87" s="1349"/>
      <c r="BH87" s="1349"/>
      <c r="BK87" s="1349"/>
      <c r="BL87" s="1349"/>
      <c r="BM87" s="1349"/>
      <c r="BN87" s="1349"/>
      <c r="BP87" s="1349"/>
    </row>
    <row r="88" spans="1:91" hidden="1" outlineLevel="1">
      <c r="A88" s="1538" t="s">
        <v>205</v>
      </c>
      <c r="B88" s="1349"/>
      <c r="C88" s="1349"/>
      <c r="D88" s="1349"/>
      <c r="E88" s="1349"/>
      <c r="F88" s="1349"/>
      <c r="G88" s="1349"/>
      <c r="H88" s="1349"/>
      <c r="I88" s="1349"/>
      <c r="J88" s="1349"/>
      <c r="K88" s="1349"/>
      <c r="L88" s="1349"/>
      <c r="M88" s="1349"/>
      <c r="N88" s="1349"/>
      <c r="O88" s="1349"/>
      <c r="P88" s="1349"/>
      <c r="Q88" s="1349"/>
      <c r="R88" s="1349"/>
      <c r="S88" s="1349"/>
      <c r="T88" s="1349"/>
      <c r="U88" s="1349"/>
      <c r="V88" s="1349"/>
      <c r="W88" s="1349"/>
      <c r="X88" s="1349"/>
      <c r="Y88" s="1349"/>
      <c r="Z88" s="1349"/>
      <c r="AA88" s="1349"/>
      <c r="AB88" s="1349"/>
      <c r="AC88" s="1349"/>
      <c r="AD88" s="1349"/>
      <c r="AE88" s="1349"/>
      <c r="AF88" s="1349"/>
      <c r="AG88" s="1349"/>
      <c r="AH88" s="1349"/>
      <c r="AI88" s="1349"/>
      <c r="AJ88" s="1349"/>
      <c r="AK88" s="1349"/>
      <c r="AL88" s="1349"/>
      <c r="AM88" s="1349"/>
      <c r="AN88" s="1349"/>
      <c r="AO88" s="1349"/>
      <c r="AP88" s="1349"/>
      <c r="AQ88" s="1349"/>
      <c r="AR88" s="1349"/>
      <c r="AS88" s="1349"/>
      <c r="AT88" s="1349"/>
      <c r="AU88" s="1349"/>
      <c r="AV88" s="1774">
        <f t="shared" si="80"/>
        <v>-1.3014759491791761</v>
      </c>
      <c r="AW88" s="1774">
        <f t="shared" si="80"/>
        <v>-36.526320157207472</v>
      </c>
      <c r="AX88" s="1774">
        <f t="shared" si="80"/>
        <v>16.497150816892624</v>
      </c>
      <c r="AY88" s="1775">
        <f t="shared" si="80"/>
        <v>9.0245656213255856</v>
      </c>
      <c r="AZ88" s="1349"/>
      <c r="BA88" s="1774"/>
      <c r="BB88" s="1774"/>
      <c r="BC88" s="1774"/>
      <c r="BD88" s="1774"/>
      <c r="BE88" s="1349"/>
      <c r="BF88" s="1349"/>
      <c r="BG88" s="1349"/>
      <c r="BH88" s="1349"/>
      <c r="BK88" s="1349"/>
      <c r="BL88" s="1349"/>
      <c r="BM88" s="1349"/>
      <c r="BN88" s="1349"/>
      <c r="BP88" s="1349"/>
    </row>
    <row r="89" spans="1:91" hidden="1" outlineLevel="1">
      <c r="A89" s="1541" t="s">
        <v>206</v>
      </c>
      <c r="B89" s="1352"/>
      <c r="C89" s="1352"/>
      <c r="D89" s="1352"/>
      <c r="E89" s="1352"/>
      <c r="F89" s="1352"/>
      <c r="G89" s="1352"/>
      <c r="H89" s="1352"/>
      <c r="I89" s="1352"/>
      <c r="J89" s="1352"/>
      <c r="K89" s="1352"/>
      <c r="L89" s="1352"/>
      <c r="M89" s="1352"/>
      <c r="N89" s="1352"/>
      <c r="O89" s="1352"/>
      <c r="P89" s="1352"/>
      <c r="Q89" s="1352"/>
      <c r="R89" s="1352"/>
      <c r="S89" s="1352"/>
      <c r="T89" s="1352"/>
      <c r="U89" s="1352"/>
      <c r="V89" s="1352"/>
      <c r="W89" s="1352"/>
      <c r="X89" s="1352"/>
      <c r="Y89" s="1352"/>
      <c r="Z89" s="1352"/>
      <c r="AA89" s="1352"/>
      <c r="AB89" s="1352"/>
      <c r="AC89" s="1352"/>
      <c r="AD89" s="1352"/>
      <c r="AE89" s="1352"/>
      <c r="AF89" s="1352"/>
      <c r="AG89" s="1352"/>
      <c r="AH89" s="1352"/>
      <c r="AI89" s="1352"/>
      <c r="AJ89" s="1352"/>
      <c r="AK89" s="1352"/>
      <c r="AL89" s="1352"/>
      <c r="AM89" s="1352"/>
      <c r="AN89" s="1352"/>
      <c r="AO89" s="1352"/>
      <c r="AP89" s="1352"/>
      <c r="AQ89" s="1352"/>
      <c r="AR89" s="1352"/>
      <c r="AS89" s="1352"/>
      <c r="AT89" s="1352"/>
      <c r="AU89" s="1352"/>
      <c r="AV89" s="1776">
        <f>(AV59-AQ59)*10000</f>
        <v>167.7983942784366</v>
      </c>
      <c r="AW89" s="1776">
        <f>(AW59-AR59)*10000</f>
        <v>202.98190825722574</v>
      </c>
      <c r="AX89" s="1776">
        <f>(AX59-AS59)*10000</f>
        <v>-436.33222201903158</v>
      </c>
      <c r="AY89" s="1777">
        <f>(AY59-AT59)*10000</f>
        <v>212.95989537067004</v>
      </c>
      <c r="AZ89" s="1352"/>
      <c r="BA89" s="1776"/>
      <c r="BB89" s="1776"/>
      <c r="BC89" s="1776"/>
      <c r="BD89" s="1776"/>
      <c r="BE89" s="1349"/>
      <c r="BF89" s="1349"/>
      <c r="BG89" s="1349"/>
      <c r="BH89" s="1349"/>
      <c r="BK89" s="1349"/>
      <c r="BL89" s="1349"/>
      <c r="BM89" s="1349"/>
      <c r="BN89" s="1349"/>
      <c r="BP89" s="1349"/>
    </row>
    <row r="90" spans="1:91" collapsed="1">
      <c r="AM90" s="1349"/>
      <c r="AN90" s="1349"/>
      <c r="AO90" s="1349"/>
      <c r="AP90" s="1349"/>
      <c r="AQ90" s="1349"/>
      <c r="AV90" s="1349"/>
      <c r="BA90" s="1349"/>
      <c r="BE90" s="1349"/>
      <c r="BF90" s="1349"/>
      <c r="BG90" s="1349"/>
      <c r="BH90" s="1349"/>
      <c r="BK90" s="1349"/>
      <c r="BL90" s="1349"/>
      <c r="BM90" s="1349"/>
      <c r="BN90" s="1349"/>
      <c r="BP90" s="1349"/>
    </row>
    <row r="91" spans="1:91">
      <c r="AM91" s="1349"/>
      <c r="AN91" s="1349"/>
      <c r="AO91" s="1349"/>
      <c r="AP91" s="1349"/>
      <c r="AQ91" s="1349"/>
      <c r="AV91" s="1349"/>
      <c r="BA91" s="1349"/>
      <c r="BF91" s="1349"/>
      <c r="BK91" s="1349"/>
      <c r="BL91" s="1349"/>
      <c r="BM91" s="1349"/>
      <c r="BN91" s="1349"/>
      <c r="BP91" s="1349"/>
    </row>
    <row r="92" spans="1:91">
      <c r="AM92" s="1349"/>
      <c r="AN92" s="1349"/>
      <c r="AO92" s="1349"/>
      <c r="AP92" s="1349"/>
      <c r="AQ92" s="1349"/>
      <c r="AV92" s="1349"/>
      <c r="BA92" s="1349"/>
      <c r="BF92" s="1349"/>
      <c r="BK92" s="1349"/>
      <c r="BL92" s="1349"/>
      <c r="BM92" s="1349"/>
      <c r="BN92" s="1349"/>
      <c r="BP92" s="1349"/>
    </row>
    <row r="93" spans="1:91">
      <c r="AM93" s="1349"/>
      <c r="AN93" s="1349"/>
      <c r="AO93" s="1349"/>
      <c r="AP93" s="1349"/>
      <c r="AQ93" s="1349"/>
      <c r="AV93" s="1349"/>
      <c r="BA93" s="1349"/>
      <c r="BF93" s="1349"/>
      <c r="BK93" s="1349"/>
      <c r="BL93" s="1349"/>
      <c r="BM93" s="1349"/>
      <c r="BN93" s="1349"/>
      <c r="BP93" s="1349"/>
    </row>
    <row r="94" spans="1:91">
      <c r="AM94" s="1349"/>
      <c r="AN94" s="1349"/>
      <c r="AO94" s="1349"/>
      <c r="AP94" s="1349"/>
      <c r="AQ94" s="1349"/>
      <c r="AV94" s="1349"/>
      <c r="BA94" s="1349"/>
      <c r="BF94" s="1349"/>
      <c r="BK94" s="1349"/>
      <c r="BP94" s="1349"/>
    </row>
    <row r="95" spans="1:91">
      <c r="AM95" s="1349"/>
      <c r="AN95" s="1349"/>
      <c r="AO95" s="1349"/>
      <c r="AP95" s="1349"/>
      <c r="AQ95" s="1349"/>
      <c r="AV95" s="1349"/>
      <c r="BA95" s="1349"/>
      <c r="BF95" s="1349"/>
      <c r="BK95" s="1349"/>
      <c r="BP95" s="1349"/>
    </row>
    <row r="96" spans="1:91">
      <c r="AM96" s="1349"/>
      <c r="AN96" s="1349"/>
      <c r="AO96" s="1349"/>
      <c r="AP96" s="1349"/>
      <c r="AQ96" s="1349"/>
      <c r="AV96" s="1349"/>
      <c r="BA96" s="1349"/>
      <c r="BF96" s="1349"/>
      <c r="BK96" s="1349"/>
      <c r="BP96" s="1349"/>
    </row>
    <row r="97" spans="1:91">
      <c r="A97" s="1778" t="s">
        <v>78</v>
      </c>
      <c r="AM97" s="1349"/>
      <c r="AN97" s="1349"/>
      <c r="AO97" s="1349"/>
      <c r="AP97" s="1349"/>
      <c r="AQ97" s="1349"/>
      <c r="AV97" s="1349"/>
      <c r="BA97" s="1349"/>
      <c r="BF97" s="1349"/>
      <c r="BK97" s="1349"/>
      <c r="BP97" s="1349"/>
    </row>
    <row r="99" spans="1:91" outlineLevel="1">
      <c r="A99" s="1282" t="s">
        <v>6</v>
      </c>
      <c r="C99" s="1779"/>
      <c r="D99" s="1779"/>
      <c r="E99" s="1779"/>
      <c r="F99" s="1779"/>
      <c r="G99" s="1779"/>
      <c r="H99" s="1779"/>
      <c r="I99" s="1779"/>
      <c r="J99" s="1779"/>
      <c r="K99" s="1779"/>
      <c r="L99" s="1779"/>
      <c r="M99" s="1779"/>
      <c r="N99" s="1779"/>
      <c r="O99" s="1779"/>
      <c r="P99" s="1779"/>
      <c r="Q99" s="1779"/>
      <c r="R99" s="1779"/>
      <c r="S99" s="1779"/>
      <c r="T99" s="1779"/>
      <c r="U99" s="1779"/>
      <c r="V99" s="1779"/>
      <c r="W99" s="1779">
        <f>qtrSales!Y69</f>
        <v>34.64</v>
      </c>
      <c r="X99" s="1779">
        <f>qtrSales!Y70</f>
        <v>34.64</v>
      </c>
      <c r="Y99" s="1779">
        <f>qtrSales!Y71</f>
        <v>35.36</v>
      </c>
      <c r="Z99" s="1779">
        <f>qtrSales!Y72</f>
        <v>35.36</v>
      </c>
      <c r="AA99" s="1779"/>
      <c r="AB99" s="1779">
        <f>qtrSales!Y76</f>
        <v>35.92</v>
      </c>
      <c r="AC99" s="1779">
        <f>qtrSales!Y77</f>
        <v>35.76</v>
      </c>
      <c r="AD99" s="1779">
        <f>qtrSales!Y78</f>
        <v>36.72</v>
      </c>
      <c r="AE99" s="1779">
        <f>qtrSales!Y79</f>
        <v>36.800000000000004</v>
      </c>
      <c r="AF99" s="1779"/>
      <c r="AG99" s="1779">
        <f>qtrSales!Y83</f>
        <v>36.96</v>
      </c>
      <c r="AH99" s="1779">
        <f>qtrSales!Y84</f>
        <v>36.96</v>
      </c>
      <c r="AI99" s="1779">
        <f>qtrSales!Y85</f>
        <v>37.76</v>
      </c>
      <c r="AJ99" s="1779">
        <f>qtrSales!Y86</f>
        <v>38.160000000000004</v>
      </c>
      <c r="AK99" s="1779"/>
      <c r="AL99" s="1779">
        <f>qtrSales!Y90</f>
        <v>38.56</v>
      </c>
      <c r="AM99" s="1779">
        <f>qtrSales!Y91</f>
        <v>38.56</v>
      </c>
      <c r="AN99" s="1779">
        <f>qtrSales!Y92</f>
        <v>39.76</v>
      </c>
      <c r="AO99" s="1779">
        <f>qtrSales!Y93</f>
        <v>40</v>
      </c>
      <c r="AP99" s="1779"/>
      <c r="AQ99" s="1779">
        <f>qtrSales!Y97</f>
        <v>40.24</v>
      </c>
      <c r="AR99" s="1779">
        <f>qtrSales!Y98</f>
        <v>40.24</v>
      </c>
      <c r="AS99" s="1779">
        <f>qtrSales!Y98</f>
        <v>40.24</v>
      </c>
      <c r="AT99" s="1779">
        <f>qtrSales!Y99</f>
        <v>41.68</v>
      </c>
      <c r="AU99" s="1779"/>
      <c r="AV99" s="1779">
        <f>qtrSales!$Y104</f>
        <v>40.793999999999997</v>
      </c>
      <c r="AW99" s="1779">
        <f>qtrSales!$Y105</f>
        <v>40.793999999999997</v>
      </c>
      <c r="AX99" s="1779">
        <f>qtrSales!$Y106</f>
        <v>42.12</v>
      </c>
      <c r="AY99" s="1779">
        <f>qtrSales!$Y107</f>
        <v>42.212000000000003</v>
      </c>
      <c r="BA99" s="1779">
        <f>qtrSales!$Y104</f>
        <v>40.793999999999997</v>
      </c>
      <c r="BB99" s="1779">
        <f>qtrSales!$Y105</f>
        <v>40.793999999999997</v>
      </c>
      <c r="BC99" s="1779">
        <f>qtrSales!$Y106</f>
        <v>42.12</v>
      </c>
      <c r="BD99" s="1779">
        <f>qtrSales!$Y107</f>
        <v>42.212000000000003</v>
      </c>
      <c r="BF99" s="1779">
        <f>qtrSales!$Y104</f>
        <v>40.793999999999997</v>
      </c>
      <c r="BG99" s="1779">
        <f>qtrSales!$Y105</f>
        <v>40.793999999999997</v>
      </c>
      <c r="BH99" s="1779">
        <f>qtrSales!$Y106</f>
        <v>42.12</v>
      </c>
      <c r="BI99" s="1765">
        <f>qtrSales!$Y107</f>
        <v>42.212000000000003</v>
      </c>
      <c r="BK99" s="1779">
        <f>qtrSales!$Y125</f>
        <v>44.637</v>
      </c>
      <c r="BL99" s="1779">
        <f>qtrSales!$Y126</f>
        <v>44.808999999999997</v>
      </c>
      <c r="BM99" s="1779">
        <f>qtrSales!$Y127</f>
        <v>45.856999999999999</v>
      </c>
      <c r="BN99" s="1765">
        <f>qtrSales!$Y128</f>
        <v>45.692999999999998</v>
      </c>
      <c r="BP99" s="1779">
        <f>qtrSales!$Y125</f>
        <v>44.637</v>
      </c>
      <c r="BQ99" s="1779">
        <f>qtrSales!$Y126</f>
        <v>44.808999999999997</v>
      </c>
      <c r="BR99" s="1779">
        <f>qtrSales!$Y127</f>
        <v>45.856999999999999</v>
      </c>
      <c r="BS99" s="1765">
        <f>qtrSales!$Y128</f>
        <v>45.692999999999998</v>
      </c>
      <c r="BT99" s="1779">
        <f>yrSales!F31</f>
        <v>27.315000000000001</v>
      </c>
      <c r="BU99" s="1779">
        <f>yrSales!G31</f>
        <v>29.3</v>
      </c>
      <c r="BV99" s="1779">
        <f>yrSales!H31</f>
        <v>29.44</v>
      </c>
      <c r="BW99" s="1779">
        <f>yrSales!I31</f>
        <v>30.32</v>
      </c>
      <c r="BX99" s="1779">
        <f>yrSales!J31</f>
        <v>31.76</v>
      </c>
      <c r="BY99" s="1779">
        <f>yrSales!K31</f>
        <v>34.64</v>
      </c>
      <c r="BZ99" s="1779">
        <f>yrSales!L31</f>
        <v>35.36</v>
      </c>
      <c r="CA99" s="1779">
        <f>yrSales!M31</f>
        <v>36.800000000000004</v>
      </c>
      <c r="CB99" s="1779">
        <f>yrSales!N31</f>
        <v>38.160000000000004</v>
      </c>
      <c r="CC99" s="1779">
        <f>yrSales!P31</f>
        <v>42</v>
      </c>
      <c r="CD99" s="1779">
        <f>yrSales!Q31</f>
        <v>41.01</v>
      </c>
      <c r="CE99" s="1779">
        <f>yrSales!R31</f>
        <v>42.212000000000003</v>
      </c>
      <c r="CF99" s="1779">
        <f>yrSales!S31</f>
        <v>43.468000000000004</v>
      </c>
      <c r="CG99" s="1779">
        <f>yrSales!T31</f>
        <v>44.735999999999997</v>
      </c>
      <c r="CH99" s="1779">
        <f>yrSales!U31</f>
        <v>45.692999999999998</v>
      </c>
      <c r="CI99" s="1779">
        <f>yrSales!V31</f>
        <v>47.492999999999995</v>
      </c>
      <c r="CJ99" s="1779">
        <f>yrSales!W31</f>
        <v>48.592999999999996</v>
      </c>
      <c r="CK99" s="1779">
        <f>yrSales!X31</f>
        <v>49.692999999999998</v>
      </c>
      <c r="CL99" s="1779">
        <f>yrSales!Y31</f>
        <v>50.792999999999999</v>
      </c>
      <c r="CM99" s="1779">
        <f>yrSales!Z31</f>
        <v>51.893000000000001</v>
      </c>
    </row>
    <row r="100" spans="1:91" outlineLevel="1">
      <c r="A100" s="1282" t="s">
        <v>100</v>
      </c>
      <c r="C100" s="1780"/>
      <c r="D100" s="1780"/>
      <c r="E100" s="1780"/>
      <c r="F100" s="1780"/>
      <c r="G100" s="1780"/>
      <c r="H100" s="1780"/>
      <c r="I100" s="1780"/>
      <c r="J100" s="1780"/>
      <c r="K100" s="1780"/>
      <c r="L100" s="1780"/>
      <c r="M100" s="1780"/>
      <c r="N100" s="1780"/>
      <c r="O100" s="1780"/>
      <c r="P100" s="1780"/>
      <c r="Q100" s="1780"/>
      <c r="R100" s="1780"/>
      <c r="S100" s="1780"/>
      <c r="T100" s="1780"/>
      <c r="U100" s="1780"/>
      <c r="V100" s="1780"/>
      <c r="W100" s="1780">
        <f>qtrSales!I69</f>
        <v>433</v>
      </c>
      <c r="X100" s="1780">
        <f>qtrSales!I70</f>
        <v>433</v>
      </c>
      <c r="Y100" s="1780">
        <f>qtrSales!I71</f>
        <v>442</v>
      </c>
      <c r="Z100" s="1780">
        <f>qtrSales!I72</f>
        <v>442</v>
      </c>
      <c r="AA100" s="1780"/>
      <c r="AB100" s="1780">
        <f>qtrSales!I76</f>
        <v>449</v>
      </c>
      <c r="AC100" s="1780">
        <f>qtrSales!I77</f>
        <v>447</v>
      </c>
      <c r="AD100" s="1780">
        <f>qtrSales!I78</f>
        <v>459</v>
      </c>
      <c r="AE100" s="1780">
        <f>qtrSales!I79</f>
        <v>460</v>
      </c>
      <c r="AF100" s="1780"/>
      <c r="AG100" s="1780">
        <f>qtrSales!I83</f>
        <v>462</v>
      </c>
      <c r="AH100" s="1780">
        <f>qtrSales!I84</f>
        <v>462</v>
      </c>
      <c r="AI100" s="1780">
        <f>qtrSales!I85</f>
        <v>472</v>
      </c>
      <c r="AJ100" s="1780">
        <f>qtrSales!I86</f>
        <v>477</v>
      </c>
      <c r="AK100" s="1780"/>
      <c r="AL100" s="1780">
        <f>qtrSales!I90</f>
        <v>482</v>
      </c>
      <c r="AM100" s="1780">
        <f>qtrSales!I91</f>
        <v>482</v>
      </c>
      <c r="AN100" s="1780">
        <f>qtrSales!I92</f>
        <v>497</v>
      </c>
      <c r="AO100" s="1780">
        <f>qtrSales!I93</f>
        <v>500</v>
      </c>
      <c r="AQ100" s="1780">
        <f>qtrSales!I97</f>
        <v>503</v>
      </c>
      <c r="AR100" s="1780">
        <f>qtrSales!I98</f>
        <v>503</v>
      </c>
      <c r="AS100" s="1780">
        <f>qtrSales!I98</f>
        <v>503</v>
      </c>
      <c r="AT100" s="1780">
        <f>qtrSales!I99</f>
        <v>521</v>
      </c>
      <c r="AV100" s="1780">
        <f>qtrSales!$I104</f>
        <v>523</v>
      </c>
      <c r="AW100" s="1780">
        <f>qtrSales!$I105</f>
        <v>523</v>
      </c>
      <c r="AX100" s="1780">
        <f>qtrSales!$I106</f>
        <v>540</v>
      </c>
      <c r="AY100" s="1780">
        <f>qtrSales!$I107</f>
        <v>542</v>
      </c>
      <c r="BA100" s="1282">
        <f>qtrSales!$I104</f>
        <v>523</v>
      </c>
      <c r="BB100" s="1780">
        <f>qtrSales!$I105</f>
        <v>523</v>
      </c>
      <c r="BC100" s="1780">
        <f>qtrSales!$I106</f>
        <v>540</v>
      </c>
      <c r="BD100" s="1780">
        <f>qtrSales!$I107</f>
        <v>542</v>
      </c>
      <c r="BF100" s="1780">
        <f>qtrSales!$I104</f>
        <v>523</v>
      </c>
      <c r="BG100" s="1780">
        <f>qtrSales!$I105</f>
        <v>523</v>
      </c>
      <c r="BH100" s="1780">
        <f>qtrSales!$I106</f>
        <v>540</v>
      </c>
      <c r="BI100" s="1764">
        <f>qtrSales!$I107</f>
        <v>542</v>
      </c>
      <c r="BK100" s="1780">
        <f>qtrSales!$I125</f>
        <v>596</v>
      </c>
      <c r="BL100" s="1780">
        <f>qtrSales!$I126</f>
        <v>600</v>
      </c>
      <c r="BM100" s="1780">
        <f>qtrSales!$I127</f>
        <v>631</v>
      </c>
      <c r="BN100" s="1764">
        <f>qtrSales!$I128</f>
        <v>629</v>
      </c>
      <c r="BP100" s="1780">
        <f>qtrSales!$I125</f>
        <v>596</v>
      </c>
      <c r="BQ100" s="1780">
        <f>qtrSales!$I126</f>
        <v>600</v>
      </c>
      <c r="BR100" s="1780">
        <f>qtrSales!$I127</f>
        <v>631</v>
      </c>
      <c r="BS100" s="1764">
        <f>qtrSales!$I128</f>
        <v>629</v>
      </c>
      <c r="BT100" s="1780">
        <f>BT81</f>
        <v>349</v>
      </c>
      <c r="BU100" s="1780">
        <f t="shared" ref="BU100:CH100" si="81">BU81</f>
        <v>362</v>
      </c>
      <c r="BV100" s="1780">
        <f t="shared" si="81"/>
        <v>368</v>
      </c>
      <c r="BW100" s="1780">
        <f t="shared" si="81"/>
        <v>379</v>
      </c>
      <c r="BX100" s="1780">
        <f t="shared" si="81"/>
        <v>397</v>
      </c>
      <c r="BY100" s="1780">
        <f>BY81</f>
        <v>433</v>
      </c>
      <c r="BZ100" s="1780">
        <f t="shared" si="81"/>
        <v>442</v>
      </c>
      <c r="CA100" s="1780">
        <f t="shared" si="81"/>
        <v>460</v>
      </c>
      <c r="CB100" s="1780">
        <f t="shared" si="81"/>
        <v>477</v>
      </c>
      <c r="CC100" s="1780">
        <f t="shared" si="81"/>
        <v>500</v>
      </c>
      <c r="CD100" s="1780">
        <f t="shared" si="81"/>
        <v>521</v>
      </c>
      <c r="CE100" s="1780">
        <f t="shared" si="81"/>
        <v>542</v>
      </c>
      <c r="CF100" s="1780">
        <f t="shared" si="81"/>
        <v>567</v>
      </c>
      <c r="CG100" s="1780">
        <f t="shared" si="81"/>
        <v>592</v>
      </c>
      <c r="CH100" s="1780">
        <f t="shared" si="81"/>
        <v>629</v>
      </c>
      <c r="CI100" s="1780">
        <f>CI81</f>
        <v>669</v>
      </c>
      <c r="CJ100" s="1780">
        <f>CJ81</f>
        <v>709</v>
      </c>
      <c r="CK100" s="1780">
        <f>CK81</f>
        <v>749</v>
      </c>
      <c r="CL100" s="1780">
        <f>CL81</f>
        <v>789</v>
      </c>
      <c r="CM100" s="1780">
        <f>CM81</f>
        <v>829</v>
      </c>
    </row>
    <row r="101" spans="1:91" outlineLevel="1">
      <c r="A101" s="1282" t="s">
        <v>7</v>
      </c>
      <c r="C101" s="1587"/>
      <c r="D101" s="1587"/>
      <c r="E101" s="1587"/>
      <c r="F101" s="1587"/>
      <c r="G101" s="1587"/>
      <c r="H101" s="1587"/>
      <c r="I101" s="1587"/>
      <c r="J101" s="1587"/>
      <c r="K101" s="1587"/>
      <c r="L101" s="1587"/>
      <c r="M101" s="1587"/>
      <c r="N101" s="1587"/>
      <c r="O101" s="1587"/>
      <c r="P101" s="1587"/>
      <c r="Q101" s="1587"/>
      <c r="R101" s="1587"/>
      <c r="S101" s="1587"/>
      <c r="T101" s="1587"/>
      <c r="U101" s="1587"/>
      <c r="V101" s="1587"/>
      <c r="W101" s="1781">
        <v>0.35</v>
      </c>
      <c r="X101" s="1781">
        <v>0.35</v>
      </c>
      <c r="Y101" s="1781">
        <v>0.35</v>
      </c>
      <c r="Z101" s="1781">
        <v>0.35</v>
      </c>
      <c r="AA101" s="1781"/>
      <c r="AB101" s="1781">
        <v>0.35</v>
      </c>
      <c r="AC101" s="1781">
        <v>0.35</v>
      </c>
      <c r="AD101" s="1781">
        <v>0.35</v>
      </c>
      <c r="AE101" s="1781">
        <v>0.35</v>
      </c>
      <c r="AF101" s="1781"/>
      <c r="AG101" s="1781">
        <v>0.35</v>
      </c>
      <c r="AH101" s="1781">
        <v>0.35</v>
      </c>
      <c r="AI101" s="1781">
        <v>0.35</v>
      </c>
      <c r="AJ101" s="1781">
        <v>0.35</v>
      </c>
      <c r="AK101" s="1781"/>
      <c r="AL101" s="1781">
        <v>0.35</v>
      </c>
      <c r="AM101" s="1781">
        <v>0.35</v>
      </c>
      <c r="AN101" s="1781">
        <v>0.35</v>
      </c>
      <c r="AO101" s="1781">
        <v>0.35</v>
      </c>
      <c r="AP101" s="1782"/>
      <c r="AQ101" s="1781">
        <v>0.39</v>
      </c>
      <c r="AR101" s="1781">
        <v>0.35</v>
      </c>
      <c r="AS101" s="1781">
        <v>0.39</v>
      </c>
      <c r="AT101" s="1781">
        <v>0.39</v>
      </c>
      <c r="AU101" s="1782"/>
      <c r="AV101" s="1781">
        <v>0.39</v>
      </c>
      <c r="AW101" s="1781">
        <v>0.39</v>
      </c>
      <c r="AX101" s="1781">
        <v>0.39</v>
      </c>
      <c r="AY101" s="1781">
        <v>0.39</v>
      </c>
      <c r="BA101" s="1782">
        <v>0.39</v>
      </c>
      <c r="BB101" s="1781">
        <v>0.39</v>
      </c>
      <c r="BC101" s="1781">
        <v>0.39</v>
      </c>
      <c r="BD101" s="1781">
        <v>0.39</v>
      </c>
      <c r="BF101" s="1781">
        <v>0.39</v>
      </c>
      <c r="BG101" s="1781">
        <v>0.39</v>
      </c>
      <c r="BH101" s="1781">
        <v>0.39</v>
      </c>
      <c r="BI101" s="1586">
        <v>0.39</v>
      </c>
      <c r="BK101" s="1781">
        <v>0.39</v>
      </c>
      <c r="BL101" s="1781">
        <v>0.39</v>
      </c>
      <c r="BM101" s="1781">
        <v>0.39</v>
      </c>
      <c r="BN101" s="1586">
        <v>0.39</v>
      </c>
      <c r="BP101" s="1781">
        <v>0.21</v>
      </c>
      <c r="BQ101" s="1781">
        <v>0.21</v>
      </c>
      <c r="BR101" s="1781">
        <v>0.21</v>
      </c>
      <c r="BS101" s="1586">
        <v>0.21</v>
      </c>
      <c r="BT101" s="1781">
        <v>0.35</v>
      </c>
      <c r="BU101" s="1781">
        <v>0.35</v>
      </c>
      <c r="BV101" s="1781">
        <v>0.35</v>
      </c>
      <c r="BW101" s="1781">
        <v>0.35</v>
      </c>
      <c r="BX101" s="1781">
        <v>0.35</v>
      </c>
      <c r="BY101" s="1781">
        <v>0.35</v>
      </c>
      <c r="BZ101" s="1781">
        <v>0.35</v>
      </c>
      <c r="CA101" s="1781">
        <v>0.35</v>
      </c>
      <c r="CB101" s="1781">
        <v>0.35</v>
      </c>
      <c r="CC101" s="1781">
        <v>0.35</v>
      </c>
      <c r="CD101" s="1781">
        <v>0.35</v>
      </c>
      <c r="CE101" s="1781">
        <v>0.39</v>
      </c>
      <c r="CF101" s="1781">
        <v>0.39</v>
      </c>
      <c r="CG101" s="1781">
        <v>0.39</v>
      </c>
      <c r="CH101" s="1781">
        <v>0.39</v>
      </c>
      <c r="CI101" s="1781">
        <v>0.21</v>
      </c>
      <c r="CJ101" s="1781">
        <v>0.21</v>
      </c>
      <c r="CK101" s="1781">
        <v>0.21</v>
      </c>
      <c r="CL101" s="1781">
        <v>0.21</v>
      </c>
      <c r="CM101" s="1781">
        <v>0.21</v>
      </c>
    </row>
    <row r="102" spans="1:91" outlineLevel="1">
      <c r="BN102" s="1349"/>
      <c r="BS102" s="1349"/>
    </row>
    <row r="103" spans="1:91" customFormat="1" outlineLevel="1"/>
    <row r="104" spans="1:91" outlineLevel="1"/>
    <row r="105" spans="1:91" outlineLevel="1"/>
    <row r="106" spans="1:91" outlineLevel="1"/>
    <row r="107" spans="1:91" outlineLevel="1">
      <c r="A107" s="1283" t="s">
        <v>614</v>
      </c>
      <c r="AL107" s="1672">
        <f>AL70+AG70</f>
        <v>1.0999999999999999E-2</v>
      </c>
      <c r="AM107" s="1672">
        <f>AM70+AH70</f>
        <v>6.9000000000000006E-2</v>
      </c>
      <c r="AN107" s="1672">
        <f>AN70+AI70</f>
        <v>3.6000000000000004E-2</v>
      </c>
      <c r="AO107" s="1672">
        <f>AO70+AJ70</f>
        <v>-0.02</v>
      </c>
      <c r="AQ107" s="1672">
        <f>AQ70+AL70</f>
        <v>0.04</v>
      </c>
      <c r="AR107" s="1672">
        <f>AR70+AM70</f>
        <v>0.107</v>
      </c>
      <c r="AS107" s="1672">
        <f>AS70+AN70</f>
        <v>0.06</v>
      </c>
      <c r="AT107" s="1672">
        <f>AT70+AO70</f>
        <v>3.6999999999999998E-2</v>
      </c>
      <c r="AV107" s="1672">
        <f>AV70+AQ70</f>
        <v>6.1000000000000006E-2</v>
      </c>
      <c r="AW107" s="1672">
        <f>AW70+AR70</f>
        <v>0.125</v>
      </c>
      <c r="AX107" s="1672">
        <f>AX70+AS70</f>
        <v>9.0999999999999998E-2</v>
      </c>
      <c r="AY107" s="1672">
        <f>AY70+AT70</f>
        <v>0.10700000000000001</v>
      </c>
      <c r="BA107" s="1672"/>
      <c r="BB107" s="1672"/>
      <c r="BC107" s="1672"/>
      <c r="BD107" s="1672"/>
    </row>
    <row r="108" spans="1:91" outlineLevel="1"/>
    <row r="109" spans="1:91" outlineLevel="1"/>
    <row r="110" spans="1:91" outlineLevel="1"/>
    <row r="111" spans="1:91" outlineLevel="1"/>
    <row r="112" spans="1:91" outlineLevel="1"/>
    <row r="113" spans="48:70" outlineLevel="1"/>
    <row r="114" spans="48:70" outlineLevel="1">
      <c r="AW114" s="1587">
        <f>74/73-1</f>
        <v>1.3698630136986356E-2</v>
      </c>
      <c r="BB114" s="1587"/>
    </row>
    <row r="115" spans="48:70" outlineLevel="1"/>
    <row r="116" spans="48:70" outlineLevel="1"/>
    <row r="117" spans="48:70" outlineLevel="1"/>
    <row r="118" spans="48:70" outlineLevel="1">
      <c r="AV118" s="1282">
        <f>2.85/2.78-1</f>
        <v>2.5179856115107979E-2</v>
      </c>
      <c r="AW118" s="1282">
        <f>3.25/3.15-1</f>
        <v>3.1746031746031855E-2</v>
      </c>
    </row>
    <row r="119" spans="48:70" outlineLevel="1"/>
    <row r="126" spans="48:70">
      <c r="BG126" s="1784"/>
      <c r="BL126" s="1282">
        <v>1282.67</v>
      </c>
      <c r="BM126" s="1282">
        <v>1183.059</v>
      </c>
      <c r="BQ126" s="1282">
        <v>1282.67</v>
      </c>
      <c r="BR126" s="1282">
        <v>1183.059</v>
      </c>
    </row>
    <row r="127" spans="48:70">
      <c r="BG127" s="1785"/>
      <c r="BL127" s="1282">
        <v>120.973</v>
      </c>
      <c r="BM127" s="1282">
        <v>101.44</v>
      </c>
      <c r="BQ127" s="1282">
        <v>120.973</v>
      </c>
      <c r="BR127" s="1282">
        <v>101.44</v>
      </c>
    </row>
    <row r="128" spans="48:70">
      <c r="AY128" s="1282">
        <f>60*0.167</f>
        <v>10.020000000000001</v>
      </c>
      <c r="BG128" s="1785"/>
      <c r="BL128" s="1587">
        <f>BL127/BL126</f>
        <v>9.4313424341412821E-2</v>
      </c>
      <c r="BM128" s="1587">
        <f>BM127/BM126</f>
        <v>8.5743821736701212E-2</v>
      </c>
      <c r="BQ128" s="1587">
        <f>BQ127/BQ126</f>
        <v>9.4313424341412821E-2</v>
      </c>
      <c r="BR128" s="1587">
        <f>BR127/BR126</f>
        <v>8.5743821736701212E-2</v>
      </c>
    </row>
    <row r="129" spans="51:70">
      <c r="AY129" s="1282">
        <f>AY128*(1-BD61)</f>
        <v>6.3979043112309215</v>
      </c>
      <c r="BG129" s="1292">
        <f>BD39+AY129</f>
        <v>115.6599043112309</v>
      </c>
      <c r="BM129" s="1786">
        <f>BL128-BM128</f>
        <v>8.5696026047116097E-3</v>
      </c>
      <c r="BR129" s="1786">
        <f>BQ128-BR128</f>
        <v>8.5696026047116097E-3</v>
      </c>
    </row>
    <row r="130" spans="51:70">
      <c r="AY130" s="1787">
        <f>AY129/BD41</f>
        <v>8.7204115082133951E-2</v>
      </c>
      <c r="BD130" s="1787"/>
      <c r="BG130" s="1785">
        <f>BG129/BD41</f>
        <v>1.576456776360365</v>
      </c>
    </row>
    <row r="131" spans="51:70">
      <c r="BG131" s="1785">
        <f>BG130/1.41-1</f>
        <v>0.11805445131940795</v>
      </c>
    </row>
    <row r="132" spans="51:70">
      <c r="AY132" s="1306"/>
      <c r="BD132" s="1306"/>
    </row>
  </sheetData>
  <printOptions horizontalCentered="1" verticalCentered="1"/>
  <pageMargins left="0" right="0" top="0" bottom="0" header="0" footer="0"/>
  <pageSetup paperSize="5" scale="55" orientation="landscape"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E12:X41"/>
  <sheetViews>
    <sheetView showGridLines="0" topLeftCell="A3" zoomScaleNormal="100" workbookViewId="0">
      <selection activeCell="H45" sqref="H45"/>
    </sheetView>
  </sheetViews>
  <sheetFormatPr defaultRowHeight="12.75" outlineLevelRow="1"/>
  <cols>
    <col min="5" max="5" width="9.7109375" customWidth="1"/>
    <col min="6" max="6" width="14.42578125" customWidth="1"/>
    <col min="7" max="7" width="3" customWidth="1"/>
    <col min="8" max="8" width="10.42578125" customWidth="1"/>
    <col min="10" max="10" width="3" customWidth="1"/>
    <col min="11" max="12" width="9.5703125" bestFit="1" customWidth="1"/>
    <col min="13" max="13" width="3" customWidth="1"/>
    <col min="14" max="15" width="9.28515625" bestFit="1" customWidth="1"/>
    <col min="16" max="16" width="3" customWidth="1"/>
    <col min="17" max="18" width="10.140625" bestFit="1" customWidth="1"/>
    <col min="24" max="24" width="12.85546875" bestFit="1" customWidth="1"/>
  </cols>
  <sheetData>
    <row r="12" spans="5:18" ht="15">
      <c r="E12" s="1604">
        <v>2016</v>
      </c>
      <c r="F12" s="1605"/>
      <c r="G12" s="1605"/>
      <c r="H12" s="1605"/>
      <c r="I12" s="1605"/>
      <c r="J12" s="1605"/>
      <c r="K12" s="1605"/>
      <c r="L12" s="1605"/>
      <c r="M12" s="1605"/>
      <c r="N12" s="1605"/>
      <c r="O12" s="1605"/>
      <c r="P12" s="1605"/>
      <c r="Q12" s="1605"/>
      <c r="R12" s="1605"/>
    </row>
    <row r="13" spans="5:18">
      <c r="E13" s="2261" t="s">
        <v>934</v>
      </c>
      <c r="F13" s="2261"/>
      <c r="G13" s="1606"/>
      <c r="H13" s="2263" t="s">
        <v>935</v>
      </c>
      <c r="I13" s="2263"/>
      <c r="J13" s="1606"/>
      <c r="K13" s="2263" t="s">
        <v>936</v>
      </c>
      <c r="L13" s="2263"/>
      <c r="M13" s="1606"/>
      <c r="N13" s="2263" t="s">
        <v>937</v>
      </c>
      <c r="O13" s="2263"/>
      <c r="P13" s="1606"/>
      <c r="Q13" s="2263" t="s">
        <v>938</v>
      </c>
      <c r="R13" s="2263"/>
    </row>
    <row r="14" spans="5:18" ht="15" customHeight="1">
      <c r="E14" s="2262"/>
      <c r="F14" s="2262"/>
      <c r="G14" s="1606"/>
      <c r="H14" s="1607" t="s">
        <v>939</v>
      </c>
      <c r="I14" s="1607" t="s">
        <v>940</v>
      </c>
      <c r="J14" s="1608"/>
      <c r="K14" s="1607" t="s">
        <v>939</v>
      </c>
      <c r="L14" s="1607" t="s">
        <v>940</v>
      </c>
      <c r="M14" s="1608"/>
      <c r="N14" s="1607" t="s">
        <v>939</v>
      </c>
      <c r="O14" s="1607" t="s">
        <v>940</v>
      </c>
      <c r="P14" s="1608"/>
      <c r="Q14" s="1607" t="s">
        <v>939</v>
      </c>
      <c r="R14" s="1607" t="s">
        <v>940</v>
      </c>
    </row>
    <row r="15" spans="5:18">
      <c r="E15" s="1606"/>
      <c r="F15" s="1606"/>
      <c r="G15" s="1606"/>
      <c r="H15" s="1608"/>
      <c r="I15" s="1609"/>
      <c r="J15" s="1608"/>
      <c r="K15" s="1608"/>
      <c r="L15" s="1609"/>
      <c r="M15" s="1608"/>
      <c r="N15" s="1608"/>
      <c r="O15" s="1609"/>
      <c r="P15" s="1608"/>
      <c r="Q15" s="1608"/>
      <c r="R15" s="1609"/>
    </row>
    <row r="16" spans="5:18">
      <c r="E16" s="1606" t="s">
        <v>950</v>
      </c>
      <c r="F16" s="1606"/>
      <c r="G16" s="1606"/>
      <c r="H16" s="1610">
        <v>3.5000000000000003E-2</v>
      </c>
      <c r="I16" s="1611">
        <f>+sumry_new!BF70</f>
        <v>4.2999999999999997E-2</v>
      </c>
      <c r="J16" s="1610"/>
      <c r="K16" s="1610">
        <v>2.7999999999999997E-2</v>
      </c>
      <c r="L16" s="1611">
        <f>+sumry_new!BG70</f>
        <v>5.4000000000000006E-2</v>
      </c>
      <c r="M16" s="1610"/>
      <c r="N16" s="1610">
        <v>3.5000000000000003E-2</v>
      </c>
      <c r="O16" s="1611">
        <f>+sumry_new!BH70</f>
        <v>3.7000000000000005E-2</v>
      </c>
      <c r="P16" s="1610"/>
      <c r="Q16" s="1610">
        <v>3.7999999999999999E-2</v>
      </c>
      <c r="R16" s="1611">
        <f>+sumry_new!BI70</f>
        <v>4.5999999999999999E-2</v>
      </c>
    </row>
    <row r="17" spans="5:24">
      <c r="E17" s="1606"/>
      <c r="F17" s="1606"/>
      <c r="G17" s="1606"/>
      <c r="H17" s="1610"/>
      <c r="I17" s="1611"/>
      <c r="J17" s="1610"/>
      <c r="K17" s="1610"/>
      <c r="L17" s="1611"/>
      <c r="M17" s="1610"/>
      <c r="N17" s="1610"/>
      <c r="O17" s="1611"/>
      <c r="P17" s="1610"/>
      <c r="Q17" s="1610"/>
      <c r="R17" s="1611"/>
    </row>
    <row r="18" spans="5:24">
      <c r="E18" s="1606" t="s">
        <v>941</v>
      </c>
      <c r="F18" s="1606"/>
      <c r="G18" s="1606"/>
      <c r="H18" s="1610">
        <v>0.39799999999999991</v>
      </c>
      <c r="I18" s="1611">
        <f>+sumry_new!BF55</f>
        <v>0.40071803347704399</v>
      </c>
      <c r="J18" s="1610"/>
      <c r="K18" s="1610">
        <v>0.39399999999999991</v>
      </c>
      <c r="L18" s="1611">
        <f>+sumry_new!BG55</f>
        <v>0.39634262457442043</v>
      </c>
      <c r="M18" s="1610"/>
      <c r="N18" s="1610">
        <v>0.39900000000000002</v>
      </c>
      <c r="O18" s="1611">
        <f>+sumry_new!BH55</f>
        <v>0.4116952182332787</v>
      </c>
      <c r="P18" s="1610"/>
      <c r="Q18" s="1610">
        <v>0.41549999999999998</v>
      </c>
      <c r="R18" s="1611">
        <f>+sumry_new!BI55</f>
        <v>0.41792533138757143</v>
      </c>
    </row>
    <row r="19" spans="5:24">
      <c r="E19" s="1612" t="s">
        <v>942</v>
      </c>
      <c r="F19" s="1612"/>
      <c r="G19" s="1612"/>
      <c r="H19" s="1613">
        <f>+(H18-sumry_new!BA55)*10000</f>
        <v>6.1576134410867844</v>
      </c>
      <c r="I19" s="1614">
        <f>+(I18-sumry_new!BA55)*10000</f>
        <v>33.337948211527582</v>
      </c>
      <c r="J19" s="1613"/>
      <c r="K19" s="1613">
        <f>+(K18-sumry_new!BB55)*10000</f>
        <v>22.014091720282678</v>
      </c>
      <c r="L19" s="1614">
        <f>+(L18-sumry_new!BB55)*10000</f>
        <v>45.440337464487946</v>
      </c>
      <c r="M19" s="1613"/>
      <c r="N19" s="1613">
        <f>+(N18-sumry_new!BC55)*10000</f>
        <v>14.798397252060447</v>
      </c>
      <c r="O19" s="1614">
        <f>+(O18-sumry_new!BC55)*10000</f>
        <v>141.75057958484726</v>
      </c>
      <c r="P19" s="1613"/>
      <c r="Q19" s="1613">
        <f>+(Q18-sumry_new!BD55)*10000</f>
        <v>56.027344137894453</v>
      </c>
      <c r="R19" s="1614">
        <f>+(R18-sumry_new!BD55)*10000</f>
        <v>80.280658013608956</v>
      </c>
    </row>
    <row r="20" spans="5:24">
      <c r="E20" s="1606"/>
      <c r="F20" s="1606"/>
      <c r="G20" s="1606"/>
      <c r="H20" s="1610"/>
      <c r="I20" s="1611"/>
      <c r="J20" s="1610"/>
      <c r="K20" s="1610"/>
      <c r="L20" s="1611"/>
      <c r="M20" s="1610"/>
      <c r="N20" s="1610"/>
      <c r="O20" s="1611"/>
      <c r="P20" s="1610"/>
      <c r="Q20" s="1610"/>
      <c r="R20" s="1611"/>
    </row>
    <row r="21" spans="5:24">
      <c r="E21" s="1606" t="s">
        <v>943</v>
      </c>
      <c r="F21" s="1606"/>
      <c r="G21" s="1606"/>
      <c r="H21" s="1610">
        <v>0.318</v>
      </c>
      <c r="I21" s="1611">
        <f>+sumry_new!BF56</f>
        <v>0.31448852783646608</v>
      </c>
      <c r="J21" s="1610"/>
      <c r="K21" s="1610">
        <v>0.33279999999999998</v>
      </c>
      <c r="L21" s="1611">
        <f>+sumry_new!BG56</f>
        <v>0.32437036523557167</v>
      </c>
      <c r="M21" s="1610"/>
      <c r="N21" s="1610">
        <v>0.33550000000000002</v>
      </c>
      <c r="O21" s="1611">
        <f>+sumry_new!BH56</f>
        <v>0.33596901534336365</v>
      </c>
      <c r="P21" s="1610"/>
      <c r="Q21" s="1610">
        <v>0.27159999999999995</v>
      </c>
      <c r="R21" s="1611">
        <f>+sumry_new!BI56</f>
        <v>0.27388496869280987</v>
      </c>
    </row>
    <row r="22" spans="5:24">
      <c r="E22" s="1612"/>
      <c r="F22" s="1612"/>
      <c r="G22" s="1612"/>
      <c r="H22" s="1613"/>
      <c r="I22" s="1614"/>
      <c r="J22" s="1613"/>
      <c r="K22" s="1613"/>
      <c r="L22" s="1614"/>
      <c r="M22" s="1613"/>
      <c r="N22" s="1613"/>
      <c r="O22" s="1614"/>
      <c r="P22" s="1613"/>
      <c r="Q22" s="1613"/>
      <c r="R22" s="1614"/>
    </row>
    <row r="23" spans="5:24">
      <c r="E23" s="1606" t="s">
        <v>944</v>
      </c>
      <c r="F23" s="1606"/>
      <c r="G23" s="1606"/>
      <c r="H23" s="1610">
        <v>6.7896841038211253E-2</v>
      </c>
      <c r="I23" s="1611">
        <f>+sumry_new!BF71</f>
        <v>6.8063090613986965E-2</v>
      </c>
      <c r="J23" s="1610"/>
      <c r="K23" s="1610">
        <v>6.4306817759828494E-2</v>
      </c>
      <c r="L23" s="1611">
        <f>+sumry_new!BG71</f>
        <v>6.6812366681865631E-2</v>
      </c>
      <c r="M23" s="1610"/>
      <c r="N23" s="1610">
        <v>6.4518665787707041E-2</v>
      </c>
      <c r="O23" s="1611">
        <f>+sumry_new!BH71</f>
        <v>8.3773621172258839E-2</v>
      </c>
      <c r="P23" s="1610"/>
      <c r="Q23" s="1610">
        <v>6.892002936371644E-2</v>
      </c>
      <c r="R23" s="1611">
        <f>+sumry_new!BI71</f>
        <v>9.3466089411408104E-2</v>
      </c>
    </row>
    <row r="24" spans="5:24">
      <c r="E24" s="1606"/>
      <c r="F24" s="1606"/>
      <c r="G24" s="1606"/>
      <c r="H24" s="1610"/>
      <c r="I24" s="1611"/>
      <c r="J24" s="1610"/>
      <c r="K24" s="1610"/>
      <c r="L24" s="1611"/>
      <c r="M24" s="1610"/>
      <c r="N24" s="1610"/>
      <c r="O24" s="1611"/>
      <c r="P24" s="1610"/>
      <c r="Q24" s="1610"/>
      <c r="R24" s="1611"/>
    </row>
    <row r="25" spans="5:24">
      <c r="E25" s="1606" t="s">
        <v>604</v>
      </c>
      <c r="F25" s="1606"/>
      <c r="G25" s="1606"/>
      <c r="H25" s="1615">
        <v>0.47789399104946367</v>
      </c>
      <c r="I25" s="1616">
        <f>+sumry_new!BF40</f>
        <v>0.57454123689988046</v>
      </c>
      <c r="J25" s="1617"/>
      <c r="K25" s="1615">
        <v>0.24107500034827434</v>
      </c>
      <c r="L25" s="1616">
        <f>+sumry_new!BG40</f>
        <v>0.39234861850056507</v>
      </c>
      <c r="M25" s="1617"/>
      <c r="N25" s="1615">
        <v>0.32199677561700474</v>
      </c>
      <c r="O25" s="1616">
        <f>+sumry_new!BH40</f>
        <v>0.50668324091791517</v>
      </c>
      <c r="P25" s="1617"/>
      <c r="Q25" s="1615">
        <v>1.6610955775708625</v>
      </c>
      <c r="R25" s="1616">
        <f>+sumry_new!BI40</f>
        <v>1.7796072123931246</v>
      </c>
    </row>
    <row r="26" spans="5:24">
      <c r="E26" s="1606"/>
      <c r="F26" s="1606"/>
      <c r="G26" s="1606"/>
      <c r="H26" s="1610"/>
      <c r="I26" s="1610"/>
      <c r="J26" s="1610"/>
      <c r="K26" s="1610"/>
      <c r="L26" s="1610"/>
      <c r="M26" s="1610"/>
      <c r="N26" s="1610"/>
      <c r="O26" s="1610"/>
      <c r="P26" s="1610"/>
      <c r="Q26" s="1610"/>
      <c r="R26" s="1610"/>
    </row>
    <row r="28" spans="5:24" ht="15">
      <c r="E28" s="1604" t="s">
        <v>945</v>
      </c>
      <c r="F28" s="3"/>
      <c r="G28" s="3"/>
      <c r="H28" s="3"/>
      <c r="I28" s="3"/>
      <c r="J28" s="3"/>
      <c r="K28" s="3"/>
      <c r="L28" s="3"/>
      <c r="M28" s="3"/>
      <c r="N28" s="3"/>
      <c r="O28" s="3"/>
      <c r="P28" s="3"/>
      <c r="Q28" s="3"/>
      <c r="R28" s="3"/>
    </row>
    <row r="29" spans="5:24">
      <c r="E29" s="2261" t="s">
        <v>934</v>
      </c>
      <c r="F29" s="2261"/>
      <c r="G29" s="1606"/>
      <c r="H29" s="2263" t="s">
        <v>946</v>
      </c>
      <c r="I29" s="2263"/>
      <c r="J29" s="1606"/>
      <c r="K29" s="2263" t="s">
        <v>947</v>
      </c>
      <c r="L29" s="2263"/>
      <c r="M29" s="1606"/>
      <c r="N29" s="2263" t="s">
        <v>948</v>
      </c>
      <c r="O29" s="2263"/>
      <c r="P29" s="1606"/>
      <c r="Q29" s="2263" t="s">
        <v>949</v>
      </c>
      <c r="R29" s="2263"/>
    </row>
    <row r="30" spans="5:24" ht="18" customHeight="1">
      <c r="E30" s="2262"/>
      <c r="F30" s="2262"/>
      <c r="G30" s="1606"/>
      <c r="H30" s="1607" t="s">
        <v>939</v>
      </c>
      <c r="I30" s="1607" t="s">
        <v>940</v>
      </c>
      <c r="J30" s="1608"/>
      <c r="K30" s="1607" t="s">
        <v>939</v>
      </c>
      <c r="L30" s="1607" t="s">
        <v>940</v>
      </c>
      <c r="M30" s="1608"/>
      <c r="N30" s="1607" t="s">
        <v>939</v>
      </c>
      <c r="O30" s="1607" t="s">
        <v>940</v>
      </c>
      <c r="P30" s="1608"/>
      <c r="Q30" s="1607" t="s">
        <v>939</v>
      </c>
      <c r="R30" s="1607" t="s">
        <v>940</v>
      </c>
    </row>
    <row r="31" spans="5:24" hidden="1" outlineLevel="1">
      <c r="E31" s="1606"/>
      <c r="F31" s="1606"/>
      <c r="G31" s="1606"/>
      <c r="H31" s="1608"/>
      <c r="I31" s="1609"/>
      <c r="J31" s="1608"/>
      <c r="K31" s="1608"/>
      <c r="L31" s="1609"/>
      <c r="M31" s="1608"/>
      <c r="N31" s="1608"/>
      <c r="O31" s="1609"/>
      <c r="P31" s="1608"/>
      <c r="Q31" s="1608"/>
      <c r="R31" s="1609"/>
    </row>
    <row r="32" spans="5:24" hidden="1" outlineLevel="1">
      <c r="E32" s="1606" t="s">
        <v>950</v>
      </c>
      <c r="F32" s="1606"/>
      <c r="G32" s="1606"/>
      <c r="H32" s="1610">
        <v>3.4349753079602197E-2</v>
      </c>
      <c r="I32" s="1611">
        <f>+sumry_new!CG70</f>
        <v>4.494161951463501E-2</v>
      </c>
      <c r="J32" s="1610"/>
      <c r="K32" s="1610">
        <v>3.04E-2</v>
      </c>
      <c r="L32" s="1611">
        <f>+sumry_new!CH70</f>
        <v>3.4000000000000002E-2</v>
      </c>
      <c r="M32" s="1610"/>
      <c r="N32" s="1610">
        <v>3.04E-2</v>
      </c>
      <c r="O32" s="1611">
        <f>+sumry_new!CI70</f>
        <v>2.9999999999999995E-2</v>
      </c>
      <c r="P32" s="1610"/>
      <c r="Q32" s="1610">
        <v>0.03</v>
      </c>
      <c r="R32" s="1611">
        <f>+sumry_new!CJ70</f>
        <v>0.03</v>
      </c>
      <c r="X32">
        <f>3.55*10.5</f>
        <v>37.274999999999999</v>
      </c>
    </row>
    <row r="33" spans="5:24" hidden="1" outlineLevel="1">
      <c r="E33" s="1606"/>
      <c r="F33" s="1606"/>
      <c r="G33" s="1606"/>
      <c r="H33" s="1610"/>
      <c r="I33" s="1611"/>
      <c r="J33" s="1610"/>
      <c r="K33" s="1610"/>
      <c r="L33" s="1611"/>
      <c r="M33" s="1610"/>
      <c r="N33" s="1610"/>
      <c r="O33" s="1611"/>
      <c r="P33" s="1610"/>
      <c r="Q33" s="1610"/>
      <c r="R33" s="1611"/>
      <c r="X33">
        <f>10*3.55</f>
        <v>35.5</v>
      </c>
    </row>
    <row r="34" spans="5:24" hidden="1" outlineLevel="1">
      <c r="E34" s="1606" t="s">
        <v>941</v>
      </c>
      <c r="F34" s="1606"/>
      <c r="G34" s="1606"/>
      <c r="H34" s="1610">
        <v>0.402664469714544</v>
      </c>
      <c r="I34" s="1611">
        <f>+sumry_new!CG55</f>
        <v>0.40759064167366443</v>
      </c>
      <c r="J34" s="1610"/>
      <c r="K34" s="1610">
        <v>0.40549999999999997</v>
      </c>
      <c r="L34" s="1611">
        <f>+sumry_new!CH55</f>
        <v>0.41507068636657513</v>
      </c>
      <c r="M34" s="1610"/>
      <c r="N34" s="1610">
        <v>0.40850000000000009</v>
      </c>
      <c r="O34" s="1611">
        <f>+sumry_new!CI55</f>
        <v>0.41937323737577387</v>
      </c>
      <c r="P34" s="1610"/>
      <c r="Q34" s="1610">
        <v>0.41239999999999999</v>
      </c>
      <c r="R34" s="1611">
        <f>+sumry_new!CJ55</f>
        <v>0.41900000000000004</v>
      </c>
    </row>
    <row r="35" spans="5:24" hidden="1" outlineLevel="1">
      <c r="E35" s="1612" t="s">
        <v>942</v>
      </c>
      <c r="F35" s="1612"/>
      <c r="G35" s="1612"/>
      <c r="H35" s="1618"/>
      <c r="I35" s="1614">
        <f>+(I34-sumry_new!CF55)*10000</f>
        <v>76.459081490752865</v>
      </c>
      <c r="J35" s="1613"/>
      <c r="K35" s="1618">
        <f>+(K34-sumry_new!CG55)*10000</f>
        <v>-20.906416736644616</v>
      </c>
      <c r="L35" s="1614">
        <f>+(L34-sumry_new!CG55)*10000</f>
        <v>74.800446929106926</v>
      </c>
      <c r="M35" s="1613"/>
      <c r="N35" s="1613"/>
      <c r="O35" s="1614">
        <f>+(O34-sumry_new!CH55)*10000</f>
        <v>43.025510091987407</v>
      </c>
      <c r="P35" s="1613"/>
      <c r="Q35" s="1613"/>
      <c r="R35" s="1614">
        <f>+(R34-sumry_new!CI55)*10000</f>
        <v>-3.7323737577382721</v>
      </c>
    </row>
    <row r="36" spans="5:24" hidden="1" outlineLevel="1">
      <c r="E36" s="1606"/>
      <c r="F36" s="1606"/>
      <c r="G36" s="1606"/>
      <c r="H36" s="1610"/>
      <c r="I36" s="1611"/>
      <c r="J36" s="1610"/>
      <c r="K36" s="1610"/>
      <c r="L36" s="1611"/>
      <c r="M36" s="1610"/>
      <c r="N36" s="1610"/>
      <c r="O36" s="1611"/>
      <c r="P36" s="1610"/>
      <c r="Q36" s="1610"/>
      <c r="R36" s="1611"/>
    </row>
    <row r="37" spans="5:24" hidden="1" outlineLevel="1">
      <c r="E37" s="1606" t="s">
        <v>943</v>
      </c>
      <c r="F37" s="1606"/>
      <c r="G37" s="1606"/>
      <c r="H37" s="1610">
        <v>0.31143221516955738</v>
      </c>
      <c r="I37" s="1611">
        <f>+sumry_new!CG56</f>
        <v>0.30960101242571469</v>
      </c>
      <c r="J37" s="1610"/>
      <c r="K37" s="1610">
        <v>0.3135</v>
      </c>
      <c r="L37" s="1611">
        <f>+sumry_new!CH56</f>
        <v>0.30625664158654581</v>
      </c>
      <c r="M37" s="1610"/>
      <c r="N37" s="1610">
        <v>0.3135</v>
      </c>
      <c r="O37" s="1611">
        <f>+sumry_new!CI56</f>
        <v>0.30610548645515073</v>
      </c>
      <c r="P37" s="1610"/>
      <c r="Q37" s="1610">
        <v>0.3155</v>
      </c>
      <c r="R37" s="1611">
        <f>+sumry_new!CJ56</f>
        <v>0.30609999999999998</v>
      </c>
    </row>
    <row r="38" spans="5:24" hidden="1" outlineLevel="1">
      <c r="E38" s="1612"/>
      <c r="F38" s="1612"/>
      <c r="G38" s="1612"/>
      <c r="H38" s="1613"/>
      <c r="I38" s="1614"/>
      <c r="J38" s="1613"/>
      <c r="K38" s="1613"/>
      <c r="L38" s="1614"/>
      <c r="M38" s="1613"/>
      <c r="N38" s="1613"/>
      <c r="O38" s="1614"/>
      <c r="P38" s="1613"/>
      <c r="Q38" s="1613"/>
      <c r="R38" s="1614"/>
    </row>
    <row r="39" spans="5:24" hidden="1" outlineLevel="1">
      <c r="E39" s="1606" t="s">
        <v>944</v>
      </c>
      <c r="F39" s="1606"/>
      <c r="G39" s="1606"/>
      <c r="H39" s="1610">
        <v>6.6429767942079554E-2</v>
      </c>
      <c r="I39" s="1611">
        <f>+sumry_new!CG71</f>
        <v>7.8570185727393715E-2</v>
      </c>
      <c r="J39" s="1610"/>
      <c r="K39" s="1610">
        <v>7.524013278821462E-2</v>
      </c>
      <c r="L39" s="1611">
        <f>+sumry_new!CH71</f>
        <v>8.1386286733621471E-2</v>
      </c>
      <c r="M39" s="1610"/>
      <c r="N39" s="1610">
        <v>6.1734441903970039E-2</v>
      </c>
      <c r="O39" s="1611">
        <f>+sumry_new!CI71</f>
        <v>8.2068060513709185E-2</v>
      </c>
      <c r="P39" s="1610"/>
      <c r="Q39" s="1610">
        <v>6.7151848211906229E-2</v>
      </c>
      <c r="R39" s="1611">
        <f>+sumry_new!CJ71</f>
        <v>0.10394015163646286</v>
      </c>
    </row>
    <row r="40" spans="5:24" hidden="1" outlineLevel="1">
      <c r="E40" s="1606"/>
      <c r="F40" s="1606"/>
      <c r="G40" s="1606"/>
      <c r="H40" s="1610"/>
      <c r="I40" s="1611"/>
      <c r="J40" s="1610"/>
      <c r="K40" s="1610"/>
      <c r="L40" s="1611"/>
      <c r="M40" s="1610"/>
      <c r="N40" s="1610"/>
      <c r="O40" s="1611"/>
      <c r="P40" s="1610"/>
      <c r="Q40" s="1610"/>
      <c r="R40" s="1611"/>
    </row>
    <row r="41" spans="5:24" collapsed="1">
      <c r="E41" s="1606" t="s">
        <v>604</v>
      </c>
      <c r="F41" s="1606"/>
      <c r="G41" s="1606"/>
      <c r="H41" s="1615">
        <v>2.6958226404414551</v>
      </c>
      <c r="I41" s="1616">
        <f>+sumry_new!CG40</f>
        <v>3.2384657213368402</v>
      </c>
      <c r="J41" s="1617"/>
      <c r="K41" s="1615">
        <v>3.0499649253658814</v>
      </c>
      <c r="L41" s="1616">
        <f>+sumry_new!CH40</f>
        <v>4.4457012007739527</v>
      </c>
      <c r="M41" s="1617"/>
      <c r="N41" s="1615">
        <v>3.5495858936187452</v>
      </c>
      <c r="O41" s="1616">
        <f>+sumry_new!CI40</f>
        <v>5.8292560502136297</v>
      </c>
      <c r="P41" s="1617"/>
      <c r="Q41" s="1615">
        <v>4.0486645138982738</v>
      </c>
      <c r="R41" s="1616">
        <f>+sumry_new!CJ40</f>
        <v>6.6030690697229266</v>
      </c>
    </row>
  </sheetData>
  <mergeCells count="10">
    <mergeCell ref="E29:F30"/>
    <mergeCell ref="H29:I29"/>
    <mergeCell ref="K29:L29"/>
    <mergeCell ref="N29:O29"/>
    <mergeCell ref="Q29:R29"/>
    <mergeCell ref="E13:F14"/>
    <mergeCell ref="H13:I13"/>
    <mergeCell ref="K13:L13"/>
    <mergeCell ref="N13:O13"/>
    <mergeCell ref="Q13:R13"/>
  </mergeCells>
  <dataValidations count="1">
    <dataValidation type="custom" allowBlank="1" showInputMessage="1" showErrorMessage="1" sqref="O18">
      <formula1>-1</formula1>
    </dataValidation>
  </dataValidations>
  <pageMargins left="0" right="0" top="0" bottom="0" header="0" footer="0"/>
  <pageSetup paperSize="5"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CD396"/>
  <sheetViews>
    <sheetView topLeftCell="AX1" zoomScale="85" zoomScaleNormal="85" workbookViewId="0">
      <selection activeCell="BS35" sqref="BS35"/>
    </sheetView>
  </sheetViews>
  <sheetFormatPr defaultRowHeight="12.75" outlineLevelRow="1" outlineLevelCol="1"/>
  <cols>
    <col min="1" max="1" width="9.140625" style="1278"/>
    <col min="2" max="2" width="1.5703125" style="1244" customWidth="1"/>
    <col min="3" max="3" width="8.5703125" style="1244" hidden="1" customWidth="1" outlineLevel="1"/>
    <col min="4" max="4" width="7.140625" style="1244" hidden="1" customWidth="1" outlineLevel="1"/>
    <col min="5" max="5" width="6.85546875" style="1244" hidden="1" customWidth="1" outlineLevel="1"/>
    <col min="6" max="6" width="2" style="1244" hidden="1" customWidth="1" outlineLevel="1"/>
    <col min="7" max="7" width="8.7109375" style="1244" hidden="1" customWidth="1" outlineLevel="1"/>
    <col min="8" max="8" width="7.7109375" style="1244" hidden="1" customWidth="1" outlineLevel="1"/>
    <col min="9" max="9" width="6.85546875" style="1244" hidden="1" customWidth="1" outlineLevel="1"/>
    <col min="10" max="10" width="2" style="1244" hidden="1" customWidth="1" outlineLevel="1"/>
    <col min="11" max="11" width="8.5703125" style="1244" hidden="1" customWidth="1" outlineLevel="1"/>
    <col min="12" max="12" width="7.7109375" style="1244" hidden="1" customWidth="1" outlineLevel="1"/>
    <col min="13" max="13" width="6.85546875" style="1244" hidden="1" customWidth="1" outlineLevel="1"/>
    <col min="14" max="14" width="2" style="1244" hidden="1" customWidth="1" outlineLevel="1"/>
    <col min="15" max="15" width="8.7109375" style="1244" hidden="1" customWidth="1" outlineLevel="1"/>
    <col min="16" max="16" width="7.140625" style="1244" hidden="1" customWidth="1" outlineLevel="1"/>
    <col min="17" max="17" width="6.85546875" style="1244" hidden="1" customWidth="1" outlineLevel="1"/>
    <col min="18" max="18" width="2" style="1244" hidden="1" customWidth="1" outlineLevel="1"/>
    <col min="19" max="19" width="9.140625" style="1244" hidden="1" customWidth="1" outlineLevel="1"/>
    <col min="20" max="20" width="7.140625" style="1244" hidden="1" customWidth="1" outlineLevel="1"/>
    <col min="21" max="21" width="6.85546875" style="1244" hidden="1" customWidth="1" outlineLevel="1"/>
    <col min="22" max="22" width="2" style="1244" hidden="1" customWidth="1" outlineLevel="1"/>
    <col min="23" max="23" width="9.140625" style="1244" hidden="1" customWidth="1" outlineLevel="1"/>
    <col min="24" max="24" width="7.140625" style="1244" hidden="1" customWidth="1" outlineLevel="1"/>
    <col min="25" max="25" width="6.85546875" style="1244" hidden="1" customWidth="1" outlineLevel="1"/>
    <col min="26" max="26" width="2" style="1244" hidden="1" customWidth="1" outlineLevel="1"/>
    <col min="27" max="27" width="9.140625" style="1244" hidden="1" customWidth="1" outlineLevel="1"/>
    <col min="28" max="28" width="7.140625" style="1244" hidden="1" customWidth="1" outlineLevel="1"/>
    <col min="29" max="29" width="11.140625" style="1244" hidden="1" customWidth="1" outlineLevel="1"/>
    <col min="30" max="30" width="4.7109375" style="1244" hidden="1" customWidth="1" outlineLevel="1"/>
    <col min="31" max="32" width="9.140625" style="1244" hidden="1" customWidth="1" outlineLevel="1"/>
    <col min="33" max="33" width="6.85546875" style="1244" hidden="1" customWidth="1" outlineLevel="1"/>
    <col min="34" max="34" width="8.5703125" style="1244" hidden="1" customWidth="1" outlineLevel="1"/>
    <col min="35" max="35" width="11.7109375" style="1244" hidden="1" customWidth="1" outlineLevel="1" collapsed="1"/>
    <col min="36" max="36" width="7.7109375" style="1244" hidden="1" customWidth="1" outlineLevel="1"/>
    <col min="37" max="37" width="11.140625" style="1244" hidden="1" customWidth="1" outlineLevel="1"/>
    <col min="38" max="38" width="8.7109375" style="1244" hidden="1" customWidth="1" outlineLevel="1"/>
    <col min="39" max="39" width="11.42578125" style="1244" bestFit="1" customWidth="1" collapsed="1"/>
    <col min="40" max="40" width="11.140625" style="1244" bestFit="1" customWidth="1"/>
    <col min="41" max="41" width="9.7109375" style="1244" customWidth="1"/>
    <col min="42" max="42" width="2.140625" style="1244" customWidth="1"/>
    <col min="43" max="43" width="13.28515625" style="1244" customWidth="1"/>
    <col min="44" max="44" width="11.140625" style="1244" bestFit="1" customWidth="1"/>
    <col min="45" max="45" width="11.7109375" style="1244" bestFit="1" customWidth="1"/>
    <col min="46" max="46" width="2.85546875" style="1293" customWidth="1"/>
    <col min="47" max="47" width="11.28515625" style="1244" bestFit="1" customWidth="1"/>
    <col min="48" max="48" width="11" style="1244" customWidth="1"/>
    <col min="49" max="49" width="9.7109375" style="1244" customWidth="1"/>
    <col min="50" max="50" width="2.85546875" style="1245" customWidth="1"/>
    <col min="51" max="51" width="11.42578125" style="1244" bestFit="1" customWidth="1"/>
    <col min="52" max="52" width="9.7109375" style="1244" bestFit="1" customWidth="1"/>
    <col min="53" max="53" width="10.7109375" style="1244" bestFit="1" customWidth="1"/>
    <col min="54" max="54" width="3" style="1245" customWidth="1"/>
    <col min="55" max="55" width="12.28515625" style="1244" bestFit="1" customWidth="1"/>
    <col min="56" max="56" width="9.7109375" style="1244" customWidth="1"/>
    <col min="57" max="57" width="9.42578125" style="1244" bestFit="1" customWidth="1"/>
    <col min="58" max="58" width="9.85546875" style="1245" customWidth="1"/>
    <col min="59" max="59" width="11.7109375" style="1244" bestFit="1" customWidth="1"/>
    <col min="60" max="60" width="17.85546875" style="1244" bestFit="1" customWidth="1"/>
    <col min="61" max="61" width="9.42578125" style="1244" bestFit="1" customWidth="1"/>
    <col min="62" max="62" width="8.28515625" style="1244" customWidth="1"/>
    <col min="63" max="63" width="11" style="1244" customWidth="1"/>
    <col min="64" max="64" width="15.5703125" style="1244" customWidth="1"/>
    <col min="65" max="65" width="9" style="1244" bestFit="1" customWidth="1"/>
    <col min="66" max="66" width="8.28515625" style="1244" customWidth="1"/>
    <col min="67" max="67" width="11" style="1244" customWidth="1"/>
    <col min="68" max="68" width="9.140625" style="1244" customWidth="1"/>
    <col min="69" max="69" width="9" style="1244" bestFit="1" customWidth="1"/>
    <col min="70" max="70" width="8.28515625" style="1244" customWidth="1"/>
    <col min="71" max="71" width="11" style="1244" customWidth="1"/>
    <col min="72" max="72" width="9.140625" style="1244" customWidth="1"/>
    <col min="73" max="73" width="9" style="1244" bestFit="1" customWidth="1"/>
    <col min="74" max="74" width="9.140625" style="1244" customWidth="1"/>
    <col min="75" max="75" width="9.140625" style="1244" customWidth="1" outlineLevel="1"/>
    <col min="76" max="76" width="23" style="1244" customWidth="1" outlineLevel="1"/>
    <col min="77" max="77" width="12.5703125" style="1244" customWidth="1" outlineLevel="1"/>
    <col min="78" max="78" width="10.7109375" style="1244" bestFit="1" customWidth="1"/>
    <col min="79" max="79" width="9.140625" style="1244"/>
    <col min="80" max="80" width="23" style="1244" customWidth="1"/>
    <col min="81" max="81" width="12.5703125" style="1244" customWidth="1"/>
    <col min="82" max="82" width="10.7109375" style="1244" bestFit="1" customWidth="1"/>
    <col min="83" max="16384" width="9.140625" style="1244"/>
  </cols>
  <sheetData>
    <row r="1" spans="1:81">
      <c r="A1" s="1277" t="s">
        <v>441</v>
      </c>
    </row>
    <row r="2" spans="1:81" s="1247" customFormat="1">
      <c r="A2" s="1246" t="s">
        <v>86</v>
      </c>
      <c r="AT2" s="1294"/>
      <c r="AX2" s="1248"/>
      <c r="BB2" s="1248"/>
      <c r="BF2" s="1248"/>
    </row>
    <row r="3" spans="1:81">
      <c r="A3" s="1249" t="s">
        <v>91</v>
      </c>
    </row>
    <row r="4" spans="1:81" ht="21" customHeight="1">
      <c r="A4" s="1249" t="s">
        <v>92</v>
      </c>
      <c r="AI4" s="1243"/>
      <c r="AL4" s="1250"/>
      <c r="AT4" s="1295"/>
    </row>
    <row r="5" spans="1:81" ht="6" customHeight="1"/>
    <row r="6" spans="1:81">
      <c r="A6" s="1303"/>
      <c r="B6" s="1303"/>
      <c r="C6" s="1303" t="s">
        <v>309</v>
      </c>
      <c r="D6" s="1303"/>
      <c r="E6" s="1303"/>
      <c r="F6" s="1303"/>
      <c r="G6" s="1303"/>
      <c r="H6" s="1303"/>
      <c r="I6" s="1303"/>
      <c r="J6" s="1303"/>
      <c r="K6" s="1303"/>
      <c r="L6" s="1303"/>
      <c r="M6" s="1303"/>
      <c r="N6" s="1303"/>
      <c r="O6" s="1303"/>
      <c r="P6" s="1303"/>
      <c r="Q6" s="1303"/>
      <c r="R6" s="1303"/>
      <c r="S6" s="1303"/>
      <c r="T6" s="1303"/>
      <c r="U6" s="1303"/>
      <c r="V6" s="1303"/>
      <c r="W6" s="1303"/>
      <c r="X6" s="1303"/>
      <c r="Y6" s="1303"/>
      <c r="Z6" s="1303"/>
      <c r="AA6" s="1303"/>
      <c r="AB6" s="1303"/>
      <c r="AC6" s="1303"/>
      <c r="AD6" s="1303"/>
      <c r="AE6" s="1303"/>
      <c r="AF6" s="1303"/>
      <c r="AG6" s="1303"/>
      <c r="AH6" s="1303"/>
      <c r="AI6" s="1303" t="s">
        <v>308</v>
      </c>
      <c r="AJ6" s="1303"/>
      <c r="AK6" s="1303"/>
      <c r="AL6" s="1304"/>
      <c r="AM6" s="1303"/>
      <c r="AN6" s="1303"/>
      <c r="AO6" s="1303"/>
      <c r="AP6" s="1304"/>
      <c r="AQ6" s="1303"/>
      <c r="AR6" s="1303"/>
      <c r="AS6" s="1303"/>
      <c r="AT6" s="1304"/>
      <c r="AU6" s="1303"/>
      <c r="AV6" s="1303"/>
      <c r="AW6" s="1305"/>
      <c r="AX6" s="1304"/>
      <c r="AY6" s="1305"/>
      <c r="AZ6" s="1305"/>
      <c r="BA6" s="1305"/>
      <c r="BB6" s="1352"/>
      <c r="BC6" s="1305"/>
      <c r="BD6" s="1305"/>
      <c r="BE6" s="1305"/>
      <c r="BF6" s="1352"/>
      <c r="BG6" s="1305"/>
      <c r="BH6" s="1305"/>
      <c r="BI6" s="1305"/>
      <c r="BJ6" s="1305"/>
      <c r="BK6" s="1305"/>
      <c r="BL6" s="1305"/>
      <c r="BM6" s="1305"/>
      <c r="BN6" s="1305"/>
      <c r="BO6" s="1305"/>
      <c r="BP6" s="1305"/>
      <c r="BQ6" s="1305"/>
      <c r="BR6" s="1305"/>
      <c r="BS6" s="1305"/>
      <c r="BT6" s="1305"/>
      <c r="BU6" s="1305"/>
    </row>
    <row r="7" spans="1:81" s="1362" customFormat="1">
      <c r="A7" s="1349"/>
      <c r="B7" s="1349"/>
      <c r="C7" s="1392" t="s">
        <v>254</v>
      </c>
      <c r="D7" s="1392"/>
      <c r="E7" s="1392"/>
      <c r="F7" s="1349"/>
      <c r="G7" s="1392" t="s">
        <v>255</v>
      </c>
      <c r="H7" s="1392"/>
      <c r="I7" s="1392"/>
      <c r="J7" s="1349"/>
      <c r="K7" s="1392" t="s">
        <v>166</v>
      </c>
      <c r="L7" s="1392"/>
      <c r="M7" s="1392"/>
      <c r="N7" s="1349"/>
      <c r="O7" s="1392" t="s">
        <v>96</v>
      </c>
      <c r="P7" s="1392"/>
      <c r="Q7" s="1392"/>
      <c r="R7" s="1349"/>
      <c r="S7" s="1392" t="s">
        <v>95</v>
      </c>
      <c r="T7" s="1392"/>
      <c r="U7" s="1392"/>
      <c r="V7" s="1349"/>
      <c r="W7" s="1392" t="s">
        <v>94</v>
      </c>
      <c r="X7" s="1392"/>
      <c r="Y7" s="1392"/>
      <c r="Z7" s="1349"/>
      <c r="AA7" s="1392" t="s">
        <v>93</v>
      </c>
      <c r="AB7" s="1392"/>
      <c r="AC7" s="1392"/>
      <c r="AD7" s="1349"/>
      <c r="AE7" s="1392" t="s">
        <v>83</v>
      </c>
      <c r="AF7" s="1392"/>
      <c r="AG7" s="1392"/>
      <c r="AH7" s="1349"/>
      <c r="AI7" s="1392" t="s">
        <v>261</v>
      </c>
      <c r="AJ7" s="1392"/>
      <c r="AK7" s="1392"/>
      <c r="AL7" s="1349"/>
      <c r="AM7" s="1392" t="s">
        <v>84</v>
      </c>
      <c r="AN7" s="1392"/>
      <c r="AO7" s="1392"/>
      <c r="AP7" s="1349"/>
      <c r="AQ7" s="1392" t="s">
        <v>242</v>
      </c>
      <c r="AR7" s="1392"/>
      <c r="AS7" s="1392"/>
      <c r="AT7" s="1349"/>
      <c r="AU7" s="1392" t="s">
        <v>395</v>
      </c>
      <c r="AV7" s="1392"/>
      <c r="AW7" s="1393"/>
      <c r="AX7" s="1349"/>
      <c r="AY7" s="1392" t="s">
        <v>611</v>
      </c>
      <c r="AZ7" s="1393"/>
      <c r="BA7" s="1393"/>
      <c r="BB7" s="1349"/>
      <c r="BC7" s="1392" t="s">
        <v>626</v>
      </c>
      <c r="BD7" s="1393"/>
      <c r="BE7" s="1393"/>
      <c r="BF7" s="1349"/>
      <c r="BG7" s="1392" t="s">
        <v>933</v>
      </c>
      <c r="BH7" s="1393"/>
      <c r="BI7" s="1393"/>
      <c r="BK7" s="1392" t="s">
        <v>988</v>
      </c>
      <c r="BL7" s="1393"/>
      <c r="BM7" s="1393"/>
      <c r="BO7" s="1392" t="s">
        <v>1097</v>
      </c>
      <c r="BP7" s="1393"/>
      <c r="BQ7" s="1393"/>
      <c r="BS7" s="1393" t="s">
        <v>341</v>
      </c>
      <c r="BT7" s="1393"/>
      <c r="BU7" s="1393"/>
      <c r="BW7" s="1914" t="s">
        <v>977</v>
      </c>
      <c r="BX7" s="1915"/>
    </row>
    <row r="8" spans="1:81">
      <c r="A8" s="1282"/>
      <c r="B8" s="1282"/>
      <c r="C8" s="1282"/>
      <c r="D8" s="1282"/>
      <c r="E8" s="1282"/>
      <c r="F8" s="1282"/>
      <c r="G8" s="1282"/>
      <c r="H8" s="1282"/>
      <c r="I8" s="1282"/>
      <c r="J8" s="1282"/>
      <c r="K8" s="1282"/>
      <c r="L8" s="1282"/>
      <c r="M8" s="1282"/>
      <c r="N8" s="1282"/>
      <c r="O8" s="1282"/>
      <c r="P8" s="1282"/>
      <c r="Q8" s="1282"/>
      <c r="R8" s="1282"/>
      <c r="S8" s="1282"/>
      <c r="T8" s="1282"/>
      <c r="U8" s="1282"/>
      <c r="V8" s="1282"/>
      <c r="W8" s="1282"/>
      <c r="X8" s="1282"/>
      <c r="Y8" s="1282"/>
      <c r="Z8" s="1282"/>
      <c r="AA8" s="1282"/>
      <c r="AB8" s="1282"/>
      <c r="AC8" s="1282"/>
      <c r="AD8" s="1282"/>
      <c r="AE8" s="1282"/>
      <c r="AF8" s="1282"/>
      <c r="AG8" s="1282"/>
      <c r="AH8" s="1282"/>
      <c r="AI8" s="1282"/>
      <c r="AJ8" s="1282"/>
      <c r="AK8" s="1282"/>
      <c r="AL8" s="1282"/>
      <c r="AM8" s="1282"/>
      <c r="AN8" s="1282"/>
      <c r="AO8" s="1282"/>
      <c r="AP8" s="1282"/>
      <c r="AQ8" s="1282"/>
      <c r="AR8" s="1282"/>
      <c r="AS8" s="1282"/>
      <c r="AT8" s="1282"/>
      <c r="AU8" s="1282"/>
      <c r="AV8" s="1282"/>
      <c r="AW8" s="1282"/>
      <c r="AX8" s="1282"/>
      <c r="AY8" s="1282"/>
      <c r="AZ8" s="1282"/>
      <c r="BA8" s="1282"/>
      <c r="BB8" s="1282"/>
      <c r="BC8" s="1282"/>
      <c r="BD8" s="1282"/>
      <c r="BE8" s="1282"/>
      <c r="BF8" s="1282"/>
      <c r="BG8" s="1282"/>
      <c r="BH8" s="1282"/>
      <c r="BI8" s="1282"/>
      <c r="BK8" s="1282"/>
      <c r="BL8" s="1282"/>
      <c r="BM8" s="1282"/>
      <c r="BN8" s="2146"/>
      <c r="BO8" s="1282"/>
      <c r="BP8" s="1282"/>
      <c r="BQ8" s="1282"/>
      <c r="BR8" s="2146"/>
      <c r="BS8" s="1282"/>
      <c r="BT8" s="1282"/>
      <c r="BU8" s="1282"/>
      <c r="BW8" s="1916"/>
      <c r="BX8" s="1917"/>
    </row>
    <row r="9" spans="1:81">
      <c r="A9" s="1251" t="s">
        <v>363</v>
      </c>
      <c r="B9" s="1281"/>
      <c r="C9" s="1281"/>
      <c r="D9" s="1281"/>
      <c r="E9" s="1281"/>
      <c r="F9" s="1281"/>
      <c r="G9" s="1281"/>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51"/>
      <c r="AZ9" s="1281"/>
      <c r="BA9" s="1281"/>
      <c r="BB9" s="1282"/>
      <c r="BC9" s="1281"/>
      <c r="BD9" s="1281"/>
      <c r="BE9" s="1281"/>
      <c r="BF9" s="1282"/>
      <c r="BG9" s="2264" t="str">
        <f>A9</f>
        <v>1. Retail Sales (Year-to-Year % Increase/Comps)</v>
      </c>
      <c r="BH9" s="2264"/>
      <c r="BI9" s="2264"/>
      <c r="BJ9" s="2264"/>
      <c r="BK9" s="2264"/>
      <c r="BL9" s="2264"/>
      <c r="BM9" s="2264"/>
      <c r="BN9" s="2147"/>
      <c r="BO9" s="1663"/>
      <c r="BP9" s="1663"/>
      <c r="BQ9" s="1663"/>
      <c r="BR9" s="2147"/>
      <c r="BS9" s="2149"/>
      <c r="BT9" s="2149"/>
      <c r="BU9" s="2149"/>
      <c r="BW9" s="1918"/>
      <c r="BX9" s="1919"/>
      <c r="CA9" s="1587"/>
    </row>
    <row r="10" spans="1:81">
      <c r="A10" s="1282"/>
      <c r="B10" s="1282"/>
      <c r="C10" s="1282"/>
      <c r="D10" s="1282"/>
      <c r="E10" s="1282"/>
      <c r="F10" s="1282"/>
      <c r="G10" s="1282"/>
      <c r="H10" s="1282"/>
      <c r="I10" s="1282"/>
      <c r="J10" s="1282"/>
      <c r="K10" s="1282"/>
      <c r="L10" s="1282"/>
      <c r="M10" s="1282"/>
      <c r="N10" s="1282"/>
      <c r="O10" s="1282"/>
      <c r="P10" s="1282"/>
      <c r="Q10" s="1282"/>
      <c r="R10" s="1282"/>
      <c r="S10" s="1282"/>
      <c r="T10" s="1282"/>
      <c r="U10" s="1282"/>
      <c r="V10" s="1282"/>
      <c r="W10" s="1282"/>
      <c r="X10" s="1282"/>
      <c r="Y10" s="1282"/>
      <c r="Z10" s="1282"/>
      <c r="AA10" s="1282"/>
      <c r="AB10" s="1282"/>
      <c r="AC10" s="1282"/>
      <c r="AD10" s="1282"/>
      <c r="AE10" s="1282"/>
      <c r="AF10" s="1282"/>
      <c r="AG10" s="1282"/>
      <c r="AH10" s="1282"/>
      <c r="AI10" s="1282"/>
      <c r="AJ10" s="1282"/>
      <c r="AK10" s="1306"/>
      <c r="AL10" s="1282"/>
      <c r="AM10" s="1282"/>
      <c r="AN10" s="1282"/>
      <c r="AO10" s="1282"/>
      <c r="AP10" s="1282"/>
      <c r="AQ10" s="1282"/>
      <c r="AR10" s="1282"/>
      <c r="AS10" s="1307"/>
      <c r="AT10" s="1282"/>
      <c r="AU10" s="1291"/>
      <c r="AV10" s="1282"/>
      <c r="AW10" s="1282"/>
      <c r="AX10" s="1282"/>
      <c r="AY10" s="1291"/>
      <c r="AZ10" s="1282"/>
      <c r="BA10" s="1282"/>
      <c r="BB10" s="1282"/>
      <c r="BC10" s="1291"/>
      <c r="BD10" s="1282"/>
      <c r="BE10" s="1282"/>
      <c r="BF10" s="1282"/>
      <c r="BG10" s="1291"/>
      <c r="BH10" s="1282"/>
      <c r="BI10" s="1282"/>
      <c r="BK10" s="1291"/>
      <c r="BL10" s="1282"/>
      <c r="BM10" s="1282"/>
      <c r="BO10" s="1291"/>
      <c r="BP10" s="1282"/>
      <c r="BQ10" s="1282"/>
      <c r="BS10" s="1291"/>
      <c r="BT10" s="1282"/>
      <c r="BU10" s="1282"/>
      <c r="BW10" s="1920" t="s">
        <v>978</v>
      </c>
      <c r="BX10" s="1921" t="s">
        <v>979</v>
      </c>
    </row>
    <row r="11" spans="1:81">
      <c r="A11" s="1254" t="s">
        <v>79</v>
      </c>
      <c r="B11" s="1282"/>
      <c r="C11" s="1284">
        <v>456.27600000000001</v>
      </c>
      <c r="D11" s="1308" t="s">
        <v>90</v>
      </c>
      <c r="E11" s="1307">
        <v>3</v>
      </c>
      <c r="F11" s="1282"/>
      <c r="G11" s="1284">
        <v>512.31500000000005</v>
      </c>
      <c r="H11" s="1309">
        <f>(G11/C11-1)*100</f>
        <v>12.281820652412145</v>
      </c>
      <c r="I11" s="1307">
        <v>1.7</v>
      </c>
      <c r="J11" s="1282"/>
      <c r="K11" s="1284">
        <v>531.52099999999996</v>
      </c>
      <c r="L11" s="1309">
        <f>(K11/G11-1)*100</f>
        <v>3.7488654441115044</v>
      </c>
      <c r="M11" s="1307">
        <v>-1.6</v>
      </c>
      <c r="N11" s="1282"/>
      <c r="O11" s="1284">
        <v>580.55899999999997</v>
      </c>
      <c r="P11" s="1309">
        <f>(O11/K11-1)*100</f>
        <v>9.225976019762161</v>
      </c>
      <c r="Q11" s="1307">
        <v>2.9</v>
      </c>
      <c r="R11" s="1282"/>
      <c r="S11" s="1284">
        <v>658.17200000000003</v>
      </c>
      <c r="T11" s="1309">
        <f>(S11/O11-1)*100</f>
        <v>13.368667094989494</v>
      </c>
      <c r="U11" s="1307">
        <v>8.9</v>
      </c>
      <c r="V11" s="1282"/>
      <c r="W11" s="1284">
        <v>664.26599999999996</v>
      </c>
      <c r="X11" s="1309">
        <f>(W11/S11-1)*100</f>
        <v>0.92589778963552138</v>
      </c>
      <c r="Y11" s="1307">
        <v>-0.7</v>
      </c>
      <c r="Z11" s="1282"/>
      <c r="AA11" s="1284">
        <v>685.54700000000003</v>
      </c>
      <c r="AB11" s="1309">
        <f>(AA11/W11-1)*100</f>
        <v>3.20368647499647</v>
      </c>
      <c r="AC11" s="1307">
        <v>-2</v>
      </c>
      <c r="AD11" s="1282"/>
      <c r="AE11" s="1284">
        <v>713.42499999999995</v>
      </c>
      <c r="AF11" s="1309">
        <f>(AE11/AA11-1)*100</f>
        <v>4.0665337314582217</v>
      </c>
      <c r="AG11" s="1307">
        <v>0.2</v>
      </c>
      <c r="AH11" s="1282"/>
      <c r="AI11" s="1284">
        <v>830.04300000000001</v>
      </c>
      <c r="AJ11" s="1310" t="s">
        <v>90</v>
      </c>
      <c r="AK11" s="1307">
        <v>-2</v>
      </c>
      <c r="AL11" s="1282"/>
      <c r="AM11" s="1284">
        <v>894.678</v>
      </c>
      <c r="AN11" s="1309">
        <f t="shared" ref="AN11:AN17" si="0">(AM11/AI11-1)*100</f>
        <v>7.7869459774975391</v>
      </c>
      <c r="AO11" s="1307">
        <v>3.3</v>
      </c>
      <c r="AP11" s="1282"/>
      <c r="AQ11" s="1284">
        <v>929.08100000000002</v>
      </c>
      <c r="AR11" s="1309">
        <f>(AQ11/AM11-1)*100</f>
        <v>3.8452940611035435</v>
      </c>
      <c r="AS11" s="1307">
        <v>0.5</v>
      </c>
      <c r="AT11" s="1282"/>
      <c r="AU11" s="1284">
        <v>982.42179069000099</v>
      </c>
      <c r="AV11" s="1309">
        <f t="shared" ref="AV11:AV17" si="1">(AU11/AQ11-1)*100</f>
        <v>5.7412422264582874</v>
      </c>
      <c r="AW11" s="1307">
        <v>0.6</v>
      </c>
      <c r="AX11" s="1282"/>
      <c r="AY11" s="1284">
        <v>1065.0129999999999</v>
      </c>
      <c r="AZ11" s="1309">
        <f t="shared" ref="AZ11:AZ17" si="2">(AY11/AU11-1)*100</f>
        <v>8.4068991641554689</v>
      </c>
      <c r="BA11" s="1307">
        <v>3.4</v>
      </c>
      <c r="BB11" s="1311"/>
      <c r="BC11" s="1284">
        <v>1128.269</v>
      </c>
      <c r="BD11" s="1309">
        <f t="shared" ref="BD11:BD17" si="3">(BC11/AY11-1)*100</f>
        <v>5.9394580160054389</v>
      </c>
      <c r="BE11" s="1307">
        <v>2.7</v>
      </c>
      <c r="BF11" s="1311"/>
      <c r="BG11" s="1284">
        <v>1183.059</v>
      </c>
      <c r="BH11" s="1309">
        <f t="shared" ref="BH11:BH17" si="4">(BG11/BC11-1)*100</f>
        <v>4.8561114415090589</v>
      </c>
      <c r="BI11" s="1307">
        <v>0.8</v>
      </c>
      <c r="BK11" s="1284">
        <v>1282.67</v>
      </c>
      <c r="BL11" s="1309">
        <f t="shared" ref="BL11:BL17" si="5">(BK11/BG11-1)*100</f>
        <v>8.4197829524985668</v>
      </c>
      <c r="BM11" s="1307">
        <v>4.3</v>
      </c>
      <c r="BO11" s="1284">
        <v>1346.546</v>
      </c>
      <c r="BP11" s="1309">
        <f t="shared" ref="BP11:BP17" si="6">(BO11/BK11-1)*100</f>
        <v>4.9799246883454051</v>
      </c>
      <c r="BQ11" s="1307">
        <v>0.5</v>
      </c>
      <c r="BS11" s="2169">
        <f>qtrSales!S132</f>
        <v>1486.0064544107745</v>
      </c>
      <c r="BT11" s="1309">
        <f t="shared" ref="BT11:BT14" si="7">(BS11/BO11-1)*100</f>
        <v>10.356902356902363</v>
      </c>
      <c r="BU11" s="2171">
        <f>qtrSales!E132</f>
        <v>3</v>
      </c>
      <c r="BV11" s="1597"/>
      <c r="BW11" s="1922">
        <f>BQ11+BM11</f>
        <v>4.8</v>
      </c>
      <c r="BX11" s="1923">
        <f>BM11+BQ11+BI11</f>
        <v>5.6</v>
      </c>
      <c r="BY11" s="2019"/>
      <c r="CB11" s="2019"/>
      <c r="CC11" s="2019"/>
    </row>
    <row r="12" spans="1:81">
      <c r="A12" s="1254" t="s">
        <v>80</v>
      </c>
      <c r="B12" s="1282"/>
      <c r="C12" s="1288">
        <v>750.52200000000005</v>
      </c>
      <c r="D12" s="1308" t="s">
        <v>90</v>
      </c>
      <c r="E12" s="1307">
        <v>-5.9</v>
      </c>
      <c r="F12" s="1282"/>
      <c r="G12" s="1288">
        <v>790.79100000000005</v>
      </c>
      <c r="H12" s="1309">
        <f t="shared" ref="H12:H17" si="8">(G12/C12-1)*100</f>
        <v>5.3654656359173991</v>
      </c>
      <c r="I12" s="1307">
        <v>-1.3</v>
      </c>
      <c r="J12" s="1282"/>
      <c r="K12" s="1288">
        <v>794.06500000000005</v>
      </c>
      <c r="L12" s="1309">
        <f t="shared" ref="L12:L17" si="9">(K12/G12-1)*100</f>
        <v>0.41401583983631252</v>
      </c>
      <c r="M12" s="1307">
        <v>-5.9</v>
      </c>
      <c r="N12" s="1282"/>
      <c r="O12" s="1288">
        <v>879.96600000000001</v>
      </c>
      <c r="P12" s="1309">
        <f t="shared" ref="P12:P17" si="10">(O12/K12-1)*100</f>
        <v>10.817880148350568</v>
      </c>
      <c r="Q12" s="1307">
        <v>4.8</v>
      </c>
      <c r="R12" s="1282"/>
      <c r="S12" s="1288">
        <v>953.92600000000004</v>
      </c>
      <c r="T12" s="1309">
        <f t="shared" ref="T12:T17" si="11">(S12/O12-1)*100</f>
        <v>8.4048701881663579</v>
      </c>
      <c r="U12" s="1307">
        <v>5.3</v>
      </c>
      <c r="V12" s="1282"/>
      <c r="W12" s="1288">
        <v>996.90099999999995</v>
      </c>
      <c r="X12" s="1309">
        <f t="shared" ref="X12:X17" si="12">(W12/S12-1)*100</f>
        <v>4.5050664307294097</v>
      </c>
      <c r="Y12" s="1307">
        <v>-2.4</v>
      </c>
      <c r="Z12" s="1282"/>
      <c r="AA12" s="1288">
        <v>955.65099999999995</v>
      </c>
      <c r="AB12" s="1309">
        <f t="shared" ref="AB12:AB17" si="13">(AA12/W12-1)*100</f>
        <v>-4.1378231138297643</v>
      </c>
      <c r="AC12" s="1307">
        <v>-8</v>
      </c>
      <c r="AD12" s="1282"/>
      <c r="AE12" s="1288">
        <v>1010.292</v>
      </c>
      <c r="AF12" s="1309">
        <f t="shared" ref="AF12:AF17" si="14">(AE12/AA12-1)*100</f>
        <v>5.7176730835838629</v>
      </c>
      <c r="AG12" s="1307">
        <v>-2.1</v>
      </c>
      <c r="AH12" s="1282"/>
      <c r="AI12" s="1288">
        <v>700.97799999999995</v>
      </c>
      <c r="AJ12" s="1310" t="s">
        <v>90</v>
      </c>
      <c r="AK12" s="1307">
        <v>-7</v>
      </c>
      <c r="AL12" s="1282"/>
      <c r="AM12" s="1288">
        <v>728.75</v>
      </c>
      <c r="AN12" s="1309">
        <f t="shared" si="0"/>
        <v>3.9618932405867335</v>
      </c>
      <c r="AO12" s="1307">
        <v>0.3</v>
      </c>
      <c r="AP12" s="1282"/>
      <c r="AQ12" s="1374">
        <v>793.34899999999993</v>
      </c>
      <c r="AR12" s="1309">
        <f t="shared" ref="AR12:AR17" si="15">(AQ12/AM12-1)*100</f>
        <v>8.864356775300152</v>
      </c>
      <c r="AS12" s="1307">
        <v>4</v>
      </c>
      <c r="AT12" s="1282"/>
      <c r="AU12" s="1374">
        <v>864.18122197000105</v>
      </c>
      <c r="AV12" s="1309">
        <f t="shared" si="1"/>
        <v>8.928255026476517</v>
      </c>
      <c r="AW12" s="1307">
        <v>2.9</v>
      </c>
      <c r="AX12" s="1282"/>
      <c r="AY12" s="1373">
        <v>963.71100000000001</v>
      </c>
      <c r="AZ12" s="1309">
        <f t="shared" si="2"/>
        <v>11.517234522072739</v>
      </c>
      <c r="BA12" s="1307">
        <v>7.8</v>
      </c>
      <c r="BB12" s="1311"/>
      <c r="BC12" s="1373">
        <v>1043.5809999999999</v>
      </c>
      <c r="BD12" s="1309">
        <f t="shared" si="3"/>
        <v>8.2877543163873746</v>
      </c>
      <c r="BE12" s="1307">
        <v>4.7</v>
      </c>
      <c r="BF12" s="1311"/>
      <c r="BG12" s="1373">
        <v>1144.2180000000001</v>
      </c>
      <c r="BH12" s="1309">
        <f t="shared" si="4"/>
        <v>9.6434296906517289</v>
      </c>
      <c r="BI12" s="1307">
        <v>5.6</v>
      </c>
      <c r="BK12" s="1373">
        <v>1255.0530000000001</v>
      </c>
      <c r="BL12" s="1309">
        <f t="shared" si="5"/>
        <v>9.6865282664666985</v>
      </c>
      <c r="BM12" s="1913">
        <v>5.4</v>
      </c>
      <c r="BO12" s="1373">
        <v>1363.2239999999999</v>
      </c>
      <c r="BP12" s="1309">
        <f t="shared" si="6"/>
        <v>8.6188392044001194</v>
      </c>
      <c r="BQ12" s="1913">
        <v>3.5</v>
      </c>
      <c r="BS12" s="2170">
        <f>qtrSales!S133</f>
        <v>1499.0106848829432</v>
      </c>
      <c r="BT12" s="1309">
        <f t="shared" si="7"/>
        <v>9.9607023411371287</v>
      </c>
      <c r="BU12" s="2172">
        <f>qtrSales!E133</f>
        <v>3</v>
      </c>
      <c r="BV12" s="1597"/>
      <c r="BW12" s="1922">
        <f>BQ12+BM12</f>
        <v>8.9</v>
      </c>
      <c r="BX12" s="1923">
        <f>BM12+BQ12+BI12</f>
        <v>14.5</v>
      </c>
      <c r="BY12" s="2019">
        <f>BX12-BX13</f>
        <v>4.8999999999999986</v>
      </c>
      <c r="BZ12" s="2019">
        <f>BW12-BW13</f>
        <v>2.0999999999999996</v>
      </c>
      <c r="CB12" s="2019"/>
      <c r="CC12" s="2019"/>
    </row>
    <row r="13" spans="1:81">
      <c r="A13" s="1254" t="s">
        <v>81</v>
      </c>
      <c r="B13" s="1282"/>
      <c r="C13" s="1288">
        <v>787.54899999999998</v>
      </c>
      <c r="D13" s="1308" t="s">
        <v>90</v>
      </c>
      <c r="E13" s="1307">
        <v>-0.4</v>
      </c>
      <c r="F13" s="1282"/>
      <c r="G13" s="1288">
        <v>807.65</v>
      </c>
      <c r="H13" s="1309">
        <f t="shared" si="8"/>
        <v>2.5523491236735696</v>
      </c>
      <c r="I13" s="1307">
        <v>-2.5</v>
      </c>
      <c r="J13" s="1282"/>
      <c r="K13" s="1288">
        <v>857.77599999999995</v>
      </c>
      <c r="L13" s="1309">
        <f t="shared" si="9"/>
        <v>6.2064012876865027</v>
      </c>
      <c r="M13" s="1307">
        <v>1.7</v>
      </c>
      <c r="N13" s="1282"/>
      <c r="O13" s="1288">
        <v>975.62099999999998</v>
      </c>
      <c r="P13" s="1309">
        <f t="shared" si="10"/>
        <v>13.738435209192158</v>
      </c>
      <c r="Q13" s="1307">
        <v>8.4</v>
      </c>
      <c r="R13" s="1282"/>
      <c r="S13" s="1288">
        <v>1032.03</v>
      </c>
      <c r="T13" s="1309">
        <f t="shared" si="11"/>
        <v>5.7818558641111739</v>
      </c>
      <c r="U13" s="1307">
        <v>3.5</v>
      </c>
      <c r="V13" s="1282"/>
      <c r="W13" s="1288">
        <v>998.11800000000005</v>
      </c>
      <c r="X13" s="1309">
        <f t="shared" si="12"/>
        <v>-3.2859509897968042</v>
      </c>
      <c r="Y13" s="1307">
        <v>-2.6</v>
      </c>
      <c r="Z13" s="1282"/>
      <c r="AA13" s="1288">
        <v>995.21600000000001</v>
      </c>
      <c r="AB13" s="1309">
        <f t="shared" si="13"/>
        <v>-0.29074718620444306</v>
      </c>
      <c r="AC13" s="1307">
        <v>-6</v>
      </c>
      <c r="AD13" s="1282"/>
      <c r="AE13" s="1288">
        <v>1029.375</v>
      </c>
      <c r="AF13" s="1309">
        <f t="shared" si="14"/>
        <v>3.4323202199321612</v>
      </c>
      <c r="AG13" s="1307">
        <v>-4.3</v>
      </c>
      <c r="AH13" s="1282"/>
      <c r="AI13" s="1288">
        <v>872.37399999999991</v>
      </c>
      <c r="AJ13" s="1310" t="s">
        <v>90</v>
      </c>
      <c r="AK13" s="1307">
        <v>0</v>
      </c>
      <c r="AL13" s="1282"/>
      <c r="AM13" s="1288">
        <v>858.18599999999992</v>
      </c>
      <c r="AN13" s="1309">
        <f t="shared" si="0"/>
        <v>-1.6263666730095161</v>
      </c>
      <c r="AO13" s="1307">
        <v>-5.6</v>
      </c>
      <c r="AP13" s="1282"/>
      <c r="AQ13" s="1374">
        <v>898.66300000000001</v>
      </c>
      <c r="AR13" s="1309">
        <f t="shared" si="15"/>
        <v>4.716576592953059</v>
      </c>
      <c r="AS13" s="1307">
        <v>1.5</v>
      </c>
      <c r="AT13" s="1282"/>
      <c r="AU13" s="1374">
        <v>967.89400000000001</v>
      </c>
      <c r="AV13" s="1309">
        <f t="shared" si="1"/>
        <v>7.7037777231286908</v>
      </c>
      <c r="AW13" s="1307">
        <v>2.1</v>
      </c>
      <c r="AX13" s="1282"/>
      <c r="AY13" s="1373">
        <v>1064.502</v>
      </c>
      <c r="AZ13" s="1309">
        <f t="shared" si="2"/>
        <v>9.9812582782825352</v>
      </c>
      <c r="BA13" s="1307">
        <v>3.9</v>
      </c>
      <c r="BB13" s="1311"/>
      <c r="BC13" s="1373">
        <v>1157.2919999999999</v>
      </c>
      <c r="BD13" s="1309">
        <f t="shared" si="3"/>
        <v>8.7167520587091438</v>
      </c>
      <c r="BE13" s="1307">
        <v>5.2</v>
      </c>
      <c r="BF13" s="1311"/>
      <c r="BG13" s="1373">
        <v>1230.886</v>
      </c>
      <c r="BH13" s="1309">
        <f t="shared" si="4"/>
        <v>6.3591556841315899</v>
      </c>
      <c r="BI13" s="1307">
        <v>2.8</v>
      </c>
      <c r="BK13" s="1373">
        <v>1342.6</v>
      </c>
      <c r="BL13" s="1309">
        <f t="shared" si="5"/>
        <v>9.075901423852418</v>
      </c>
      <c r="BM13" s="2041">
        <v>3.7</v>
      </c>
      <c r="BO13" s="2232">
        <v>1438.1669999999999</v>
      </c>
      <c r="BP13" s="1309">
        <f t="shared" si="6"/>
        <v>7.1180545210784985</v>
      </c>
      <c r="BQ13" s="2217">
        <v>3.1</v>
      </c>
      <c r="BS13" s="2170">
        <f>qtrSales!S134</f>
        <v>1582.2524070755483</v>
      </c>
      <c r="BT13" s="1309">
        <f t="shared" si="7"/>
        <v>10.01868399675061</v>
      </c>
      <c r="BU13" s="2173">
        <f>qtrSales!E134</f>
        <v>3</v>
      </c>
      <c r="BW13" s="1922">
        <f>BQ13+BM13</f>
        <v>6.8000000000000007</v>
      </c>
      <c r="BX13" s="1923">
        <f>BM13+BQ13+BI13</f>
        <v>9.6000000000000014</v>
      </c>
      <c r="CB13" s="2019"/>
      <c r="CC13" s="2019"/>
    </row>
    <row r="14" spans="1:81">
      <c r="A14" s="1254" t="s">
        <v>82</v>
      </c>
      <c r="B14" s="1282"/>
      <c r="C14" s="1314">
        <v>608.79100000000005</v>
      </c>
      <c r="D14" s="1308" t="s">
        <v>90</v>
      </c>
      <c r="E14" s="1307">
        <v>5</v>
      </c>
      <c r="F14" s="1282"/>
      <c r="G14" s="1314">
        <v>609.39800000000002</v>
      </c>
      <c r="H14" s="1309">
        <f t="shared" si="8"/>
        <v>9.9705810368422298E-2</v>
      </c>
      <c r="I14" s="1307">
        <v>-4.0999999999999996</v>
      </c>
      <c r="J14" s="1282"/>
      <c r="K14" s="1314">
        <v>684.82</v>
      </c>
      <c r="L14" s="1309">
        <f t="shared" si="9"/>
        <v>12.376476457093721</v>
      </c>
      <c r="M14" s="1307">
        <v>3.9</v>
      </c>
      <c r="N14" s="1282"/>
      <c r="O14" s="1314">
        <v>763.69399999999996</v>
      </c>
      <c r="P14" s="1309">
        <f t="shared" si="10"/>
        <v>11.517479045588619</v>
      </c>
      <c r="Q14" s="1307">
        <v>7.9</v>
      </c>
      <c r="R14" s="1282"/>
      <c r="S14" s="1315">
        <f>S15-SUM(S11:S13)</f>
        <v>826.42600000000039</v>
      </c>
      <c r="T14" s="1309">
        <f t="shared" si="11"/>
        <v>8.214284778982206</v>
      </c>
      <c r="U14" s="1307">
        <v>0.6</v>
      </c>
      <c r="V14" s="1282"/>
      <c r="W14" s="1314">
        <f>W15-SUM(W11:W13)</f>
        <v>782.36000000000013</v>
      </c>
      <c r="X14" s="1309">
        <f t="shared" si="12"/>
        <v>-5.3321168501475285</v>
      </c>
      <c r="Y14" s="1307">
        <v>-2.9</v>
      </c>
      <c r="Z14" s="1282"/>
      <c r="AA14" s="1314">
        <f>AA15-SUM(AA11:AA13)</f>
        <v>787.5590000000002</v>
      </c>
      <c r="AB14" s="1309">
        <f t="shared" si="13"/>
        <v>0.66452783884658473</v>
      </c>
      <c r="AC14" s="1307">
        <v>-3.1</v>
      </c>
      <c r="AD14" s="1282"/>
      <c r="AE14" s="1315">
        <f>AE15-SUM(AE11:AE13)</f>
        <v>818.27500000000009</v>
      </c>
      <c r="AF14" s="1309">
        <f t="shared" si="14"/>
        <v>3.9001522425621271</v>
      </c>
      <c r="AG14" s="1307">
        <v>-3.1</v>
      </c>
      <c r="AH14" s="1282"/>
      <c r="AI14" s="1315">
        <f>AI15-SUM(AI11:AI13)</f>
        <v>1119.5189999999998</v>
      </c>
      <c r="AJ14" s="1310" t="s">
        <v>90</v>
      </c>
      <c r="AK14" s="1307">
        <v>-7</v>
      </c>
      <c r="AL14" s="1282"/>
      <c r="AM14" s="1315">
        <f>AM15-SUM(AM11:AM13)</f>
        <v>1187.9880000000003</v>
      </c>
      <c r="AN14" s="1309">
        <f t="shared" si="0"/>
        <v>6.115930144999826</v>
      </c>
      <c r="AO14" s="1307">
        <v>1.2</v>
      </c>
      <c r="AP14" s="1282"/>
      <c r="AQ14" s="1375">
        <f>AQ15-SUM(AQ11:AQ13)</f>
        <v>1233.0410000000002</v>
      </c>
      <c r="AR14" s="1309">
        <f t="shared" si="15"/>
        <v>3.7923783741923289</v>
      </c>
      <c r="AS14" s="1307">
        <v>-1.7</v>
      </c>
      <c r="AT14" s="1282"/>
      <c r="AU14" s="1375">
        <f>AU15-SUM(AU11:AU13)</f>
        <v>1262.537158410003</v>
      </c>
      <c r="AV14" s="1309">
        <f t="shared" si="1"/>
        <v>2.3921474152118982</v>
      </c>
      <c r="AW14" s="1307">
        <v>-0.3</v>
      </c>
      <c r="AX14" s="1282"/>
      <c r="AY14" s="1314">
        <v>1334.277</v>
      </c>
      <c r="AZ14" s="1309">
        <f t="shared" si="2"/>
        <v>5.6821964495954891</v>
      </c>
      <c r="BA14" s="1307">
        <v>4</v>
      </c>
      <c r="BB14" s="1311"/>
      <c r="BC14" s="1314">
        <v>1485.3620000000001</v>
      </c>
      <c r="BD14" s="1309">
        <f t="shared" si="3"/>
        <v>11.32336089132917</v>
      </c>
      <c r="BE14" s="1307">
        <v>6.7</v>
      </c>
      <c r="BF14" s="1311"/>
      <c r="BG14" s="1314">
        <v>1540.769</v>
      </c>
      <c r="BH14" s="1309">
        <f t="shared" si="4"/>
        <v>3.7302017959258471</v>
      </c>
      <c r="BI14" s="1307">
        <v>0.1</v>
      </c>
      <c r="BK14" s="1314">
        <v>1685.7149999999999</v>
      </c>
      <c r="BL14" s="1309">
        <f t="shared" si="5"/>
        <v>9.4073803405961609</v>
      </c>
      <c r="BM14" s="1307">
        <v>4.5999999999999996</v>
      </c>
      <c r="BO14" s="1314">
        <v>1936.829</v>
      </c>
      <c r="BP14" s="1309">
        <f t="shared" si="6"/>
        <v>14.896586908225885</v>
      </c>
      <c r="BQ14" s="2051">
        <v>5.9</v>
      </c>
      <c r="BS14" s="1315">
        <f>qtrSales!S135</f>
        <v>2020.1126469999997</v>
      </c>
      <c r="BT14" s="1309">
        <f t="shared" si="7"/>
        <v>4.2999999999999927</v>
      </c>
      <c r="BU14" s="1313">
        <f>qtrSales!E135</f>
        <v>3</v>
      </c>
      <c r="BW14" s="1924">
        <f>BQ14+BM14</f>
        <v>10.5</v>
      </c>
      <c r="BX14" s="1925">
        <f>BM14+BQ14+BI14</f>
        <v>10.6</v>
      </c>
      <c r="BY14" s="2019">
        <f>BW14-BW13</f>
        <v>3.6999999999999993</v>
      </c>
      <c r="BZ14" s="1597">
        <f>+BQ14-BQ13</f>
        <v>2.8000000000000003</v>
      </c>
      <c r="CB14" s="2019"/>
      <c r="CC14" s="2019"/>
    </row>
    <row r="15" spans="1:81">
      <c r="A15" s="1254" t="s">
        <v>85</v>
      </c>
      <c r="B15" s="1282"/>
      <c r="C15" s="1291">
        <f>'yrP&amp;L'!$D$8</f>
        <v>2553.7570000000001</v>
      </c>
      <c r="D15" s="1308" t="s">
        <v>90</v>
      </c>
      <c r="E15" s="1307">
        <v>-0.3</v>
      </c>
      <c r="F15" s="1282"/>
      <c r="G15" s="1291">
        <f>'yrP&amp;L'!$E$8</f>
        <v>2678.1280000000002</v>
      </c>
      <c r="H15" s="1309">
        <f t="shared" si="8"/>
        <v>4.8701188092680647</v>
      </c>
      <c r="I15" s="1307">
        <v>-1.7</v>
      </c>
      <c r="J15" s="1282"/>
      <c r="K15" s="1291">
        <f>'yrP&amp;L'!$F$8</f>
        <v>2859.96</v>
      </c>
      <c r="L15" s="1309">
        <f t="shared" si="9"/>
        <v>6.7895186488472481</v>
      </c>
      <c r="M15" s="1307">
        <v>-0.3</v>
      </c>
      <c r="N15" s="1282"/>
      <c r="O15" s="1291">
        <f>'yrP&amp;L'!$G$8</f>
        <v>3199.84</v>
      </c>
      <c r="P15" s="1309">
        <f t="shared" si="10"/>
        <v>11.884082294857269</v>
      </c>
      <c r="Q15" s="1307">
        <v>6.3</v>
      </c>
      <c r="R15" s="1282"/>
      <c r="S15" s="1291">
        <f>'yrP&amp;L'!$H$8</f>
        <v>3470.5540000000001</v>
      </c>
      <c r="T15" s="1309">
        <f t="shared" si="11"/>
        <v>8.4602355117755934</v>
      </c>
      <c r="U15" s="1307">
        <v>4.3</v>
      </c>
      <c r="V15" s="1282"/>
      <c r="W15" s="1291">
        <f>'yrP&amp;L'!$I$8</f>
        <v>3441.645</v>
      </c>
      <c r="X15" s="1309">
        <f t="shared" si="12"/>
        <v>-0.83297940328835862</v>
      </c>
      <c r="Y15" s="1307">
        <v>-2.2000000000000002</v>
      </c>
      <c r="Z15" s="1282"/>
      <c r="AA15" s="1291">
        <f>'yrP&amp;L'!$J$8</f>
        <v>3423.973</v>
      </c>
      <c r="AB15" s="1309">
        <f t="shared" si="13"/>
        <v>-0.5134753874963871</v>
      </c>
      <c r="AC15" s="1307">
        <v>-5.2</v>
      </c>
      <c r="AD15" s="1291"/>
      <c r="AE15" s="1291">
        <f>'yrP&amp;L'!$K$8</f>
        <v>3571.3670000000002</v>
      </c>
      <c r="AF15" s="1309">
        <f t="shared" si="14"/>
        <v>4.3047652536979841</v>
      </c>
      <c r="AG15" s="1307">
        <v>-2.5</v>
      </c>
      <c r="AH15" s="1282"/>
      <c r="AI15" s="1284">
        <v>3522.9139999999998</v>
      </c>
      <c r="AJ15" s="1310" t="s">
        <v>90</v>
      </c>
      <c r="AK15" s="1307">
        <v>-4</v>
      </c>
      <c r="AL15" s="1282"/>
      <c r="AM15" s="1284">
        <v>3669.6019999999999</v>
      </c>
      <c r="AN15" s="1309">
        <f t="shared" si="0"/>
        <v>4.1638257419851943</v>
      </c>
      <c r="AO15" s="1307">
        <v>-0.2</v>
      </c>
      <c r="AP15" s="1282"/>
      <c r="AQ15" s="1284">
        <v>3854.134</v>
      </c>
      <c r="AR15" s="1309">
        <f t="shared" si="15"/>
        <v>5.0286652339954108</v>
      </c>
      <c r="AS15" s="1307">
        <v>0.7</v>
      </c>
      <c r="AT15" s="1282"/>
      <c r="AU15" s="1284">
        <v>4077.034171070005</v>
      </c>
      <c r="AV15" s="1309">
        <f t="shared" si="1"/>
        <v>5.7834048081879086</v>
      </c>
      <c r="AW15" s="1307">
        <v>1.2</v>
      </c>
      <c r="AX15" s="1282"/>
      <c r="AY15" s="1284">
        <v>4427.5029999999997</v>
      </c>
      <c r="AZ15" s="1309">
        <f t="shared" si="2"/>
        <v>8.5961709964774471</v>
      </c>
      <c r="BA15" s="1307">
        <v>4.7</v>
      </c>
      <c r="BB15" s="1282"/>
      <c r="BC15" s="1284">
        <f>SUM(BC11:BC14)</f>
        <v>4814.5039999999999</v>
      </c>
      <c r="BD15" s="1309">
        <f t="shared" si="3"/>
        <v>8.7408410564600469</v>
      </c>
      <c r="BE15" s="1307">
        <v>4.9000000000000004</v>
      </c>
      <c r="BF15" s="1282"/>
      <c r="BG15" s="1284">
        <f>SUM(BG11:BG14)</f>
        <v>5098.9319999999998</v>
      </c>
      <c r="BH15" s="1309">
        <f t="shared" si="4"/>
        <v>5.9077321360621937</v>
      </c>
      <c r="BI15" s="1307">
        <v>2.1</v>
      </c>
      <c r="BK15" s="1330">
        <f>SUM(BK11:BK14)</f>
        <v>5566.0379999999996</v>
      </c>
      <c r="BL15" s="1309">
        <f t="shared" si="5"/>
        <v>9.1608595682389993</v>
      </c>
      <c r="BM15" s="2051">
        <v>4.5</v>
      </c>
      <c r="BO15" s="1291">
        <f>SUM(BO11:BO14)</f>
        <v>6084.7659999999996</v>
      </c>
      <c r="BP15" s="1309">
        <f>(BO15/BK15-1)*100</f>
        <v>9.3195195577177259</v>
      </c>
      <c r="BQ15" s="2051">
        <v>3.4</v>
      </c>
      <c r="BS15" s="1291">
        <f>SUM(BS11:BS14)</f>
        <v>6587.3821933692661</v>
      </c>
      <c r="BT15" s="1309">
        <f>(BS15/BO15-1)*100</f>
        <v>8.2602386578097828</v>
      </c>
      <c r="BU15" s="1313">
        <f>qtrSales!E136</f>
        <v>2.9999999999999996</v>
      </c>
      <c r="BW15" s="1926">
        <f>BQ15+BM15</f>
        <v>7.9</v>
      </c>
      <c r="BX15" s="1927">
        <f>BM15+BQ15+BI15</f>
        <v>10</v>
      </c>
      <c r="CB15" s="2019"/>
      <c r="CC15" s="2019"/>
    </row>
    <row r="16" spans="1:81" ht="12.75" hidden="1" customHeight="1" outlineLevel="1">
      <c r="A16" s="1254" t="s">
        <v>87</v>
      </c>
      <c r="B16" s="1282"/>
      <c r="C16" s="1292">
        <f>C11+C12</f>
        <v>1206.798</v>
      </c>
      <c r="D16" s="1308" t="s">
        <v>90</v>
      </c>
      <c r="E16" s="1316">
        <f>((C12/C16)*E12+(C11/C16)*E11)</f>
        <v>-2.5350156364196832</v>
      </c>
      <c r="F16" s="1282"/>
      <c r="G16" s="1292">
        <f>G11+G12</f>
        <v>1303.1060000000002</v>
      </c>
      <c r="H16" s="1309">
        <f t="shared" si="8"/>
        <v>7.9804573756337094</v>
      </c>
      <c r="I16" s="1316">
        <f>((G12/G16)*I12+(G11/G16)*I11)</f>
        <v>-0.12055258743340913</v>
      </c>
      <c r="J16" s="1282"/>
      <c r="K16" s="1292">
        <f>K11+K12</f>
        <v>1325.586</v>
      </c>
      <c r="L16" s="1309">
        <f t="shared" si="9"/>
        <v>1.7251090855233464</v>
      </c>
      <c r="M16" s="1316">
        <f>((K12/K16)*M12+(K11/K16)*M11)</f>
        <v>-4.1758264646729826</v>
      </c>
      <c r="N16" s="1282"/>
      <c r="O16" s="1292">
        <f>O11+O12</f>
        <v>1460.5250000000001</v>
      </c>
      <c r="P16" s="1309">
        <f t="shared" si="10"/>
        <v>10.179573411306396</v>
      </c>
      <c r="Q16" s="1316">
        <f>((O12/O16)*Q12+(O11/O16)*Q11)</f>
        <v>4.0447495934681017</v>
      </c>
      <c r="R16" s="1282"/>
      <c r="S16" s="1292">
        <f>S11+S12</f>
        <v>1612.098</v>
      </c>
      <c r="T16" s="1309">
        <f t="shared" si="11"/>
        <v>10.377980520703156</v>
      </c>
      <c r="U16" s="1316">
        <f>((S12/S16)*U12+(S11/S16)*U11)</f>
        <v>6.7697736738089134</v>
      </c>
      <c r="V16" s="1282"/>
      <c r="W16" s="1292">
        <f>W11+W12</f>
        <v>1661.1669999999999</v>
      </c>
      <c r="X16" s="1309">
        <f t="shared" si="12"/>
        <v>3.0437975855065913</v>
      </c>
      <c r="Y16" s="1316">
        <f>((W12/W16)*Y12+(W11/W16)*Y11)</f>
        <v>-1.720205494089396</v>
      </c>
      <c r="Z16" s="1282"/>
      <c r="AA16" s="1292">
        <f>AA11+AA12</f>
        <v>1641.1979999999999</v>
      </c>
      <c r="AB16" s="1309">
        <f t="shared" si="13"/>
        <v>-1.2021067117273576</v>
      </c>
      <c r="AC16" s="1316">
        <f>((AA12/AA16)*AC12+(AA11/AA16)*AC11)</f>
        <v>-5.4937320177090152</v>
      </c>
      <c r="AD16" s="1282"/>
      <c r="AE16" s="1292">
        <f>AE11+AE12</f>
        <v>1723.7170000000001</v>
      </c>
      <c r="AF16" s="1309">
        <f t="shared" si="14"/>
        <v>5.0279734681616839</v>
      </c>
      <c r="AG16" s="1316">
        <f>((AE12/AE16)*AG12+(AE11/AE16)*AG11)</f>
        <v>-1.1480586430371111</v>
      </c>
      <c r="AH16" s="1282"/>
      <c r="AI16" s="1292">
        <f>AI11+AI12</f>
        <v>1531.021</v>
      </c>
      <c r="AJ16" s="1310" t="s">
        <v>90</v>
      </c>
      <c r="AK16" s="1313">
        <v>-4.2905868378209551</v>
      </c>
      <c r="AL16" s="1282"/>
      <c r="AM16" s="1292">
        <f>AM11+AM12</f>
        <v>1623.4279999999999</v>
      </c>
      <c r="AN16" s="1309">
        <f t="shared" si="0"/>
        <v>6.0356454940853066</v>
      </c>
      <c r="AO16" s="1313">
        <f>((AM12/AM16)*AO12+(AM11/AM16)*AO11)</f>
        <v>1.9533126199622035</v>
      </c>
      <c r="AP16" s="1282"/>
      <c r="AQ16" s="1292">
        <f>AQ11+AQ12</f>
        <v>1722.4299999999998</v>
      </c>
      <c r="AR16" s="1309">
        <f t="shared" si="15"/>
        <v>6.0983302000458206</v>
      </c>
      <c r="AS16" s="1313">
        <f>((AQ12/AQ16)*AS12+(AQ11/AQ16)*AS11)</f>
        <v>2.1120954117148449</v>
      </c>
      <c r="AT16" s="1282"/>
      <c r="AU16" s="1292">
        <f>AU11+AU12</f>
        <v>1846.6030126600022</v>
      </c>
      <c r="AV16" s="1309">
        <f t="shared" si="1"/>
        <v>7.2091761441685387</v>
      </c>
      <c r="AW16" s="1313">
        <f>((AU12/AU16)*AW12+(AU11/AU16)*AW11)</f>
        <v>1.6763638946239299</v>
      </c>
      <c r="AX16" s="1282"/>
      <c r="AY16" s="1292">
        <f>AY11+AY12</f>
        <v>2028.7239999999999</v>
      </c>
      <c r="AZ16" s="1309">
        <f t="shared" si="2"/>
        <v>9.8624872856486476</v>
      </c>
      <c r="BA16" s="1313">
        <f>((AY12/AY16)*BA12+(AY11/AY16)*BA11)</f>
        <v>5.490145529899582</v>
      </c>
      <c r="BB16" s="1282"/>
      <c r="BC16" s="1292">
        <f>BC11+BC12</f>
        <v>2171.85</v>
      </c>
      <c r="BD16" s="1309">
        <f t="shared" si="3"/>
        <v>7.0549764285334104</v>
      </c>
      <c r="BE16" s="1313">
        <f>((BC12/BC16)*BE12+(BC11/BC16)*BE11)</f>
        <v>3.6610065151829088</v>
      </c>
      <c r="BF16" s="1282"/>
      <c r="BG16" s="1292">
        <f>BG11+BG12</f>
        <v>2327.277</v>
      </c>
      <c r="BH16" s="1309">
        <f t="shared" si="4"/>
        <v>7.1564334553491316</v>
      </c>
      <c r="BI16" s="1313">
        <f>((BG12/BG16)*BI12+(BG11/BG16)*BI11)</f>
        <v>3.1599452922879401</v>
      </c>
      <c r="BK16" s="1292">
        <f>BK11+BK12</f>
        <v>2537.723</v>
      </c>
      <c r="BL16" s="1309">
        <f t="shared" si="5"/>
        <v>9.0425849608791751</v>
      </c>
      <c r="BM16" s="1313">
        <f>((BK12/BK16)*BM12+(BK11/BK16)*BM11)</f>
        <v>4.8440145752708244</v>
      </c>
      <c r="BO16" s="1292">
        <f>BO11+BO12</f>
        <v>2709.77</v>
      </c>
      <c r="BP16" s="1309">
        <f t="shared" si="6"/>
        <v>6.7795815382529989</v>
      </c>
      <c r="BQ16" s="1313">
        <f>((BO12/BO16)*BQ12+(BO11/BO16)*BQ11)</f>
        <v>2.0092321488539615</v>
      </c>
      <c r="BS16" s="1292">
        <f>BS11+BS12</f>
        <v>2985.0171392937177</v>
      </c>
      <c r="BT16" s="1309">
        <f t="shared" ref="BT16:BT17" si="16">(BS16/BO16-1)*100</f>
        <v>10.157583089845911</v>
      </c>
      <c r="BU16" s="1313">
        <f>((BS12/BS16)*BU12+(BS11/BS16)*BU11)</f>
        <v>3</v>
      </c>
      <c r="BW16" s="1922"/>
      <c r="BX16" s="1923"/>
      <c r="CB16" s="2019"/>
      <c r="CC16" s="2019"/>
    </row>
    <row r="17" spans="1:81" ht="12.75" hidden="1" customHeight="1" outlineLevel="1">
      <c r="A17" s="1254" t="s">
        <v>88</v>
      </c>
      <c r="B17" s="1282"/>
      <c r="C17" s="1292">
        <f>C11+C12+C13</f>
        <v>1994.347</v>
      </c>
      <c r="D17" s="1308" t="s">
        <v>90</v>
      </c>
      <c r="E17" s="1316">
        <f>((C13/C17)*E13+(C16/C17)*E16)</f>
        <v>-1.6919179059611995</v>
      </c>
      <c r="F17" s="1282"/>
      <c r="G17" s="1292">
        <f>G11+G12+G13</f>
        <v>2110.7560000000003</v>
      </c>
      <c r="H17" s="1309">
        <f t="shared" si="8"/>
        <v>5.836948133900477</v>
      </c>
      <c r="I17" s="1316">
        <f>((G13/G17)*I13+(G16/G17)*I16)</f>
        <v>-1.0310134378393332</v>
      </c>
      <c r="J17" s="1282"/>
      <c r="K17" s="1292">
        <f>K11+K12+K13</f>
        <v>2183.3620000000001</v>
      </c>
      <c r="L17" s="1309">
        <f t="shared" si="9"/>
        <v>3.4398101912300527</v>
      </c>
      <c r="M17" s="1316">
        <f>((K13/K17)*M13+(K16/K17)*M16)</f>
        <v>-1.8673943670357915</v>
      </c>
      <c r="N17" s="1282"/>
      <c r="O17" s="1292">
        <f>O11+O12+O13</f>
        <v>2436.1460000000002</v>
      </c>
      <c r="P17" s="1309">
        <f t="shared" si="10"/>
        <v>11.577741116681528</v>
      </c>
      <c r="Q17" s="1316">
        <f>((O13/O17)*Q13+(O16/O17)*Q16)</f>
        <v>5.788928208736257</v>
      </c>
      <c r="R17" s="1282"/>
      <c r="S17" s="1292">
        <f>S11+S12+S13</f>
        <v>2644.1279999999997</v>
      </c>
      <c r="T17" s="1309">
        <f t="shared" si="11"/>
        <v>8.5373372531859495</v>
      </c>
      <c r="U17" s="1316">
        <f>((S13/S17)*U13+(S16/S17)*U16)</f>
        <v>5.4935478161420335</v>
      </c>
      <c r="V17" s="1282"/>
      <c r="W17" s="1292">
        <f>W11+W12+W13</f>
        <v>2659.2849999999999</v>
      </c>
      <c r="X17" s="1309">
        <f t="shared" si="12"/>
        <v>0.57323246075833278</v>
      </c>
      <c r="Y17" s="1316">
        <f>((W13/W17)*Y13+(W16/W17)*Y16)</f>
        <v>-2.0504215982867575</v>
      </c>
      <c r="Z17" s="1282"/>
      <c r="AA17" s="1292">
        <f>AA11+AA12+AA13</f>
        <v>2636.4139999999998</v>
      </c>
      <c r="AB17" s="1309">
        <f t="shared" si="13"/>
        <v>-0.86004320710266757</v>
      </c>
      <c r="AC17" s="1316">
        <f>((AA13/AA17)*AC13+(AA16/AA17)*AC16)</f>
        <v>-5.6848423654251574</v>
      </c>
      <c r="AD17" s="1282"/>
      <c r="AE17" s="1292">
        <f>AE11+AE12+AE13</f>
        <v>2753.0920000000001</v>
      </c>
      <c r="AF17" s="1309">
        <f t="shared" si="14"/>
        <v>4.4256326965340209</v>
      </c>
      <c r="AG17" s="1316">
        <f>((AE13/AE17)*AG13+(AE16/AE17)*AG16)</f>
        <v>-2.3265625340526217</v>
      </c>
      <c r="AH17" s="1282"/>
      <c r="AI17" s="1292">
        <f>AI11+AI12+AI13</f>
        <v>2403.395</v>
      </c>
      <c r="AJ17" s="1310" t="s">
        <v>90</v>
      </c>
      <c r="AK17" s="1313">
        <v>-2.733057146167666</v>
      </c>
      <c r="AL17" s="1282"/>
      <c r="AM17" s="1292">
        <f>AM11+AM12+AM13</f>
        <v>2481.6139999999996</v>
      </c>
      <c r="AN17" s="1309">
        <f t="shared" si="0"/>
        <v>3.2545212085403952</v>
      </c>
      <c r="AO17" s="1313">
        <f>((AM13/AM17)*AO13+(AM16/AM17)*AO16)</f>
        <v>-0.6587564383502027</v>
      </c>
      <c r="AP17" s="1282"/>
      <c r="AQ17" s="1292">
        <f>AQ11+AQ12+AQ13</f>
        <v>2621.0929999999998</v>
      </c>
      <c r="AR17" s="1309">
        <f t="shared" si="15"/>
        <v>5.6204953711576522</v>
      </c>
      <c r="AS17" s="1313">
        <f>((AQ13/AQ17)*AS13+(AQ16/AQ17)*AS16)</f>
        <v>1.9022335338730829</v>
      </c>
      <c r="AT17" s="1282"/>
      <c r="AU17" s="1292">
        <f>AU11+AU12+AU13</f>
        <v>2814.4970126600019</v>
      </c>
      <c r="AV17" s="1309">
        <f t="shared" si="1"/>
        <v>7.3787543082218798</v>
      </c>
      <c r="AW17" s="1313">
        <f>((AU13/AU17)*AW13+(AU16/AU17)*AW16)</f>
        <v>1.8220506168810411</v>
      </c>
      <c r="AX17" s="1282"/>
      <c r="AY17" s="1292">
        <f>AY11+AY12+AY13</f>
        <v>3093.2259999999997</v>
      </c>
      <c r="AZ17" s="1309">
        <f t="shared" si="2"/>
        <v>9.9033321437626665</v>
      </c>
      <c r="BA17" s="1313">
        <f>((AY13/AY17)*BA13+(AY16/AY17)*BA16)</f>
        <v>4.9429132562573832</v>
      </c>
      <c r="BB17" s="1282"/>
      <c r="BC17" s="1292">
        <f>BC11+BC12+BC13</f>
        <v>3329.1419999999998</v>
      </c>
      <c r="BD17" s="1309">
        <f t="shared" si="3"/>
        <v>7.6268594664599343</v>
      </c>
      <c r="BE17" s="1313">
        <f>((BC13/BC17)*BE13+(BC16/BC17)*BE16)</f>
        <v>4.1959986687260562</v>
      </c>
      <c r="BF17" s="1282"/>
      <c r="BG17" s="1292">
        <f>BG11+BG12+BG13</f>
        <v>3558.163</v>
      </c>
      <c r="BH17" s="1309">
        <f t="shared" si="4"/>
        <v>6.8792800066804105</v>
      </c>
      <c r="BI17" s="1313">
        <f>((BG13/BG17)*BI13+(BG16/BG17)*BI16)</f>
        <v>3.0354283376000479</v>
      </c>
      <c r="BK17" s="1292">
        <f>BK11+BK12+BK13</f>
        <v>3880.3229999999999</v>
      </c>
      <c r="BL17" s="1309">
        <f t="shared" si="5"/>
        <v>9.0541102248547833</v>
      </c>
      <c r="BM17" s="1313">
        <f>((BK13/BK17)*BM13+(BK16/BK17)*BM16)</f>
        <v>4.4481831022829805</v>
      </c>
      <c r="BO17" s="1292">
        <f>BO11+BO12+BO13</f>
        <v>4147.9369999999999</v>
      </c>
      <c r="BP17" s="1309">
        <f t="shared" si="6"/>
        <v>6.8966939092441448</v>
      </c>
      <c r="BQ17" s="1313">
        <f>((BO13/BO17)*BQ13+(BO16/BO17)*BQ16)</f>
        <v>2.3874216749193633</v>
      </c>
      <c r="BS17" s="1292">
        <f>BS11+BS12+BS13</f>
        <v>4567.2695463692662</v>
      </c>
      <c r="BT17" s="1309">
        <f t="shared" si="16"/>
        <v>10.109424187717075</v>
      </c>
      <c r="BU17" s="1313">
        <f>((BS13/BS17)*BU13+(BS16/BS17)*BU16)</f>
        <v>3</v>
      </c>
      <c r="BW17" s="1928"/>
      <c r="BX17" s="1929"/>
      <c r="CB17" s="2019"/>
      <c r="CC17" s="2019"/>
    </row>
    <row r="18" spans="1:81" collapsed="1">
      <c r="A18" s="1282"/>
      <c r="B18" s="1282"/>
      <c r="C18" s="1282"/>
      <c r="D18" s="1282"/>
      <c r="E18" s="1282"/>
      <c r="F18" s="1282"/>
      <c r="G18" s="1282"/>
      <c r="H18" s="1282"/>
      <c r="I18" s="1282"/>
      <c r="J18" s="1282"/>
      <c r="K18" s="1282"/>
      <c r="L18" s="1282"/>
      <c r="M18" s="1282"/>
      <c r="N18" s="1282"/>
      <c r="O18" s="1282"/>
      <c r="P18" s="1282"/>
      <c r="Q18" s="1282"/>
      <c r="R18" s="1282"/>
      <c r="S18" s="1282"/>
      <c r="T18" s="1282"/>
      <c r="U18" s="1282"/>
      <c r="V18" s="1282"/>
      <c r="W18" s="1282"/>
      <c r="X18" s="1282"/>
      <c r="Y18" s="1282"/>
      <c r="Z18" s="1282"/>
      <c r="AA18" s="1282"/>
      <c r="AB18" s="1282"/>
      <c r="AC18" s="1282"/>
      <c r="AD18" s="1282"/>
      <c r="AE18" s="1282"/>
      <c r="AF18" s="1282"/>
      <c r="AG18" s="1282"/>
      <c r="AH18" s="1282"/>
      <c r="AI18" s="1282"/>
      <c r="AJ18" s="1282"/>
      <c r="AK18" s="1282"/>
      <c r="AL18" s="1282"/>
      <c r="AM18" s="1282"/>
      <c r="AN18" s="1282"/>
      <c r="AO18" s="1282"/>
      <c r="AP18" s="1282"/>
      <c r="AQ18" s="1282"/>
      <c r="AR18" s="1282"/>
      <c r="AS18" s="1282"/>
      <c r="AT18" s="1282"/>
      <c r="AU18" s="1312"/>
      <c r="AV18" s="1282"/>
      <c r="AW18" s="1306"/>
      <c r="AX18" s="1282"/>
      <c r="AY18" s="1312"/>
      <c r="AZ18" s="1309"/>
      <c r="BA18" s="1282"/>
      <c r="BB18" s="1282"/>
      <c r="BC18" s="1282"/>
      <c r="BD18" s="1282"/>
      <c r="BE18" s="1317"/>
      <c r="BF18" s="1282"/>
      <c r="BG18" s="1282"/>
      <c r="BH18" s="2236"/>
      <c r="BI18" s="1282"/>
      <c r="BK18" s="1282"/>
      <c r="BL18" s="2237"/>
      <c r="BM18" s="1282"/>
      <c r="BO18" s="1964"/>
      <c r="BP18" s="1282"/>
      <c r="BQ18" s="1282"/>
      <c r="BR18" s="2247"/>
      <c r="BS18" s="1964"/>
      <c r="BT18" s="1282"/>
      <c r="BU18" s="1282"/>
      <c r="BW18" s="1930"/>
      <c r="BX18" s="1929"/>
      <c r="CB18" s="2019"/>
      <c r="CC18" s="2019"/>
    </row>
    <row r="19" spans="1:81">
      <c r="A19" s="1251" t="s">
        <v>226</v>
      </c>
      <c r="B19" s="1281"/>
      <c r="C19" s="1281"/>
      <c r="D19" s="1281"/>
      <c r="E19" s="1281"/>
      <c r="F19" s="1281"/>
      <c r="G19" s="1281"/>
      <c r="H19" s="1281"/>
      <c r="I19" s="1281"/>
      <c r="J19" s="1281"/>
      <c r="K19" s="1281"/>
      <c r="L19" s="1281"/>
      <c r="M19" s="1281"/>
      <c r="N19" s="1281"/>
      <c r="O19" s="1281"/>
      <c r="P19" s="1281"/>
      <c r="Q19" s="1281"/>
      <c r="R19" s="1281"/>
      <c r="S19" s="1281"/>
      <c r="T19" s="1281"/>
      <c r="U19" s="1281"/>
      <c r="V19" s="1281"/>
      <c r="W19" s="1281"/>
      <c r="X19" s="1281"/>
      <c r="Y19" s="1281"/>
      <c r="Z19" s="1281"/>
      <c r="AA19" s="1281"/>
      <c r="AB19" s="1281"/>
      <c r="AC19" s="1281"/>
      <c r="AD19" s="1281"/>
      <c r="AE19" s="1281"/>
      <c r="AF19" s="1281"/>
      <c r="AG19" s="1281"/>
      <c r="AH19" s="1281"/>
      <c r="AI19" s="1281"/>
      <c r="AJ19" s="1281"/>
      <c r="AK19" s="1281"/>
      <c r="AL19" s="1281"/>
      <c r="AM19" s="1281"/>
      <c r="AN19" s="1281"/>
      <c r="AO19" s="1281"/>
      <c r="AP19" s="1281"/>
      <c r="AQ19" s="1281"/>
      <c r="AR19" s="1281"/>
      <c r="AS19" s="1281"/>
      <c r="AT19" s="1281"/>
      <c r="AU19" s="1281"/>
      <c r="AV19" s="1281"/>
      <c r="AW19" s="1281"/>
      <c r="AX19" s="1281"/>
      <c r="AY19" s="1251"/>
      <c r="AZ19" s="1281"/>
      <c r="BA19" s="1281"/>
      <c r="BB19" s="1282"/>
      <c r="BC19" s="1281"/>
      <c r="BD19" s="1281"/>
      <c r="BE19" s="1281"/>
      <c r="BF19" s="1282"/>
      <c r="BG19" s="2264" t="str">
        <f>A19</f>
        <v>2. Cost of Goods Sold (% Gross Margin)</v>
      </c>
      <c r="BH19" s="2264"/>
      <c r="BI19" s="2264"/>
      <c r="BJ19" s="2264"/>
      <c r="BK19" s="2264"/>
      <c r="BL19" s="2264"/>
      <c r="BM19" s="2264"/>
      <c r="BN19" s="1663"/>
      <c r="BO19" s="2226"/>
      <c r="BP19" s="2225"/>
      <c r="BQ19" s="2235"/>
      <c r="BR19" s="2238"/>
      <c r="BS19" s="2225"/>
      <c r="BT19" s="2214"/>
      <c r="BU19" s="2214"/>
      <c r="BW19" s="1930"/>
      <c r="BX19" s="1929"/>
      <c r="CB19" s="2019"/>
      <c r="CC19" s="2019"/>
    </row>
    <row r="20" spans="1:81">
      <c r="A20" s="1282"/>
      <c r="B20" s="1282"/>
      <c r="C20" s="1282"/>
      <c r="D20" s="1282"/>
      <c r="E20" s="1282"/>
      <c r="F20" s="1282"/>
      <c r="G20" s="1282"/>
      <c r="H20" s="1282"/>
      <c r="I20" s="1282"/>
      <c r="J20" s="1282"/>
      <c r="K20" s="1282"/>
      <c r="L20" s="1282"/>
      <c r="M20" s="1282"/>
      <c r="N20" s="1282"/>
      <c r="O20" s="1282"/>
      <c r="P20" s="1282"/>
      <c r="Q20" s="1282"/>
      <c r="R20" s="1282"/>
      <c r="S20" s="1282"/>
      <c r="T20" s="1282"/>
      <c r="U20" s="1282"/>
      <c r="V20" s="1282"/>
      <c r="W20" s="1282"/>
      <c r="X20" s="1282"/>
      <c r="Y20" s="1282"/>
      <c r="Z20" s="1282"/>
      <c r="AA20" s="1282"/>
      <c r="AB20" s="1282"/>
      <c r="AC20" s="1282"/>
      <c r="AD20" s="1282"/>
      <c r="AE20" s="1282"/>
      <c r="AF20" s="1282"/>
      <c r="AG20" s="1282"/>
      <c r="AH20" s="1282"/>
      <c r="AI20" s="1282"/>
      <c r="AJ20" s="1282"/>
      <c r="AK20" s="1282"/>
      <c r="AL20" s="1282"/>
      <c r="AM20" s="1282"/>
      <c r="AN20" s="1282"/>
      <c r="AO20" s="1282"/>
      <c r="AP20" s="1282"/>
      <c r="AQ20" s="1282"/>
      <c r="AR20" s="1282"/>
      <c r="AS20" s="1282"/>
      <c r="AT20" s="1282"/>
      <c r="AU20" s="1282"/>
      <c r="AV20" s="1282"/>
      <c r="AW20" s="1282"/>
      <c r="AX20" s="1282"/>
      <c r="AY20" s="1282"/>
      <c r="AZ20" s="1282"/>
      <c r="BA20" s="1282"/>
      <c r="BB20" s="1282"/>
      <c r="BC20" s="1282"/>
      <c r="BD20" s="1282"/>
      <c r="BE20" s="1282"/>
      <c r="BF20" s="1282"/>
      <c r="BG20" s="1282"/>
      <c r="BH20" s="1282"/>
      <c r="BI20" s="1282"/>
      <c r="BK20" s="1282"/>
      <c r="BL20" s="1282"/>
      <c r="BM20" s="1282"/>
      <c r="BO20" s="1282"/>
      <c r="BP20" s="1282"/>
      <c r="BQ20" s="1282"/>
      <c r="BS20" s="1282"/>
      <c r="BT20" s="1282"/>
      <c r="BU20" s="1282"/>
      <c r="BW20" s="1930"/>
      <c r="BX20" s="1929"/>
      <c r="CB20" s="2019"/>
      <c r="CC20" s="2019"/>
    </row>
    <row r="21" spans="1:81">
      <c r="A21" s="1254" t="s">
        <v>79</v>
      </c>
      <c r="B21" s="1282"/>
      <c r="C21" s="1284">
        <v>294.86</v>
      </c>
      <c r="D21" s="1285">
        <f t="shared" ref="D21:D27" si="17">(1-C21/C11)*100</f>
        <v>35.376833320183401</v>
      </c>
      <c r="E21" s="1308" t="s">
        <v>90</v>
      </c>
      <c r="F21" s="1282"/>
      <c r="G21" s="1284">
        <v>325.81799999999998</v>
      </c>
      <c r="H21" s="1285">
        <f t="shared" ref="H21:H27" si="18">(1-G21/G11)*100</f>
        <v>36.402799059172587</v>
      </c>
      <c r="I21" s="1286">
        <f>H21-D21</f>
        <v>1.0259657389891856</v>
      </c>
      <c r="J21" s="1282"/>
      <c r="K21" s="1284">
        <v>332.94400000000002</v>
      </c>
      <c r="L21" s="1285">
        <f t="shared" ref="L21:L27" si="19">(1-K21/K11)*100</f>
        <v>37.360141932303705</v>
      </c>
      <c r="M21" s="1286">
        <f>L21-H21</f>
        <v>0.95734287313111821</v>
      </c>
      <c r="N21" s="1282"/>
      <c r="O21" s="1284">
        <v>371.94099999999997</v>
      </c>
      <c r="P21" s="1285">
        <f t="shared" ref="P21:P27" si="20">(1-O21/O11)*100</f>
        <v>35.933987760072618</v>
      </c>
      <c r="Q21" s="1286">
        <f>P21-L21</f>
        <v>-1.4261541722310866</v>
      </c>
      <c r="R21" s="1282"/>
      <c r="S21" s="1284">
        <v>425.33499999999998</v>
      </c>
      <c r="T21" s="1285">
        <f t="shared" ref="T21:T27" si="21">(1-S21/S11)*100</f>
        <v>35.37631500580396</v>
      </c>
      <c r="U21" s="1286">
        <f>T21-P21</f>
        <v>-0.55767275426865837</v>
      </c>
      <c r="V21" s="1282"/>
      <c r="W21" s="1284">
        <v>426.91399999999999</v>
      </c>
      <c r="X21" s="1285">
        <f>(1-W21/W11)*100</f>
        <v>35.73146901994081</v>
      </c>
      <c r="Y21" s="1286">
        <f t="shared" ref="Y21:Y27" si="22">X21-T21</f>
        <v>0.35515401413685055</v>
      </c>
      <c r="Z21" s="1282"/>
      <c r="AA21" s="1284">
        <f>443.775</f>
        <v>443.77499999999998</v>
      </c>
      <c r="AB21" s="1285">
        <f t="shared" ref="AB21:AB27" si="23">(1-AA21/AA11)*100</f>
        <v>35.267020350172928</v>
      </c>
      <c r="AC21" s="1286">
        <f t="shared" ref="AC21:AC27" si="24">AB21-X21</f>
        <v>-0.4644486697678829</v>
      </c>
      <c r="AD21" s="1282"/>
      <c r="AE21" s="1284">
        <v>439.22699999999998</v>
      </c>
      <c r="AF21" s="1285">
        <f t="shared" ref="AF21:AF27" si="25">(1-AE21/AE11)*100</f>
        <v>38.434033009776783</v>
      </c>
      <c r="AG21" s="1286">
        <f t="shared" ref="AG21:AG27" si="26">AF21-AB21</f>
        <v>3.1670126596038557</v>
      </c>
      <c r="AH21" s="1282"/>
      <c r="AI21" s="1284">
        <v>554.21100000000001</v>
      </c>
      <c r="AJ21" s="1285">
        <f t="shared" ref="AJ21:AJ27" si="27">(1-AI21/AI11)*100</f>
        <v>33.231049475750055</v>
      </c>
      <c r="AK21" s="1287" t="s">
        <v>90</v>
      </c>
      <c r="AL21" s="1282"/>
      <c r="AM21" s="1284">
        <v>552.35299999999995</v>
      </c>
      <c r="AN21" s="1285">
        <f t="shared" ref="AN21:AN27" si="28">(1-AM21/AM11)*100</f>
        <v>38.262369254636873</v>
      </c>
      <c r="AO21" s="1320">
        <f t="shared" ref="AO21:AO27" si="29">(AN21-AJ21)*100</f>
        <v>503.13197788868183</v>
      </c>
      <c r="AP21" s="1282"/>
      <c r="AQ21" s="1284">
        <v>577.303</v>
      </c>
      <c r="AR21" s="1285">
        <f t="shared" ref="AR21:AR27" si="30">(1-AQ21/AQ11)*100</f>
        <v>37.863006562398759</v>
      </c>
      <c r="AS21" s="1320">
        <f t="shared" ref="AS21:AS27" si="31">(AR21-AN21)*100</f>
        <v>-39.936269223811394</v>
      </c>
      <c r="AT21" s="1282"/>
      <c r="AU21" s="1284">
        <v>619.88492152000094</v>
      </c>
      <c r="AV21" s="1285">
        <f>(1-AU21/AU11)*100</f>
        <v>36.902364402501021</v>
      </c>
      <c r="AW21" s="1320">
        <f t="shared" ref="AW21:AW27" si="32">(AV21-AR21)*100</f>
        <v>-96.064215989773771</v>
      </c>
      <c r="AX21" s="1282"/>
      <c r="AY21" s="1284">
        <v>667.65300000000002</v>
      </c>
      <c r="AZ21" s="1285">
        <f t="shared" ref="AZ21:AZ27" si="33">(1-AY21/AY11)*100</f>
        <v>37.310342690652597</v>
      </c>
      <c r="BA21" s="1320">
        <f t="shared" ref="BA21:BA27" si="34">(AZ21-AV21)*100</f>
        <v>40.797828815157544</v>
      </c>
      <c r="BB21" s="1282"/>
      <c r="BC21" s="1284">
        <v>698.46100000000001</v>
      </c>
      <c r="BD21" s="1285">
        <f t="shared" ref="BD21:BD27" si="35">(1-BC21/BC11)*100</f>
        <v>38.094461515826453</v>
      </c>
      <c r="BE21" s="1320">
        <f t="shared" ref="BE21:BE27" si="36">(BD21-AZ21)*100</f>
        <v>78.411882517385578</v>
      </c>
      <c r="BF21" s="1282"/>
      <c r="BG21" s="1284">
        <v>712.93</v>
      </c>
      <c r="BH21" s="1285">
        <f t="shared" ref="BH21:BH27" si="37">(1-BG21/BG11)*100</f>
        <v>39.738423865589127</v>
      </c>
      <c r="BI21" s="1320">
        <f t="shared" ref="BI21:BI27" si="38">(BH21-BD21)*100</f>
        <v>164.39623497626741</v>
      </c>
      <c r="BK21" s="1284">
        <v>768.68100000000004</v>
      </c>
      <c r="BL21" s="1285">
        <f t="shared" ref="BL21:BL27" si="39">(1-BK21/BK11)*100</f>
        <v>40.071803347704396</v>
      </c>
      <c r="BM21" s="1320">
        <f>(BL21-BH21)*100</f>
        <v>33.337948211526935</v>
      </c>
      <c r="BN21" s="1593"/>
      <c r="BO21" s="1284">
        <v>796.39599999999996</v>
      </c>
      <c r="BP21" s="1285">
        <f t="shared" ref="BP21:BP27" si="40">(1-BO21/BO11)*100</f>
        <v>40.85638366606117</v>
      </c>
      <c r="BQ21" s="1320">
        <f>(BP21-BL21)*100</f>
        <v>78.458031835677389</v>
      </c>
      <c r="BR21" s="1593"/>
      <c r="BS21" s="2169">
        <f t="shared" ref="BS21:BS22" si="41">BS11*(1-BT21%)</f>
        <v>872.28578873912454</v>
      </c>
      <c r="BT21" s="2174">
        <v>41.3</v>
      </c>
      <c r="BU21" s="1320">
        <f>(BT21-BP21)*100</f>
        <v>44.361633393882727</v>
      </c>
      <c r="BW21" s="1922">
        <f>BQ21+BM21</f>
        <v>111.79598004720432</v>
      </c>
      <c r="BX21" s="1923">
        <f>BQ21+BM21+BI21</f>
        <v>276.1922150234717</v>
      </c>
      <c r="BY21" s="1593"/>
      <c r="CB21" s="2019"/>
      <c r="CC21" s="2019"/>
    </row>
    <row r="22" spans="1:81">
      <c r="A22" s="1254" t="s">
        <v>80</v>
      </c>
      <c r="B22" s="1282"/>
      <c r="C22" s="1288">
        <v>449.85199999999998</v>
      </c>
      <c r="D22" s="1285">
        <f t="shared" si="17"/>
        <v>40.061450563740976</v>
      </c>
      <c r="E22" s="1308" t="s">
        <v>90</v>
      </c>
      <c r="F22" s="1282"/>
      <c r="G22" s="1288">
        <v>475.35399999999998</v>
      </c>
      <c r="H22" s="1285">
        <f t="shared" si="18"/>
        <v>39.888794890179589</v>
      </c>
      <c r="I22" s="1286">
        <f>H22-D22</f>
        <v>-0.17265567356138689</v>
      </c>
      <c r="J22" s="1282"/>
      <c r="K22" s="1288">
        <v>486.97500000000002</v>
      </c>
      <c r="L22" s="1285">
        <f t="shared" si="19"/>
        <v>38.673156479633285</v>
      </c>
      <c r="M22" s="1286">
        <f>L22-H22</f>
        <v>-1.2156384105463047</v>
      </c>
      <c r="N22" s="1282"/>
      <c r="O22" s="1288">
        <v>540.18700000000001</v>
      </c>
      <c r="P22" s="1285">
        <f t="shared" si="20"/>
        <v>38.61274185593534</v>
      </c>
      <c r="Q22" s="1286">
        <f>P22-L22</f>
        <v>-6.0414623697944592E-2</v>
      </c>
      <c r="R22" s="1282"/>
      <c r="S22" s="1288">
        <v>588.721</v>
      </c>
      <c r="T22" s="1285">
        <f t="shared" si="21"/>
        <v>38.284416191612344</v>
      </c>
      <c r="U22" s="1286">
        <f>T22-P22</f>
        <v>-0.32832566432299615</v>
      </c>
      <c r="V22" s="1282"/>
      <c r="W22" s="1288">
        <v>600.46900000000005</v>
      </c>
      <c r="X22" s="1285">
        <f t="shared" ref="X22:X27" si="42">(1-W22/W12)*100</f>
        <v>39.766436185739593</v>
      </c>
      <c r="Y22" s="1286">
        <f t="shared" si="22"/>
        <v>1.4820199941272492</v>
      </c>
      <c r="Z22" s="1282"/>
      <c r="AA22" s="1288">
        <v>557.16300000000001</v>
      </c>
      <c r="AB22" s="1285">
        <f t="shared" si="23"/>
        <v>41.698067599992036</v>
      </c>
      <c r="AC22" s="1286">
        <f t="shared" si="24"/>
        <v>1.9316314142524433</v>
      </c>
      <c r="AD22" s="1282"/>
      <c r="AE22" s="1288">
        <v>602.947</v>
      </c>
      <c r="AF22" s="1285">
        <f t="shared" si="25"/>
        <v>40.319531383006101</v>
      </c>
      <c r="AG22" s="1286">
        <f t="shared" si="26"/>
        <v>-1.3785362169859354</v>
      </c>
      <c r="AH22" s="1282"/>
      <c r="AI22" s="1288">
        <v>424.24900000000002</v>
      </c>
      <c r="AJ22" s="1285">
        <f t="shared" si="27"/>
        <v>39.477558496842981</v>
      </c>
      <c r="AK22" s="1287" t="s">
        <v>90</v>
      </c>
      <c r="AL22" s="1282"/>
      <c r="AM22" s="1288">
        <v>469.38799999999998</v>
      </c>
      <c r="AN22" s="1285">
        <f t="shared" si="28"/>
        <v>35.589982847341339</v>
      </c>
      <c r="AO22" s="1320">
        <f t="shared" si="29"/>
        <v>-388.75756495016418</v>
      </c>
      <c r="AP22" s="1282"/>
      <c r="AQ22" s="1288">
        <v>507.053</v>
      </c>
      <c r="AR22" s="1285">
        <f t="shared" si="30"/>
        <v>36.087018449635657</v>
      </c>
      <c r="AS22" s="1320">
        <f t="shared" si="31"/>
        <v>49.703560229431787</v>
      </c>
      <c r="AT22" s="1282"/>
      <c r="AU22" s="1288">
        <v>543.54917563000106</v>
      </c>
      <c r="AV22" s="1285">
        <f t="shared" ref="AV22:AV27" si="43">(1-AU22/AU12)*100</f>
        <v>37.102408405621468</v>
      </c>
      <c r="AW22" s="1320">
        <f>(AV22-AR22)*100</f>
        <v>101.53899559858104</v>
      </c>
      <c r="AX22" s="1282"/>
      <c r="AY22" s="1288">
        <v>600.32000000000005</v>
      </c>
      <c r="AZ22" s="1285">
        <f t="shared" si="33"/>
        <v>37.707466242473096</v>
      </c>
      <c r="BA22" s="1320">
        <f t="shared" si="34"/>
        <v>60.505783685162839</v>
      </c>
      <c r="BB22" s="1282"/>
      <c r="BC22" s="1288">
        <v>645.02700000000004</v>
      </c>
      <c r="BD22" s="1285">
        <f t="shared" si="35"/>
        <v>38.190998111310947</v>
      </c>
      <c r="BE22" s="1320">
        <f t="shared" si="36"/>
        <v>48.353186883785071</v>
      </c>
      <c r="BF22" s="1282"/>
      <c r="BG22" s="1288">
        <v>695.91499999999996</v>
      </c>
      <c r="BH22" s="1285">
        <f t="shared" si="37"/>
        <v>39.179859082797165</v>
      </c>
      <c r="BI22" s="1320">
        <f t="shared" si="38"/>
        <v>98.886097148621843</v>
      </c>
      <c r="BK22" s="1288">
        <v>757.62199999999996</v>
      </c>
      <c r="BL22" s="1285">
        <f t="shared" si="39"/>
        <v>39.634262457442048</v>
      </c>
      <c r="BM22" s="1320">
        <f t="shared" ref="BM22:BM27" si="44">(BL22-BH22)*100</f>
        <v>45.440337464488323</v>
      </c>
      <c r="BO22" s="1288">
        <v>808.12599999999998</v>
      </c>
      <c r="BP22" s="1285">
        <f t="shared" si="40"/>
        <v>40.71950024354031</v>
      </c>
      <c r="BQ22" s="1320">
        <f t="shared" ref="BQ22:BQ27" si="45">(BP22-BL22)*100</f>
        <v>108.52377860982614</v>
      </c>
      <c r="BS22" s="2175">
        <f t="shared" si="41"/>
        <v>882.16778805361207</v>
      </c>
      <c r="BT22" s="2174">
        <v>41.15</v>
      </c>
      <c r="BU22" s="1320">
        <f t="shared" ref="BU22:BU27" si="46">(BT22-BP22)*100</f>
        <v>43.049975645968885</v>
      </c>
      <c r="BW22" s="1922">
        <f>BQ22+BM22</f>
        <v>153.96411607431446</v>
      </c>
      <c r="BX22" s="1923">
        <f>BQ22+BM22+BI22</f>
        <v>252.8502132229363</v>
      </c>
      <c r="BY22" s="1593"/>
      <c r="CB22" s="2019"/>
      <c r="CC22" s="2019"/>
    </row>
    <row r="23" spans="1:81">
      <c r="A23" s="1254" t="s">
        <v>81</v>
      </c>
      <c r="B23" s="1282"/>
      <c r="C23" s="1288">
        <v>503.70499999999998</v>
      </c>
      <c r="D23" s="1285">
        <f t="shared" si="17"/>
        <v>36.041439961196062</v>
      </c>
      <c r="E23" s="1308" t="s">
        <v>90</v>
      </c>
      <c r="F23" s="1282"/>
      <c r="G23" s="1288">
        <v>515.68499999999995</v>
      </c>
      <c r="H23" s="1285">
        <f>(1-G23/G13)*100</f>
        <v>36.149941187395541</v>
      </c>
      <c r="I23" s="1286">
        <f>H23-D23</f>
        <v>0.10850122619947911</v>
      </c>
      <c r="J23" s="1282"/>
      <c r="K23" s="1288">
        <v>549.01</v>
      </c>
      <c r="L23" s="1285">
        <f t="shared" si="19"/>
        <v>35.996110872768647</v>
      </c>
      <c r="M23" s="1286">
        <f>L23-H23</f>
        <v>-0.15383031462689445</v>
      </c>
      <c r="N23" s="1282"/>
      <c r="O23" s="1288">
        <v>611.01</v>
      </c>
      <c r="P23" s="1285">
        <f t="shared" si="20"/>
        <v>37.372196785432045</v>
      </c>
      <c r="Q23" s="1286">
        <f>P23-L23</f>
        <v>1.3760859126633989</v>
      </c>
      <c r="R23" s="1282"/>
      <c r="S23" s="1288">
        <v>649.34</v>
      </c>
      <c r="T23" s="1285">
        <f t="shared" si="21"/>
        <v>37.081286396713267</v>
      </c>
      <c r="U23" s="1286">
        <f>T23-P23</f>
        <v>-0.29091038871877828</v>
      </c>
      <c r="V23" s="1282"/>
      <c r="W23" s="1288">
        <v>622.25300000000004</v>
      </c>
      <c r="X23" s="1285">
        <f t="shared" si="42"/>
        <v>37.657371172546725</v>
      </c>
      <c r="Y23" s="1286">
        <f t="shared" si="22"/>
        <v>0.57608477583345774</v>
      </c>
      <c r="Z23" s="1282"/>
      <c r="AA23" s="1288">
        <v>612.30399999999997</v>
      </c>
      <c r="AB23" s="1285">
        <f t="shared" si="23"/>
        <v>38.475265670969925</v>
      </c>
      <c r="AC23" s="1286">
        <f t="shared" si="24"/>
        <v>0.81789449842320039</v>
      </c>
      <c r="AD23" s="1282"/>
      <c r="AE23" s="1288">
        <v>634.38599999999997</v>
      </c>
      <c r="AF23" s="1285">
        <f t="shared" si="25"/>
        <v>38.371730418943542</v>
      </c>
      <c r="AG23" s="1286">
        <f t="shared" si="26"/>
        <v>-0.10353525202638281</v>
      </c>
      <c r="AH23" s="1282"/>
      <c r="AI23" s="1288">
        <v>523.46500000000003</v>
      </c>
      <c r="AJ23" s="1285">
        <f t="shared" si="27"/>
        <v>39.995346032779509</v>
      </c>
      <c r="AK23" s="1287" t="s">
        <v>90</v>
      </c>
      <c r="AL23" s="1282"/>
      <c r="AM23" s="1288">
        <v>527.30100000000004</v>
      </c>
      <c r="AN23" s="1285">
        <f t="shared" si="28"/>
        <v>38.556326950101713</v>
      </c>
      <c r="AO23" s="1320">
        <f t="shared" si="29"/>
        <v>-143.90190826777953</v>
      </c>
      <c r="AP23" s="1282"/>
      <c r="AQ23" s="1288">
        <v>540.80700000000002</v>
      </c>
      <c r="AR23" s="1285">
        <f t="shared" si="30"/>
        <v>39.820933987490307</v>
      </c>
      <c r="AS23" s="1320">
        <f t="shared" si="31"/>
        <v>126.46070373885934</v>
      </c>
      <c r="AT23" s="1282"/>
      <c r="AU23" s="1288">
        <v>594.38900000000001</v>
      </c>
      <c r="AV23" s="1285">
        <f t="shared" si="43"/>
        <v>38.589452977288829</v>
      </c>
      <c r="AW23" s="1320">
        <f t="shared" si="32"/>
        <v>-123.14810102014775</v>
      </c>
      <c r="AX23" s="1282"/>
      <c r="AY23" s="1288">
        <v>649.63699999999994</v>
      </c>
      <c r="AZ23" s="1285">
        <f t="shared" si="33"/>
        <v>38.972683940471697</v>
      </c>
      <c r="BA23" s="1320">
        <f t="shared" si="34"/>
        <v>38.323096318286787</v>
      </c>
      <c r="BB23" s="1282"/>
      <c r="BC23" s="1288">
        <v>698.59</v>
      </c>
      <c r="BD23" s="1285">
        <f t="shared" si="35"/>
        <v>39.6358049653847</v>
      </c>
      <c r="BE23" s="1320">
        <f t="shared" si="36"/>
        <v>66.312102491300351</v>
      </c>
      <c r="BF23" s="1282"/>
      <c r="BG23" s="1288">
        <v>741.58399999999995</v>
      </c>
      <c r="BH23" s="1285">
        <f t="shared" si="37"/>
        <v>39.752016027479399</v>
      </c>
      <c r="BI23" s="1320">
        <f t="shared" si="38"/>
        <v>11.6211062094699</v>
      </c>
      <c r="BK23" s="1288">
        <v>789.85799999999995</v>
      </c>
      <c r="BL23" s="1285">
        <f t="shared" si="39"/>
        <v>41.169521823327869</v>
      </c>
      <c r="BM23" s="1320">
        <f t="shared" si="44"/>
        <v>141.750579584847</v>
      </c>
      <c r="BO23" s="2219">
        <v>831.72799999999995</v>
      </c>
      <c r="BP23" s="2218">
        <f t="shared" si="40"/>
        <v>42.167495151814769</v>
      </c>
      <c r="BQ23" s="1320">
        <f t="shared" si="45"/>
        <v>99.79733284868999</v>
      </c>
      <c r="BS23" s="1312">
        <f>BS13*(1-BT23%)</f>
        <v>907.57998069853443</v>
      </c>
      <c r="BT23" s="1321">
        <v>42.64</v>
      </c>
      <c r="BU23" s="1320">
        <f t="shared" si="46"/>
        <v>47.25048481852312</v>
      </c>
      <c r="BW23" s="1922">
        <f>BQ23+BM23</f>
        <v>241.54791243353699</v>
      </c>
      <c r="BX23" s="1923">
        <f>BQ23+BM23+BI23</f>
        <v>253.16901864300689</v>
      </c>
      <c r="BY23" s="1593"/>
      <c r="CB23" s="2019"/>
      <c r="CC23" s="2019"/>
    </row>
    <row r="24" spans="1:81">
      <c r="A24" s="1254" t="s">
        <v>82</v>
      </c>
      <c r="B24" s="1282"/>
      <c r="C24" s="1314">
        <v>364.53500000000003</v>
      </c>
      <c r="D24" s="1285">
        <f t="shared" si="17"/>
        <v>40.121486684264383</v>
      </c>
      <c r="E24" s="1308" t="s">
        <v>90</v>
      </c>
      <c r="F24" s="1282"/>
      <c r="G24" s="1314">
        <v>365.07900000000001</v>
      </c>
      <c r="H24" s="1285">
        <f t="shared" si="18"/>
        <v>40.091861148215123</v>
      </c>
      <c r="I24" s="1286">
        <f>H24-D24</f>
        <v>-2.9625536049259438E-2</v>
      </c>
      <c r="J24" s="1282"/>
      <c r="K24" s="1314">
        <v>400.95299999999997</v>
      </c>
      <c r="L24" s="1285">
        <f t="shared" si="19"/>
        <v>41.451330276569031</v>
      </c>
      <c r="M24" s="1286">
        <f>L24-H24</f>
        <v>1.3594691283539078</v>
      </c>
      <c r="N24" s="1282"/>
      <c r="O24" s="1314">
        <v>464.02100000000002</v>
      </c>
      <c r="P24" s="1285">
        <f t="shared" si="20"/>
        <v>39.239931176623088</v>
      </c>
      <c r="Q24" s="1286">
        <f>P24-L24</f>
        <v>-2.2113990999459432</v>
      </c>
      <c r="R24" s="1282"/>
      <c r="S24" s="1315">
        <f>S25-SUM(S21:S23)</f>
        <v>519.86699999999973</v>
      </c>
      <c r="T24" s="1285">
        <f t="shared" si="21"/>
        <v>37.09454930023989</v>
      </c>
      <c r="U24" s="1286">
        <f>T24-P24</f>
        <v>-2.1453818763831976</v>
      </c>
      <c r="V24" s="1282"/>
      <c r="W24" s="1314">
        <f>W25-SUM(W21:W23)</f>
        <v>475.52399999999989</v>
      </c>
      <c r="X24" s="1285">
        <f t="shared" si="42"/>
        <v>39.2192852395317</v>
      </c>
      <c r="Y24" s="1286">
        <f t="shared" si="22"/>
        <v>2.1247359392918099</v>
      </c>
      <c r="Z24" s="1282"/>
      <c r="AA24" s="1314">
        <f>AA25-SUM(AA21:AA23)</f>
        <v>482.12200000000007</v>
      </c>
      <c r="AB24" s="1285">
        <f t="shared" si="23"/>
        <v>38.78274516575901</v>
      </c>
      <c r="AC24" s="1286">
        <f t="shared" si="24"/>
        <v>-0.43654007377269011</v>
      </c>
      <c r="AD24" s="1282"/>
      <c r="AE24" s="1315">
        <f>AE25-SUM(AE21:AE23)</f>
        <v>523.20600000000013</v>
      </c>
      <c r="AF24" s="1285">
        <f t="shared" si="25"/>
        <v>36.059882068986582</v>
      </c>
      <c r="AG24" s="1286">
        <f t="shared" si="26"/>
        <v>-2.7228630967724285</v>
      </c>
      <c r="AH24" s="1282"/>
      <c r="AI24" s="1315">
        <f>AI25-SUM(AI21:AI23)</f>
        <v>679.7819999999997</v>
      </c>
      <c r="AJ24" s="1285">
        <f t="shared" si="27"/>
        <v>39.279101113960571</v>
      </c>
      <c r="AK24" s="1287" t="s">
        <v>90</v>
      </c>
      <c r="AL24" s="1282"/>
      <c r="AM24" s="1315">
        <f>AM25-SUM(AM21:AM23)</f>
        <v>703.30400000000009</v>
      </c>
      <c r="AN24" s="1285">
        <f t="shared" si="28"/>
        <v>40.798728606686275</v>
      </c>
      <c r="AO24" s="1320">
        <f t="shared" si="29"/>
        <v>151.96274927257036</v>
      </c>
      <c r="AP24" s="1282"/>
      <c r="AQ24" s="1315">
        <f>AQ25-SUM(AQ21:AQ23)</f>
        <v>738.30099999999993</v>
      </c>
      <c r="AR24" s="1285">
        <f t="shared" si="30"/>
        <v>40.123564423243039</v>
      </c>
      <c r="AS24" s="1320">
        <f t="shared" si="31"/>
        <v>-67.516418344323625</v>
      </c>
      <c r="AT24" s="1282"/>
      <c r="AU24" s="1315">
        <f>AU25-SUM(AU21:AU23)</f>
        <v>740.14965868000809</v>
      </c>
      <c r="AV24" s="1285">
        <f t="shared" si="43"/>
        <v>41.376009905947818</v>
      </c>
      <c r="AW24" s="1320">
        <f>(AV24-AR24)*100</f>
        <v>125.24454827047791</v>
      </c>
      <c r="AX24" s="1282"/>
      <c r="AY24" s="1289">
        <v>778.34799999999996</v>
      </c>
      <c r="AZ24" s="1285">
        <f t="shared" si="33"/>
        <v>41.665186464279913</v>
      </c>
      <c r="BA24" s="1320">
        <f t="shared" si="34"/>
        <v>28.917655833209466</v>
      </c>
      <c r="BB24" s="1282"/>
      <c r="BC24" s="1289">
        <v>858.74099999999999</v>
      </c>
      <c r="BD24" s="1285">
        <f t="shared" si="35"/>
        <v>42.186416509914757</v>
      </c>
      <c r="BE24" s="1320">
        <f t="shared" si="36"/>
        <v>52.123004563484443</v>
      </c>
      <c r="BF24" s="1282"/>
      <c r="BG24" s="1289">
        <v>909.21199999999999</v>
      </c>
      <c r="BH24" s="1285">
        <f t="shared" si="37"/>
        <v>40.989726558621051</v>
      </c>
      <c r="BI24" s="1320">
        <f t="shared" si="38"/>
        <v>-119.66899512937061</v>
      </c>
      <c r="BK24" s="1289">
        <v>981.21199999999999</v>
      </c>
      <c r="BL24" s="1285">
        <f t="shared" si="39"/>
        <v>41.792533138757136</v>
      </c>
      <c r="BM24" s="1320">
        <f t="shared" si="44"/>
        <v>80.28065801360853</v>
      </c>
      <c r="BO24" s="1289">
        <v>1122.9079999999999</v>
      </c>
      <c r="BP24" s="2218">
        <f t="shared" si="40"/>
        <v>42.023379451670749</v>
      </c>
      <c r="BQ24" s="1320">
        <f t="shared" si="45"/>
        <v>23.084631291361291</v>
      </c>
      <c r="BS24" s="1290">
        <f>BS14*(1-BT24%)</f>
        <v>1162.7768396131999</v>
      </c>
      <c r="BT24" s="1321">
        <v>42.44</v>
      </c>
      <c r="BU24" s="1320">
        <f t="shared" si="46"/>
        <v>41.662054832924866</v>
      </c>
      <c r="BW24" s="1924">
        <f>BQ24+BM24</f>
        <v>103.36528930496982</v>
      </c>
      <c r="BX24" s="1925">
        <f>BQ24+BM24+BI24</f>
        <v>-16.303705824400794</v>
      </c>
      <c r="BY24" s="1593"/>
      <c r="CB24" s="2019"/>
      <c r="CC24" s="2228">
        <f>25/0.313</f>
        <v>79.87220447284345</v>
      </c>
    </row>
    <row r="25" spans="1:81">
      <c r="A25" s="1254" t="s">
        <v>85</v>
      </c>
      <c r="B25" s="1282"/>
      <c r="C25" s="1291">
        <f>'yrP&amp;L'!$D$11</f>
        <v>1583.634</v>
      </c>
      <c r="D25" s="1285">
        <f t="shared" si="17"/>
        <v>37.988070125701078</v>
      </c>
      <c r="E25" s="1308" t="s">
        <v>90</v>
      </c>
      <c r="F25" s="1282"/>
      <c r="G25" s="1291">
        <f>'yrP&amp;L'!$E$11</f>
        <v>1660.17</v>
      </c>
      <c r="H25" s="1285">
        <f t="shared" si="18"/>
        <v>38.010057771697248</v>
      </c>
      <c r="I25" s="1286">
        <f>H25-D25</f>
        <v>2.1987645996169647E-2</v>
      </c>
      <c r="J25" s="1282"/>
      <c r="K25" s="1291">
        <f>'yrP&amp;L'!$F$11</f>
        <v>1765.4780000000001</v>
      </c>
      <c r="L25" s="1285">
        <f t="shared" si="19"/>
        <v>38.269136631281555</v>
      </c>
      <c r="M25" s="1286">
        <f>L25-H25</f>
        <v>0.25907885958430654</v>
      </c>
      <c r="N25" s="1282"/>
      <c r="O25" s="1291">
        <f>'yrP&amp;L'!$G$11</f>
        <v>1987.1590000000001</v>
      </c>
      <c r="P25" s="1285">
        <f t="shared" si="20"/>
        <v>37.898176158807942</v>
      </c>
      <c r="Q25" s="1286">
        <f>P25-L25</f>
        <v>-0.37096047247361241</v>
      </c>
      <c r="R25" s="1282"/>
      <c r="S25" s="1291">
        <f>'yrP&amp;L'!$H$11</f>
        <v>2183.2629999999999</v>
      </c>
      <c r="T25" s="1285">
        <f t="shared" si="21"/>
        <v>37.091801481838345</v>
      </c>
      <c r="U25" s="1286">
        <f>T25-P25</f>
        <v>-0.80637467696959675</v>
      </c>
      <c r="V25" s="1282"/>
      <c r="W25" s="1291">
        <f>'yrP&amp;L'!$I$11</f>
        <v>2125.16</v>
      </c>
      <c r="X25" s="1285">
        <f t="shared" si="42"/>
        <v>38.251620954514486</v>
      </c>
      <c r="Y25" s="1286">
        <f t="shared" si="22"/>
        <v>1.1598194726761406</v>
      </c>
      <c r="Z25" s="1282"/>
      <c r="AA25" s="1291">
        <f>'yrP&amp;L'!$J$11</f>
        <v>2095.364</v>
      </c>
      <c r="AB25" s="1285">
        <f t="shared" si="23"/>
        <v>38.803138926621209</v>
      </c>
      <c r="AC25" s="1286">
        <f t="shared" si="24"/>
        <v>0.55151797210672271</v>
      </c>
      <c r="AD25" s="1291"/>
      <c r="AE25" s="1291">
        <f>'yrP&amp;L'!$K$11</f>
        <v>2199.7660000000001</v>
      </c>
      <c r="AF25" s="1285">
        <f t="shared" si="25"/>
        <v>38.405490110649509</v>
      </c>
      <c r="AG25" s="1286">
        <f t="shared" si="26"/>
        <v>-0.39764881597169932</v>
      </c>
      <c r="AH25" s="1282"/>
      <c r="AI25" s="1284">
        <v>2181.7069999999999</v>
      </c>
      <c r="AJ25" s="1285">
        <f t="shared" si="27"/>
        <v>38.0709548969972</v>
      </c>
      <c r="AK25" s="1287" t="s">
        <v>90</v>
      </c>
      <c r="AL25" s="1282"/>
      <c r="AM25" s="1284">
        <v>2252.346</v>
      </c>
      <c r="AN25" s="1285">
        <f t="shared" si="28"/>
        <v>38.621518082887462</v>
      </c>
      <c r="AO25" s="1320">
        <f t="shared" si="29"/>
        <v>55.056318589026176</v>
      </c>
      <c r="AP25" s="1282"/>
      <c r="AQ25" s="1284">
        <v>2363.4639999999999</v>
      </c>
      <c r="AR25" s="1285">
        <f t="shared" si="30"/>
        <v>38.677171058401193</v>
      </c>
      <c r="AS25" s="1320">
        <f t="shared" si="31"/>
        <v>5.5652975513730496</v>
      </c>
      <c r="AT25" s="1282"/>
      <c r="AU25" s="1284">
        <v>2497.9727558300101</v>
      </c>
      <c r="AV25" s="1285">
        <f t="shared" si="43"/>
        <v>38.730639699926158</v>
      </c>
      <c r="AW25" s="1320">
        <f t="shared" si="32"/>
        <v>5.3468641524965221</v>
      </c>
      <c r="AX25" s="1282"/>
      <c r="AY25" s="1284">
        <v>2695.9569999999999</v>
      </c>
      <c r="AZ25" s="1285">
        <f t="shared" si="33"/>
        <v>39.108861134594378</v>
      </c>
      <c r="BA25" s="1320">
        <f t="shared" si="34"/>
        <v>37.822143466821956</v>
      </c>
      <c r="BB25" s="1282"/>
      <c r="BC25" s="1284">
        <f>SUM(BC21:BC24)</f>
        <v>2900.819</v>
      </c>
      <c r="BD25" s="1285">
        <f t="shared" si="35"/>
        <v>39.748331292278493</v>
      </c>
      <c r="BE25" s="1320">
        <f t="shared" si="36"/>
        <v>63.947015768411575</v>
      </c>
      <c r="BF25" s="1282"/>
      <c r="BG25" s="1291">
        <f>SUM(BG21:BG24)</f>
        <v>3059.6409999999996</v>
      </c>
      <c r="BH25" s="1285">
        <f t="shared" si="37"/>
        <v>39.994473352458911</v>
      </c>
      <c r="BI25" s="1320">
        <f t="shared" si="38"/>
        <v>24.614206018041784</v>
      </c>
      <c r="BK25" s="1330">
        <f>SUM(BK21:BK24)</f>
        <v>3297.373</v>
      </c>
      <c r="BL25" s="1285">
        <f t="shared" si="39"/>
        <v>40.759064167366446</v>
      </c>
      <c r="BM25" s="1320">
        <f t="shared" si="44"/>
        <v>76.459081490753533</v>
      </c>
      <c r="BO25" s="1291">
        <f>SUM(BO21:BO24)</f>
        <v>3559.1579999999999</v>
      </c>
      <c r="BP25" s="1285">
        <f t="shared" si="40"/>
        <v>41.507068636657522</v>
      </c>
      <c r="BQ25" s="1320">
        <f t="shared" si="45"/>
        <v>74.800446929107522</v>
      </c>
      <c r="BS25" s="1291">
        <f>SUM(BS21:BS24)</f>
        <v>3824.8103971044711</v>
      </c>
      <c r="BT25" s="1285">
        <f>(1-BS25/BS15)*100</f>
        <v>41.93732373757738</v>
      </c>
      <c r="BU25" s="1320">
        <f t="shared" si="46"/>
        <v>43.025510091985808</v>
      </c>
      <c r="BW25" s="1926">
        <f>BQ25+BM25</f>
        <v>151.25952841986106</v>
      </c>
      <c r="BX25" s="1927">
        <f>BQ25+BM25+BI25</f>
        <v>175.87373443790284</v>
      </c>
      <c r="CB25" s="2019"/>
      <c r="CC25" s="2019">
        <v>18</v>
      </c>
    </row>
    <row r="26" spans="1:81">
      <c r="A26" s="1254" t="s">
        <v>87</v>
      </c>
      <c r="B26" s="1282"/>
      <c r="C26" s="1292">
        <f>C21+C22</f>
        <v>744.71199999999999</v>
      </c>
      <c r="D26" s="1285">
        <f t="shared" si="17"/>
        <v>38.290252386894906</v>
      </c>
      <c r="E26" s="1308" t="s">
        <v>90</v>
      </c>
      <c r="F26" s="1282"/>
      <c r="G26" s="1292">
        <f>G21+G22</f>
        <v>801.17200000000003</v>
      </c>
      <c r="H26" s="1285">
        <f t="shared" si="18"/>
        <v>38.518278635813211</v>
      </c>
      <c r="I26" s="1286" t="s">
        <v>90</v>
      </c>
      <c r="J26" s="1282"/>
      <c r="K26" s="1292">
        <f>K21+K22</f>
        <v>819.9190000000001</v>
      </c>
      <c r="L26" s="1285">
        <f t="shared" si="19"/>
        <v>38.146676262422794</v>
      </c>
      <c r="M26" s="1286" t="s">
        <v>90</v>
      </c>
      <c r="N26" s="1282"/>
      <c r="O26" s="1292">
        <f>O21+O22</f>
        <v>912.12799999999993</v>
      </c>
      <c r="P26" s="1285">
        <f t="shared" si="20"/>
        <v>37.547936529672555</v>
      </c>
      <c r="Q26" s="1286" t="s">
        <v>90</v>
      </c>
      <c r="R26" s="1282"/>
      <c r="S26" s="1292">
        <f>S21+S22</f>
        <v>1014.056</v>
      </c>
      <c r="T26" s="1285">
        <f t="shared" si="21"/>
        <v>37.097124368369663</v>
      </c>
      <c r="U26" s="1286" t="s">
        <v>90</v>
      </c>
      <c r="V26" s="1282"/>
      <c r="W26" s="1292">
        <f>W21+W22</f>
        <v>1027.383</v>
      </c>
      <c r="X26" s="1285">
        <f t="shared" si="42"/>
        <v>38.152937061716244</v>
      </c>
      <c r="Y26" s="1286">
        <f t="shared" si="22"/>
        <v>1.0558126933465815</v>
      </c>
      <c r="Z26" s="1282"/>
      <c r="AA26" s="1292">
        <f>AA21+AA22</f>
        <v>1000.938</v>
      </c>
      <c r="AB26" s="1285">
        <f t="shared" si="23"/>
        <v>39.01174629752169</v>
      </c>
      <c r="AC26" s="1286">
        <f t="shared" si="24"/>
        <v>0.85880923580544533</v>
      </c>
      <c r="AD26" s="1282"/>
      <c r="AE26" s="1292">
        <f>AE21+AE22</f>
        <v>1042.174</v>
      </c>
      <c r="AF26" s="1285">
        <f t="shared" si="25"/>
        <v>39.539147087369919</v>
      </c>
      <c r="AG26" s="1286">
        <f t="shared" si="26"/>
        <v>0.52740078984822958</v>
      </c>
      <c r="AH26" s="1282"/>
      <c r="AI26" s="1292">
        <f>AI21+AI22</f>
        <v>978.46</v>
      </c>
      <c r="AJ26" s="1285">
        <f t="shared" si="27"/>
        <v>36.091013774468152</v>
      </c>
      <c r="AK26" s="1287" t="s">
        <v>90</v>
      </c>
      <c r="AL26" s="1282"/>
      <c r="AM26" s="1292">
        <f>AM21+AM22</f>
        <v>1021.741</v>
      </c>
      <c r="AN26" s="1285">
        <f t="shared" si="28"/>
        <v>37.062746238207048</v>
      </c>
      <c r="AO26" s="1320">
        <f t="shared" si="29"/>
        <v>97.173246373889555</v>
      </c>
      <c r="AP26" s="1282"/>
      <c r="AQ26" s="1292">
        <f>AQ21+AQ22</f>
        <v>1084.356</v>
      </c>
      <c r="AR26" s="1285">
        <f t="shared" si="30"/>
        <v>37.044988765871466</v>
      </c>
      <c r="AS26" s="1320">
        <f t="shared" si="31"/>
        <v>-1.7757472335581781</v>
      </c>
      <c r="AT26" s="1282"/>
      <c r="AU26" s="1292">
        <f>AU21+AU22</f>
        <v>1163.4340971500019</v>
      </c>
      <c r="AV26" s="1285">
        <f t="shared" si="43"/>
        <v>36.995981855672724</v>
      </c>
      <c r="AW26" s="1320">
        <f t="shared" si="32"/>
        <v>-4.9006910198741593</v>
      </c>
      <c r="AX26" s="1282"/>
      <c r="AY26" s="1292">
        <f>AY21+AY22</f>
        <v>1267.973</v>
      </c>
      <c r="AZ26" s="1285">
        <f t="shared" si="33"/>
        <v>37.498989512619751</v>
      </c>
      <c r="BA26" s="1320">
        <f t="shared" si="34"/>
        <v>50.300765694702676</v>
      </c>
      <c r="BB26" s="1282"/>
      <c r="BC26" s="1292">
        <f>BC21+BC22</f>
        <v>1343.4880000000001</v>
      </c>
      <c r="BD26" s="1285">
        <f t="shared" si="35"/>
        <v>38.140847664433544</v>
      </c>
      <c r="BE26" s="1320">
        <f t="shared" si="36"/>
        <v>64.185815181379269</v>
      </c>
      <c r="BF26" s="1282"/>
      <c r="BG26" s="1292">
        <f>BG21+BG22</f>
        <v>1408.8449999999998</v>
      </c>
      <c r="BH26" s="1285">
        <f t="shared" si="37"/>
        <v>39.463802546925017</v>
      </c>
      <c r="BI26" s="1320">
        <f t="shared" si="38"/>
        <v>132.2954882491473</v>
      </c>
      <c r="BK26" s="1292">
        <f>BK21+BK22</f>
        <v>1526.3029999999999</v>
      </c>
      <c r="BL26" s="1285">
        <f t="shared" si="39"/>
        <v>39.855413691722866</v>
      </c>
      <c r="BM26" s="1320">
        <f t="shared" si="44"/>
        <v>39.161114479784942</v>
      </c>
      <c r="BO26" s="1292">
        <f>BO21+BO22</f>
        <v>1604.5219999999999</v>
      </c>
      <c r="BP26" s="1285">
        <f t="shared" si="40"/>
        <v>40.78752071208995</v>
      </c>
      <c r="BQ26" s="1320">
        <f t="shared" si="45"/>
        <v>93.210702036708426</v>
      </c>
      <c r="BS26" s="1292">
        <f>BS21+BS22</f>
        <v>1754.4535767927366</v>
      </c>
      <c r="BT26" s="1285">
        <f>(1-BS26/BS16)*100</f>
        <v>41.224673262416964</v>
      </c>
      <c r="BU26" s="1320">
        <f t="shared" si="46"/>
        <v>43.71525503270135</v>
      </c>
      <c r="BW26" s="1930"/>
      <c r="BX26" s="1929"/>
      <c r="CB26" s="2019"/>
      <c r="CC26" s="2019">
        <v>18</v>
      </c>
    </row>
    <row r="27" spans="1:81">
      <c r="A27" s="1254" t="s">
        <v>88</v>
      </c>
      <c r="B27" s="1282"/>
      <c r="C27" s="1292">
        <f>C21+C22+C23</f>
        <v>1248.4169999999999</v>
      </c>
      <c r="D27" s="1285">
        <f t="shared" si="17"/>
        <v>37.402217367388921</v>
      </c>
      <c r="E27" s="1308" t="s">
        <v>90</v>
      </c>
      <c r="F27" s="1282"/>
      <c r="G27" s="1292">
        <f>G21+G22+G23</f>
        <v>1316.857</v>
      </c>
      <c r="H27" s="1285">
        <f t="shared" si="18"/>
        <v>37.612068851160451</v>
      </c>
      <c r="I27" s="1286" t="s">
        <v>90</v>
      </c>
      <c r="J27" s="1282"/>
      <c r="K27" s="1292">
        <f>K21+K22+K23</f>
        <v>1368.9290000000001</v>
      </c>
      <c r="L27" s="1285">
        <f t="shared" si="19"/>
        <v>37.301785045265056</v>
      </c>
      <c r="M27" s="1286" t="s">
        <v>90</v>
      </c>
      <c r="N27" s="1282"/>
      <c r="O27" s="1292">
        <f>O21+O22+O23</f>
        <v>1523.1379999999999</v>
      </c>
      <c r="P27" s="1285">
        <f t="shared" si="20"/>
        <v>37.477556763839281</v>
      </c>
      <c r="Q27" s="1286" t="s">
        <v>90</v>
      </c>
      <c r="R27" s="1282"/>
      <c r="S27" s="1292">
        <f>S21+S22+S23</f>
        <v>1663.3960000000002</v>
      </c>
      <c r="T27" s="1285">
        <f t="shared" si="21"/>
        <v>37.090942647254579</v>
      </c>
      <c r="U27" s="1286" t="s">
        <v>90</v>
      </c>
      <c r="V27" s="1282"/>
      <c r="W27" s="1292">
        <f>W21+W22+W23</f>
        <v>1649.636</v>
      </c>
      <c r="X27" s="1285">
        <f t="shared" si="42"/>
        <v>37.966934721175051</v>
      </c>
      <c r="Y27" s="1286">
        <f t="shared" si="22"/>
        <v>0.87599207392047163</v>
      </c>
      <c r="Z27" s="1282"/>
      <c r="AA27" s="1292">
        <f>AA21+AA22+AA23</f>
        <v>1613.242</v>
      </c>
      <c r="AB27" s="1285">
        <f t="shared" si="23"/>
        <v>38.809231023655613</v>
      </c>
      <c r="AC27" s="1286">
        <f t="shared" si="24"/>
        <v>0.84229630248056253</v>
      </c>
      <c r="AD27" s="1282"/>
      <c r="AE27" s="1292">
        <f>AE21+AE22+AE23</f>
        <v>1676.56</v>
      </c>
      <c r="AF27" s="1285">
        <f t="shared" si="25"/>
        <v>39.10265258117056</v>
      </c>
      <c r="AG27" s="1286">
        <f t="shared" si="26"/>
        <v>0.29342155751494658</v>
      </c>
      <c r="AH27" s="1282"/>
      <c r="AI27" s="1292">
        <f>AI21+AI22+AI23</f>
        <v>1501.9250000000002</v>
      </c>
      <c r="AJ27" s="1285">
        <f t="shared" si="27"/>
        <v>37.508191537387724</v>
      </c>
      <c r="AK27" s="1287" t="s">
        <v>90</v>
      </c>
      <c r="AL27" s="1282"/>
      <c r="AM27" s="1292">
        <f>AM21+AM22+AM23</f>
        <v>1549.0419999999999</v>
      </c>
      <c r="AN27" s="1285">
        <f t="shared" si="28"/>
        <v>37.579252857213085</v>
      </c>
      <c r="AO27" s="1320">
        <f t="shared" si="29"/>
        <v>7.1061319825361124</v>
      </c>
      <c r="AP27" s="1282"/>
      <c r="AQ27" s="1292">
        <f>AQ21+AQ22+AQ23</f>
        <v>1625.163</v>
      </c>
      <c r="AR27" s="1285">
        <f t="shared" si="30"/>
        <v>37.996744106370883</v>
      </c>
      <c r="AS27" s="1320">
        <f t="shared" si="31"/>
        <v>41.749124915779845</v>
      </c>
      <c r="AT27" s="1282"/>
      <c r="AU27" s="1292">
        <f>AU21+AU22+AU23</f>
        <v>1757.823097150002</v>
      </c>
      <c r="AV27" s="1285">
        <f t="shared" si="43"/>
        <v>37.543970050667411</v>
      </c>
      <c r="AW27" s="1320">
        <f t="shared" si="32"/>
        <v>-45.277405570347184</v>
      </c>
      <c r="AX27" s="1282"/>
      <c r="AY27" s="1292">
        <f>AY21+AY22+AY23</f>
        <v>1917.61</v>
      </c>
      <c r="AZ27" s="1285">
        <f t="shared" si="33"/>
        <v>38.006146333956849</v>
      </c>
      <c r="BA27" s="1320">
        <f t="shared" si="34"/>
        <v>46.217628328943761</v>
      </c>
      <c r="BB27" s="1282"/>
      <c r="BC27" s="1292">
        <f>BC21+BC22+BC23</f>
        <v>2042.078</v>
      </c>
      <c r="BD27" s="1285">
        <f t="shared" si="35"/>
        <v>38.660531752625751</v>
      </c>
      <c r="BE27" s="1320">
        <f t="shared" si="36"/>
        <v>65.438541866890176</v>
      </c>
      <c r="BF27" s="1282"/>
      <c r="BG27" s="1292">
        <f>BG21+BG22+BG23</f>
        <v>2150.4289999999996</v>
      </c>
      <c r="BH27" s="1285">
        <f t="shared" si="37"/>
        <v>39.563505100806239</v>
      </c>
      <c r="BI27" s="1320">
        <f t="shared" si="38"/>
        <v>90.297334818048824</v>
      </c>
      <c r="BK27" s="1292">
        <f>BK21+BK22+BK23</f>
        <v>2316.1610000000001</v>
      </c>
      <c r="BL27" s="1285">
        <f t="shared" si="39"/>
        <v>40.310097896489538</v>
      </c>
      <c r="BM27" s="1320">
        <f t="shared" si="44"/>
        <v>74.65927956832985</v>
      </c>
      <c r="BO27" s="1292">
        <f>BO21+BO22+BO23</f>
        <v>2436.25</v>
      </c>
      <c r="BP27" s="1285">
        <f t="shared" si="40"/>
        <v>41.265983547966137</v>
      </c>
      <c r="BQ27" s="1320">
        <f t="shared" si="45"/>
        <v>95.588565147659921</v>
      </c>
      <c r="BS27" s="1292">
        <f>BS21+BS22+BS23</f>
        <v>2662.033557491271</v>
      </c>
      <c r="BT27" s="1285">
        <f>(1-BS27/BS17)*100</f>
        <v>41.714989000212512</v>
      </c>
      <c r="BU27" s="1320">
        <f t="shared" si="46"/>
        <v>44.900545224637511</v>
      </c>
      <c r="BW27" s="1930"/>
      <c r="BX27" s="1929"/>
      <c r="CB27" s="2019"/>
      <c r="CC27" s="2019">
        <v>18</v>
      </c>
    </row>
    <row r="28" spans="1:81">
      <c r="A28" s="1282"/>
      <c r="B28" s="1282"/>
      <c r="C28" s="1282"/>
      <c r="D28" s="1282"/>
      <c r="E28" s="1282"/>
      <c r="F28" s="1282"/>
      <c r="G28" s="1282"/>
      <c r="H28" s="1282"/>
      <c r="I28" s="1282"/>
      <c r="J28" s="1282"/>
      <c r="K28" s="1282"/>
      <c r="L28" s="1282"/>
      <c r="M28" s="1282"/>
      <c r="N28" s="1282"/>
      <c r="O28" s="1282"/>
      <c r="P28" s="1282"/>
      <c r="Q28" s="1282"/>
      <c r="R28" s="1282"/>
      <c r="S28" s="1282"/>
      <c r="T28" s="1282"/>
      <c r="U28" s="1282"/>
      <c r="V28" s="1282"/>
      <c r="W28" s="1282"/>
      <c r="X28" s="1282"/>
      <c r="Y28" s="1282"/>
      <c r="Z28" s="1282"/>
      <c r="AA28" s="1282"/>
      <c r="AB28" s="1282"/>
      <c r="AC28" s="1282"/>
      <c r="AD28" s="1282"/>
      <c r="AE28" s="1282"/>
      <c r="AF28" s="1282"/>
      <c r="AG28" s="1282"/>
      <c r="AH28" s="1282"/>
      <c r="AI28" s="1282"/>
      <c r="AJ28" s="1282"/>
      <c r="AK28" s="1282"/>
      <c r="AL28" s="1282"/>
      <c r="AM28" s="1282"/>
      <c r="AN28" s="1282"/>
      <c r="AO28" s="1282"/>
      <c r="AP28" s="1282"/>
      <c r="AQ28" s="1282"/>
      <c r="AR28" s="1282"/>
      <c r="AS28" s="1282"/>
      <c r="AT28" s="1282"/>
      <c r="AU28" s="1312"/>
      <c r="AV28" s="1282"/>
      <c r="AW28" s="1282"/>
      <c r="AX28" s="1282"/>
      <c r="AY28" s="1312"/>
      <c r="AZ28" s="1285"/>
      <c r="BA28" s="1282"/>
      <c r="BB28" s="1282"/>
      <c r="BC28" s="1282"/>
      <c r="BD28" s="1282"/>
      <c r="BE28" s="1282"/>
      <c r="BF28" s="1282"/>
      <c r="BG28" s="1282"/>
      <c r="BH28" s="1282"/>
      <c r="BI28" s="1282"/>
      <c r="BK28" s="1282"/>
      <c r="BL28" s="1282"/>
      <c r="BM28" s="1282"/>
      <c r="BO28" s="1282"/>
      <c r="BP28" s="1282"/>
      <c r="BQ28" s="1282"/>
      <c r="BS28" s="1282"/>
      <c r="BT28" s="1282"/>
      <c r="BU28" s="1282"/>
      <c r="BW28" s="1930"/>
      <c r="BX28" s="1929"/>
      <c r="CB28" s="2019"/>
      <c r="CC28" s="2019"/>
    </row>
    <row r="29" spans="1:81">
      <c r="A29" s="1251" t="s">
        <v>89</v>
      </c>
      <c r="B29" s="1281"/>
      <c r="C29" s="1281"/>
      <c r="D29" s="1281"/>
      <c r="E29" s="1281"/>
      <c r="F29" s="1281"/>
      <c r="G29" s="1281"/>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51"/>
      <c r="AZ29" s="1281"/>
      <c r="BA29" s="1281"/>
      <c r="BB29" s="1282"/>
      <c r="BC29" s="1281"/>
      <c r="BD29" s="1281"/>
      <c r="BE29" s="1281"/>
      <c r="BF29" s="1282"/>
      <c r="BG29" s="2264" t="str">
        <f>A29</f>
        <v>3. Selling, General and Administrative Expense (% of Sales)</v>
      </c>
      <c r="BH29" s="2264"/>
      <c r="BI29" s="2264"/>
      <c r="BJ29" s="2264"/>
      <c r="BK29" s="2264"/>
      <c r="BL29" s="2264"/>
      <c r="BM29" s="2264"/>
      <c r="BN29" s="1663"/>
      <c r="BO29" s="1663"/>
      <c r="BP29" s="2147"/>
      <c r="BQ29" s="2214"/>
      <c r="BR29" s="2214"/>
      <c r="BS29" s="2147"/>
      <c r="BT29" s="2246"/>
      <c r="BU29" s="2214"/>
      <c r="BW29" s="1931"/>
      <c r="BX29" s="1929"/>
      <c r="CB29" s="2019"/>
      <c r="CC29" s="2019"/>
    </row>
    <row r="30" spans="1:81">
      <c r="A30" s="1282"/>
      <c r="B30" s="1282"/>
      <c r="C30" s="1282"/>
      <c r="D30" s="1282"/>
      <c r="E30" s="1282"/>
      <c r="F30" s="1282"/>
      <c r="G30" s="1282"/>
      <c r="H30" s="1282"/>
      <c r="I30" s="1282"/>
      <c r="J30" s="1282"/>
      <c r="K30" s="1282"/>
      <c r="L30" s="1282"/>
      <c r="M30" s="1282"/>
      <c r="N30" s="1282"/>
      <c r="O30" s="1282"/>
      <c r="P30" s="1282"/>
      <c r="Q30" s="1282"/>
      <c r="R30" s="1282"/>
      <c r="S30" s="1282"/>
      <c r="T30" s="1282"/>
      <c r="U30" s="1282"/>
      <c r="V30" s="1282"/>
      <c r="W30" s="1282"/>
      <c r="X30" s="1282"/>
      <c r="Y30" s="1282"/>
      <c r="Z30" s="1282"/>
      <c r="AA30" s="1282"/>
      <c r="AB30" s="1282"/>
      <c r="AC30" s="1282"/>
      <c r="AD30" s="1282"/>
      <c r="AE30" s="1282"/>
      <c r="AF30" s="1282"/>
      <c r="AG30" s="1282"/>
      <c r="AH30" s="1282"/>
      <c r="AI30" s="1282"/>
      <c r="AJ30" s="1282"/>
      <c r="AK30" s="1282"/>
      <c r="AL30" s="1282"/>
      <c r="AM30" s="1282"/>
      <c r="AN30" s="1282"/>
      <c r="AO30" s="1282"/>
      <c r="AP30" s="1282"/>
      <c r="AQ30" s="1282"/>
      <c r="AR30" s="1282"/>
      <c r="AS30" s="1282"/>
      <c r="AT30" s="1282"/>
      <c r="AU30" s="1282"/>
      <c r="AV30" s="1282"/>
      <c r="AW30" s="1282"/>
      <c r="AX30" s="1282"/>
      <c r="AY30" s="1282"/>
      <c r="AZ30" s="1282"/>
      <c r="BA30" s="1282"/>
      <c r="BB30" s="1282"/>
      <c r="BC30" s="1282"/>
      <c r="BD30" s="1282"/>
      <c r="BE30" s="1282"/>
      <c r="BF30" s="1282"/>
      <c r="BG30" s="1282"/>
      <c r="BH30" s="1282"/>
      <c r="BI30" s="1282"/>
      <c r="BK30" s="1282"/>
      <c r="BL30" s="1282"/>
      <c r="BM30" s="1282"/>
      <c r="BO30" s="1282"/>
      <c r="BP30" s="1962"/>
      <c r="BQ30" s="1282"/>
      <c r="BS30" s="1282"/>
      <c r="BT30" s="1962"/>
      <c r="BU30" s="1282"/>
      <c r="BW30" s="1932"/>
      <c r="BX30" s="1929"/>
      <c r="CB30" s="2019"/>
      <c r="CC30" s="2019"/>
    </row>
    <row r="31" spans="1:81">
      <c r="A31" s="1254" t="s">
        <v>79</v>
      </c>
      <c r="B31" s="1282"/>
      <c r="C31" s="1284">
        <v>180.35900000000001</v>
      </c>
      <c r="D31" s="1285">
        <f t="shared" ref="D31:D37" si="47">C31/C11*100</f>
        <v>39.528487143746332</v>
      </c>
      <c r="E31" s="1308" t="s">
        <v>90</v>
      </c>
      <c r="F31" s="1282"/>
      <c r="G31" s="1284">
        <v>194.964</v>
      </c>
      <c r="H31" s="1285">
        <f t="shared" ref="H31:H37" si="48">G31/G11*100</f>
        <v>38.055493202424287</v>
      </c>
      <c r="I31" s="1287">
        <f>(G31/C31-1)*100</f>
        <v>8.0977383995253902</v>
      </c>
      <c r="J31" s="1282"/>
      <c r="K31" s="1284">
        <v>204.80699999999999</v>
      </c>
      <c r="L31" s="1285">
        <f t="shared" ref="L31:L37" si="49">K31/K11*100</f>
        <v>38.532249901697206</v>
      </c>
      <c r="M31" s="1287">
        <f>(K31/G31-1)*100</f>
        <v>5.0486243614205728</v>
      </c>
      <c r="N31" s="1282"/>
      <c r="O31" s="1284">
        <v>215.53800000000001</v>
      </c>
      <c r="P31" s="1285">
        <f t="shared" ref="P31:P37" si="50">O31/O11*100</f>
        <v>37.125942410676608</v>
      </c>
      <c r="Q31" s="1287">
        <f>(O31/K31-1)*100</f>
        <v>5.239567006987067</v>
      </c>
      <c r="R31" s="1282"/>
      <c r="S31" s="1284">
        <v>234.51400000000001</v>
      </c>
      <c r="T31" s="1285">
        <f t="shared" ref="T31:T37" si="51">S31/S11*100</f>
        <v>35.631111624317043</v>
      </c>
      <c r="U31" s="1287">
        <f>(S31/O31-1)*100</f>
        <v>8.8040159971791496</v>
      </c>
      <c r="V31" s="1282"/>
      <c r="W31" s="1284">
        <v>247.06</v>
      </c>
      <c r="X31" s="1285">
        <f>W31/W11*100</f>
        <v>37.192931747221749</v>
      </c>
      <c r="Y31" s="1287">
        <f>(W31/S31-1)*100</f>
        <v>5.3497872195263252</v>
      </c>
      <c r="Z31" s="1282"/>
      <c r="AA31" s="1284">
        <v>250.887</v>
      </c>
      <c r="AB31" s="1285">
        <f t="shared" ref="AB31:AB37" si="52">AA31/AA11*100</f>
        <v>36.596615549335056</v>
      </c>
      <c r="AC31" s="1287">
        <f t="shared" ref="AC31:AC37" si="53">(AA31/W31-1)*100</f>
        <v>1.5490164332550682</v>
      </c>
      <c r="AD31" s="1282"/>
      <c r="AE31" s="1284">
        <v>265.71199999999999</v>
      </c>
      <c r="AF31" s="1285">
        <f t="shared" ref="AF31:AF37" si="54">AE31/AE11*100</f>
        <v>37.244559694431786</v>
      </c>
      <c r="AG31" s="1287">
        <f t="shared" ref="AG31:AG37" si="55">(AE31/AA31-1)*100</f>
        <v>5.9090347447257052</v>
      </c>
      <c r="AH31" s="1282"/>
      <c r="AI31" s="1284">
        <v>262.108</v>
      </c>
      <c r="AJ31" s="1285">
        <f>AI31/AI11*100</f>
        <v>31.577641158349628</v>
      </c>
      <c r="AK31" s="1287" t="s">
        <v>90</v>
      </c>
      <c r="AL31" s="1282"/>
      <c r="AM31" s="1284">
        <v>278.52800000000002</v>
      </c>
      <c r="AN31" s="1285">
        <f>AM31/AM11*100</f>
        <v>31.131647363632503</v>
      </c>
      <c r="AO31" s="1287">
        <f t="shared" ref="AO31:AO37" si="56">(AM31/AI31-1)*100</f>
        <v>6.2645932211149669</v>
      </c>
      <c r="AP31" s="1282"/>
      <c r="AQ31" s="1284">
        <v>288.82799999999997</v>
      </c>
      <c r="AR31" s="1285">
        <f>AQ31/AQ11*100</f>
        <v>31.087493985992609</v>
      </c>
      <c r="AS31" s="1287">
        <f t="shared" ref="AS31:AS37" si="57">(AQ31/AM31-1)*100</f>
        <v>3.6980124080882248</v>
      </c>
      <c r="AT31" s="1282"/>
      <c r="AU31" s="1284">
        <v>307.61028961</v>
      </c>
      <c r="AV31" s="1285">
        <f>AU31/AU11*100</f>
        <v>31.311427792532047</v>
      </c>
      <c r="AW31" s="1287">
        <f t="shared" ref="AW31:AW37" si="58">(AU31/AQ31-1)*100</f>
        <v>6.5029324061379068</v>
      </c>
      <c r="AX31" s="1282"/>
      <c r="AY31" s="1284">
        <v>327.70400000000001</v>
      </c>
      <c r="AZ31" s="1285">
        <f>AY31/AY11*100</f>
        <v>30.76995304282671</v>
      </c>
      <c r="BA31" s="1287">
        <f t="shared" ref="BA31:BA37" si="59">(AY31/AU31-1)*100</f>
        <v>6.5321970911556893</v>
      </c>
      <c r="BB31" s="1291"/>
      <c r="BC31" s="1284">
        <f>347.021</f>
        <v>347.02100000000002</v>
      </c>
      <c r="BD31" s="1285">
        <f>BC31/$BC11*100</f>
        <v>30.756938283334918</v>
      </c>
      <c r="BE31" s="1287">
        <f t="shared" ref="BE31:BE37" si="60">(BC31/AY31-1)*100</f>
        <v>5.8946488294314481</v>
      </c>
      <c r="BF31" s="1291"/>
      <c r="BG31" s="1284">
        <v>377.67899999999997</v>
      </c>
      <c r="BH31" s="1285">
        <f>BG31/$BG11*100</f>
        <v>31.923936168863936</v>
      </c>
      <c r="BI31" s="1287">
        <f t="shared" ref="BI31:BI37" si="61">(BG31/BC31-1)*100</f>
        <v>8.8346238412084546</v>
      </c>
      <c r="BK31" s="1284">
        <v>403.38499999999999</v>
      </c>
      <c r="BL31" s="1285">
        <f>BK31/$BK11*100</f>
        <v>31.448852783646608</v>
      </c>
      <c r="BM31" s="1287">
        <f t="shared" ref="BM31:BM37" si="62">(BK31/BG31-1)*100</f>
        <v>6.8063090613986965</v>
      </c>
      <c r="BO31" s="1284">
        <v>420.85599999999999</v>
      </c>
      <c r="BP31" s="1285">
        <f>BO31/$BO11*100</f>
        <v>31.254483693835933</v>
      </c>
      <c r="BQ31" s="1287">
        <f t="shared" ref="BQ31:BQ37" si="63">(BO31/BK31-1)*100</f>
        <v>4.3310980824770473</v>
      </c>
      <c r="BS31" s="2169">
        <f t="shared" ref="BS31:BS32" si="64">BS11*BT31/100</f>
        <v>463.63401377616168</v>
      </c>
      <c r="BT31" s="2174">
        <v>31.2</v>
      </c>
      <c r="BU31" s="1287">
        <f t="shared" ref="BU31:BU37" si="65">(BS31/BO31-1)*100</f>
        <v>10.164525105062472</v>
      </c>
      <c r="BV31" s="1320">
        <f>(BP31-BL31)*100</f>
        <v>-19.436908981067447</v>
      </c>
      <c r="BW31" s="1922">
        <f>BQ31+BM31</f>
        <v>11.137407143875745</v>
      </c>
      <c r="BX31" s="1923">
        <f>BQ31+BM31+BI31</f>
        <v>19.972030985084199</v>
      </c>
      <c r="CB31" s="2019"/>
      <c r="CC31" s="2019"/>
    </row>
    <row r="32" spans="1:81">
      <c r="A32" s="1254" t="s">
        <v>80</v>
      </c>
      <c r="B32" s="1282"/>
      <c r="C32" s="1288">
        <v>219.374</v>
      </c>
      <c r="D32" s="1285">
        <f t="shared" si="47"/>
        <v>29.22952291871524</v>
      </c>
      <c r="E32" s="1308" t="s">
        <v>90</v>
      </c>
      <c r="F32" s="1282"/>
      <c r="G32" s="1288">
        <v>230.17599999999999</v>
      </c>
      <c r="H32" s="1285">
        <f t="shared" si="48"/>
        <v>29.107058628638917</v>
      </c>
      <c r="I32" s="1287">
        <f>(G32/C32-1)*100</f>
        <v>4.9240110496230116</v>
      </c>
      <c r="J32" s="1282"/>
      <c r="K32" s="1288">
        <v>240.09200000000001</v>
      </c>
      <c r="L32" s="1285">
        <f t="shared" si="49"/>
        <v>30.235811929753858</v>
      </c>
      <c r="M32" s="1287">
        <f>(K32/G32-1)*100</f>
        <v>4.308007785346879</v>
      </c>
      <c r="N32" s="1282"/>
      <c r="O32" s="1288">
        <v>251.96</v>
      </c>
      <c r="P32" s="1285">
        <f t="shared" si="50"/>
        <v>28.632924453899356</v>
      </c>
      <c r="Q32" s="1287">
        <f>(O32/K32-1)*100</f>
        <v>4.9431051430285144</v>
      </c>
      <c r="R32" s="1282"/>
      <c r="S32" s="1288">
        <v>264.15300000000002</v>
      </c>
      <c r="T32" s="1285">
        <f t="shared" si="51"/>
        <v>27.691141660883549</v>
      </c>
      <c r="U32" s="1287">
        <f>(S32/O32-1)*100</f>
        <v>4.8392602000317586</v>
      </c>
      <c r="V32" s="1282"/>
      <c r="W32" s="1288">
        <v>287.58100000000002</v>
      </c>
      <c r="X32" s="1285">
        <f t="shared" ref="X32:X37" si="66">W32/W12*100</f>
        <v>28.847498397533961</v>
      </c>
      <c r="Y32" s="1287">
        <f t="shared" ref="Y32:Y37" si="67">(W32/S32-1)*100</f>
        <v>8.8691023762743626</v>
      </c>
      <c r="Z32" s="1282"/>
      <c r="AA32" s="1288">
        <v>278.40100000000001</v>
      </c>
      <c r="AB32" s="1285">
        <f t="shared" si="52"/>
        <v>29.132078551688849</v>
      </c>
      <c r="AC32" s="1287">
        <f t="shared" si="53"/>
        <v>-3.1921441263504935</v>
      </c>
      <c r="AD32" s="1282"/>
      <c r="AE32" s="1288">
        <v>306.19400000000002</v>
      </c>
      <c r="AF32" s="1285">
        <f t="shared" si="54"/>
        <v>30.307475462539546</v>
      </c>
      <c r="AG32" s="1287">
        <f t="shared" si="55"/>
        <v>9.9830819573205609</v>
      </c>
      <c r="AH32" s="1282"/>
      <c r="AI32" s="1288">
        <v>266.541</v>
      </c>
      <c r="AJ32" s="1285">
        <f>AI32/AI12*100</f>
        <v>38.024160530002369</v>
      </c>
      <c r="AK32" s="1287" t="s">
        <v>90</v>
      </c>
      <c r="AL32" s="1282"/>
      <c r="AM32" s="1288">
        <v>271.779</v>
      </c>
      <c r="AN32" s="1285">
        <f>AM32/AM12*100</f>
        <v>37.293859348198971</v>
      </c>
      <c r="AO32" s="1287">
        <f t="shared" si="56"/>
        <v>1.9651760892320569</v>
      </c>
      <c r="AP32" s="1282"/>
      <c r="AQ32" s="1288">
        <v>276.70499999999998</v>
      </c>
      <c r="AR32" s="1285">
        <f>AQ32/AQ12*100</f>
        <v>34.878092743546659</v>
      </c>
      <c r="AS32" s="1287">
        <f t="shared" si="57"/>
        <v>1.8125020696963201</v>
      </c>
      <c r="AT32" s="1282"/>
      <c r="AU32" s="1288">
        <v>302.37329693999999</v>
      </c>
      <c r="AV32" s="1285">
        <f>AU32/AU12*100</f>
        <v>34.989570387875943</v>
      </c>
      <c r="AW32" s="1287">
        <f t="shared" si="58"/>
        <v>9.2764124031007746</v>
      </c>
      <c r="AX32" s="1282"/>
      <c r="AY32" s="1288">
        <v>326.75700000000001</v>
      </c>
      <c r="AZ32" s="1285">
        <f>AY32/AY12*100</f>
        <v>33.906119158129357</v>
      </c>
      <c r="BA32" s="1287">
        <f t="shared" si="59"/>
        <v>8.0641059600042873</v>
      </c>
      <c r="BB32" s="1291"/>
      <c r="BC32" s="1288">
        <v>350.02600000000001</v>
      </c>
      <c r="BD32" s="1285">
        <f>BC32/$BC12*100</f>
        <v>33.54085595655728</v>
      </c>
      <c r="BE32" s="1287">
        <f t="shared" si="60"/>
        <v>7.1211940371591176</v>
      </c>
      <c r="BF32" s="1291"/>
      <c r="BG32" s="1288">
        <v>381.60599999999999</v>
      </c>
      <c r="BH32" s="1285">
        <f>BG32/$BG12*100</f>
        <v>33.35081251999182</v>
      </c>
      <c r="BI32" s="1287">
        <f t="shared" si="61"/>
        <v>9.022186923257113</v>
      </c>
      <c r="BK32" s="1288">
        <v>407.10199999999998</v>
      </c>
      <c r="BL32" s="1285">
        <f>BK32/$BK12*100</f>
        <v>32.437036523557168</v>
      </c>
      <c r="BM32" s="1287">
        <f t="shared" si="62"/>
        <v>6.6812366681865631</v>
      </c>
      <c r="BO32" s="1288">
        <v>437.19600000000003</v>
      </c>
      <c r="BP32" s="1285">
        <f>BO32/$BO12*100</f>
        <v>32.070738191229033</v>
      </c>
      <c r="BQ32" s="1287">
        <f t="shared" si="63"/>
        <v>7.3922505907610514</v>
      </c>
      <c r="BS32" s="2175">
        <f t="shared" si="64"/>
        <v>478.93391382010037</v>
      </c>
      <c r="BT32" s="2174">
        <v>31.95</v>
      </c>
      <c r="BU32" s="1287">
        <f t="shared" si="65"/>
        <v>9.5467281997320121</v>
      </c>
      <c r="BW32" s="1922">
        <f>BQ32+BM32</f>
        <v>14.073487258947615</v>
      </c>
      <c r="BX32" s="1923">
        <f>BQ32+BM32+BI32</f>
        <v>23.095674182204728</v>
      </c>
      <c r="CB32" s="2019"/>
      <c r="CC32" s="2019"/>
    </row>
    <row r="33" spans="1:81">
      <c r="A33" s="1254" t="s">
        <v>81</v>
      </c>
      <c r="B33" s="1282"/>
      <c r="C33" s="1288">
        <v>207.62100000000001</v>
      </c>
      <c r="D33" s="1285">
        <f t="shared" si="47"/>
        <v>26.362931068416064</v>
      </c>
      <c r="E33" s="1308" t="s">
        <v>90</v>
      </c>
      <c r="F33" s="1282"/>
      <c r="G33" s="1288">
        <v>214.08</v>
      </c>
      <c r="H33" s="1285">
        <f t="shared" si="48"/>
        <v>26.506531294496384</v>
      </c>
      <c r="I33" s="1287">
        <f>(G33/C33-1)*100</f>
        <v>3.1109569841200946</v>
      </c>
      <c r="J33" s="1282"/>
      <c r="K33" s="1288">
        <v>225.79</v>
      </c>
      <c r="L33" s="1285">
        <f t="shared" si="49"/>
        <v>26.322722948648597</v>
      </c>
      <c r="M33" s="1287">
        <f>(K33/G33-1)*100</f>
        <v>5.469917787742884</v>
      </c>
      <c r="N33" s="1282"/>
      <c r="O33" s="1288">
        <v>236.82300000000001</v>
      </c>
      <c r="P33" s="1285">
        <f t="shared" si="50"/>
        <v>24.274077741254033</v>
      </c>
      <c r="Q33" s="1287">
        <f>(O33/K33-1)*100</f>
        <v>4.8863988662031232</v>
      </c>
      <c r="R33" s="1282"/>
      <c r="S33" s="1288">
        <v>267.34199999999998</v>
      </c>
      <c r="T33" s="1285">
        <f t="shared" si="51"/>
        <v>25.904479520944157</v>
      </c>
      <c r="U33" s="1287">
        <f>(S33/O33-1)*100</f>
        <v>12.886839538389427</v>
      </c>
      <c r="V33" s="1282"/>
      <c r="W33" s="1288">
        <v>256.31900000000002</v>
      </c>
      <c r="X33" s="1285">
        <f t="shared" si="66"/>
        <v>25.680230193223647</v>
      </c>
      <c r="Y33" s="1287">
        <f t="shared" si="67"/>
        <v>-4.1231830389538366</v>
      </c>
      <c r="Z33" s="1282"/>
      <c r="AA33" s="1288">
        <v>273.50400000000002</v>
      </c>
      <c r="AB33" s="1285">
        <f t="shared" si="52"/>
        <v>27.48187328178004</v>
      </c>
      <c r="AC33" s="1287">
        <f t="shared" si="53"/>
        <v>6.7045361444137974</v>
      </c>
      <c r="AD33" s="1282"/>
      <c r="AE33" s="1288">
        <v>265.63900000000001</v>
      </c>
      <c r="AF33" s="1285">
        <f t="shared" si="54"/>
        <v>25.805853066180934</v>
      </c>
      <c r="AG33" s="1287">
        <f t="shared" si="55"/>
        <v>-2.8756435006434988</v>
      </c>
      <c r="AH33" s="1282"/>
      <c r="AI33" s="1288">
        <v>281.56900000000002</v>
      </c>
      <c r="AJ33" s="1285">
        <f>AI33/AI13*100</f>
        <v>32.276179711912555</v>
      </c>
      <c r="AK33" s="1287" t="s">
        <v>90</v>
      </c>
      <c r="AL33" s="1282"/>
      <c r="AM33" s="1288">
        <v>285.61799999999999</v>
      </c>
      <c r="AN33" s="1285">
        <f>AM33/AM13*100</f>
        <v>33.28159629730618</v>
      </c>
      <c r="AO33" s="1287">
        <f t="shared" si="56"/>
        <v>1.4380134176702697</v>
      </c>
      <c r="AP33" s="1282"/>
      <c r="AQ33" s="1288">
        <v>317.13400000000001</v>
      </c>
      <c r="AR33" s="1285">
        <f>AQ33/AQ13*100</f>
        <v>35.289535676888889</v>
      </c>
      <c r="AS33" s="1287">
        <f t="shared" si="57"/>
        <v>11.034318565356527</v>
      </c>
      <c r="AT33" s="1282"/>
      <c r="AU33" s="1288">
        <v>334.97500000000002</v>
      </c>
      <c r="AV33" s="1285">
        <f>AU33/AU13*100</f>
        <v>34.60864516155695</v>
      </c>
      <c r="AW33" s="1287">
        <f t="shared" si="58"/>
        <v>5.6256976546191773</v>
      </c>
      <c r="AX33" s="1282"/>
      <c r="AY33" s="1288">
        <f>363.149</f>
        <v>363.149</v>
      </c>
      <c r="AZ33" s="1285">
        <f>AY33/AY13*100</f>
        <v>34.114449761484714</v>
      </c>
      <c r="BA33" s="1287">
        <f t="shared" si="59"/>
        <v>8.4107769236510208</v>
      </c>
      <c r="BB33" s="1291"/>
      <c r="BC33" s="1288">
        <v>396.71300000000002</v>
      </c>
      <c r="BD33" s="1285">
        <f>BC33/$BC13*100</f>
        <v>34.279421269653639</v>
      </c>
      <c r="BE33" s="1287">
        <f t="shared" si="60"/>
        <v>9.2424872435281422</v>
      </c>
      <c r="BF33" s="1291"/>
      <c r="BG33" s="1288">
        <v>416.20499999999998</v>
      </c>
      <c r="BH33" s="1285">
        <f>BG33/$BG13*100</f>
        <v>33.813448199102112</v>
      </c>
      <c r="BI33" s="1287">
        <f t="shared" si="61"/>
        <v>4.9133756645232118</v>
      </c>
      <c r="BK33" s="1288">
        <v>451.072</v>
      </c>
      <c r="BL33" s="1285">
        <f>BK33/$BK13*100</f>
        <v>33.596901534336368</v>
      </c>
      <c r="BM33" s="1287">
        <f t="shared" si="62"/>
        <v>8.3773621172258839</v>
      </c>
      <c r="BO33" s="2219">
        <v>480.19400000000002</v>
      </c>
      <c r="BP33" s="2218">
        <f>BO33/$BO13*100</f>
        <v>33.389307361384319</v>
      </c>
      <c r="BQ33" s="1287">
        <f t="shared" si="63"/>
        <v>6.4561755107832131</v>
      </c>
      <c r="BS33" s="1312">
        <f>BS13*BT33/100</f>
        <v>526.41537583403488</v>
      </c>
      <c r="BT33" s="1321">
        <v>33.270000000000003</v>
      </c>
      <c r="BU33" s="1287">
        <f t="shared" si="65"/>
        <v>9.6255629670580767</v>
      </c>
      <c r="BW33" s="1922">
        <f>BQ33+BM33</f>
        <v>14.833537628009097</v>
      </c>
      <c r="BX33" s="1923">
        <f>BQ33+BM33+BI33</f>
        <v>19.746913292532309</v>
      </c>
      <c r="CB33" s="2019"/>
      <c r="CC33" s="2019"/>
    </row>
    <row r="34" spans="1:81">
      <c r="A34" s="1254" t="s">
        <v>82</v>
      </c>
      <c r="B34" s="1282"/>
      <c r="C34" s="1314">
        <v>211.83099999999999</v>
      </c>
      <c r="D34" s="1285">
        <f t="shared" si="47"/>
        <v>34.795356698768536</v>
      </c>
      <c r="E34" s="1308" t="s">
        <v>90</v>
      </c>
      <c r="F34" s="1282"/>
      <c r="G34" s="1314">
        <v>219.03200000000001</v>
      </c>
      <c r="H34" s="1285">
        <f t="shared" si="48"/>
        <v>35.942356226964975</v>
      </c>
      <c r="I34" s="1287">
        <f>(G34/C34-1)*100</f>
        <v>3.3994080186563913</v>
      </c>
      <c r="J34" s="1282"/>
      <c r="K34" s="1314">
        <v>233.75200000000001</v>
      </c>
      <c r="L34" s="1285">
        <f t="shared" si="49"/>
        <v>34.133348909202418</v>
      </c>
      <c r="M34" s="1287">
        <f>(K34/G34-1)*100</f>
        <v>6.7204791993863866</v>
      </c>
      <c r="N34" s="1282"/>
      <c r="O34" s="1314">
        <v>253.739</v>
      </c>
      <c r="P34" s="1285">
        <f t="shared" si="50"/>
        <v>33.225218477557767</v>
      </c>
      <c r="Q34" s="1287">
        <f>(O34/K34-1)*100</f>
        <v>8.5505150758068424</v>
      </c>
      <c r="R34" s="1282"/>
      <c r="S34" s="1315">
        <f>S35-SUM(S31:S33)</f>
        <v>285.91300000000001</v>
      </c>
      <c r="T34" s="1285">
        <f t="shared" si="51"/>
        <v>34.596321993741711</v>
      </c>
      <c r="U34" s="1287">
        <f>(S34/O34-1)*100</f>
        <v>12.679958540074644</v>
      </c>
      <c r="V34" s="1282"/>
      <c r="W34" s="1314">
        <f>W35-SUM(W31:W33)</f>
        <v>271.50800000000004</v>
      </c>
      <c r="X34" s="1285">
        <f t="shared" si="66"/>
        <v>34.703716958944732</v>
      </c>
      <c r="Y34" s="1287">
        <f t="shared" si="67"/>
        <v>-5.0382458999765571</v>
      </c>
      <c r="Z34" s="1282"/>
      <c r="AA34" s="1314">
        <f>AA35-SUM(AA31:AA33)</f>
        <v>288.03699999999992</v>
      </c>
      <c r="AB34" s="1285">
        <f t="shared" si="52"/>
        <v>36.573386882760509</v>
      </c>
      <c r="AC34" s="1287">
        <f t="shared" si="53"/>
        <v>6.0878500817655112</v>
      </c>
      <c r="AD34" s="1282"/>
      <c r="AE34" s="1315">
        <f>AE35-SUM(AE31:AE33)</f>
        <v>277.70300000000009</v>
      </c>
      <c r="AF34" s="1285">
        <f t="shared" si="54"/>
        <v>33.93761266078031</v>
      </c>
      <c r="AG34" s="1287">
        <f t="shared" si="55"/>
        <v>-3.5877335203462923</v>
      </c>
      <c r="AH34" s="1282"/>
      <c r="AI34" s="1315">
        <f>AI35-SUM(AI31:AI33)</f>
        <v>303.74199999999996</v>
      </c>
      <c r="AJ34" s="1285">
        <f>AI34/AI14*100</f>
        <v>27.131473427427316</v>
      </c>
      <c r="AK34" s="1287" t="s">
        <v>90</v>
      </c>
      <c r="AL34" s="1282"/>
      <c r="AM34" s="1315">
        <f>AM35-SUM(AM31:AM33)</f>
        <v>320.6880000000001</v>
      </c>
      <c r="AN34" s="1285">
        <f>AM34/AM14*100</f>
        <v>26.994212062748112</v>
      </c>
      <c r="AO34" s="1287">
        <f t="shared" si="56"/>
        <v>5.5790769798052864</v>
      </c>
      <c r="AP34" s="1282"/>
      <c r="AQ34" s="1315">
        <f>AQ35-SUM(AQ31:AQ33)</f>
        <v>333.10699999999997</v>
      </c>
      <c r="AR34" s="1285">
        <f>AQ34/AQ14*100</f>
        <v>27.015078979531086</v>
      </c>
      <c r="AS34" s="1287">
        <f t="shared" si="57"/>
        <v>3.8726113855210853</v>
      </c>
      <c r="AT34" s="1282"/>
      <c r="AU34" s="1315">
        <f>AU35-SUM(AU31:AU33)</f>
        <v>344.21558333300015</v>
      </c>
      <c r="AV34" s="1285">
        <f>AU34/AU14*100</f>
        <v>27.263798220916819</v>
      </c>
      <c r="AW34" s="1287">
        <f t="shared" si="58"/>
        <v>3.3348393558226608</v>
      </c>
      <c r="AX34" s="1282"/>
      <c r="AY34" s="1289">
        <f>374.178</f>
        <v>374.178</v>
      </c>
      <c r="AZ34" s="1285">
        <f>AY34/AY14*100</f>
        <v>28.043502211309946</v>
      </c>
      <c r="BA34" s="1287">
        <f t="shared" si="59"/>
        <v>8.7045497408563488</v>
      </c>
      <c r="BB34" s="1291"/>
      <c r="BC34" s="1289">
        <f>427.168-9.28</f>
        <v>417.88800000000003</v>
      </c>
      <c r="BD34" s="1285">
        <f>BC34/$BC14*100</f>
        <v>28.133747867523201</v>
      </c>
      <c r="BE34" s="1287">
        <f t="shared" si="60"/>
        <v>11.681606080528528</v>
      </c>
      <c r="BF34" s="1291"/>
      <c r="BG34" s="1289">
        <v>422.22800000000001</v>
      </c>
      <c r="BH34" s="1285">
        <f>BG34/$BG14*100</f>
        <v>27.403718532758642</v>
      </c>
      <c r="BI34" s="1287">
        <f t="shared" si="61"/>
        <v>1.0385557852821803</v>
      </c>
      <c r="BK34" s="1289">
        <v>461.69200000000001</v>
      </c>
      <c r="BL34" s="1285">
        <f>BK34/$BK14*100</f>
        <v>27.388496869280988</v>
      </c>
      <c r="BM34" s="1287">
        <f t="shared" si="62"/>
        <v>9.3466089411408113</v>
      </c>
      <c r="BO34" s="1289">
        <v>525.25400000000002</v>
      </c>
      <c r="BP34" s="2218">
        <f>BO34/$BO14*100</f>
        <v>27.119275888578702</v>
      </c>
      <c r="BQ34" s="1287">
        <f t="shared" si="63"/>
        <v>13.767186782530349</v>
      </c>
      <c r="BS34" s="1290">
        <f>BS14*BT34/100</f>
        <v>547.45052733699993</v>
      </c>
      <c r="BT34" s="1321">
        <v>27.1</v>
      </c>
      <c r="BU34" s="1287">
        <f t="shared" si="65"/>
        <v>4.2258654549989005</v>
      </c>
      <c r="BW34" s="1924">
        <f>BQ34+BM34</f>
        <v>23.11379572367116</v>
      </c>
      <c r="BX34" s="1925">
        <f>BQ34+BM34+BI34</f>
        <v>24.152351508953341</v>
      </c>
      <c r="CB34" s="2019"/>
      <c r="CC34" s="2019"/>
    </row>
    <row r="35" spans="1:81">
      <c r="A35" s="1254" t="s">
        <v>85</v>
      </c>
      <c r="B35" s="1282"/>
      <c r="C35" s="1291">
        <f>'yrP&amp;L'!$D$14</f>
        <v>801.09</v>
      </c>
      <c r="D35" s="1285">
        <f t="shared" si="47"/>
        <v>31.369077010851072</v>
      </c>
      <c r="E35" s="1308" t="s">
        <v>90</v>
      </c>
      <c r="F35" s="1282"/>
      <c r="G35" s="1291">
        <f>'yrP&amp;L'!$E$14</f>
        <v>838.74</v>
      </c>
      <c r="H35" s="1285">
        <f t="shared" si="48"/>
        <v>31.318144614447107</v>
      </c>
      <c r="I35" s="1287">
        <f>(G35/C35-1)*100</f>
        <v>4.6998464591993416</v>
      </c>
      <c r="J35" s="1282"/>
      <c r="K35" s="1291">
        <f>'yrP&amp;L'!$F$14</f>
        <v>900.05899999999997</v>
      </c>
      <c r="L35" s="1285">
        <f t="shared" si="49"/>
        <v>31.471034559923915</v>
      </c>
      <c r="M35" s="1287">
        <f>(K35/G35-1)*100</f>
        <v>7.3108472232157773</v>
      </c>
      <c r="N35" s="1282"/>
      <c r="O35" s="1291">
        <f>'yrP&amp;L'!$G$14</f>
        <v>957.75900000000001</v>
      </c>
      <c r="P35" s="1285">
        <f t="shared" si="50"/>
        <v>29.93146532326616</v>
      </c>
      <c r="Q35" s="1287">
        <f>(O35/K35-1)*100</f>
        <v>6.4106908547106434</v>
      </c>
      <c r="R35" s="1282"/>
      <c r="S35" s="1291">
        <f>'yrP&amp;L'!$H$14</f>
        <v>1051.922</v>
      </c>
      <c r="T35" s="1285">
        <f t="shared" si="51"/>
        <v>30.309915938492814</v>
      </c>
      <c r="U35" s="1287">
        <f>(S35/O35-1)*100</f>
        <v>9.8315964663344246</v>
      </c>
      <c r="V35" s="1282"/>
      <c r="W35" s="1291">
        <f>'yrP&amp;L'!$I$14</f>
        <v>1062.4680000000001</v>
      </c>
      <c r="X35" s="1285">
        <f t="shared" si="66"/>
        <v>30.870935264967773</v>
      </c>
      <c r="Y35" s="1287">
        <f t="shared" si="67"/>
        <v>1.002545816134659</v>
      </c>
      <c r="Z35" s="1282"/>
      <c r="AA35" s="1291">
        <f>'yrP&amp;L'!$J$14</f>
        <v>1090.829</v>
      </c>
      <c r="AB35" s="1285">
        <f t="shared" si="52"/>
        <v>31.858574819369196</v>
      </c>
      <c r="AC35" s="1287">
        <f t="shared" si="53"/>
        <v>2.6693509828060513</v>
      </c>
      <c r="AD35" s="1291"/>
      <c r="AE35" s="1291">
        <f>'yrP&amp;L'!$K$14</f>
        <v>1115.248</v>
      </c>
      <c r="AF35" s="1285">
        <f t="shared" si="54"/>
        <v>31.227482361795918</v>
      </c>
      <c r="AG35" s="1287">
        <f t="shared" si="55"/>
        <v>2.2385726818777263</v>
      </c>
      <c r="AH35" s="1282"/>
      <c r="AI35" s="1284">
        <v>1113.96</v>
      </c>
      <c r="AJ35" s="1285">
        <f>AI35/AI15*100</f>
        <v>31.620414236623436</v>
      </c>
      <c r="AK35" s="1287" t="s">
        <v>90</v>
      </c>
      <c r="AL35" s="1282"/>
      <c r="AM35" s="1284">
        <v>1156.6130000000001</v>
      </c>
      <c r="AN35" s="1285">
        <f>AM35/AM15*100</f>
        <v>31.518758710072646</v>
      </c>
      <c r="AO35" s="1287">
        <f t="shared" si="56"/>
        <v>3.828952565621746</v>
      </c>
      <c r="AP35" s="1282"/>
      <c r="AQ35" s="1284">
        <f>1215.774</f>
        <v>1215.7739999999999</v>
      </c>
      <c r="AR35" s="1285">
        <f>AQ35/AQ15*100</f>
        <v>31.544673848911319</v>
      </c>
      <c r="AS35" s="1287">
        <f t="shared" si="57"/>
        <v>5.1150211868619788</v>
      </c>
      <c r="AT35" s="1282"/>
      <c r="AU35" s="1284">
        <v>1289.1741698830001</v>
      </c>
      <c r="AV35" s="1285">
        <f>AU35/AU15*100</f>
        <v>31.620391583440181</v>
      </c>
      <c r="AW35" s="1287">
        <f t="shared" si="58"/>
        <v>6.0373202489114153</v>
      </c>
      <c r="AX35" s="1282"/>
      <c r="AY35" s="1284">
        <f>1391.788</f>
        <v>1391.788</v>
      </c>
      <c r="AZ35" s="1285">
        <f>AY35/AY15*100</f>
        <v>31.435054928251887</v>
      </c>
      <c r="BA35" s="1287">
        <f t="shared" si="59"/>
        <v>7.9596560739587874</v>
      </c>
      <c r="BB35" s="1282"/>
      <c r="BC35" s="1284">
        <f>SUM(BC31:BC34)</f>
        <v>1511.6480000000001</v>
      </c>
      <c r="BD35" s="1285">
        <f>BC35/$BC15*100</f>
        <v>31.397793002145185</v>
      </c>
      <c r="BE35" s="1287">
        <f t="shared" si="60"/>
        <v>8.6119437730459047</v>
      </c>
      <c r="BF35" s="1282"/>
      <c r="BG35" s="1284">
        <f>SUM(BG31:BG34)</f>
        <v>1597.7180000000001</v>
      </c>
      <c r="BH35" s="1285">
        <f>BG35/BG15*100</f>
        <v>31.334365706387146</v>
      </c>
      <c r="BI35" s="1287">
        <f t="shared" si="61"/>
        <v>5.6937858549080067</v>
      </c>
      <c r="BK35" s="1330">
        <f>SUM(BK31:BK34)</f>
        <v>1723.251</v>
      </c>
      <c r="BL35" s="1285">
        <f>BK35/BK15*100</f>
        <v>30.960101242571469</v>
      </c>
      <c r="BM35" s="1287">
        <f t="shared" si="62"/>
        <v>7.8570185727393715</v>
      </c>
      <c r="BO35" s="1291">
        <f>SUM(BO31:BO34)</f>
        <v>1863.5</v>
      </c>
      <c r="BP35" s="1285">
        <f>BO35/BO15*100</f>
        <v>30.62566415865458</v>
      </c>
      <c r="BQ35" s="1287">
        <f t="shared" si="63"/>
        <v>8.1386286733621471</v>
      </c>
      <c r="BS35" s="1291">
        <f>SUM(BS31:BS34)</f>
        <v>2016.433830767297</v>
      </c>
      <c r="BT35" s="1285">
        <f>BS35/BS15*100</f>
        <v>30.610548645515074</v>
      </c>
      <c r="BU35" s="1287">
        <f t="shared" si="65"/>
        <v>8.2068060513709185</v>
      </c>
      <c r="BV35" s="2141">
        <f>BP35-BL35</f>
        <v>-0.33443708391688887</v>
      </c>
      <c r="BW35" s="1926">
        <f>BQ35+BM35</f>
        <v>15.99564724610152</v>
      </c>
      <c r="BX35" s="1927">
        <f>BQ35+BM35+BI35</f>
        <v>21.689433101009527</v>
      </c>
      <c r="CB35" s="2019"/>
      <c r="CC35" s="2019"/>
    </row>
    <row r="36" spans="1:81" ht="15.75" customHeight="1">
      <c r="A36" s="1254" t="s">
        <v>87</v>
      </c>
      <c r="B36" s="1282"/>
      <c r="C36" s="1292">
        <f>C31+C32</f>
        <v>399.733</v>
      </c>
      <c r="D36" s="1285">
        <f t="shared" si="47"/>
        <v>33.123439051108797</v>
      </c>
      <c r="E36" s="1308" t="s">
        <v>90</v>
      </c>
      <c r="F36" s="1282"/>
      <c r="G36" s="1292">
        <f>G31+G32</f>
        <v>425.14</v>
      </c>
      <c r="H36" s="1285">
        <f t="shared" si="48"/>
        <v>32.625127963496439</v>
      </c>
      <c r="I36" s="1322" t="s">
        <v>90</v>
      </c>
      <c r="J36" s="1282"/>
      <c r="K36" s="1292">
        <f>K31+K32</f>
        <v>444.899</v>
      </c>
      <c r="L36" s="1285">
        <f t="shared" si="49"/>
        <v>33.56243955503453</v>
      </c>
      <c r="M36" s="1322" t="s">
        <v>90</v>
      </c>
      <c r="N36" s="1282"/>
      <c r="O36" s="1292">
        <f>O31+O32</f>
        <v>467.49800000000005</v>
      </c>
      <c r="P36" s="1285">
        <f t="shared" si="50"/>
        <v>32.008900908919742</v>
      </c>
      <c r="Q36" s="1322" t="s">
        <v>90</v>
      </c>
      <c r="R36" s="1282"/>
      <c r="S36" s="1292">
        <f>S31+S32</f>
        <v>498.66700000000003</v>
      </c>
      <c r="T36" s="1285">
        <f t="shared" si="51"/>
        <v>30.932796889519125</v>
      </c>
      <c r="U36" s="1322" t="s">
        <v>90</v>
      </c>
      <c r="V36" s="1282"/>
      <c r="W36" s="1292">
        <f>W31+W32</f>
        <v>534.64100000000008</v>
      </c>
      <c r="X36" s="1285">
        <f t="shared" si="66"/>
        <v>32.18466295080507</v>
      </c>
      <c r="Y36" s="1287">
        <f t="shared" si="67"/>
        <v>7.2140326109407793</v>
      </c>
      <c r="Z36" s="1282"/>
      <c r="AA36" s="1292">
        <f>AA31+AA32</f>
        <v>529.28800000000001</v>
      </c>
      <c r="AB36" s="1285">
        <f t="shared" si="52"/>
        <v>32.250100231660042</v>
      </c>
      <c r="AC36" s="1287">
        <f t="shared" si="53"/>
        <v>-1.0012326028119967</v>
      </c>
      <c r="AD36" s="1282"/>
      <c r="AE36" s="1292">
        <f>AE31+AE32</f>
        <v>571.90599999999995</v>
      </c>
      <c r="AF36" s="1285">
        <f t="shared" si="54"/>
        <v>33.178648235180134</v>
      </c>
      <c r="AG36" s="1287">
        <f t="shared" si="55"/>
        <v>8.0519490334184596</v>
      </c>
      <c r="AH36" s="1282"/>
      <c r="AI36" s="1292">
        <f>AI31+AI32</f>
        <v>528.649</v>
      </c>
      <c r="AJ36" s="1285">
        <f>AI36/AI$16*100</f>
        <v>34.529180200663475</v>
      </c>
      <c r="AK36" s="1287" t="s">
        <v>90</v>
      </c>
      <c r="AL36" s="1282"/>
      <c r="AM36" s="1292">
        <f>AM31+AM32</f>
        <v>550.30700000000002</v>
      </c>
      <c r="AN36" s="1285">
        <f>AM36/AM$16*100</f>
        <v>33.897838401210286</v>
      </c>
      <c r="AO36" s="1287">
        <f t="shared" si="56"/>
        <v>4.0968582178345203</v>
      </c>
      <c r="AP36" s="1282"/>
      <c r="AQ36" s="1292">
        <f>AQ31+AQ32</f>
        <v>565.5329999999999</v>
      </c>
      <c r="AR36" s="1285">
        <f>AQ36/AQ$16*100</f>
        <v>32.833438804479712</v>
      </c>
      <c r="AS36" s="1287">
        <f t="shared" si="57"/>
        <v>2.7668192481650866</v>
      </c>
      <c r="AT36" s="1282"/>
      <c r="AU36" s="1292">
        <f>AU31+AU32</f>
        <v>609.98358654999993</v>
      </c>
      <c r="AV36" s="1285">
        <f>AU36/AU$16*100</f>
        <v>33.032740787708789</v>
      </c>
      <c r="AW36" s="1287">
        <f t="shared" si="58"/>
        <v>7.8599456707212578</v>
      </c>
      <c r="AX36" s="1282"/>
      <c r="AY36" s="1292">
        <f>AY31+AY32</f>
        <v>654.46100000000001</v>
      </c>
      <c r="AZ36" s="1285">
        <f>AY36/AY$16*100</f>
        <v>32.259735676218156</v>
      </c>
      <c r="BA36" s="1287">
        <f t="shared" si="59"/>
        <v>7.2915754506706287</v>
      </c>
      <c r="BB36" s="1282"/>
      <c r="BC36" s="1292">
        <f>BC31+BC32</f>
        <v>697.04700000000003</v>
      </c>
      <c r="BD36" s="1285">
        <f>BC36/BC$16*100</f>
        <v>32.09461979418468</v>
      </c>
      <c r="BE36" s="1287">
        <f t="shared" si="60"/>
        <v>6.5070340325855902</v>
      </c>
      <c r="BF36" s="1282"/>
      <c r="BG36" s="1292">
        <f>BG31+BG32</f>
        <v>759.28499999999997</v>
      </c>
      <c r="BH36" s="1285">
        <f>BG36/BG$16*100</f>
        <v>32.625467445430864</v>
      </c>
      <c r="BI36" s="1287">
        <f t="shared" si="61"/>
        <v>8.9288096785439031</v>
      </c>
      <c r="BK36" s="1292">
        <f>BK31+BK32</f>
        <v>810.48699999999997</v>
      </c>
      <c r="BL36" s="1285">
        <f>BK36/BK$16*100</f>
        <v>31.937567654152954</v>
      </c>
      <c r="BM36" s="1287">
        <f t="shared" si="62"/>
        <v>6.7434494293973968</v>
      </c>
      <c r="BO36" s="1292">
        <f>BO31+BO32</f>
        <v>858.05200000000002</v>
      </c>
      <c r="BP36" s="1285">
        <f>BO36/BO$16*100</f>
        <v>31.665122870206698</v>
      </c>
      <c r="BQ36" s="1287">
        <f t="shared" si="63"/>
        <v>5.8686937606649003</v>
      </c>
      <c r="BS36" s="1292">
        <f>BS31+BS32</f>
        <v>942.56792759626205</v>
      </c>
      <c r="BT36" s="1285">
        <f>BS36/BS$16*100</f>
        <v>31.57663368791518</v>
      </c>
      <c r="BU36" s="1287">
        <f t="shared" si="65"/>
        <v>9.8497442574881244</v>
      </c>
      <c r="BW36" s="1933"/>
      <c r="BX36" s="1934"/>
    </row>
    <row r="37" spans="1:81">
      <c r="A37" s="1254" t="s">
        <v>88</v>
      </c>
      <c r="B37" s="1282"/>
      <c r="C37" s="1292">
        <f>C31+C32+C33</f>
        <v>607.35400000000004</v>
      </c>
      <c r="D37" s="1285">
        <f t="shared" si="47"/>
        <v>30.453777602393167</v>
      </c>
      <c r="E37" s="1308" t="s">
        <v>90</v>
      </c>
      <c r="F37" s="1282"/>
      <c r="G37" s="1292">
        <f>G31+G32+G33</f>
        <v>639.22</v>
      </c>
      <c r="H37" s="1285">
        <f t="shared" si="48"/>
        <v>30.283936182107261</v>
      </c>
      <c r="I37" s="1322" t="s">
        <v>90</v>
      </c>
      <c r="J37" s="1282"/>
      <c r="K37" s="1292">
        <f>K31+K32+K33</f>
        <v>670.68899999999996</v>
      </c>
      <c r="L37" s="1285">
        <f t="shared" si="49"/>
        <v>30.718176830044669</v>
      </c>
      <c r="M37" s="1322" t="s">
        <v>90</v>
      </c>
      <c r="N37" s="1282"/>
      <c r="O37" s="1292">
        <f>O31+O32+O33</f>
        <v>704.32100000000003</v>
      </c>
      <c r="P37" s="1285">
        <f t="shared" si="50"/>
        <v>28.911280358402163</v>
      </c>
      <c r="Q37" s="1322" t="s">
        <v>90</v>
      </c>
      <c r="R37" s="1282"/>
      <c r="S37" s="1292">
        <f>S31+S32+S33</f>
        <v>766.00900000000001</v>
      </c>
      <c r="T37" s="1285">
        <f t="shared" si="51"/>
        <v>28.970193576105245</v>
      </c>
      <c r="U37" s="1322" t="s">
        <v>90</v>
      </c>
      <c r="V37" s="1282"/>
      <c r="W37" s="1292">
        <f>W31+W32+W33</f>
        <v>790.96</v>
      </c>
      <c r="X37" s="1285">
        <f t="shared" si="66"/>
        <v>29.743333264392501</v>
      </c>
      <c r="Y37" s="1287">
        <f t="shared" si="67"/>
        <v>3.2572724341358938</v>
      </c>
      <c r="Z37" s="1282"/>
      <c r="AA37" s="1292">
        <f>AA31+AA32+AA33</f>
        <v>802.79200000000003</v>
      </c>
      <c r="AB37" s="1285">
        <f t="shared" si="52"/>
        <v>30.450149331630012</v>
      </c>
      <c r="AC37" s="1287">
        <f t="shared" si="53"/>
        <v>1.4959037119449681</v>
      </c>
      <c r="AD37" s="1282"/>
      <c r="AE37" s="1292">
        <f>AE31+AE32+AE33</f>
        <v>837.54499999999996</v>
      </c>
      <c r="AF37" s="1285">
        <f t="shared" si="54"/>
        <v>30.421976454110506</v>
      </c>
      <c r="AG37" s="1287">
        <f t="shared" si="55"/>
        <v>4.329016731606683</v>
      </c>
      <c r="AH37" s="1282"/>
      <c r="AI37" s="1292">
        <f>AI31+AI32+AI33</f>
        <v>810.21800000000007</v>
      </c>
      <c r="AJ37" s="1285">
        <f>AI37/AI$17*100</f>
        <v>33.711395754755259</v>
      </c>
      <c r="AK37" s="1287" t="s">
        <v>90</v>
      </c>
      <c r="AL37" s="1282"/>
      <c r="AM37" s="1292">
        <f>AM31+AM32+AM33</f>
        <v>835.92499999999995</v>
      </c>
      <c r="AN37" s="1285">
        <f>AM37/AM$17*100</f>
        <v>33.684730985560208</v>
      </c>
      <c r="AO37" s="1287">
        <f t="shared" si="56"/>
        <v>3.1728497762330443</v>
      </c>
      <c r="AP37" s="1282"/>
      <c r="AQ37" s="1292">
        <f>AQ31+AQ32+AQ33</f>
        <v>882.66699999999992</v>
      </c>
      <c r="AR37" s="1285">
        <f>AQ37/AQ$17*100</f>
        <v>33.675531543520201</v>
      </c>
      <c r="AS37" s="1287">
        <f t="shared" si="57"/>
        <v>5.5916499685976673</v>
      </c>
      <c r="AT37" s="1282"/>
      <c r="AU37" s="1292">
        <f>AU31+AU32+AU33</f>
        <v>944.95858654999995</v>
      </c>
      <c r="AV37" s="1285">
        <f>AU37/AU$17*100</f>
        <v>33.574687850064997</v>
      </c>
      <c r="AW37" s="1287">
        <f t="shared" si="58"/>
        <v>7.0572012491687097</v>
      </c>
      <c r="AX37" s="1282"/>
      <c r="AY37" s="1292">
        <f>AY31+AY32+AY33</f>
        <v>1017.61</v>
      </c>
      <c r="AZ37" s="1285">
        <f>AY37/AY$17*100</f>
        <v>32.898016504451988</v>
      </c>
      <c r="BA37" s="1287">
        <f t="shared" si="59"/>
        <v>7.6883171902005776</v>
      </c>
      <c r="BB37" s="1282"/>
      <c r="BC37" s="1292">
        <f>BC31+BC32+BC33</f>
        <v>1093.76</v>
      </c>
      <c r="BD37" s="1285">
        <f>BC37/BC$17*100</f>
        <v>32.854110758868202</v>
      </c>
      <c r="BE37" s="1287">
        <f t="shared" si="60"/>
        <v>7.4832204872200547</v>
      </c>
      <c r="BF37" s="1282"/>
      <c r="BG37" s="1292">
        <f>BG31+BG32+BG33</f>
        <v>1175.49</v>
      </c>
      <c r="BH37" s="1285">
        <f>BG37/BG$17*100</f>
        <v>33.036429191130367</v>
      </c>
      <c r="BI37" s="1287">
        <f t="shared" si="61"/>
        <v>7.4723888238736214</v>
      </c>
      <c r="BK37" s="1292">
        <f>BK31+BK32+BK33</f>
        <v>1261.559</v>
      </c>
      <c r="BL37" s="1285">
        <f>BK37/BK$17*100</f>
        <v>32.511700701204518</v>
      </c>
      <c r="BM37" s="1287">
        <f t="shared" si="62"/>
        <v>7.3219678602114868</v>
      </c>
      <c r="BO37" s="1292">
        <f>BO31+BO32+BO33</f>
        <v>1338.2460000000001</v>
      </c>
      <c r="BP37" s="1285">
        <f>BO37/BO$17*100</f>
        <v>32.262929740736176</v>
      </c>
      <c r="BQ37" s="1287">
        <f t="shared" si="63"/>
        <v>6.0787485959832299</v>
      </c>
      <c r="BS37" s="1292">
        <f>BS31+BS32+BS33</f>
        <v>1468.9833034302969</v>
      </c>
      <c r="BT37" s="1285">
        <f>BS37/BS$17*100</f>
        <v>32.163271480179219</v>
      </c>
      <c r="BU37" s="1287">
        <f t="shared" si="65"/>
        <v>9.7693027612484329</v>
      </c>
      <c r="BW37" s="1935"/>
      <c r="BX37" s="1936"/>
    </row>
    <row r="38" spans="1:81">
      <c r="BF38" s="1602"/>
      <c r="BQ38" s="2248">
        <f>0.001*BO15</f>
        <v>6.0847660000000001</v>
      </c>
      <c r="BS38" s="2249"/>
    </row>
    <row r="39" spans="1:81">
      <c r="A39" s="1251" t="s">
        <v>897</v>
      </c>
      <c r="B39" s="1281"/>
      <c r="C39" s="1281"/>
      <c r="D39" s="1281"/>
      <c r="E39" s="1281"/>
      <c r="F39" s="1281"/>
      <c r="G39" s="1281"/>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51"/>
      <c r="AZ39" s="1281"/>
      <c r="BA39" s="1281"/>
      <c r="BB39" s="1282"/>
      <c r="BC39" s="1281"/>
      <c r="BD39" s="1281"/>
      <c r="BE39" s="1281"/>
      <c r="BF39" s="2264" t="str">
        <f>A39</f>
        <v>4. Costs related to debt amendments, secondary offerings and other (% of Sales)</v>
      </c>
      <c r="BG39" s="2264"/>
      <c r="BH39" s="2264"/>
      <c r="BI39" s="2264"/>
      <c r="BJ39" s="2264"/>
      <c r="BK39" s="2264"/>
      <c r="BL39" s="2264"/>
      <c r="BM39" s="2264"/>
      <c r="BN39" s="1663"/>
      <c r="BO39" s="1663"/>
      <c r="BP39" s="2214"/>
      <c r="BQ39" s="2214"/>
      <c r="BR39" s="2214"/>
      <c r="BS39" s="2214"/>
      <c r="BT39" s="2147"/>
      <c r="BU39" s="2214"/>
    </row>
    <row r="40" spans="1:81" outlineLevel="1">
      <c r="A40" s="1251"/>
      <c r="B40" s="1281"/>
      <c r="C40" s="1281"/>
      <c r="D40" s="1281"/>
      <c r="E40" s="1281"/>
      <c r="F40" s="1281"/>
      <c r="G40" s="1281"/>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2"/>
      <c r="BC40" s="1318"/>
      <c r="BD40" s="1281"/>
      <c r="BE40" s="1319"/>
      <c r="BF40" s="1282"/>
      <c r="BG40" s="1318"/>
      <c r="BH40" s="1281"/>
      <c r="BI40" s="1281"/>
      <c r="BK40" s="1318"/>
      <c r="BL40" s="1281"/>
      <c r="BM40" s="1281"/>
      <c r="BO40" s="1318"/>
      <c r="BP40" s="2215"/>
      <c r="BQ40" s="2215"/>
      <c r="BS40" s="2216"/>
      <c r="BT40" s="2215"/>
      <c r="BU40" s="2215"/>
    </row>
    <row r="41" spans="1:81" outlineLevel="1">
      <c r="A41" s="1254" t="s">
        <v>79</v>
      </c>
      <c r="D41" s="1285">
        <f>(C41/C11)*100</f>
        <v>0</v>
      </c>
      <c r="E41" s="1287" t="str">
        <f>IFERROR(((C41/#REF!-1)*100),"-")</f>
        <v>-</v>
      </c>
      <c r="H41" s="1285">
        <f>(G41/G11)*100</f>
        <v>0</v>
      </c>
      <c r="I41" s="1287" t="str">
        <f>IFERROR(((G41/C41-1)*100),"-")</f>
        <v>-</v>
      </c>
      <c r="L41" s="1285">
        <f>(K41/K11)*100</f>
        <v>0</v>
      </c>
      <c r="M41" s="1287" t="str">
        <f>IFERROR(((K41/G41-1)*100),"-")</f>
        <v>-</v>
      </c>
      <c r="P41" s="1285">
        <f>(O41/O11)*100</f>
        <v>0</v>
      </c>
      <c r="Q41" s="1287" t="str">
        <f>IFERROR(((O41/K41-1)*100),"-")</f>
        <v>-</v>
      </c>
      <c r="T41" s="1285">
        <f>(S41/S11)*100</f>
        <v>0</v>
      </c>
      <c r="U41" s="1287" t="str">
        <f>IFERROR(((S41/O41-1)*100),"-")</f>
        <v>-</v>
      </c>
      <c r="X41" s="1285">
        <f>(W41/W11)*100</f>
        <v>0</v>
      </c>
      <c r="Y41" s="1287" t="str">
        <f>IFERROR(((W41/S41-1)*100),"-")</f>
        <v>-</v>
      </c>
      <c r="AB41" s="1285">
        <f>(AA41/AA11)*100</f>
        <v>0</v>
      </c>
      <c r="AC41" s="1287" t="str">
        <f>IFERROR(((AA41/W41-1)*100),"-")</f>
        <v>-</v>
      </c>
      <c r="AF41" s="1285">
        <f>(AE41/AE11)*100</f>
        <v>0</v>
      </c>
      <c r="AG41" s="1287" t="str">
        <f>IFERROR(((AE41/AA41-1)*100),"-")</f>
        <v>-</v>
      </c>
      <c r="AI41" s="1266">
        <v>0</v>
      </c>
      <c r="AJ41" s="1285">
        <f t="shared" ref="AJ41:AJ47" si="68">(AI41/AI11)*100</f>
        <v>0</v>
      </c>
      <c r="AK41" s="1287" t="str">
        <f t="shared" ref="AK41:AK47" si="69">IFERROR(((AI41/AE41-1)*100),"-")</f>
        <v>-</v>
      </c>
      <c r="AM41" s="1266">
        <v>0</v>
      </c>
      <c r="AN41" s="1285">
        <f t="shared" ref="AN41:AN47" si="70">(AM41/AM11)*100</f>
        <v>0</v>
      </c>
      <c r="AO41" s="1287" t="str">
        <f>IFERROR(((AM41/AJ41-1)*100),"-")</f>
        <v>-</v>
      </c>
      <c r="AQ41" s="1257">
        <v>0</v>
      </c>
      <c r="AR41" s="1285">
        <f t="shared" ref="AR41:AR47" si="71">(AQ41/AQ11)*100</f>
        <v>0</v>
      </c>
      <c r="AS41" s="1287" t="str">
        <f t="shared" ref="AS41:AS47" si="72">IFERROR(((AQ41/AM41-1)*100),"-")</f>
        <v>-</v>
      </c>
      <c r="AT41" s="1244"/>
      <c r="AU41" s="1296">
        <v>0</v>
      </c>
      <c r="AV41" s="1285">
        <f t="shared" ref="AV41:AV47" si="73">(AU41/AU11)*100</f>
        <v>0</v>
      </c>
      <c r="AW41" s="1287" t="str">
        <f t="shared" ref="AW41:AW47" si="74">IFERROR(((AU41/AQ41-1)*100),"-")</f>
        <v>-</v>
      </c>
      <c r="AX41" s="1244"/>
      <c r="AY41" s="1267">
        <v>8.8539999999999992</v>
      </c>
      <c r="AZ41" s="1285">
        <f t="shared" ref="AZ41:AZ47" si="75">(AY41/AY11)*100</f>
        <v>0.83135135439661312</v>
      </c>
      <c r="BA41" s="1287" t="str">
        <f t="shared" ref="BA41:BA47" si="76">IFERROR(((AY41/AU41-1)*100),"-")</f>
        <v>-</v>
      </c>
      <c r="BB41" s="1252"/>
      <c r="BC41" s="1267">
        <v>0.42399999999999999</v>
      </c>
      <c r="BD41" s="1285">
        <f t="shared" ref="BD41:BD47" si="77">(BC41/BC11)*100</f>
        <v>3.7579690658876563E-2</v>
      </c>
      <c r="BE41" s="1287">
        <f t="shared" ref="BE41:BE47" si="78">IFERROR(((BC41/AY41-1)*100),"-")</f>
        <v>-95.211203975604235</v>
      </c>
      <c r="BF41" s="1252"/>
      <c r="BG41" s="1257">
        <v>0.25900000000000001</v>
      </c>
      <c r="BH41" s="1285">
        <f t="shared" ref="BH41:BH47" si="79">(BG41/BG11)*100</f>
        <v>2.1892399280171154E-2</v>
      </c>
      <c r="BI41" s="1287">
        <f t="shared" ref="BI41:BI47" si="80">IFERROR(((BG41/BC41-1)*100),"-")</f>
        <v>-38.915094339622634</v>
      </c>
      <c r="BK41" s="1257">
        <v>0</v>
      </c>
      <c r="BL41" s="1285">
        <f t="shared" ref="BL41:BL47" si="81">(BK41/BK11)*100</f>
        <v>0</v>
      </c>
      <c r="BM41" s="1287">
        <f t="shared" ref="BM41:BM47" si="82">IFERROR(((BK41/BG41-1)*100),"-")</f>
        <v>-100</v>
      </c>
      <c r="BO41" s="1257">
        <v>0</v>
      </c>
      <c r="BP41" s="1285">
        <f t="shared" ref="BP41:BP47" si="83">(BO41/BO11)*100</f>
        <v>0</v>
      </c>
      <c r="BQ41" s="1287" t="str">
        <f t="shared" ref="BQ41:BQ47" si="84">IFERROR(((BO41/BK41-1)*100),"-")</f>
        <v>-</v>
      </c>
      <c r="BS41" s="1257">
        <v>0</v>
      </c>
      <c r="BT41" s="1285">
        <f t="shared" ref="BT41:BT44" si="85">(BS41/BS11)*100</f>
        <v>0</v>
      </c>
      <c r="BU41" s="1287" t="str">
        <f t="shared" ref="BU41:BU47" si="86">IFERROR(((BS41/BO41-1)*100),"-")</f>
        <v>-</v>
      </c>
    </row>
    <row r="42" spans="1:81" outlineLevel="1">
      <c r="A42" s="1254" t="s">
        <v>80</v>
      </c>
      <c r="C42" s="1268"/>
      <c r="D42" s="1285">
        <f>(C42/C12)*100</f>
        <v>0</v>
      </c>
      <c r="E42" s="1287" t="str">
        <f>IFERROR(((C42/#REF!-1)*100),"-")</f>
        <v>-</v>
      </c>
      <c r="G42" s="1268"/>
      <c r="H42" s="1285">
        <f>(G42/G12)*100</f>
        <v>0</v>
      </c>
      <c r="I42" s="1287" t="str">
        <f>IFERROR(((G42/C42-1)*100),"-")</f>
        <v>-</v>
      </c>
      <c r="K42" s="1268"/>
      <c r="L42" s="1285">
        <f>(K42/K12)*100</f>
        <v>0</v>
      </c>
      <c r="M42" s="1287" t="str">
        <f>IFERROR(((K42/G42-1)*100),"-")</f>
        <v>-</v>
      </c>
      <c r="O42" s="1268"/>
      <c r="P42" s="1285">
        <f>(O42/O12)*100</f>
        <v>0</v>
      </c>
      <c r="Q42" s="1287" t="str">
        <f>IFERROR(((O42/K42-1)*100),"-")</f>
        <v>-</v>
      </c>
      <c r="S42" s="1268"/>
      <c r="T42" s="1285">
        <f>(S42/S12)*100</f>
        <v>0</v>
      </c>
      <c r="U42" s="1287" t="str">
        <f>IFERROR(((S42/O42-1)*100),"-")</f>
        <v>-</v>
      </c>
      <c r="W42" s="1268"/>
      <c r="X42" s="1285">
        <f>(W42/W12)*100</f>
        <v>0</v>
      </c>
      <c r="Y42" s="1287" t="str">
        <f>IFERROR(((W42/S42-1)*100),"-")</f>
        <v>-</v>
      </c>
      <c r="AA42" s="1268"/>
      <c r="AB42" s="1285">
        <f>(AA42/AA12)*100</f>
        <v>0</v>
      </c>
      <c r="AC42" s="1287" t="str">
        <f>IFERROR(((AA42/W42-1)*100),"-")</f>
        <v>-</v>
      </c>
      <c r="AE42" s="1268"/>
      <c r="AF42" s="1285">
        <f>(AE42/AE12)*100</f>
        <v>0</v>
      </c>
      <c r="AG42" s="1287" t="str">
        <f>IFERROR(((AE42/AA42-1)*100),"-")</f>
        <v>-</v>
      </c>
      <c r="AI42" s="1259">
        <v>0</v>
      </c>
      <c r="AJ42" s="1285">
        <f t="shared" si="68"/>
        <v>0</v>
      </c>
      <c r="AK42" s="1287" t="str">
        <f t="shared" si="69"/>
        <v>-</v>
      </c>
      <c r="AL42" s="1269"/>
      <c r="AM42" s="1259">
        <v>0</v>
      </c>
      <c r="AN42" s="1285">
        <f t="shared" si="70"/>
        <v>0</v>
      </c>
      <c r="AO42" s="1287" t="str">
        <f>IFERROR(((AM42/AJ42-1)*100),"-")</f>
        <v>-</v>
      </c>
      <c r="AP42" s="1269"/>
      <c r="AQ42" s="1260">
        <v>0</v>
      </c>
      <c r="AR42" s="1285">
        <f t="shared" si="71"/>
        <v>0</v>
      </c>
      <c r="AS42" s="1287" t="str">
        <f t="shared" si="72"/>
        <v>-</v>
      </c>
      <c r="AT42" s="1244"/>
      <c r="AU42" s="1297">
        <v>3.9039999999999999</v>
      </c>
      <c r="AV42" s="1285">
        <f t="shared" si="73"/>
        <v>0.4517570968622045</v>
      </c>
      <c r="AW42" s="1287" t="str">
        <f t="shared" si="74"/>
        <v>-</v>
      </c>
      <c r="AX42" s="1244"/>
      <c r="AY42" s="1279">
        <v>2.6030000000000002</v>
      </c>
      <c r="AZ42" s="1285">
        <f t="shared" si="75"/>
        <v>0.27010172136667532</v>
      </c>
      <c r="BA42" s="1287">
        <f t="shared" si="76"/>
        <v>-33.32479508196721</v>
      </c>
      <c r="BB42" s="1252"/>
      <c r="BC42" s="1279">
        <v>0.91700000000000004</v>
      </c>
      <c r="BD42" s="1285">
        <f t="shared" si="77"/>
        <v>8.7870515082202547E-2</v>
      </c>
      <c r="BE42" s="1287">
        <f t="shared" si="78"/>
        <v>-64.771417595082596</v>
      </c>
      <c r="BF42" s="1252"/>
      <c r="BG42" s="1279">
        <v>-1.2E-2</v>
      </c>
      <c r="BH42" s="1285">
        <f t="shared" si="79"/>
        <v>-1.0487511995091845E-3</v>
      </c>
      <c r="BI42" s="1287">
        <f t="shared" si="80"/>
        <v>-101.30861504907307</v>
      </c>
      <c r="BK42" s="1279">
        <v>1.3460000000000001</v>
      </c>
      <c r="BL42" s="1285">
        <f t="shared" si="81"/>
        <v>0.10724646688227508</v>
      </c>
      <c r="BM42" s="1287">
        <f t="shared" si="82"/>
        <v>-11316.666666666668</v>
      </c>
      <c r="BO42" s="1279">
        <v>0</v>
      </c>
      <c r="BP42" s="1285">
        <f t="shared" si="83"/>
        <v>0</v>
      </c>
      <c r="BQ42" s="1287">
        <f t="shared" si="84"/>
        <v>-100</v>
      </c>
      <c r="BS42" s="1279">
        <v>0</v>
      </c>
      <c r="BT42" s="1285">
        <f t="shared" si="85"/>
        <v>0</v>
      </c>
      <c r="BU42" s="1287" t="str">
        <f t="shared" si="86"/>
        <v>-</v>
      </c>
    </row>
    <row r="43" spans="1:81" ht="11.25" customHeight="1" outlineLevel="1">
      <c r="A43" s="1254" t="s">
        <v>81</v>
      </c>
      <c r="C43" s="1268"/>
      <c r="D43" s="1285">
        <f>(C43/C13)*100</f>
        <v>0</v>
      </c>
      <c r="E43" s="1287" t="str">
        <f>IFERROR(((C43/#REF!-1)*100),"-")</f>
        <v>-</v>
      </c>
      <c r="G43" s="1268"/>
      <c r="H43" s="1285">
        <f>(G43/G13)*100</f>
        <v>0</v>
      </c>
      <c r="I43" s="1287" t="str">
        <f>IFERROR(((G43/C43-1)*100),"-")</f>
        <v>-</v>
      </c>
      <c r="K43" s="1268"/>
      <c r="L43" s="1285">
        <f>(K43/K13)*100</f>
        <v>0</v>
      </c>
      <c r="M43" s="1287" t="str">
        <f>IFERROR(((K43/G43-1)*100),"-")</f>
        <v>-</v>
      </c>
      <c r="O43" s="1268"/>
      <c r="P43" s="1285">
        <f>(O43/O13)*100</f>
        <v>0</v>
      </c>
      <c r="Q43" s="1287" t="str">
        <f>IFERROR(((O43/K43-1)*100),"-")</f>
        <v>-</v>
      </c>
      <c r="S43" s="1268"/>
      <c r="T43" s="1285">
        <f>(S43/S13)*100</f>
        <v>0</v>
      </c>
      <c r="U43" s="1287" t="str">
        <f>IFERROR(((S43/O43-1)*100),"-")</f>
        <v>-</v>
      </c>
      <c r="W43" s="1268"/>
      <c r="X43" s="1285">
        <f>(W43/W13)*100</f>
        <v>0</v>
      </c>
      <c r="Y43" s="1287" t="str">
        <f>IFERROR(((W43/S43-1)*100),"-")</f>
        <v>-</v>
      </c>
      <c r="AA43" s="1268"/>
      <c r="AB43" s="1285">
        <f>(AA43/AA13)*100</f>
        <v>0</v>
      </c>
      <c r="AC43" s="1287" t="str">
        <f>IFERROR(((AA43/W43-1)*100),"-")</f>
        <v>-</v>
      </c>
      <c r="AE43" s="1268"/>
      <c r="AF43" s="1285">
        <f>(AE43/AE13)*100</f>
        <v>0</v>
      </c>
      <c r="AG43" s="1287" t="str">
        <f>IFERROR(((AE43/AA43-1)*100),"-")</f>
        <v>-</v>
      </c>
      <c r="AI43" s="1260">
        <v>0</v>
      </c>
      <c r="AJ43" s="1285">
        <f t="shared" si="68"/>
        <v>0</v>
      </c>
      <c r="AK43" s="1287" t="str">
        <f t="shared" si="69"/>
        <v>-</v>
      </c>
      <c r="AL43" s="1269"/>
      <c r="AM43" s="1260">
        <v>0</v>
      </c>
      <c r="AN43" s="1285">
        <f t="shared" si="70"/>
        <v>0</v>
      </c>
      <c r="AO43" s="1287" t="str">
        <f>IFERROR(((AM43/AJ43-1)*100),"-")</f>
        <v>-</v>
      </c>
      <c r="AP43" s="1269"/>
      <c r="AQ43" s="1260">
        <v>0</v>
      </c>
      <c r="AR43" s="1285">
        <f t="shared" si="71"/>
        <v>0</v>
      </c>
      <c r="AS43" s="1287" t="str">
        <f t="shared" si="72"/>
        <v>-</v>
      </c>
      <c r="AT43" s="1244"/>
      <c r="AU43" s="1297">
        <v>0.13100000000000001</v>
      </c>
      <c r="AV43" s="1285">
        <f t="shared" si="73"/>
        <v>1.3534539939290872E-2</v>
      </c>
      <c r="AW43" s="1287" t="str">
        <f t="shared" si="74"/>
        <v>-</v>
      </c>
      <c r="AX43" s="1244"/>
      <c r="AY43" s="1279">
        <v>10.506</v>
      </c>
      <c r="AZ43" s="1285">
        <f t="shared" si="75"/>
        <v>0.98694037211766639</v>
      </c>
      <c r="BA43" s="1287">
        <f t="shared" si="76"/>
        <v>7919.8473282442746</v>
      </c>
      <c r="BB43" s="1252"/>
      <c r="BC43" s="1279">
        <v>0.58899999999999997</v>
      </c>
      <c r="BD43" s="1285">
        <f t="shared" si="77"/>
        <v>5.089467480981464E-2</v>
      </c>
      <c r="BE43" s="1287">
        <f t="shared" si="78"/>
        <v>-94.3936798020179</v>
      </c>
      <c r="BF43" s="1252"/>
      <c r="BG43" s="1279">
        <v>0</v>
      </c>
      <c r="BH43" s="1285">
        <f t="shared" si="79"/>
        <v>0</v>
      </c>
      <c r="BI43" s="1287">
        <f t="shared" si="80"/>
        <v>-100</v>
      </c>
      <c r="BK43" s="1279">
        <v>0</v>
      </c>
      <c r="BL43" s="1285">
        <f t="shared" si="81"/>
        <v>0</v>
      </c>
      <c r="BM43" s="1287" t="str">
        <f t="shared" si="82"/>
        <v>-</v>
      </c>
      <c r="BO43" s="1279">
        <v>0</v>
      </c>
      <c r="BP43" s="1285">
        <f t="shared" si="83"/>
        <v>0</v>
      </c>
      <c r="BQ43" s="1287" t="str">
        <f t="shared" si="84"/>
        <v>-</v>
      </c>
      <c r="BS43" s="1279">
        <v>0</v>
      </c>
      <c r="BT43" s="1285">
        <f t="shared" si="85"/>
        <v>0</v>
      </c>
      <c r="BU43" s="1287" t="str">
        <f t="shared" si="86"/>
        <v>-</v>
      </c>
    </row>
    <row r="44" spans="1:81" outlineLevel="1">
      <c r="A44" s="1254" t="s">
        <v>82</v>
      </c>
      <c r="C44" s="1273"/>
      <c r="D44" s="1285">
        <f>(C44/C14)*100</f>
        <v>0</v>
      </c>
      <c r="E44" s="1287" t="str">
        <f>IFERROR(((C44/#REF!-1)*100),"-")</f>
        <v>-</v>
      </c>
      <c r="G44" s="1273"/>
      <c r="H44" s="1285">
        <f>(G44/G14)*100</f>
        <v>0</v>
      </c>
      <c r="I44" s="1287" t="str">
        <f>IFERROR(((G44/C44-1)*100),"-")</f>
        <v>-</v>
      </c>
      <c r="K44" s="1273"/>
      <c r="L44" s="1285">
        <f>(K44/K14)*100</f>
        <v>0</v>
      </c>
      <c r="M44" s="1287" t="str">
        <f>IFERROR(((K44/G44-1)*100),"-")</f>
        <v>-</v>
      </c>
      <c r="O44" s="1273"/>
      <c r="P44" s="1285">
        <f>(O44/O14)*100</f>
        <v>0</v>
      </c>
      <c r="Q44" s="1287" t="str">
        <f>IFERROR(((O44/K44-1)*100),"-")</f>
        <v>-</v>
      </c>
      <c r="S44" s="1273"/>
      <c r="T44" s="1285">
        <f>(S44/S14)*100</f>
        <v>0</v>
      </c>
      <c r="U44" s="1287" t="str">
        <f>IFERROR(((S44/O44-1)*100),"-")</f>
        <v>-</v>
      </c>
      <c r="W44" s="1273"/>
      <c r="X44" s="1285">
        <f>(W44/W14)*100</f>
        <v>0</v>
      </c>
      <c r="Y44" s="1287" t="str">
        <f>IFERROR(((W44/S44-1)*100),"-")</f>
        <v>-</v>
      </c>
      <c r="AA44" s="1273"/>
      <c r="AB44" s="1285">
        <f>(AA44/AA14)*100</f>
        <v>0</v>
      </c>
      <c r="AC44" s="1287" t="str">
        <f>IFERROR(((AA44/W44-1)*100),"-")</f>
        <v>-</v>
      </c>
      <c r="AE44" s="1273"/>
      <c r="AF44" s="1285">
        <f>(AE44/AE14)*100</f>
        <v>0</v>
      </c>
      <c r="AG44" s="1287" t="str">
        <f>IFERROR(((AE44/AA44-1)*100),"-")</f>
        <v>-</v>
      </c>
      <c r="AI44" s="1506">
        <f>AI45-SUM(AI41:AI43)</f>
        <v>0</v>
      </c>
      <c r="AJ44" s="1285">
        <f t="shared" si="68"/>
        <v>0</v>
      </c>
      <c r="AK44" s="1287" t="str">
        <f t="shared" si="69"/>
        <v>-</v>
      </c>
      <c r="AL44" s="1269"/>
      <c r="AM44" s="1506">
        <f>AM45-SUM(AM41:AM43)</f>
        <v>0</v>
      </c>
      <c r="AN44" s="1285">
        <f t="shared" si="70"/>
        <v>0</v>
      </c>
      <c r="AO44" s="1287" t="str">
        <f>IFERROR(((AM44/AJ44-1)*100),"-")</f>
        <v>-</v>
      </c>
      <c r="AP44" s="1269"/>
      <c r="AQ44" s="1506">
        <f>AQ45-SUM(AQ41:AQ43)</f>
        <v>0</v>
      </c>
      <c r="AR44" s="1285">
        <f t="shared" si="71"/>
        <v>0</v>
      </c>
      <c r="AS44" s="1287" t="str">
        <f t="shared" si="72"/>
        <v>-</v>
      </c>
      <c r="AT44" s="1244"/>
      <c r="AU44" s="1298">
        <v>0.95</v>
      </c>
      <c r="AV44" s="1285">
        <f t="shared" si="73"/>
        <v>7.5245310102112009E-2</v>
      </c>
      <c r="AW44" s="1287" t="str">
        <f t="shared" si="74"/>
        <v>-</v>
      </c>
      <c r="AX44" s="1244"/>
      <c r="AY44" s="1280">
        <v>1.0629999999999999</v>
      </c>
      <c r="AZ44" s="1285">
        <f t="shared" si="75"/>
        <v>7.9668614538060678E-2</v>
      </c>
      <c r="BA44" s="1287">
        <f t="shared" si="76"/>
        <v>11.894736842105269</v>
      </c>
      <c r="BB44" s="1252"/>
      <c r="BC44" s="1280">
        <v>0.48199999999999998</v>
      </c>
      <c r="BD44" s="1285">
        <f t="shared" si="77"/>
        <v>3.2450002087033324E-2</v>
      </c>
      <c r="BE44" s="1287">
        <f t="shared" si="78"/>
        <v>-54.656632173095019</v>
      </c>
      <c r="BF44" s="1252"/>
      <c r="BG44" s="1280">
        <v>0</v>
      </c>
      <c r="BH44" s="1285">
        <f t="shared" si="79"/>
        <v>0</v>
      </c>
      <c r="BI44" s="1287">
        <f t="shared" si="80"/>
        <v>-100</v>
      </c>
      <c r="BK44" s="1280">
        <v>0</v>
      </c>
      <c r="BL44" s="1285">
        <f t="shared" si="81"/>
        <v>0</v>
      </c>
      <c r="BM44" s="1287" t="str">
        <f t="shared" si="82"/>
        <v>-</v>
      </c>
      <c r="BO44" s="1280">
        <v>2.262</v>
      </c>
      <c r="BP44" s="1285">
        <f t="shared" si="83"/>
        <v>0.11678883370705416</v>
      </c>
      <c r="BQ44" s="1287" t="str">
        <f t="shared" si="84"/>
        <v>-</v>
      </c>
      <c r="BS44" s="1280">
        <v>0</v>
      </c>
      <c r="BT44" s="1285">
        <f t="shared" si="85"/>
        <v>0</v>
      </c>
      <c r="BU44" s="1287">
        <f t="shared" si="86"/>
        <v>-100</v>
      </c>
      <c r="CB44" s="1244">
        <f>25*0.2</f>
        <v>5</v>
      </c>
    </row>
    <row r="45" spans="1:81" outlineLevel="1">
      <c r="A45" s="1254" t="s">
        <v>85</v>
      </c>
      <c r="C45" s="1253">
        <f>SUM(D41:D44)</f>
        <v>0</v>
      </c>
      <c r="D45" s="1285">
        <f>(C45/C15)*100</f>
        <v>0</v>
      </c>
      <c r="E45" s="1287" t="str">
        <f>IFERROR(((C45/#REF!-1)*100),"-")</f>
        <v>-</v>
      </c>
      <c r="G45" s="1253">
        <f>SUM(H41:H44)</f>
        <v>0</v>
      </c>
      <c r="H45" s="1285">
        <f>(G45/G15)*100</f>
        <v>0</v>
      </c>
      <c r="I45" s="1287" t="str">
        <f>IFERROR(((G45/C45-1)*100),"-")</f>
        <v>-</v>
      </c>
      <c r="K45" s="1253">
        <f>SUM(L41:L44)</f>
        <v>0</v>
      </c>
      <c r="L45" s="1285">
        <f>(K45/K15)*100</f>
        <v>0</v>
      </c>
      <c r="M45" s="1287" t="str">
        <f>IFERROR(((K45/G45-1)*100),"-")</f>
        <v>-</v>
      </c>
      <c r="O45" s="1253">
        <f>SUM(P41:P44)</f>
        <v>0</v>
      </c>
      <c r="P45" s="1285">
        <f>(O45/O15)*100</f>
        <v>0</v>
      </c>
      <c r="Q45" s="1287" t="str">
        <f>IFERROR(((O45/K45-1)*100),"-")</f>
        <v>-</v>
      </c>
      <c r="S45" s="1253">
        <f>SUM(T41:T44)</f>
        <v>0</v>
      </c>
      <c r="T45" s="1285">
        <f>(S45/S15)*100</f>
        <v>0</v>
      </c>
      <c r="U45" s="1287" t="str">
        <f>IFERROR(((S45/O45-1)*100),"-")</f>
        <v>-</v>
      </c>
      <c r="W45" s="1253">
        <f>SUM(X41:X44)</f>
        <v>0</v>
      </c>
      <c r="X45" s="1285">
        <f>(W45/W15)*100</f>
        <v>0</v>
      </c>
      <c r="Y45" s="1287" t="str">
        <f>IFERROR(((W45/S45-1)*100),"-")</f>
        <v>-</v>
      </c>
      <c r="AA45" s="1253">
        <f>SUM(AB41:AB44)</f>
        <v>0</v>
      </c>
      <c r="AB45" s="1285">
        <f>(AA45/AA15)*100</f>
        <v>0</v>
      </c>
      <c r="AC45" s="1287" t="str">
        <f>IFERROR(((AA45/W45-1)*100),"-")</f>
        <v>-</v>
      </c>
      <c r="AD45" s="1252"/>
      <c r="AE45" s="1253">
        <f>SUM(AF41:AF44)</f>
        <v>0</v>
      </c>
      <c r="AF45" s="1285">
        <f>(AE45/AE15)*100</f>
        <v>0</v>
      </c>
      <c r="AG45" s="1287" t="str">
        <f>IFERROR(((AE45/AA45-1)*100),"-")</f>
        <v>-</v>
      </c>
      <c r="AI45" s="1284">
        <v>0</v>
      </c>
      <c r="AJ45" s="1285">
        <f t="shared" si="68"/>
        <v>0</v>
      </c>
      <c r="AK45" s="1287" t="str">
        <f t="shared" si="69"/>
        <v>-</v>
      </c>
      <c r="AM45" s="1284">
        <v>0</v>
      </c>
      <c r="AN45" s="1285">
        <f t="shared" si="70"/>
        <v>0</v>
      </c>
      <c r="AO45" s="1287" t="str">
        <f>IFERROR(((AM45/AJ45-1)*100),"-")</f>
        <v>-</v>
      </c>
      <c r="AQ45" s="1284">
        <v>0</v>
      </c>
      <c r="AR45" s="1285">
        <f t="shared" si="71"/>
        <v>0</v>
      </c>
      <c r="AS45" s="1287" t="str">
        <f t="shared" si="72"/>
        <v>-</v>
      </c>
      <c r="AT45" s="1244"/>
      <c r="AU45" s="1299">
        <f>SUM(AU41:AU44)</f>
        <v>4.9850000000000003</v>
      </c>
      <c r="AV45" s="1285">
        <f t="shared" si="73"/>
        <v>0.12227025310145248</v>
      </c>
      <c r="AW45" s="1287" t="str">
        <f t="shared" si="74"/>
        <v>-</v>
      </c>
      <c r="AX45" s="1244"/>
      <c r="AY45" s="1253">
        <f>SUM(AY41:AY44)</f>
        <v>23.026</v>
      </c>
      <c r="AZ45" s="1285">
        <f t="shared" si="75"/>
        <v>0.52006740593964584</v>
      </c>
      <c r="BA45" s="1287">
        <f t="shared" si="76"/>
        <v>361.90571715145438</v>
      </c>
      <c r="BB45" s="1244"/>
      <c r="BC45" s="1253">
        <f>SUM(BC41:BC44)</f>
        <v>2.4119999999999999</v>
      </c>
      <c r="BD45" s="1285">
        <f t="shared" si="77"/>
        <v>5.0098618673907011E-2</v>
      </c>
      <c r="BE45" s="1287">
        <f t="shared" si="78"/>
        <v>-89.524884912707364</v>
      </c>
      <c r="BF45" s="1244"/>
      <c r="BG45" s="1253">
        <f>SUM(BG41:BG44)</f>
        <v>0.247</v>
      </c>
      <c r="BH45" s="1285">
        <f>(BG45/BG15)*100</f>
        <v>4.8441516772531976E-3</v>
      </c>
      <c r="BI45" s="1287">
        <f t="shared" si="80"/>
        <v>-89.759535655058045</v>
      </c>
      <c r="BK45" s="1504">
        <f>SUM(BK41:BK44)</f>
        <v>1.3460000000000001</v>
      </c>
      <c r="BL45" s="1285">
        <f t="shared" si="81"/>
        <v>2.4182371733717956E-2</v>
      </c>
      <c r="BM45" s="1287">
        <f t="shared" si="82"/>
        <v>444.93927125506076</v>
      </c>
      <c r="BO45" s="1253">
        <f>SUM(BO41:BO44)</f>
        <v>2.262</v>
      </c>
      <c r="BP45" s="1285">
        <f>(BO45/BO15)*100</f>
        <v>3.7174806722230572E-2</v>
      </c>
      <c r="BQ45" s="1287">
        <f t="shared" si="84"/>
        <v>68.05349182763743</v>
      </c>
      <c r="BS45" s="1253">
        <f>SUM(BS41:BS44)</f>
        <v>0</v>
      </c>
      <c r="BT45" s="1285">
        <f>(BS45/BS15)*100</f>
        <v>0</v>
      </c>
      <c r="BU45" s="1287">
        <f t="shared" si="86"/>
        <v>-100</v>
      </c>
    </row>
    <row r="46" spans="1:81" outlineLevel="1">
      <c r="A46" s="1254" t="s">
        <v>87</v>
      </c>
      <c r="C46" s="1253"/>
      <c r="D46" s="1285"/>
      <c r="E46" s="1287"/>
      <c r="G46" s="1253"/>
      <c r="H46" s="1285"/>
      <c r="I46" s="1287"/>
      <c r="K46" s="1253"/>
      <c r="L46" s="1285"/>
      <c r="M46" s="1287"/>
      <c r="O46" s="1253"/>
      <c r="P46" s="1285"/>
      <c r="Q46" s="1287"/>
      <c r="S46" s="1253"/>
      <c r="T46" s="1285"/>
      <c r="U46" s="1287"/>
      <c r="W46" s="1253"/>
      <c r="X46" s="1285"/>
      <c r="Y46" s="1287"/>
      <c r="AA46" s="1253"/>
      <c r="AB46" s="1285"/>
      <c r="AC46" s="1287"/>
      <c r="AD46" s="1252"/>
      <c r="AE46" s="1253"/>
      <c r="AF46" s="1285"/>
      <c r="AG46" s="1287"/>
      <c r="AI46" s="1292">
        <f>AI41+AI42</f>
        <v>0</v>
      </c>
      <c r="AJ46" s="1285">
        <f t="shared" si="68"/>
        <v>0</v>
      </c>
      <c r="AK46" s="1287" t="str">
        <f t="shared" si="69"/>
        <v>-</v>
      </c>
      <c r="AM46" s="1292">
        <f>AM41+AM42</f>
        <v>0</v>
      </c>
      <c r="AN46" s="1285">
        <f t="shared" si="70"/>
        <v>0</v>
      </c>
      <c r="AO46" s="1287" t="str">
        <f>IFERROR(((AM46/AI46-1)*100),"-")</f>
        <v>-</v>
      </c>
      <c r="AQ46" s="1292">
        <f>AQ41+AQ42</f>
        <v>0</v>
      </c>
      <c r="AR46" s="1285">
        <f t="shared" si="71"/>
        <v>0</v>
      </c>
      <c r="AS46" s="1287" t="str">
        <f t="shared" si="72"/>
        <v>-</v>
      </c>
      <c r="AT46" s="1244"/>
      <c r="AU46" s="1292">
        <f>AU41+AU42</f>
        <v>3.9039999999999999</v>
      </c>
      <c r="AV46" s="1285">
        <f t="shared" si="73"/>
        <v>0.21141522965330539</v>
      </c>
      <c r="AW46" s="1287" t="str">
        <f t="shared" si="74"/>
        <v>-</v>
      </c>
      <c r="AX46" s="1244"/>
      <c r="AY46" s="1292">
        <f>AY41+AY42</f>
        <v>11.456999999999999</v>
      </c>
      <c r="AZ46" s="1285">
        <f t="shared" si="75"/>
        <v>0.56473921538858907</v>
      </c>
      <c r="BA46" s="1287">
        <f t="shared" si="76"/>
        <v>193.46823770491804</v>
      </c>
      <c r="BB46" s="1244"/>
      <c r="BC46" s="1292">
        <f>BC41+BC42</f>
        <v>1.341</v>
      </c>
      <c r="BD46" s="1285">
        <f t="shared" si="77"/>
        <v>6.1744595621244562E-2</v>
      </c>
      <c r="BE46" s="1287">
        <f t="shared" si="78"/>
        <v>-88.295365278868815</v>
      </c>
      <c r="BF46" s="1244"/>
      <c r="BG46" s="1292">
        <f>BG41+BG42</f>
        <v>0.247</v>
      </c>
      <c r="BH46" s="1285">
        <f>(BG46/BG16)*100</f>
        <v>1.0613261764714728E-2</v>
      </c>
      <c r="BI46" s="1287">
        <f t="shared" si="80"/>
        <v>-81.58090976882923</v>
      </c>
      <c r="BK46" s="1292">
        <f>BK41+BK42</f>
        <v>1.3460000000000001</v>
      </c>
      <c r="BL46" s="1285">
        <f t="shared" si="81"/>
        <v>5.3039673754779394E-2</v>
      </c>
      <c r="BM46" s="1287">
        <f t="shared" si="82"/>
        <v>444.93927125506076</v>
      </c>
      <c r="BO46" s="1292">
        <f>BO41+BO42</f>
        <v>0</v>
      </c>
      <c r="BP46" s="1285">
        <f t="shared" si="83"/>
        <v>0</v>
      </c>
      <c r="BQ46" s="1287">
        <f t="shared" si="84"/>
        <v>-100</v>
      </c>
      <c r="BS46" s="1292">
        <f>BS41+BS42</f>
        <v>0</v>
      </c>
      <c r="BT46" s="1285">
        <f t="shared" ref="BT46:BT47" si="87">(BS46/BS16)*100</f>
        <v>0</v>
      </c>
      <c r="BU46" s="1287" t="str">
        <f t="shared" si="86"/>
        <v>-</v>
      </c>
    </row>
    <row r="47" spans="1:81" outlineLevel="1">
      <c r="A47" s="1254" t="s">
        <v>88</v>
      </c>
      <c r="C47" s="1253"/>
      <c r="D47" s="1285"/>
      <c r="E47" s="1287"/>
      <c r="G47" s="1253"/>
      <c r="H47" s="1285"/>
      <c r="I47" s="1287"/>
      <c r="K47" s="1253"/>
      <c r="L47" s="1285"/>
      <c r="M47" s="1287"/>
      <c r="O47" s="1253"/>
      <c r="P47" s="1285"/>
      <c r="Q47" s="1287"/>
      <c r="S47" s="1253"/>
      <c r="T47" s="1285"/>
      <c r="U47" s="1287"/>
      <c r="W47" s="1253"/>
      <c r="X47" s="1285"/>
      <c r="Y47" s="1287"/>
      <c r="AA47" s="1253"/>
      <c r="AB47" s="1285"/>
      <c r="AC47" s="1287"/>
      <c r="AD47" s="1252"/>
      <c r="AE47" s="1253"/>
      <c r="AF47" s="1285"/>
      <c r="AG47" s="1287"/>
      <c r="AI47" s="1292">
        <f>AI41+AI42+AI43</f>
        <v>0</v>
      </c>
      <c r="AJ47" s="1285">
        <f t="shared" si="68"/>
        <v>0</v>
      </c>
      <c r="AK47" s="1287" t="str">
        <f t="shared" si="69"/>
        <v>-</v>
      </c>
      <c r="AM47" s="1292">
        <f>AM41+AM42+AM43</f>
        <v>0</v>
      </c>
      <c r="AN47" s="1285">
        <f t="shared" si="70"/>
        <v>0</v>
      </c>
      <c r="AO47" s="1287" t="str">
        <f>IFERROR(((AM47/AI47-1)*100),"-")</f>
        <v>-</v>
      </c>
      <c r="AQ47" s="1292">
        <f>AQ41+AQ42+AQ43</f>
        <v>0</v>
      </c>
      <c r="AR47" s="1285">
        <f t="shared" si="71"/>
        <v>0</v>
      </c>
      <c r="AS47" s="1287" t="str">
        <f t="shared" si="72"/>
        <v>-</v>
      </c>
      <c r="AT47" s="1244"/>
      <c r="AU47" s="1292">
        <f>AU41+AU42+AU43</f>
        <v>4.0350000000000001</v>
      </c>
      <c r="AV47" s="1285">
        <f t="shared" si="73"/>
        <v>0.14336487059144154</v>
      </c>
      <c r="AW47" s="1287" t="str">
        <f t="shared" si="74"/>
        <v>-</v>
      </c>
      <c r="AX47" s="1244"/>
      <c r="AY47" s="1292">
        <f>AY41+AY42+AY43</f>
        <v>21.963000000000001</v>
      </c>
      <c r="AZ47" s="1285">
        <f t="shared" si="75"/>
        <v>0.71003541286669658</v>
      </c>
      <c r="BA47" s="1287">
        <f t="shared" si="76"/>
        <v>444.31226765799261</v>
      </c>
      <c r="BB47" s="1244"/>
      <c r="BC47" s="1292">
        <f>BC41+BC42+BC43</f>
        <v>1.93</v>
      </c>
      <c r="BD47" s="1285">
        <f t="shared" si="77"/>
        <v>5.7972895118321773E-2</v>
      </c>
      <c r="BE47" s="1287">
        <f t="shared" si="78"/>
        <v>-91.212493739470929</v>
      </c>
      <c r="BF47" s="1244"/>
      <c r="BG47" s="1292">
        <f>BG41+BG42+BG43</f>
        <v>0.247</v>
      </c>
      <c r="BH47" s="1285">
        <f t="shared" si="79"/>
        <v>6.9417842858801012E-3</v>
      </c>
      <c r="BI47" s="1287">
        <f t="shared" si="80"/>
        <v>-87.202072538860094</v>
      </c>
      <c r="BK47" s="1292">
        <f>BK41+BK42+BK43</f>
        <v>1.3460000000000001</v>
      </c>
      <c r="BL47" s="1285">
        <f t="shared" si="81"/>
        <v>3.4687833976707612E-2</v>
      </c>
      <c r="BM47" s="1287">
        <f t="shared" si="82"/>
        <v>444.93927125506076</v>
      </c>
      <c r="BO47" s="1292">
        <f>BO41+BO42+BO43</f>
        <v>0</v>
      </c>
      <c r="BP47" s="1285">
        <f t="shared" si="83"/>
        <v>0</v>
      </c>
      <c r="BQ47" s="1287">
        <f t="shared" si="84"/>
        <v>-100</v>
      </c>
      <c r="BS47" s="1292">
        <f>BS41+BS42+BS43</f>
        <v>0</v>
      </c>
      <c r="BT47" s="1285">
        <f t="shared" si="87"/>
        <v>0</v>
      </c>
      <c r="BU47" s="1287" t="str">
        <f t="shared" si="86"/>
        <v>-</v>
      </c>
    </row>
    <row r="48" spans="1:81" outlineLevel="1"/>
    <row r="49" spans="1:73">
      <c r="A49" s="1251" t="s">
        <v>877</v>
      </c>
      <c r="B49" s="1281"/>
      <c r="C49" s="1281"/>
      <c r="D49" s="1281"/>
      <c r="E49" s="1281"/>
      <c r="F49" s="1281"/>
      <c r="G49" s="1281"/>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51"/>
      <c r="AZ49" s="1281"/>
      <c r="BA49" s="1281"/>
      <c r="BB49" s="1282"/>
      <c r="BC49" s="1281"/>
      <c r="BD49" s="1281"/>
      <c r="BE49" s="1281"/>
      <c r="BF49" s="1283"/>
      <c r="BG49" s="2264" t="str">
        <f>A49</f>
        <v>5.Stock option modification expense (% of Sales) / % Change</v>
      </c>
      <c r="BH49" s="2264"/>
      <c r="BI49" s="2264"/>
      <c r="BJ49" s="2264"/>
      <c r="BK49" s="2264"/>
      <c r="BL49" s="2264"/>
      <c r="BM49" s="2264"/>
      <c r="BN49" s="1663"/>
      <c r="BO49" s="1663"/>
      <c r="BP49" s="2214"/>
      <c r="BQ49" s="2214"/>
      <c r="BR49" s="2214"/>
      <c r="BS49" s="2214"/>
      <c r="BT49" s="2214"/>
      <c r="BU49" s="2214"/>
    </row>
    <row r="50" spans="1:73" outlineLevel="1">
      <c r="A50" s="1251"/>
      <c r="B50" s="1281"/>
      <c r="C50" s="1281"/>
      <c r="D50" s="1281"/>
      <c r="E50" s="1281"/>
      <c r="F50" s="1281"/>
      <c r="G50" s="1281"/>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2"/>
      <c r="BC50" s="1318"/>
      <c r="BD50" s="1281"/>
      <c r="BE50" s="1319"/>
      <c r="BF50" s="1282"/>
      <c r="BG50" s="1318"/>
      <c r="BH50" s="1281"/>
      <c r="BI50" s="1281"/>
      <c r="BK50" s="1318"/>
      <c r="BL50" s="1281"/>
      <c r="BM50" s="1281"/>
      <c r="BO50" s="1318"/>
      <c r="BP50" s="2215"/>
      <c r="BQ50" s="2215"/>
      <c r="BS50" s="2216"/>
      <c r="BT50" s="2215"/>
      <c r="BU50" s="2215"/>
    </row>
    <row r="51" spans="1:73" outlineLevel="1">
      <c r="A51" s="1254" t="s">
        <v>79</v>
      </c>
      <c r="C51" s="1257"/>
      <c r="D51" s="1285">
        <f>(C51/C11)*100</f>
        <v>0</v>
      </c>
      <c r="E51" s="1256"/>
      <c r="G51" s="1257"/>
      <c r="H51" s="1285">
        <f>(G51/G11)*100</f>
        <v>0</v>
      </c>
      <c r="I51" s="1265"/>
      <c r="K51" s="1257"/>
      <c r="L51" s="1285">
        <f>(K51/K11)*100</f>
        <v>0</v>
      </c>
      <c r="M51" s="1265"/>
      <c r="O51" s="1257"/>
      <c r="P51" s="1285">
        <f>(O51/O11)*100</f>
        <v>0</v>
      </c>
      <c r="Q51" s="1265"/>
      <c r="S51" s="1257"/>
      <c r="T51" s="1285">
        <f>(S51/S11)*100</f>
        <v>0</v>
      </c>
      <c r="U51" s="1265"/>
      <c r="W51" s="1257"/>
      <c r="X51" s="1285">
        <f>(W51/W11)*100</f>
        <v>0</v>
      </c>
      <c r="Y51" s="1287" t="str">
        <f>IFERROR(((W51/S51-1)*100),"-")</f>
        <v>-</v>
      </c>
      <c r="AA51" s="1257"/>
      <c r="AB51" s="1285">
        <f>(AA51/AA11)*100</f>
        <v>0</v>
      </c>
      <c r="AC51" s="1287" t="str">
        <f>IFERROR(((AA51/W51-1)*100),"-")</f>
        <v>-</v>
      </c>
      <c r="AE51" s="1257"/>
      <c r="AF51" s="1285">
        <f>(AE51/AE11)*100</f>
        <v>0</v>
      </c>
      <c r="AG51" s="1287" t="str">
        <f>IFERROR(((AE51/AA51-1)*100),"-")</f>
        <v>-</v>
      </c>
      <c r="AI51" s="1257">
        <v>0</v>
      </c>
      <c r="AJ51" s="1285">
        <f t="shared" ref="AJ51:AJ57" si="88">(AI51/AI11)*100</f>
        <v>0</v>
      </c>
      <c r="AK51" s="1287" t="str">
        <f t="shared" ref="AK51:AK57" si="89">IFERROR(((AI51/AE51-1)*100),"-")</f>
        <v>-</v>
      </c>
      <c r="AM51" s="1257">
        <v>0</v>
      </c>
      <c r="AN51" s="1285">
        <f t="shared" ref="AN51:AN57" si="90">(AM51/AM11)*100</f>
        <v>0</v>
      </c>
      <c r="AO51" s="1287" t="str">
        <f t="shared" ref="AO51:AO57" si="91">IFERROR(((AM51/AI51-1)*100),"-")</f>
        <v>-</v>
      </c>
      <c r="AQ51" s="1257">
        <v>0</v>
      </c>
      <c r="AR51" s="1285">
        <f t="shared" ref="AR51:AR57" si="92">(AQ51/AQ11)*100</f>
        <v>0</v>
      </c>
      <c r="AS51" s="1287" t="str">
        <f t="shared" ref="AS51:AS57" si="93">IFERROR(((AQ51/AM51-1)*100),"-")</f>
        <v>-</v>
      </c>
      <c r="AT51" s="1244"/>
      <c r="AU51" s="1296">
        <v>0</v>
      </c>
      <c r="AV51" s="1285">
        <f t="shared" ref="AV51:AV57" si="94">(AU51/AU11)*100</f>
        <v>0</v>
      </c>
      <c r="AW51" s="1287" t="str">
        <f t="shared" ref="AW51:AW57" si="95">IFERROR(((AU51/AQ51-1)*100),"-")</f>
        <v>-</v>
      </c>
      <c r="AX51" s="1244"/>
      <c r="AY51" s="1267">
        <v>0</v>
      </c>
      <c r="AZ51" s="1285">
        <f t="shared" ref="AZ51:AZ57" si="96">(AY51/AY11)*100</f>
        <v>0</v>
      </c>
      <c r="BA51" s="1287" t="str">
        <f t="shared" ref="BA51:BA57" si="97">IFERROR(((AY51/AU51-1)*100),"-")</f>
        <v>-</v>
      </c>
      <c r="BB51" s="1252"/>
      <c r="BC51" s="1267">
        <v>0.82799999999999996</v>
      </c>
      <c r="BD51" s="1285">
        <f t="shared" ref="BD51:BD57" si="98">(BC51/BC11)*100</f>
        <v>7.3386754399881585E-2</v>
      </c>
      <c r="BE51" s="1287" t="str">
        <f t="shared" ref="BE51:BE57" si="99">IFERROR(((BC51/AY51-1)*100),"-")</f>
        <v>-</v>
      </c>
      <c r="BF51" s="1252"/>
      <c r="BG51" s="1257">
        <v>0.46</v>
      </c>
      <c r="BH51" s="1285">
        <f t="shared" ref="BH51:BH57" si="100">(BG51/BG11)*100</f>
        <v>3.8882253547794322E-2</v>
      </c>
      <c r="BI51" s="1287">
        <f t="shared" ref="BI51:BI57" si="101">IFERROR(((BG51/BC51-1)*100),"-")</f>
        <v>-44.444444444444443</v>
      </c>
      <c r="BK51" s="1257">
        <v>0.23599999999999999</v>
      </c>
      <c r="BL51" s="1285">
        <f t="shared" ref="BL51:BL57" si="102">(BK51/BK11)*100</f>
        <v>1.8399120584405966E-2</v>
      </c>
      <c r="BM51" s="1287">
        <f t="shared" ref="BM51:BM57" si="103">IFERROR(((BK51/BG51-1)*100),"-")</f>
        <v>-48.695652173913054</v>
      </c>
      <c r="BO51" s="2138">
        <v>6.3E-2</v>
      </c>
      <c r="BP51" s="1285">
        <f t="shared" ref="BP51:BP57" si="104">(BO51/BO11)*100</f>
        <v>4.6786370461907719E-3</v>
      </c>
      <c r="BQ51" s="1287">
        <f t="shared" ref="BQ51:BQ57" si="105">IFERROR(((BO51/BK51-1)*100),"-")</f>
        <v>-73.305084745762713</v>
      </c>
      <c r="BS51" s="1257">
        <v>0</v>
      </c>
      <c r="BT51" s="1285">
        <f t="shared" ref="BT51:BT54" si="106">(BS51/BS11)*100</f>
        <v>0</v>
      </c>
      <c r="BU51" s="1287">
        <f t="shared" ref="BU51:BU57" si="107">IFERROR(((BS51/BO51-1)*100),"-")</f>
        <v>-100</v>
      </c>
    </row>
    <row r="52" spans="1:73" outlineLevel="1">
      <c r="A52" s="1254" t="s">
        <v>80</v>
      </c>
      <c r="C52" s="1279"/>
      <c r="D52" s="1285">
        <f>(C52/C12)*100</f>
        <v>0</v>
      </c>
      <c r="E52" s="1256"/>
      <c r="G52" s="1279"/>
      <c r="H52" s="1285">
        <f>(G52/G12)*100</f>
        <v>0</v>
      </c>
      <c r="I52" s="1265"/>
      <c r="K52" s="1279"/>
      <c r="L52" s="1285">
        <f>(K52/K12)*100</f>
        <v>0</v>
      </c>
      <c r="M52" s="1265"/>
      <c r="O52" s="1279"/>
      <c r="P52" s="1285">
        <f>(O52/O12)*100</f>
        <v>0</v>
      </c>
      <c r="Q52" s="1265"/>
      <c r="S52" s="1279"/>
      <c r="T52" s="1285">
        <f>(S52/S12)*100</f>
        <v>0</v>
      </c>
      <c r="U52" s="1265"/>
      <c r="W52" s="1279"/>
      <c r="X52" s="1285">
        <f>(W52/W12)*100</f>
        <v>0</v>
      </c>
      <c r="Y52" s="1287" t="str">
        <f>IFERROR(((W52/S52-1)*100),"-")</f>
        <v>-</v>
      </c>
      <c r="AA52" s="1279"/>
      <c r="AB52" s="1285">
        <f>(AA52/AA12)*100</f>
        <v>0</v>
      </c>
      <c r="AC52" s="1287" t="str">
        <f>IFERROR(((AA52/W52-1)*100),"-")</f>
        <v>-</v>
      </c>
      <c r="AE52" s="1279"/>
      <c r="AF52" s="1285">
        <f>(AE52/AE12)*100</f>
        <v>0</v>
      </c>
      <c r="AG52" s="1287" t="str">
        <f>IFERROR(((AE52/AA52-1)*100),"-")</f>
        <v>-</v>
      </c>
      <c r="AI52" s="1259">
        <v>0</v>
      </c>
      <c r="AJ52" s="1285">
        <f t="shared" si="88"/>
        <v>0</v>
      </c>
      <c r="AK52" s="1287" t="str">
        <f t="shared" si="89"/>
        <v>-</v>
      </c>
      <c r="AL52" s="1269"/>
      <c r="AM52" s="1259">
        <v>0</v>
      </c>
      <c r="AN52" s="1285">
        <f t="shared" si="90"/>
        <v>0</v>
      </c>
      <c r="AO52" s="1287" t="str">
        <f t="shared" si="91"/>
        <v>-</v>
      </c>
      <c r="AP52" s="1269"/>
      <c r="AQ52" s="1297">
        <v>0</v>
      </c>
      <c r="AR52" s="1285">
        <f t="shared" si="92"/>
        <v>0</v>
      </c>
      <c r="AS52" s="1287" t="str">
        <f t="shared" si="93"/>
        <v>-</v>
      </c>
      <c r="AT52" s="1244"/>
      <c r="AU52" s="1297">
        <v>0</v>
      </c>
      <c r="AV52" s="1285">
        <f t="shared" si="94"/>
        <v>0</v>
      </c>
      <c r="AW52" s="1287" t="str">
        <f t="shared" si="95"/>
        <v>-</v>
      </c>
      <c r="AX52" s="1244"/>
      <c r="AY52" s="1279">
        <v>7.2629999999999999</v>
      </c>
      <c r="AZ52" s="1285">
        <f t="shared" si="96"/>
        <v>0.75364917490824523</v>
      </c>
      <c r="BA52" s="1287" t="str">
        <f t="shared" si="97"/>
        <v>-</v>
      </c>
      <c r="BB52" s="1252"/>
      <c r="BC52" s="1279">
        <v>0.96299999999999997</v>
      </c>
      <c r="BD52" s="1285">
        <f t="shared" si="98"/>
        <v>9.2278414421113467E-2</v>
      </c>
      <c r="BE52" s="1287">
        <f t="shared" si="99"/>
        <v>-86.741016109045859</v>
      </c>
      <c r="BF52" s="1252"/>
      <c r="BG52" s="1279">
        <v>0.33500000000000002</v>
      </c>
      <c r="BH52" s="1285">
        <f t="shared" si="100"/>
        <v>2.9277637652964733E-2</v>
      </c>
      <c r="BI52" s="1287">
        <f t="shared" si="101"/>
        <v>-65.212876427829684</v>
      </c>
      <c r="BK52" s="1279">
        <v>0.17799999999999999</v>
      </c>
      <c r="BL52" s="1285">
        <f t="shared" si="102"/>
        <v>1.4182667982945738E-2</v>
      </c>
      <c r="BM52" s="1287">
        <f t="shared" si="103"/>
        <v>-46.865671641791053</v>
      </c>
      <c r="BO52" s="2139">
        <v>4.2000000000000003E-2</v>
      </c>
      <c r="BP52" s="1285">
        <f t="shared" si="104"/>
        <v>3.0809316737381389E-3</v>
      </c>
      <c r="BQ52" s="1287">
        <f t="shared" si="105"/>
        <v>-76.404494382022463</v>
      </c>
      <c r="BS52" s="1279">
        <v>0</v>
      </c>
      <c r="BT52" s="1285">
        <f t="shared" si="106"/>
        <v>0</v>
      </c>
      <c r="BU52" s="1287">
        <f t="shared" si="107"/>
        <v>-100</v>
      </c>
    </row>
    <row r="53" spans="1:73" outlineLevel="1">
      <c r="A53" s="1254" t="s">
        <v>81</v>
      </c>
      <c r="C53" s="1279"/>
      <c r="D53" s="1285">
        <f>(C53/C13)*100</f>
        <v>0</v>
      </c>
      <c r="E53" s="1256"/>
      <c r="G53" s="1279"/>
      <c r="H53" s="1285">
        <f>(G53/G13)*100</f>
        <v>0</v>
      </c>
      <c r="I53" s="1265"/>
      <c r="K53" s="1279"/>
      <c r="L53" s="1285">
        <f>(K53/K13)*100</f>
        <v>0</v>
      </c>
      <c r="M53" s="1265"/>
      <c r="O53" s="1279"/>
      <c r="P53" s="1285">
        <f>(O53/O13)*100</f>
        <v>0</v>
      </c>
      <c r="Q53" s="1265"/>
      <c r="S53" s="1279"/>
      <c r="T53" s="1285">
        <f>(S53/S13)*100</f>
        <v>0</v>
      </c>
      <c r="U53" s="1265"/>
      <c r="W53" s="1279"/>
      <c r="X53" s="1285">
        <f>(W53/W13)*100</f>
        <v>0</v>
      </c>
      <c r="Y53" s="1287" t="str">
        <f>IFERROR(((W53/S53-1)*100),"-")</f>
        <v>-</v>
      </c>
      <c r="AA53" s="1279"/>
      <c r="AB53" s="1285">
        <f>(AA53/AA13)*100</f>
        <v>0</v>
      </c>
      <c r="AC53" s="1287" t="str">
        <f>IFERROR(((AA53/W53-1)*100),"-")</f>
        <v>-</v>
      </c>
      <c r="AE53" s="1279"/>
      <c r="AF53" s="1285">
        <f>(AE53/AE13)*100</f>
        <v>0</v>
      </c>
      <c r="AG53" s="1287" t="str">
        <f>IFERROR(((AE53/AA53-1)*100),"-")</f>
        <v>-</v>
      </c>
      <c r="AI53" s="1260">
        <v>0</v>
      </c>
      <c r="AJ53" s="1285">
        <f t="shared" si="88"/>
        <v>0</v>
      </c>
      <c r="AK53" s="1287" t="str">
        <f t="shared" si="89"/>
        <v>-</v>
      </c>
      <c r="AL53" s="1269"/>
      <c r="AM53" s="1260">
        <v>0</v>
      </c>
      <c r="AN53" s="1285">
        <f t="shared" si="90"/>
        <v>0</v>
      </c>
      <c r="AO53" s="1287" t="str">
        <f t="shared" si="91"/>
        <v>-</v>
      </c>
      <c r="AP53" s="1269"/>
      <c r="AQ53" s="1297">
        <v>0</v>
      </c>
      <c r="AR53" s="1285">
        <f t="shared" si="92"/>
        <v>0</v>
      </c>
      <c r="AS53" s="1287" t="str">
        <f t="shared" si="93"/>
        <v>-</v>
      </c>
      <c r="AT53" s="1244"/>
      <c r="AU53" s="1297">
        <v>0</v>
      </c>
      <c r="AV53" s="1285">
        <f t="shared" si="94"/>
        <v>0</v>
      </c>
      <c r="AW53" s="1287" t="str">
        <f t="shared" si="95"/>
        <v>-</v>
      </c>
      <c r="AX53" s="1244"/>
      <c r="AY53" s="1279">
        <v>1.768</v>
      </c>
      <c r="AZ53" s="1285">
        <f t="shared" si="96"/>
        <v>0.16608705291300535</v>
      </c>
      <c r="BA53" s="1287" t="str">
        <f t="shared" si="97"/>
        <v>-</v>
      </c>
      <c r="BB53" s="1252"/>
      <c r="BC53" s="1279">
        <v>0.628</v>
      </c>
      <c r="BD53" s="1285">
        <f t="shared" si="98"/>
        <v>5.4264610832875378E-2</v>
      </c>
      <c r="BE53" s="1287">
        <f t="shared" si="99"/>
        <v>-64.479638009049765</v>
      </c>
      <c r="BF53" s="1252"/>
      <c r="BG53" s="1279">
        <v>0.32400000000000001</v>
      </c>
      <c r="BH53" s="1285">
        <f t="shared" si="100"/>
        <v>2.632250265256084E-2</v>
      </c>
      <c r="BI53" s="1287">
        <f t="shared" si="101"/>
        <v>-48.407643312101911</v>
      </c>
      <c r="BK53" s="1279">
        <v>0.106</v>
      </c>
      <c r="BL53" s="1285">
        <f t="shared" si="102"/>
        <v>7.8951288544614924E-3</v>
      </c>
      <c r="BM53" s="1287">
        <f t="shared" si="103"/>
        <v>-67.283950617283963</v>
      </c>
      <c r="BO53" s="2139">
        <v>2.5999999999999999E-2</v>
      </c>
      <c r="BP53" s="1285">
        <f t="shared" si="104"/>
        <v>1.8078568066156432E-3</v>
      </c>
      <c r="BQ53" s="1287">
        <f t="shared" si="105"/>
        <v>-75.471698113207552</v>
      </c>
      <c r="BS53" s="1279">
        <v>0</v>
      </c>
      <c r="BT53" s="1285">
        <f t="shared" si="106"/>
        <v>0</v>
      </c>
      <c r="BU53" s="1287">
        <f t="shared" si="107"/>
        <v>-100</v>
      </c>
    </row>
    <row r="54" spans="1:73" ht="15.75" customHeight="1" outlineLevel="1">
      <c r="A54" s="1254" t="s">
        <v>82</v>
      </c>
      <c r="C54" s="1280"/>
      <c r="D54" s="1285">
        <f>(C54/C14)*100</f>
        <v>0</v>
      </c>
      <c r="E54" s="1256"/>
      <c r="G54" s="1280"/>
      <c r="H54" s="1285">
        <f>(G54/G14)*100</f>
        <v>0</v>
      </c>
      <c r="I54" s="1265"/>
      <c r="K54" s="1280"/>
      <c r="L54" s="1285">
        <f>(K54/K14)*100</f>
        <v>0</v>
      </c>
      <c r="M54" s="1265"/>
      <c r="O54" s="1280"/>
      <c r="P54" s="1285">
        <f>(O54/O14)*100</f>
        <v>0</v>
      </c>
      <c r="Q54" s="1265"/>
      <c r="S54" s="1280"/>
      <c r="T54" s="1285">
        <f>(S54/S14)*100</f>
        <v>0</v>
      </c>
      <c r="U54" s="1265"/>
      <c r="W54" s="1280"/>
      <c r="X54" s="1285">
        <f>(W54/W14)*100</f>
        <v>0</v>
      </c>
      <c r="Y54" s="1287" t="str">
        <f>IFERROR(((W54/S54-1)*100),"-")</f>
        <v>-</v>
      </c>
      <c r="AA54" s="1280"/>
      <c r="AB54" s="1285">
        <f>(AA54/AA14)*100</f>
        <v>0</v>
      </c>
      <c r="AC54" s="1287" t="str">
        <f>IFERROR(((AA54/W54-1)*100),"-")</f>
        <v>-</v>
      </c>
      <c r="AE54" s="1280"/>
      <c r="AF54" s="1285">
        <f>(AE54/AE14)*100</f>
        <v>0</v>
      </c>
      <c r="AG54" s="1287" t="str">
        <f>IFERROR(((AE54/AA54-1)*100),"-")</f>
        <v>-</v>
      </c>
      <c r="AI54" s="1506">
        <v>0</v>
      </c>
      <c r="AJ54" s="1285">
        <f t="shared" si="88"/>
        <v>0</v>
      </c>
      <c r="AK54" s="1287" t="str">
        <f t="shared" si="89"/>
        <v>-</v>
      </c>
      <c r="AL54" s="1269"/>
      <c r="AM54" s="1506">
        <f>AM55-SUM(AM51:AM53)</f>
        <v>0</v>
      </c>
      <c r="AN54" s="1285">
        <f t="shared" si="90"/>
        <v>0</v>
      </c>
      <c r="AO54" s="1287" t="str">
        <f t="shared" si="91"/>
        <v>-</v>
      </c>
      <c r="AP54" s="1269"/>
      <c r="AQ54" s="1506">
        <f>AQ55-SUM(AQ51:AQ53)</f>
        <v>0</v>
      </c>
      <c r="AR54" s="1285">
        <f t="shared" si="92"/>
        <v>0</v>
      </c>
      <c r="AS54" s="1287" t="str">
        <f t="shared" si="93"/>
        <v>-</v>
      </c>
      <c r="AT54" s="1244"/>
      <c r="AU54" s="1298">
        <v>0</v>
      </c>
      <c r="AV54" s="1285">
        <f t="shared" si="94"/>
        <v>0</v>
      </c>
      <c r="AW54" s="1287" t="str">
        <f t="shared" si="95"/>
        <v>-</v>
      </c>
      <c r="AX54" s="1244"/>
      <c r="AY54" s="1280">
        <v>1.3859999999999999</v>
      </c>
      <c r="AZ54" s="1285">
        <f t="shared" si="96"/>
        <v>0.10387648142027479</v>
      </c>
      <c r="BA54" s="1287" t="str">
        <f t="shared" si="97"/>
        <v>-</v>
      </c>
      <c r="BB54" s="1252"/>
      <c r="BC54" s="1280">
        <v>0.52100000000000002</v>
      </c>
      <c r="BD54" s="1285">
        <f t="shared" si="98"/>
        <v>3.5075624662540175E-2</v>
      </c>
      <c r="BE54" s="1287">
        <f t="shared" si="99"/>
        <v>-62.409812409812403</v>
      </c>
      <c r="BF54" s="1252"/>
      <c r="BG54" s="1280">
        <v>0.248</v>
      </c>
      <c r="BH54" s="1285">
        <f t="shared" si="100"/>
        <v>1.6095858626439138E-2</v>
      </c>
      <c r="BI54" s="1287">
        <f t="shared" si="101"/>
        <v>-52.399232245681382</v>
      </c>
      <c r="BK54" s="1280">
        <v>8.1000000000000003E-2</v>
      </c>
      <c r="BL54" s="1285">
        <f t="shared" si="102"/>
        <v>4.8050827097107169E-3</v>
      </c>
      <c r="BM54" s="1287">
        <f t="shared" si="103"/>
        <v>-67.338709677419345</v>
      </c>
      <c r="BO54" s="1280">
        <v>0.01</v>
      </c>
      <c r="BP54" s="1285">
        <f t="shared" si="104"/>
        <v>5.1630784132207855E-4</v>
      </c>
      <c r="BQ54" s="1287">
        <f t="shared" si="105"/>
        <v>-87.654320987654316</v>
      </c>
      <c r="BS54" s="1280">
        <v>0</v>
      </c>
      <c r="BT54" s="1285">
        <f t="shared" si="106"/>
        <v>0</v>
      </c>
      <c r="BU54" s="1287">
        <f t="shared" si="107"/>
        <v>-100</v>
      </c>
    </row>
    <row r="55" spans="1:73" outlineLevel="1">
      <c r="A55" s="1254" t="s">
        <v>85</v>
      </c>
      <c r="C55" s="1252">
        <f>SUM(C51:C54)</f>
        <v>0</v>
      </c>
      <c r="D55" s="1285">
        <f>(C55/C15)*100</f>
        <v>0</v>
      </c>
      <c r="E55" s="1256"/>
      <c r="G55" s="1252">
        <f>SUM(G51:G54)</f>
        <v>0</v>
      </c>
      <c r="H55" s="1285">
        <f>(G55/G15)*100</f>
        <v>0</v>
      </c>
      <c r="I55" s="1265"/>
      <c r="K55" s="1252">
        <f>SUM(K51:K54)</f>
        <v>0</v>
      </c>
      <c r="L55" s="1285">
        <f>(K55/K15)*100</f>
        <v>0</v>
      </c>
      <c r="M55" s="1265"/>
      <c r="O55" s="1252">
        <f>SUM(O51:O54)</f>
        <v>0</v>
      </c>
      <c r="P55" s="1285">
        <f>(O55/O15)*100</f>
        <v>0</v>
      </c>
      <c r="Q55" s="1265"/>
      <c r="S55" s="1252">
        <f>SUM(S51:S54)</f>
        <v>0</v>
      </c>
      <c r="T55" s="1285">
        <f>(S55/S15)*100</f>
        <v>0</v>
      </c>
      <c r="U55" s="1265"/>
      <c r="W55" s="1252">
        <f>SUM(W51:W54)</f>
        <v>0</v>
      </c>
      <c r="X55" s="1285">
        <f>(W55/W15)*100</f>
        <v>0</v>
      </c>
      <c r="Y55" s="1287" t="str">
        <f>IFERROR(((W55/S55-1)*100),"-")</f>
        <v>-</v>
      </c>
      <c r="AA55" s="1252">
        <f>SUM(AA51:AA54)</f>
        <v>0</v>
      </c>
      <c r="AB55" s="1285">
        <f>(AA55/AA15)*100</f>
        <v>0</v>
      </c>
      <c r="AC55" s="1287" t="str">
        <f>IFERROR(((AA55/W55-1)*100),"-")</f>
        <v>-</v>
      </c>
      <c r="AD55" s="1252"/>
      <c r="AE55" s="1252">
        <f>SUM(AE51:AE54)</f>
        <v>0</v>
      </c>
      <c r="AF55" s="1285">
        <f>(AE55/AE15)*100</f>
        <v>0</v>
      </c>
      <c r="AG55" s="1287" t="str">
        <f>IFERROR(((AE55/AA55-1)*100),"-")</f>
        <v>-</v>
      </c>
      <c r="AI55" s="1252">
        <f>SUM(AI51:AI54)</f>
        <v>0</v>
      </c>
      <c r="AJ55" s="1285">
        <f t="shared" si="88"/>
        <v>0</v>
      </c>
      <c r="AK55" s="1287" t="str">
        <f t="shared" si="89"/>
        <v>-</v>
      </c>
      <c r="AM55" s="1284">
        <v>0</v>
      </c>
      <c r="AN55" s="1285">
        <f t="shared" si="90"/>
        <v>0</v>
      </c>
      <c r="AO55" s="1287" t="str">
        <f t="shared" si="91"/>
        <v>-</v>
      </c>
      <c r="AQ55" s="1284">
        <v>0</v>
      </c>
      <c r="AR55" s="1285">
        <f t="shared" si="92"/>
        <v>0</v>
      </c>
      <c r="AS55" s="1287" t="str">
        <f t="shared" si="93"/>
        <v>-</v>
      </c>
      <c r="AT55" s="1244"/>
      <c r="AU55" s="1299">
        <f>SUM(AU51:AU54)</f>
        <v>0</v>
      </c>
      <c r="AV55" s="1285">
        <f t="shared" si="94"/>
        <v>0</v>
      </c>
      <c r="AW55" s="1287" t="str">
        <f t="shared" si="95"/>
        <v>-</v>
      </c>
      <c r="AX55" s="1244"/>
      <c r="AY55" s="1253">
        <f>SUM(AY51:AY54)</f>
        <v>10.417</v>
      </c>
      <c r="AZ55" s="1285">
        <f t="shared" si="96"/>
        <v>0.23527934368423919</v>
      </c>
      <c r="BA55" s="1287" t="str">
        <f t="shared" si="97"/>
        <v>-</v>
      </c>
      <c r="BB55" s="1244"/>
      <c r="BC55" s="1253">
        <f>SUM(BC51:BC54)</f>
        <v>2.94</v>
      </c>
      <c r="BD55" s="1285">
        <f t="shared" si="98"/>
        <v>6.1065480473170237E-2</v>
      </c>
      <c r="BE55" s="1287">
        <f t="shared" si="99"/>
        <v>-71.776903139099545</v>
      </c>
      <c r="BF55" s="1244"/>
      <c r="BG55" s="1253">
        <f>SUM(BG51:BG54)</f>
        <v>1.367</v>
      </c>
      <c r="BH55" s="1285">
        <f t="shared" si="100"/>
        <v>2.6809535800830453E-2</v>
      </c>
      <c r="BI55" s="1287">
        <f t="shared" si="101"/>
        <v>-53.50340136054421</v>
      </c>
      <c r="BK55" s="1504">
        <f>SUM(BK51:BK54)</f>
        <v>0.60099999999999998</v>
      </c>
      <c r="BL55" s="1285">
        <f t="shared" si="102"/>
        <v>1.0797626606214332E-2</v>
      </c>
      <c r="BM55" s="1287">
        <f t="shared" si="103"/>
        <v>-56.035113386978786</v>
      </c>
      <c r="BO55" s="1504">
        <f>SUM(BO51:BO54)</f>
        <v>0.14100000000000001</v>
      </c>
      <c r="BP55" s="1285">
        <f>(BO55/BO15)*100</f>
        <v>2.3172624879905001E-3</v>
      </c>
      <c r="BQ55" s="1287">
        <f t="shared" si="105"/>
        <v>-76.539101497504163</v>
      </c>
      <c r="BS55" s="1253">
        <f>SUM(BS51:BS54)</f>
        <v>0</v>
      </c>
      <c r="BT55" s="1285">
        <f>(BS55/BS15)*100</f>
        <v>0</v>
      </c>
      <c r="BU55" s="1287">
        <f t="shared" si="107"/>
        <v>-100</v>
      </c>
    </row>
    <row r="56" spans="1:73" outlineLevel="1">
      <c r="A56" s="1254" t="s">
        <v>87</v>
      </c>
      <c r="C56" s="1252"/>
      <c r="D56" s="1285"/>
      <c r="E56" s="1256"/>
      <c r="G56" s="1252"/>
      <c r="H56" s="1285"/>
      <c r="I56" s="1265"/>
      <c r="K56" s="1252"/>
      <c r="L56" s="1285"/>
      <c r="M56" s="1265"/>
      <c r="O56" s="1252"/>
      <c r="P56" s="1285"/>
      <c r="Q56" s="1265"/>
      <c r="S56" s="1252"/>
      <c r="T56" s="1285"/>
      <c r="U56" s="1265"/>
      <c r="W56" s="1252"/>
      <c r="X56" s="1285"/>
      <c r="Y56" s="1287"/>
      <c r="AA56" s="1252"/>
      <c r="AB56" s="1285"/>
      <c r="AC56" s="1287"/>
      <c r="AD56" s="1252"/>
      <c r="AE56" s="1252"/>
      <c r="AF56" s="1285"/>
      <c r="AG56" s="1287"/>
      <c r="AI56" s="1292">
        <f>AI51+AI52</f>
        <v>0</v>
      </c>
      <c r="AJ56" s="1285">
        <f t="shared" si="88"/>
        <v>0</v>
      </c>
      <c r="AK56" s="1287" t="str">
        <f t="shared" si="89"/>
        <v>-</v>
      </c>
      <c r="AM56" s="1292">
        <f>AM51+AM52</f>
        <v>0</v>
      </c>
      <c r="AN56" s="1285">
        <f t="shared" si="90"/>
        <v>0</v>
      </c>
      <c r="AO56" s="1287" t="str">
        <f t="shared" si="91"/>
        <v>-</v>
      </c>
      <c r="AQ56" s="1292">
        <f>AQ51+AQ52</f>
        <v>0</v>
      </c>
      <c r="AR56" s="1285">
        <f t="shared" si="92"/>
        <v>0</v>
      </c>
      <c r="AS56" s="1287" t="str">
        <f t="shared" si="93"/>
        <v>-</v>
      </c>
      <c r="AT56" s="1244"/>
      <c r="AU56" s="1292">
        <f>AU51+AU52</f>
        <v>0</v>
      </c>
      <c r="AV56" s="1285">
        <f t="shared" si="94"/>
        <v>0</v>
      </c>
      <c r="AW56" s="1287" t="str">
        <f t="shared" si="95"/>
        <v>-</v>
      </c>
      <c r="AX56" s="1244"/>
      <c r="AY56" s="1292">
        <f>AY51+AY52</f>
        <v>7.2629999999999999</v>
      </c>
      <c r="AZ56" s="1285">
        <f t="shared" si="96"/>
        <v>0.35800828501067666</v>
      </c>
      <c r="BA56" s="1287" t="str">
        <f t="shared" si="97"/>
        <v>-</v>
      </c>
      <c r="BB56" s="1244"/>
      <c r="BC56" s="1292">
        <f>BC51+BC52</f>
        <v>1.7909999999999999</v>
      </c>
      <c r="BD56" s="1285">
        <f t="shared" si="98"/>
        <v>8.2464258581393737E-2</v>
      </c>
      <c r="BE56" s="1287">
        <f t="shared" si="99"/>
        <v>-75.340768277571257</v>
      </c>
      <c r="BF56" s="1244"/>
      <c r="BG56" s="1292">
        <f>BG51+BG52</f>
        <v>0.79500000000000004</v>
      </c>
      <c r="BH56" s="1285">
        <f t="shared" si="100"/>
        <v>3.4160093534203281E-2</v>
      </c>
      <c r="BI56" s="1287">
        <f t="shared" si="101"/>
        <v>-55.611390284757121</v>
      </c>
      <c r="BK56" s="1292">
        <f>BK51+BK52</f>
        <v>0.41399999999999998</v>
      </c>
      <c r="BL56" s="1285">
        <f t="shared" si="102"/>
        <v>1.631383724701238E-2</v>
      </c>
      <c r="BM56" s="1287">
        <f t="shared" si="103"/>
        <v>-47.924528301886795</v>
      </c>
      <c r="BO56" s="1292">
        <f>BO51+BO52</f>
        <v>0.10500000000000001</v>
      </c>
      <c r="BP56" s="1285">
        <f t="shared" si="104"/>
        <v>3.8748676086900369E-3</v>
      </c>
      <c r="BQ56" s="1287">
        <f t="shared" si="105"/>
        <v>-74.637681159420282</v>
      </c>
      <c r="BS56" s="1292">
        <f>BS51+BS52</f>
        <v>0</v>
      </c>
      <c r="BT56" s="1285">
        <f t="shared" ref="BT56:BT57" si="108">(BS56/BS16)*100</f>
        <v>0</v>
      </c>
      <c r="BU56" s="1287">
        <f t="shared" si="107"/>
        <v>-100</v>
      </c>
    </row>
    <row r="57" spans="1:73" outlineLevel="1">
      <c r="A57" s="1254" t="s">
        <v>88</v>
      </c>
      <c r="C57" s="1252"/>
      <c r="D57" s="1285"/>
      <c r="E57" s="1256"/>
      <c r="G57" s="1252"/>
      <c r="H57" s="1285"/>
      <c r="I57" s="1265"/>
      <c r="K57" s="1252"/>
      <c r="L57" s="1285"/>
      <c r="M57" s="1265"/>
      <c r="O57" s="1252"/>
      <c r="P57" s="1285"/>
      <c r="Q57" s="1265"/>
      <c r="S57" s="1252"/>
      <c r="T57" s="1285"/>
      <c r="U57" s="1265"/>
      <c r="W57" s="1252"/>
      <c r="X57" s="1285"/>
      <c r="Y57" s="1287"/>
      <c r="AA57" s="1252"/>
      <c r="AB57" s="1285"/>
      <c r="AC57" s="1287"/>
      <c r="AD57" s="1252"/>
      <c r="AE57" s="1252"/>
      <c r="AF57" s="1285"/>
      <c r="AG57" s="1287"/>
      <c r="AI57" s="1292">
        <f>AI51+AI52+AI53</f>
        <v>0</v>
      </c>
      <c r="AJ57" s="1285">
        <f t="shared" si="88"/>
        <v>0</v>
      </c>
      <c r="AK57" s="1287" t="str">
        <f t="shared" si="89"/>
        <v>-</v>
      </c>
      <c r="AM57" s="1292">
        <f>AM51+AM52+AM53</f>
        <v>0</v>
      </c>
      <c r="AN57" s="1285">
        <f t="shared" si="90"/>
        <v>0</v>
      </c>
      <c r="AO57" s="1287" t="str">
        <f t="shared" si="91"/>
        <v>-</v>
      </c>
      <c r="AQ57" s="1292">
        <f>AQ51+AQ52+AQ53</f>
        <v>0</v>
      </c>
      <c r="AR57" s="1285">
        <f t="shared" si="92"/>
        <v>0</v>
      </c>
      <c r="AS57" s="1287" t="str">
        <f t="shared" si="93"/>
        <v>-</v>
      </c>
      <c r="AT57" s="1244"/>
      <c r="AU57" s="1292">
        <f>AU51+AU52+AU53</f>
        <v>0</v>
      </c>
      <c r="AV57" s="1285">
        <f t="shared" si="94"/>
        <v>0</v>
      </c>
      <c r="AW57" s="1287" t="str">
        <f t="shared" si="95"/>
        <v>-</v>
      </c>
      <c r="AX57" s="1244"/>
      <c r="AY57" s="1292">
        <f>AY51+AY52+AY53</f>
        <v>9.0310000000000006</v>
      </c>
      <c r="AZ57" s="1285">
        <f t="shared" si="96"/>
        <v>0.29196056156258876</v>
      </c>
      <c r="BA57" s="1287" t="str">
        <f t="shared" si="97"/>
        <v>-</v>
      </c>
      <c r="BB57" s="1244"/>
      <c r="BC57" s="1292">
        <f>BC51+BC52+BC53</f>
        <v>2.419</v>
      </c>
      <c r="BD57" s="1285">
        <f t="shared" si="98"/>
        <v>7.2661364399596057E-2</v>
      </c>
      <c r="BE57" s="1287">
        <f t="shared" si="99"/>
        <v>-73.214483445908542</v>
      </c>
      <c r="BF57" s="1244"/>
      <c r="BG57" s="1292">
        <f>BG51+BG52+BG53</f>
        <v>1.119</v>
      </c>
      <c r="BH57" s="1285">
        <f t="shared" si="100"/>
        <v>3.1448812210120788E-2</v>
      </c>
      <c r="BI57" s="1287">
        <f t="shared" si="101"/>
        <v>-53.741215378255482</v>
      </c>
      <c r="BK57" s="1292">
        <f>BK51+BK52+BK53</f>
        <v>0.52</v>
      </c>
      <c r="BL57" s="1285">
        <f t="shared" si="102"/>
        <v>1.3400946261432362E-2</v>
      </c>
      <c r="BM57" s="1287">
        <f t="shared" si="103"/>
        <v>-53.529937444146555</v>
      </c>
      <c r="BO57" s="1292">
        <f>BO51+BO52+BO53</f>
        <v>0.13100000000000001</v>
      </c>
      <c r="BP57" s="1285">
        <f t="shared" si="104"/>
        <v>3.1581964721257823E-3</v>
      </c>
      <c r="BQ57" s="1287">
        <f t="shared" si="105"/>
        <v>-74.807692307692307</v>
      </c>
      <c r="BS57" s="1292">
        <f>BS51+BS52+BS53</f>
        <v>0</v>
      </c>
      <c r="BT57" s="1285">
        <f t="shared" si="108"/>
        <v>0</v>
      </c>
      <c r="BU57" s="1287">
        <f t="shared" si="107"/>
        <v>-100</v>
      </c>
    </row>
    <row r="58" spans="1:73" outlineLevel="1">
      <c r="AJ58" s="1245"/>
      <c r="AM58" s="1245"/>
      <c r="AQ58" s="1245"/>
      <c r="AT58" s="1244"/>
      <c r="AU58" s="1293"/>
      <c r="AX58" s="1244"/>
      <c r="AY58" s="1245"/>
      <c r="BB58" s="1244"/>
      <c r="BC58" s="1245"/>
      <c r="BF58" s="1244"/>
      <c r="BG58" s="1245"/>
      <c r="BK58" s="1245"/>
      <c r="BO58" s="1245"/>
      <c r="BS58" s="1245"/>
    </row>
    <row r="59" spans="1:73">
      <c r="A59" s="1251" t="s">
        <v>894</v>
      </c>
      <c r="B59" s="1281"/>
      <c r="C59" s="1281"/>
      <c r="D59" s="1281"/>
      <c r="E59" s="1281"/>
      <c r="F59" s="1281"/>
      <c r="G59" s="1281"/>
      <c r="H59" s="1281"/>
      <c r="I59" s="1281"/>
      <c r="J59" s="1281"/>
      <c r="K59" s="1281"/>
      <c r="L59" s="1281"/>
      <c r="M59" s="1281"/>
      <c r="N59" s="1281"/>
      <c r="O59" s="1281"/>
      <c r="P59" s="1281"/>
      <c r="Q59" s="1281"/>
      <c r="R59" s="1281"/>
      <c r="S59" s="1281"/>
      <c r="T59" s="1281"/>
      <c r="U59" s="1281"/>
      <c r="V59" s="1281"/>
      <c r="W59" s="1281"/>
      <c r="X59" s="1281"/>
      <c r="Y59" s="1281"/>
      <c r="Z59" s="1281"/>
      <c r="AA59" s="1281"/>
      <c r="AB59" s="1281"/>
      <c r="AC59" s="1281"/>
      <c r="AD59" s="1281"/>
      <c r="AE59" s="1281"/>
      <c r="AF59" s="1281"/>
      <c r="AG59" s="1281"/>
      <c r="AH59" s="1281"/>
      <c r="AI59" s="1281"/>
      <c r="AJ59" s="1281"/>
      <c r="AK59" s="1281"/>
      <c r="AL59" s="1281"/>
      <c r="AM59" s="1281"/>
      <c r="AN59" s="1281"/>
      <c r="AO59" s="1281"/>
      <c r="AP59" s="1281"/>
      <c r="AQ59" s="1281"/>
      <c r="AR59" s="1281"/>
      <c r="AS59" s="1281"/>
      <c r="AT59" s="1281"/>
      <c r="AU59" s="1281"/>
      <c r="AV59" s="1281"/>
      <c r="AW59" s="1281"/>
      <c r="AX59" s="1281"/>
      <c r="AY59" s="1251"/>
      <c r="AZ59" s="1281"/>
      <c r="BA59" s="1281"/>
      <c r="BB59" s="1282"/>
      <c r="BC59" s="1281"/>
      <c r="BD59" s="1281"/>
      <c r="BE59" s="1281"/>
      <c r="BF59" s="1283"/>
      <c r="BG59" s="2264" t="str">
        <f>A59</f>
        <v>6.Restructuring and Separation Charges (% of Sales) / % Change</v>
      </c>
      <c r="BH59" s="2264"/>
      <c r="BI59" s="2264"/>
      <c r="BJ59" s="2264"/>
      <c r="BK59" s="2264"/>
      <c r="BL59" s="2264"/>
      <c r="BM59" s="2264"/>
      <c r="BN59" s="1663"/>
      <c r="BO59" s="1663"/>
      <c r="BP59" s="2214"/>
      <c r="BQ59" s="2214"/>
      <c r="BR59" s="2214"/>
      <c r="BS59" s="2214"/>
      <c r="BT59" s="2214"/>
      <c r="BU59" s="2214"/>
    </row>
    <row r="60" spans="1:73" outlineLevel="1">
      <c r="A60" s="1251"/>
      <c r="B60" s="1281"/>
      <c r="C60" s="1281"/>
      <c r="D60" s="1281"/>
      <c r="E60" s="1281"/>
      <c r="F60" s="1281"/>
      <c r="G60" s="1281"/>
      <c r="H60" s="1281"/>
      <c r="I60" s="1281"/>
      <c r="J60" s="1281"/>
      <c r="K60" s="1281"/>
      <c r="L60" s="1281"/>
      <c r="M60" s="1281"/>
      <c r="N60" s="1281"/>
      <c r="O60" s="1281"/>
      <c r="P60" s="1281"/>
      <c r="Q60" s="1281"/>
      <c r="R60" s="1281"/>
      <c r="S60" s="1281"/>
      <c r="T60" s="1281"/>
      <c r="U60" s="1281"/>
      <c r="V60" s="1281"/>
      <c r="W60" s="1281"/>
      <c r="X60" s="1281"/>
      <c r="Y60" s="1281"/>
      <c r="Z60" s="1281"/>
      <c r="AA60" s="1281"/>
      <c r="AB60" s="1281"/>
      <c r="AC60" s="1281"/>
      <c r="AD60" s="1281"/>
      <c r="AE60" s="1281"/>
      <c r="AF60" s="1281"/>
      <c r="AG60" s="1281"/>
      <c r="AH60" s="1281"/>
      <c r="AI60" s="1281"/>
      <c r="AJ60" s="1281"/>
      <c r="AK60" s="1281"/>
      <c r="AL60" s="1281"/>
      <c r="AM60" s="1281"/>
      <c r="AN60" s="1281"/>
      <c r="AO60" s="1281"/>
      <c r="AP60" s="1281"/>
      <c r="AQ60" s="1281"/>
      <c r="AR60" s="1281"/>
      <c r="AS60" s="1281"/>
      <c r="AT60" s="1281"/>
      <c r="AU60" s="1281"/>
      <c r="AV60" s="1281"/>
      <c r="AW60" s="1281"/>
      <c r="AX60" s="1281"/>
      <c r="AY60" s="1281"/>
      <c r="AZ60" s="1281"/>
      <c r="BA60" s="1281"/>
      <c r="BB60" s="1282"/>
      <c r="BC60" s="1318"/>
      <c r="BD60" s="1281"/>
      <c r="BE60" s="1319"/>
      <c r="BF60" s="1282"/>
      <c r="BG60" s="1318"/>
      <c r="BH60" s="1281"/>
      <c r="BI60" s="1281"/>
      <c r="BK60" s="1318"/>
      <c r="BL60" s="1281"/>
      <c r="BM60" s="1281"/>
      <c r="BO60" s="1318"/>
      <c r="BP60" s="2215"/>
      <c r="BQ60" s="2215"/>
      <c r="BS60" s="2216"/>
      <c r="BT60" s="2215"/>
      <c r="BU60" s="2215"/>
    </row>
    <row r="61" spans="1:73" ht="15" customHeight="1" outlineLevel="1">
      <c r="A61" s="1254" t="s">
        <v>79</v>
      </c>
      <c r="C61" s="1266"/>
      <c r="D61" s="1285">
        <f>(C61/C11)*100</f>
        <v>0</v>
      </c>
      <c r="E61" s="1287" t="str">
        <f>IFERROR(((C61/#REF!-1)*100),"-")</f>
        <v>-</v>
      </c>
      <c r="G61" s="1266"/>
      <c r="H61" s="1285">
        <f>(G61/G11)*100</f>
        <v>0</v>
      </c>
      <c r="I61" s="1287" t="str">
        <f>IFERROR(((G61/#REF!-1)*100),"-")</f>
        <v>-</v>
      </c>
      <c r="K61" s="1266"/>
      <c r="L61" s="1285">
        <f>(K61/K11)*100</f>
        <v>0</v>
      </c>
      <c r="M61" s="1287" t="str">
        <f>IFERROR(((K61/#REF!-1)*100),"-")</f>
        <v>-</v>
      </c>
      <c r="O61" s="1266"/>
      <c r="P61" s="1285">
        <f>(O61/O11)*100</f>
        <v>0</v>
      </c>
      <c r="Q61" s="1287" t="str">
        <f>IFERROR(((O61/#REF!-1)*100),"-")</f>
        <v>-</v>
      </c>
      <c r="S61" s="1266"/>
      <c r="T61" s="1285">
        <f>(S61/S11)*100</f>
        <v>0</v>
      </c>
      <c r="U61" s="1287" t="str">
        <f>IFERROR(((S61/#REF!-1)*100),"-")</f>
        <v>-</v>
      </c>
      <c r="W61" s="1266"/>
      <c r="X61" s="1285">
        <f>(W61/W11)*100</f>
        <v>0</v>
      </c>
      <c r="Y61" s="1287" t="str">
        <f>IFERROR(((W61/#REF!-1)*100),"-")</f>
        <v>-</v>
      </c>
      <c r="AA61" s="1266"/>
      <c r="AB61" s="1285">
        <f>(AA61/AA11)*100</f>
        <v>0</v>
      </c>
      <c r="AC61" s="1287" t="str">
        <f>IFERROR(((AA61/#REF!-1)*100),"-")</f>
        <v>-</v>
      </c>
      <c r="AE61" s="1266"/>
      <c r="AF61" s="1285">
        <f>(AE61/AE11)*100</f>
        <v>0</v>
      </c>
      <c r="AG61" s="1287" t="str">
        <f>IFERROR(((AE61/#REF!-1)*100),"-")</f>
        <v>-</v>
      </c>
      <c r="AI61" s="1266">
        <v>5.0229999999999997</v>
      </c>
      <c r="AJ61" s="1285">
        <f t="shared" ref="AJ61:AJ67" si="109">(AI61/AI11)*100</f>
        <v>0.60514937177953432</v>
      </c>
      <c r="AK61" s="1287" t="str">
        <f>IFERROR(((AI61/#REF!-1)*100),"-")</f>
        <v>-</v>
      </c>
      <c r="AL61" s="1287"/>
      <c r="AM61" s="1296">
        <v>0.96299999999999997</v>
      </c>
      <c r="AN61" s="1285">
        <f t="shared" ref="AN61:AN67" si="110">(AM61/AM11)*100</f>
        <v>0.10763649044684233</v>
      </c>
      <c r="AO61" s="1287" t="str">
        <f>IFERROR(((AM61/#REF!-1)*100),"-")</f>
        <v>-</v>
      </c>
      <c r="AQ61" s="1296">
        <v>0</v>
      </c>
      <c r="AR61" s="1285">
        <f t="shared" ref="AR61:AR67" si="111">(AQ61/AQ11)*100</f>
        <v>0</v>
      </c>
      <c r="AS61" s="1287">
        <f t="shared" ref="AS61:AS67" si="112">IFERROR(((AQ61/AM61-1)*100),"-")</f>
        <v>-100</v>
      </c>
      <c r="AT61" s="1244"/>
      <c r="AU61" s="1296">
        <v>1.478</v>
      </c>
      <c r="AV61" s="1285">
        <f t="shared" ref="AV61:AV67" si="113">(AU61/AU11)*100</f>
        <v>0.15044454571411034</v>
      </c>
      <c r="AW61" s="1287" t="str">
        <f t="shared" ref="AW61:AW67" si="114">IFERROR(((AU61/AQ61-1)*100),"-")</f>
        <v>-</v>
      </c>
      <c r="AX61" s="1244"/>
      <c r="AY61" s="1267">
        <f>1.625</f>
        <v>1.625</v>
      </c>
      <c r="AZ61" s="1285">
        <f t="shared" ref="AZ61:AZ67" si="115">(AY61/AY11)*100</f>
        <v>0.15258029714191282</v>
      </c>
      <c r="BA61" s="1287">
        <f t="shared" ref="BA61:BA67" si="116">IFERROR(((AY61/AU61-1)*100),"-")</f>
        <v>9.9458728010825439</v>
      </c>
      <c r="BB61" s="1252"/>
      <c r="BC61" s="1267">
        <v>0</v>
      </c>
      <c r="BD61" s="1285">
        <f t="shared" ref="BD61:BD67" si="117">(BC61/BC11)*100</f>
        <v>0</v>
      </c>
      <c r="BE61" s="1287">
        <f t="shared" ref="BE61:BE67" si="118">IFERROR(((BC61/AY61-1)*100),"-")</f>
        <v>-100</v>
      </c>
      <c r="BF61" s="1252"/>
      <c r="BG61" s="1257">
        <v>0</v>
      </c>
      <c r="BH61" s="1285">
        <f t="shared" ref="BH61:BH67" si="119">(BG61/BG11)*100</f>
        <v>0</v>
      </c>
      <c r="BI61" s="1287" t="str">
        <f t="shared" ref="BI61:BI67" si="120">IFERROR(((BG61/BC61-1)*100),"-")</f>
        <v>-</v>
      </c>
      <c r="BK61" s="1257">
        <v>0</v>
      </c>
      <c r="BL61" s="1285">
        <f t="shared" ref="BL61:BL67" si="121">(BK61/BK11)*100</f>
        <v>0</v>
      </c>
      <c r="BM61" s="1287" t="str">
        <f t="shared" ref="BM61:BM67" si="122">IFERROR(((BK61/BG61-1)*100),"-")</f>
        <v>-</v>
      </c>
      <c r="BO61" s="1257">
        <v>0</v>
      </c>
      <c r="BP61" s="1285">
        <f t="shared" ref="BP61:BP67" si="123">(BO61/BO11)*100</f>
        <v>0</v>
      </c>
      <c r="BQ61" s="1287" t="str">
        <f t="shared" ref="BQ61:BQ67" si="124">IFERROR(((BO61/BK61-1)*100),"-")</f>
        <v>-</v>
      </c>
      <c r="BS61" s="1257">
        <v>0</v>
      </c>
      <c r="BT61" s="1285">
        <f t="shared" ref="BT61:BT64" si="125">(BS61/BS11)*100</f>
        <v>0</v>
      </c>
      <c r="BU61" s="1287" t="str">
        <f t="shared" ref="BU61:BU67" si="126">IFERROR(((BS61/BO61-1)*100),"-")</f>
        <v>-</v>
      </c>
    </row>
    <row r="62" spans="1:73" ht="15.75" customHeight="1" outlineLevel="1">
      <c r="A62" s="1254" t="s">
        <v>80</v>
      </c>
      <c r="C62" s="1259"/>
      <c r="D62" s="1285">
        <f>(C62/C12)*100</f>
        <v>0</v>
      </c>
      <c r="E62" s="1287" t="str">
        <f>IFERROR(((C62/#REF!-1)*100),"-")</f>
        <v>-</v>
      </c>
      <c r="G62" s="1259"/>
      <c r="H62" s="1285">
        <f>(G62/G12)*100</f>
        <v>0</v>
      </c>
      <c r="I62" s="1287" t="str">
        <f>IFERROR(((G62/#REF!-1)*100),"-")</f>
        <v>-</v>
      </c>
      <c r="K62" s="1259"/>
      <c r="L62" s="1285">
        <f>(K62/K12)*100</f>
        <v>0</v>
      </c>
      <c r="M62" s="1287" t="str">
        <f>IFERROR(((K62/#REF!-1)*100),"-")</f>
        <v>-</v>
      </c>
      <c r="O62" s="1259"/>
      <c r="P62" s="1285">
        <f>(O62/O12)*100</f>
        <v>0</v>
      </c>
      <c r="Q62" s="1287" t="str">
        <f>IFERROR(((O62/#REF!-1)*100),"-")</f>
        <v>-</v>
      </c>
      <c r="S62" s="1259"/>
      <c r="T62" s="1285">
        <f>(S62/S12)*100</f>
        <v>0</v>
      </c>
      <c r="U62" s="1287" t="str">
        <f>IFERROR(((S62/#REF!-1)*100),"-")</f>
        <v>-</v>
      </c>
      <c r="W62" s="1259"/>
      <c r="X62" s="1285">
        <f>(W62/W12)*100</f>
        <v>0</v>
      </c>
      <c r="Y62" s="1287" t="str">
        <f>IFERROR(((W62/#REF!-1)*100),"-")</f>
        <v>-</v>
      </c>
      <c r="AA62" s="1259"/>
      <c r="AB62" s="1285">
        <f>(AA62/AA12)*100</f>
        <v>0</v>
      </c>
      <c r="AC62" s="1287" t="str">
        <f>IFERROR(((AA62/#REF!-1)*100),"-")</f>
        <v>-</v>
      </c>
      <c r="AE62" s="1259"/>
      <c r="AF62" s="1285">
        <f>(AE62/AE12)*100</f>
        <v>0</v>
      </c>
      <c r="AG62" s="1287" t="str">
        <f>IFERROR(((AE62/#REF!-1)*100),"-")</f>
        <v>-</v>
      </c>
      <c r="AI62" s="1259">
        <v>8.1000000000000003E-2</v>
      </c>
      <c r="AJ62" s="1285">
        <f t="shared" si="109"/>
        <v>1.1555284188662127E-2</v>
      </c>
      <c r="AK62" s="1287" t="str">
        <f>IFERROR(((AI62/#REF!-1)*100),"-")</f>
        <v>-</v>
      </c>
      <c r="AL62" s="1287"/>
      <c r="AM62" s="1297">
        <v>1.19</v>
      </c>
      <c r="AN62" s="1285">
        <f t="shared" si="110"/>
        <v>0.16329331046312179</v>
      </c>
      <c r="AO62" s="1287" t="str">
        <f>IFERROR(((AM62/#REF!-1)*100),"-")</f>
        <v>-</v>
      </c>
      <c r="AP62" s="1269"/>
      <c r="AQ62" s="1297">
        <v>5.19</v>
      </c>
      <c r="AR62" s="1285">
        <f t="shared" si="111"/>
        <v>0.65418876181856922</v>
      </c>
      <c r="AS62" s="1287">
        <f t="shared" si="112"/>
        <v>336.13445378151266</v>
      </c>
      <c r="AT62" s="1244"/>
      <c r="AU62" s="1297">
        <v>0.32800000000000001</v>
      </c>
      <c r="AV62" s="1285">
        <f t="shared" si="113"/>
        <v>3.7955001990472095E-2</v>
      </c>
      <c r="AW62" s="1287">
        <f t="shared" si="114"/>
        <v>-93.680154142581884</v>
      </c>
      <c r="AX62" s="1244"/>
      <c r="AY62" s="1279">
        <f>0.554</f>
        <v>0.55400000000000005</v>
      </c>
      <c r="AZ62" s="1285">
        <f t="shared" si="115"/>
        <v>5.7486113575542876E-2</v>
      </c>
      <c r="BA62" s="1287">
        <f t="shared" si="116"/>
        <v>68.902439024390262</v>
      </c>
      <c r="BB62" s="1252"/>
      <c r="BC62" s="1279">
        <v>0</v>
      </c>
      <c r="BD62" s="1285">
        <f t="shared" si="117"/>
        <v>0</v>
      </c>
      <c r="BE62" s="1287">
        <f t="shared" si="118"/>
        <v>-100</v>
      </c>
      <c r="BF62" s="1252"/>
      <c r="BG62" s="1279">
        <v>0</v>
      </c>
      <c r="BH62" s="1285">
        <f t="shared" si="119"/>
        <v>0</v>
      </c>
      <c r="BI62" s="1287" t="str">
        <f t="shared" si="120"/>
        <v>-</v>
      </c>
      <c r="BK62" s="1279">
        <v>0</v>
      </c>
      <c r="BL62" s="1285">
        <f t="shared" si="121"/>
        <v>0</v>
      </c>
      <c r="BM62" s="1287" t="str">
        <f t="shared" si="122"/>
        <v>-</v>
      </c>
      <c r="BO62" s="1279">
        <v>0</v>
      </c>
      <c r="BP62" s="1285">
        <f t="shared" si="123"/>
        <v>0</v>
      </c>
      <c r="BQ62" s="1287" t="str">
        <f t="shared" si="124"/>
        <v>-</v>
      </c>
      <c r="BS62" s="1279">
        <v>0</v>
      </c>
      <c r="BT62" s="1285">
        <f t="shared" si="125"/>
        <v>0</v>
      </c>
      <c r="BU62" s="1287" t="str">
        <f t="shared" si="126"/>
        <v>-</v>
      </c>
    </row>
    <row r="63" spans="1:73" ht="15" customHeight="1" outlineLevel="1">
      <c r="A63" s="1254" t="s">
        <v>81</v>
      </c>
      <c r="C63" s="1255"/>
      <c r="D63" s="1285">
        <f>(C63/C13)*100</f>
        <v>0</v>
      </c>
      <c r="E63" s="1287" t="str">
        <f>IFERROR(((C63/#REF!-1)*100),"-")</f>
        <v>-</v>
      </c>
      <c r="G63" s="1255"/>
      <c r="H63" s="1285">
        <f>(G63/G13)*100</f>
        <v>0</v>
      </c>
      <c r="I63" s="1287" t="str">
        <f>IFERROR(((G63/#REF!-1)*100),"-")</f>
        <v>-</v>
      </c>
      <c r="K63" s="1255"/>
      <c r="L63" s="1285">
        <f>(K63/K13)*100</f>
        <v>0</v>
      </c>
      <c r="M63" s="1287" t="str">
        <f>IFERROR(((K63/#REF!-1)*100),"-")</f>
        <v>-</v>
      </c>
      <c r="O63" s="1255"/>
      <c r="P63" s="1285">
        <f>(O63/O13)*100</f>
        <v>0</v>
      </c>
      <c r="Q63" s="1287" t="str">
        <f>IFERROR(((O63/#REF!-1)*100),"-")</f>
        <v>-</v>
      </c>
      <c r="S63" s="1255"/>
      <c r="T63" s="1285">
        <f>(S63/S13)*100</f>
        <v>0</v>
      </c>
      <c r="U63" s="1287" t="str">
        <f>IFERROR(((S63/#REF!-1)*100),"-")</f>
        <v>-</v>
      </c>
      <c r="W63" s="1255"/>
      <c r="X63" s="1285">
        <f>(W63/W13)*100</f>
        <v>0</v>
      </c>
      <c r="Y63" s="1287" t="str">
        <f>IFERROR(((W63/#REF!-1)*100),"-")</f>
        <v>-</v>
      </c>
      <c r="AA63" s="1255"/>
      <c r="AB63" s="1285">
        <f>(AA63/AA13)*100</f>
        <v>0</v>
      </c>
      <c r="AC63" s="1287" t="str">
        <f>IFERROR(((AA63/#REF!-1)*100),"-")</f>
        <v>-</v>
      </c>
      <c r="AE63" s="1255"/>
      <c r="AF63" s="1285">
        <f>(AE63/AE13)*100</f>
        <v>0</v>
      </c>
      <c r="AG63" s="1287" t="str">
        <f>IFERROR(((AE63/#REF!-1)*100),"-")</f>
        <v>-</v>
      </c>
      <c r="AI63" s="1255">
        <v>1.19</v>
      </c>
      <c r="AJ63" s="1285">
        <f t="shared" si="109"/>
        <v>0.13640938404858469</v>
      </c>
      <c r="AK63" s="1287" t="str">
        <f>IFERROR(((AI63/#REF!-1)*100),"-")</f>
        <v>-</v>
      </c>
      <c r="AL63" s="1287"/>
      <c r="AM63" s="1297">
        <v>0</v>
      </c>
      <c r="AN63" s="1285">
        <f t="shared" si="110"/>
        <v>0</v>
      </c>
      <c r="AO63" s="1287" t="str">
        <f>IFERROR(((AM63/#REF!-1)*100),"-")</f>
        <v>-</v>
      </c>
      <c r="AP63" s="1269"/>
      <c r="AQ63" s="1297">
        <v>0.43099999999999999</v>
      </c>
      <c r="AR63" s="1285">
        <f t="shared" si="111"/>
        <v>4.7960136335867841E-2</v>
      </c>
      <c r="AS63" s="1287" t="str">
        <f t="shared" si="112"/>
        <v>-</v>
      </c>
      <c r="AT63" s="1244"/>
      <c r="AU63" s="1297">
        <v>0.63500000000000001</v>
      </c>
      <c r="AV63" s="1285">
        <f t="shared" si="113"/>
        <v>6.5606357720990105E-2</v>
      </c>
      <c r="AW63" s="1287">
        <f t="shared" si="114"/>
        <v>47.331786542923446</v>
      </c>
      <c r="AX63" s="1244"/>
      <c r="AY63" s="1279">
        <v>0</v>
      </c>
      <c r="AZ63" s="1285">
        <f t="shared" si="115"/>
        <v>0</v>
      </c>
      <c r="BA63" s="1287">
        <f t="shared" si="116"/>
        <v>-100</v>
      </c>
      <c r="BB63" s="1252"/>
      <c r="BC63" s="1279">
        <v>0</v>
      </c>
      <c r="BD63" s="1285">
        <f t="shared" si="117"/>
        <v>0</v>
      </c>
      <c r="BE63" s="1287" t="str">
        <f t="shared" si="118"/>
        <v>-</v>
      </c>
      <c r="BF63" s="1252"/>
      <c r="BG63" s="1279">
        <v>0</v>
      </c>
      <c r="BH63" s="1285">
        <f t="shared" si="119"/>
        <v>0</v>
      </c>
      <c r="BI63" s="1287" t="str">
        <f t="shared" si="120"/>
        <v>-</v>
      </c>
      <c r="BK63" s="1279">
        <v>0</v>
      </c>
      <c r="BL63" s="1285">
        <f t="shared" si="121"/>
        <v>0</v>
      </c>
      <c r="BM63" s="1287" t="str">
        <f t="shared" si="122"/>
        <v>-</v>
      </c>
      <c r="BO63" s="1279">
        <v>0</v>
      </c>
      <c r="BP63" s="1285">
        <f t="shared" si="123"/>
        <v>0</v>
      </c>
      <c r="BQ63" s="1287" t="str">
        <f t="shared" si="124"/>
        <v>-</v>
      </c>
      <c r="BS63" s="1279">
        <v>0</v>
      </c>
      <c r="BT63" s="1285">
        <f t="shared" si="125"/>
        <v>0</v>
      </c>
      <c r="BU63" s="1287" t="str">
        <f t="shared" si="126"/>
        <v>-</v>
      </c>
    </row>
    <row r="64" spans="1:73" outlineLevel="1">
      <c r="A64" s="1254" t="s">
        <v>82</v>
      </c>
      <c r="C64" s="1274"/>
      <c r="D64" s="1285">
        <f>(C64/C14)*100</f>
        <v>0</v>
      </c>
      <c r="E64" s="1287" t="str">
        <f>IFERROR(((C64/#REF!-1)*100),"-")</f>
        <v>-</v>
      </c>
      <c r="G64" s="1274"/>
      <c r="H64" s="1285">
        <f>(G64/G14)*100</f>
        <v>0</v>
      </c>
      <c r="I64" s="1287" t="str">
        <f>IFERROR(((G64/#REF!-1)*100),"-")</f>
        <v>-</v>
      </c>
      <c r="K64" s="1274"/>
      <c r="L64" s="1285">
        <f>(K64/K14)*100</f>
        <v>0</v>
      </c>
      <c r="M64" s="1287" t="str">
        <f>IFERROR(((K64/#REF!-1)*100),"-")</f>
        <v>-</v>
      </c>
      <c r="O64" s="1274"/>
      <c r="P64" s="1285">
        <f>(O64/O14)*100</f>
        <v>0</v>
      </c>
      <c r="Q64" s="1287" t="str">
        <f>IFERROR(((O64/#REF!-1)*100),"-")</f>
        <v>-</v>
      </c>
      <c r="S64" s="1274"/>
      <c r="T64" s="1285">
        <f>(S64/S14)*100</f>
        <v>0</v>
      </c>
      <c r="U64" s="1287" t="str">
        <f>IFERROR(((S64/#REF!-1)*100),"-")</f>
        <v>-</v>
      </c>
      <c r="W64" s="1274"/>
      <c r="X64" s="1285">
        <f>(W64/W14)*100</f>
        <v>0</v>
      </c>
      <c r="Y64" s="1287" t="str">
        <f>IFERROR(((W64/#REF!-1)*100),"-")</f>
        <v>-</v>
      </c>
      <c r="AA64" s="1274"/>
      <c r="AB64" s="1285">
        <f>(AA64/AA14)*100</f>
        <v>0</v>
      </c>
      <c r="AC64" s="1287" t="str">
        <f>IFERROR(((AA64/#REF!-1)*100),"-")</f>
        <v>-</v>
      </c>
      <c r="AE64" s="1274"/>
      <c r="AF64" s="1285">
        <f>(AE64/AE14)*100</f>
        <v>0</v>
      </c>
      <c r="AG64" s="1287" t="str">
        <f>IFERROR(((AE64/#REF!-1)*100),"-")</f>
        <v>-</v>
      </c>
      <c r="AI64" s="1514">
        <f>AI65-SUM(AI61:AI63)</f>
        <v>1.1579999999999995</v>
      </c>
      <c r="AJ64" s="1285">
        <f t="shared" si="109"/>
        <v>0.10343727976032561</v>
      </c>
      <c r="AK64" s="1287" t="str">
        <f>IFERROR(((AI64/#REF!-1)*100),"-")</f>
        <v>-</v>
      </c>
      <c r="AL64" s="1287"/>
      <c r="AM64" s="1514">
        <f>AM65-SUM(AM61:AM63)</f>
        <v>4.7000000000000153E-2</v>
      </c>
      <c r="AN64" s="1285">
        <f t="shared" si="110"/>
        <v>3.9562689185412767E-3</v>
      </c>
      <c r="AO64" s="1287" t="str">
        <f>IFERROR(((AM64/#REF!-1)*100),"-")</f>
        <v>-</v>
      </c>
      <c r="AP64" s="1269"/>
      <c r="AQ64" s="1514">
        <f>AQ65-SUM(AQ61:AQ63)</f>
        <v>1.8169999999999993</v>
      </c>
      <c r="AR64" s="1285">
        <f t="shared" si="111"/>
        <v>0.14735925244983736</v>
      </c>
      <c r="AS64" s="1287">
        <f t="shared" si="112"/>
        <v>3765.9574468084961</v>
      </c>
      <c r="AT64" s="1244"/>
      <c r="AU64" s="1298">
        <v>0.55800000000000005</v>
      </c>
      <c r="AV64" s="1285">
        <f t="shared" si="113"/>
        <v>4.4196718986293168E-2</v>
      </c>
      <c r="AW64" s="1287">
        <f t="shared" si="114"/>
        <v>-69.290038525041268</v>
      </c>
      <c r="AX64" s="1244"/>
      <c r="AY64" s="1387">
        <v>-7.0000000000000001E-3</v>
      </c>
      <c r="AZ64" s="1285">
        <f t="shared" si="115"/>
        <v>-5.2462869404179188E-4</v>
      </c>
      <c r="BA64" s="1287">
        <f t="shared" si="116"/>
        <v>-101.25448028673836</v>
      </c>
      <c r="BB64" s="1252"/>
      <c r="BC64" s="1280">
        <v>0</v>
      </c>
      <c r="BD64" s="1285">
        <f t="shared" si="117"/>
        <v>0</v>
      </c>
      <c r="BE64" s="1287">
        <f t="shared" si="118"/>
        <v>-100</v>
      </c>
      <c r="BF64" s="1252"/>
      <c r="BG64" s="1280">
        <v>0</v>
      </c>
      <c r="BH64" s="1285">
        <f t="shared" si="119"/>
        <v>0</v>
      </c>
      <c r="BI64" s="1287" t="str">
        <f t="shared" si="120"/>
        <v>-</v>
      </c>
      <c r="BK64" s="1280">
        <v>0</v>
      </c>
      <c r="BL64" s="1285">
        <f t="shared" si="121"/>
        <v>0</v>
      </c>
      <c r="BM64" s="1287" t="str">
        <f t="shared" si="122"/>
        <v>-</v>
      </c>
      <c r="BO64" s="1280">
        <v>0</v>
      </c>
      <c r="BP64" s="1285">
        <f t="shared" si="123"/>
        <v>0</v>
      </c>
      <c r="BQ64" s="1287" t="str">
        <f t="shared" si="124"/>
        <v>-</v>
      </c>
      <c r="BS64" s="1280">
        <v>0</v>
      </c>
      <c r="BT64" s="1285">
        <f t="shared" si="125"/>
        <v>0</v>
      </c>
      <c r="BU64" s="1287" t="str">
        <f t="shared" si="126"/>
        <v>-</v>
      </c>
    </row>
    <row r="65" spans="1:74" outlineLevel="1">
      <c r="A65" s="1254" t="s">
        <v>85</v>
      </c>
      <c r="C65" s="1252">
        <f>SUM(C61:C64)</f>
        <v>0</v>
      </c>
      <c r="D65" s="1285">
        <f>(C65/C15)*100</f>
        <v>0</v>
      </c>
      <c r="E65" s="1287" t="str">
        <f>IFERROR(((C65/#REF!-1)*100),"-")</f>
        <v>-</v>
      </c>
      <c r="G65" s="1252">
        <f>SUM(G61:G64)</f>
        <v>0</v>
      </c>
      <c r="H65" s="1285">
        <f>(G65/G15)*100</f>
        <v>0</v>
      </c>
      <c r="I65" s="1287" t="str">
        <f>IFERROR(((G65/#REF!-1)*100),"-")</f>
        <v>-</v>
      </c>
      <c r="K65" s="1252">
        <f>SUM(K61:K64)</f>
        <v>0</v>
      </c>
      <c r="L65" s="1285">
        <f>(K65/K15)*100</f>
        <v>0</v>
      </c>
      <c r="M65" s="1287" t="str">
        <f>IFERROR(((K65/#REF!-1)*100),"-")</f>
        <v>-</v>
      </c>
      <c r="O65" s="1252">
        <f>SUM(O61:O64)</f>
        <v>0</v>
      </c>
      <c r="P65" s="1285">
        <f>(O65/O15)*100</f>
        <v>0</v>
      </c>
      <c r="Q65" s="1287" t="str">
        <f>IFERROR(((O65/#REF!-1)*100),"-")</f>
        <v>-</v>
      </c>
      <c r="S65" s="1252">
        <f>SUM(S61:S64)</f>
        <v>0</v>
      </c>
      <c r="T65" s="1285">
        <f>(S65/S15)*100</f>
        <v>0</v>
      </c>
      <c r="U65" s="1287" t="str">
        <f>IFERROR(((S65/#REF!-1)*100),"-")</f>
        <v>-</v>
      </c>
      <c r="W65" s="1252">
        <f>SUM(W61:W64)</f>
        <v>0</v>
      </c>
      <c r="X65" s="1285">
        <f>(W65/W15)*100</f>
        <v>0</v>
      </c>
      <c r="Y65" s="1287" t="str">
        <f>IFERROR(((W65/#REF!-1)*100),"-")</f>
        <v>-</v>
      </c>
      <c r="AA65" s="1252">
        <f>SUM(AA61:AA64)</f>
        <v>0</v>
      </c>
      <c r="AB65" s="1285">
        <f>(AA65/AA15)*100</f>
        <v>0</v>
      </c>
      <c r="AC65" s="1287" t="str">
        <f>IFERROR(((AA65/#REF!-1)*100),"-")</f>
        <v>-</v>
      </c>
      <c r="AD65" s="1252"/>
      <c r="AE65" s="1252">
        <f>SUM(AE61:AE64)</f>
        <v>0</v>
      </c>
      <c r="AF65" s="1285">
        <f>(AE65/AE15)*100</f>
        <v>0</v>
      </c>
      <c r="AG65" s="1287" t="str">
        <f>IFERROR(((AE65/#REF!-1)*100),"-")</f>
        <v>-</v>
      </c>
      <c r="AI65" s="1284">
        <v>7.452</v>
      </c>
      <c r="AJ65" s="1285">
        <f t="shared" si="109"/>
        <v>0.21152943273664926</v>
      </c>
      <c r="AK65" s="1287" t="str">
        <f>IFERROR(((AI65/#REF!-1)*100),"-")</f>
        <v>-</v>
      </c>
      <c r="AL65" s="1287"/>
      <c r="AM65" s="1284">
        <v>2.2000000000000002</v>
      </c>
      <c r="AN65" s="1285">
        <f t="shared" si="110"/>
        <v>5.995200569435051E-2</v>
      </c>
      <c r="AO65" s="1287" t="str">
        <f>IFERROR(((AM65/#REF!-1)*100),"-")</f>
        <v>-</v>
      </c>
      <c r="AQ65" s="1284">
        <v>7.4379999999999997</v>
      </c>
      <c r="AR65" s="1285">
        <f t="shared" si="111"/>
        <v>0.19298758164609742</v>
      </c>
      <c r="AS65" s="1287">
        <f t="shared" si="112"/>
        <v>238.09090909090904</v>
      </c>
      <c r="AT65" s="1244"/>
      <c r="AU65" s="1505">
        <f>SUM(AU61:AU64)</f>
        <v>2.9989999999999997</v>
      </c>
      <c r="AV65" s="1285">
        <f t="shared" si="113"/>
        <v>7.3558372929038301E-2</v>
      </c>
      <c r="AW65" s="1287">
        <f t="shared" si="114"/>
        <v>-59.68002151115892</v>
      </c>
      <c r="AX65" s="1244"/>
      <c r="AY65" s="1253">
        <f>SUM(AY61:AY64)</f>
        <v>2.1720000000000002</v>
      </c>
      <c r="AZ65" s="1285">
        <f t="shared" si="115"/>
        <v>4.9056996686394121E-2</v>
      </c>
      <c r="BA65" s="1287">
        <f t="shared" si="116"/>
        <v>-27.575858619539829</v>
      </c>
      <c r="BB65" s="1244"/>
      <c r="BC65" s="1253">
        <f>SUM(BC61:BC64)</f>
        <v>0</v>
      </c>
      <c r="BD65" s="1285">
        <f t="shared" si="117"/>
        <v>0</v>
      </c>
      <c r="BE65" s="1287">
        <f t="shared" si="118"/>
        <v>-100</v>
      </c>
      <c r="BF65" s="1244"/>
      <c r="BG65" s="1253">
        <f>SUM(BG61:BG64)</f>
        <v>0</v>
      </c>
      <c r="BH65" s="1285">
        <f t="shared" si="119"/>
        <v>0</v>
      </c>
      <c r="BI65" s="1287" t="str">
        <f t="shared" si="120"/>
        <v>-</v>
      </c>
      <c r="BK65" s="1253">
        <f>SUM(BK61:BK64)</f>
        <v>0</v>
      </c>
      <c r="BL65" s="1285">
        <f t="shared" si="121"/>
        <v>0</v>
      </c>
      <c r="BM65" s="1287" t="str">
        <f t="shared" si="122"/>
        <v>-</v>
      </c>
      <c r="BO65" s="1253">
        <f>SUM(BO61:BO64)</f>
        <v>0</v>
      </c>
      <c r="BP65" s="1285">
        <f>(BO65/BO15)*100</f>
        <v>0</v>
      </c>
      <c r="BQ65" s="1287" t="str">
        <f t="shared" si="124"/>
        <v>-</v>
      </c>
      <c r="BS65" s="1253">
        <f>SUM(BS61:BS64)</f>
        <v>0</v>
      </c>
      <c r="BT65" s="1285">
        <f>(BS65/BS15)*100</f>
        <v>0</v>
      </c>
      <c r="BU65" s="1287" t="str">
        <f t="shared" si="126"/>
        <v>-</v>
      </c>
    </row>
    <row r="66" spans="1:74" outlineLevel="1">
      <c r="A66" s="1254" t="s">
        <v>87</v>
      </c>
      <c r="C66" s="1252"/>
      <c r="D66" s="1285"/>
      <c r="E66" s="1287"/>
      <c r="G66" s="1252"/>
      <c r="H66" s="1285"/>
      <c r="I66" s="1287"/>
      <c r="K66" s="1252"/>
      <c r="L66" s="1285"/>
      <c r="M66" s="1287"/>
      <c r="O66" s="1252"/>
      <c r="P66" s="1285"/>
      <c r="Q66" s="1287"/>
      <c r="S66" s="1252"/>
      <c r="T66" s="1285"/>
      <c r="U66" s="1287"/>
      <c r="W66" s="1252"/>
      <c r="X66" s="1285"/>
      <c r="Y66" s="1287"/>
      <c r="AA66" s="1252"/>
      <c r="AB66" s="1285"/>
      <c r="AC66" s="1287"/>
      <c r="AD66" s="1252"/>
      <c r="AE66" s="1252"/>
      <c r="AF66" s="1285"/>
      <c r="AG66" s="1287"/>
      <c r="AI66" s="1292">
        <f>AI61+AI62</f>
        <v>5.1040000000000001</v>
      </c>
      <c r="AJ66" s="1285">
        <f t="shared" si="109"/>
        <v>0.33337230514800259</v>
      </c>
      <c r="AK66" s="1287" t="str">
        <f>IFERROR(((AI66/#REF!-1)*100),"-")</f>
        <v>-</v>
      </c>
      <c r="AL66" s="1287"/>
      <c r="AM66" s="1292">
        <f>AM61+AM62</f>
        <v>2.153</v>
      </c>
      <c r="AN66" s="1285">
        <f t="shared" si="110"/>
        <v>0.13262060282316185</v>
      </c>
      <c r="AO66" s="1287">
        <f>IFERROR(((AM66/AI66-1)*100),"-")</f>
        <v>-57.817398119122252</v>
      </c>
      <c r="AQ66" s="1292">
        <f>AQ61+AQ62</f>
        <v>5.19</v>
      </c>
      <c r="AR66" s="1285">
        <f t="shared" si="111"/>
        <v>0.30131848609232309</v>
      </c>
      <c r="AS66" s="1287">
        <f t="shared" si="112"/>
        <v>141.05898745935903</v>
      </c>
      <c r="AT66" s="1244"/>
      <c r="AU66" s="1292">
        <f>AU61+AU62</f>
        <v>1.806</v>
      </c>
      <c r="AV66" s="1285">
        <f t="shared" si="113"/>
        <v>9.7801205111134631E-2</v>
      </c>
      <c r="AW66" s="1287">
        <f t="shared" si="114"/>
        <v>-65.202312138728331</v>
      </c>
      <c r="AX66" s="1244"/>
      <c r="AY66" s="1292">
        <f>AY61+AY62</f>
        <v>2.1790000000000003</v>
      </c>
      <c r="AZ66" s="1285">
        <f t="shared" si="115"/>
        <v>0.10740741470993591</v>
      </c>
      <c r="BA66" s="1287">
        <f t="shared" si="116"/>
        <v>20.653377630121827</v>
      </c>
      <c r="BB66" s="1244"/>
      <c r="BC66" s="1292">
        <f>BC61+BC62</f>
        <v>0</v>
      </c>
      <c r="BD66" s="1285">
        <f t="shared" si="117"/>
        <v>0</v>
      </c>
      <c r="BE66" s="1287">
        <f t="shared" si="118"/>
        <v>-100</v>
      </c>
      <c r="BF66" s="1244"/>
      <c r="BG66" s="1292">
        <f>BG61+BG62</f>
        <v>0</v>
      </c>
      <c r="BH66" s="1285">
        <f t="shared" si="119"/>
        <v>0</v>
      </c>
      <c r="BI66" s="1287" t="str">
        <f t="shared" si="120"/>
        <v>-</v>
      </c>
      <c r="BK66" s="1292">
        <f>BK61+BK62</f>
        <v>0</v>
      </c>
      <c r="BL66" s="1285">
        <f t="shared" si="121"/>
        <v>0</v>
      </c>
      <c r="BM66" s="1287" t="str">
        <f t="shared" si="122"/>
        <v>-</v>
      </c>
      <c r="BO66" s="1292">
        <f>BO61+BO62</f>
        <v>0</v>
      </c>
      <c r="BP66" s="1285">
        <f t="shared" si="123"/>
        <v>0</v>
      </c>
      <c r="BQ66" s="1287" t="str">
        <f t="shared" si="124"/>
        <v>-</v>
      </c>
      <c r="BS66" s="1292">
        <f>BS61+BS62</f>
        <v>0</v>
      </c>
      <c r="BT66" s="1285">
        <f t="shared" ref="BT66:BT67" si="127">(BS66/BS16)*100</f>
        <v>0</v>
      </c>
      <c r="BU66" s="1287" t="str">
        <f t="shared" si="126"/>
        <v>-</v>
      </c>
    </row>
    <row r="67" spans="1:74" outlineLevel="1">
      <c r="A67" s="1254" t="s">
        <v>88</v>
      </c>
      <c r="C67" s="1252"/>
      <c r="D67" s="1285"/>
      <c r="E67" s="1287"/>
      <c r="G67" s="1252"/>
      <c r="H67" s="1285"/>
      <c r="I67" s="1287"/>
      <c r="K67" s="1252"/>
      <c r="L67" s="1285"/>
      <c r="M67" s="1287"/>
      <c r="O67" s="1252"/>
      <c r="P67" s="1285"/>
      <c r="Q67" s="1287"/>
      <c r="S67" s="1252"/>
      <c r="T67" s="1285"/>
      <c r="U67" s="1287"/>
      <c r="W67" s="1252"/>
      <c r="X67" s="1285"/>
      <c r="Y67" s="1287"/>
      <c r="AA67" s="1252"/>
      <c r="AB67" s="1285"/>
      <c r="AC67" s="1287"/>
      <c r="AD67" s="1252"/>
      <c r="AE67" s="1252"/>
      <c r="AF67" s="1285"/>
      <c r="AG67" s="1287"/>
      <c r="AI67" s="1292">
        <f>AI61+AI62+AI63</f>
        <v>6.2940000000000005</v>
      </c>
      <c r="AJ67" s="1285">
        <f t="shared" si="109"/>
        <v>0.26187954955386028</v>
      </c>
      <c r="AK67" s="1287" t="str">
        <f>IFERROR(((AI67/#REF!-1)*100),"-")</f>
        <v>-</v>
      </c>
      <c r="AL67" s="1287"/>
      <c r="AM67" s="1292">
        <f>AM61+AM62+AM63</f>
        <v>2.153</v>
      </c>
      <c r="AN67" s="1285">
        <f t="shared" si="110"/>
        <v>8.6758053428131865E-2</v>
      </c>
      <c r="AO67" s="1287">
        <f>IFERROR(((AM67/AI67-1)*100),"-")</f>
        <v>-65.792818557356213</v>
      </c>
      <c r="AQ67" s="1292">
        <f>AQ61+AQ62+AQ63</f>
        <v>5.6210000000000004</v>
      </c>
      <c r="AR67" s="1285">
        <f t="shared" si="111"/>
        <v>0.21445252037985682</v>
      </c>
      <c r="AS67" s="1287">
        <f t="shared" si="112"/>
        <v>161.07756618671624</v>
      </c>
      <c r="AT67" s="1244"/>
      <c r="AU67" s="1292">
        <f>AU61+AU62+AU63</f>
        <v>2.4409999999999998</v>
      </c>
      <c r="AV67" s="1285">
        <f t="shared" si="113"/>
        <v>8.6729528900547415E-2</v>
      </c>
      <c r="AW67" s="1287">
        <f t="shared" si="114"/>
        <v>-56.573563422878493</v>
      </c>
      <c r="AX67" s="1244"/>
      <c r="AY67" s="1292">
        <f>AY61+AY62+AY63</f>
        <v>2.1790000000000003</v>
      </c>
      <c r="AZ67" s="1285">
        <f t="shared" si="115"/>
        <v>7.0444254639007969E-2</v>
      </c>
      <c r="BA67" s="1287">
        <f t="shared" si="116"/>
        <v>-10.733306022122068</v>
      </c>
      <c r="BB67" s="1244"/>
      <c r="BC67" s="1292">
        <f>BC61+BC62+BC63</f>
        <v>0</v>
      </c>
      <c r="BD67" s="1285">
        <f t="shared" si="117"/>
        <v>0</v>
      </c>
      <c r="BE67" s="1287">
        <f t="shared" si="118"/>
        <v>-100</v>
      </c>
      <c r="BF67" s="1244"/>
      <c r="BG67" s="1292">
        <f>BG61+BG62+BG63</f>
        <v>0</v>
      </c>
      <c r="BH67" s="1285">
        <f t="shared" si="119"/>
        <v>0</v>
      </c>
      <c r="BI67" s="1287" t="str">
        <f t="shared" si="120"/>
        <v>-</v>
      </c>
      <c r="BK67" s="1292">
        <f>BK61+BK62+BK63</f>
        <v>0</v>
      </c>
      <c r="BL67" s="1285">
        <f t="shared" si="121"/>
        <v>0</v>
      </c>
      <c r="BM67" s="1287" t="str">
        <f t="shared" si="122"/>
        <v>-</v>
      </c>
      <c r="BO67" s="1292">
        <f>BO61+BO62+BO63</f>
        <v>0</v>
      </c>
      <c r="BP67" s="1285">
        <f t="shared" si="123"/>
        <v>0</v>
      </c>
      <c r="BQ67" s="1287" t="str">
        <f t="shared" si="124"/>
        <v>-</v>
      </c>
      <c r="BS67" s="1292">
        <f>BS61+BS62+BS63</f>
        <v>0</v>
      </c>
      <c r="BT67" s="1285">
        <f t="shared" si="127"/>
        <v>0</v>
      </c>
      <c r="BU67" s="1287" t="str">
        <f t="shared" si="126"/>
        <v>-</v>
      </c>
    </row>
    <row r="68" spans="1:74">
      <c r="A68" s="1254"/>
      <c r="C68" s="1252"/>
      <c r="D68" s="1264"/>
      <c r="E68" s="1256"/>
      <c r="G68" s="1252"/>
      <c r="H68" s="1264"/>
      <c r="I68" s="1265"/>
      <c r="K68" s="1252"/>
      <c r="L68" s="1264"/>
      <c r="M68" s="1265"/>
      <c r="O68" s="1252"/>
      <c r="P68" s="1264"/>
      <c r="Q68" s="1265"/>
      <c r="S68" s="1252"/>
      <c r="T68" s="1264"/>
      <c r="U68" s="1265"/>
      <c r="W68" s="1252"/>
      <c r="X68" s="1264"/>
      <c r="Y68" s="1265"/>
      <c r="AA68" s="1252"/>
      <c r="AB68" s="1264"/>
      <c r="AC68" s="1265"/>
      <c r="AD68" s="1252"/>
      <c r="AE68" s="1252"/>
      <c r="AF68" s="1264"/>
      <c r="AG68" s="1265"/>
      <c r="AJ68" s="1255"/>
      <c r="AM68" s="1266"/>
      <c r="AN68" s="1266"/>
      <c r="AO68" s="1258"/>
      <c r="AQ68" s="1266"/>
      <c r="AR68" s="1264"/>
      <c r="AS68" s="1265"/>
      <c r="AT68" s="1244"/>
      <c r="AU68" s="1299"/>
      <c r="AV68" s="1264"/>
      <c r="AW68" s="1265"/>
      <c r="AX68" s="1244"/>
      <c r="AY68" s="1253"/>
      <c r="AZ68" s="1264"/>
      <c r="BA68" s="1265"/>
      <c r="BB68" s="1244"/>
      <c r="BC68" s="1253"/>
      <c r="BD68" s="1264"/>
      <c r="BE68" s="1265"/>
      <c r="BF68" s="1244"/>
      <c r="BG68" s="1253"/>
      <c r="BH68" s="1265"/>
      <c r="BK68" s="1253"/>
      <c r="BL68" s="1265"/>
      <c r="BO68" s="1253"/>
      <c r="BP68" s="1265"/>
      <c r="BS68" s="1253"/>
      <c r="BT68" s="1265"/>
    </row>
    <row r="69" spans="1:74">
      <c r="A69" s="1254"/>
      <c r="C69" s="1252"/>
      <c r="D69" s="1264"/>
      <c r="E69" s="1256"/>
      <c r="G69" s="1252"/>
      <c r="H69" s="1264"/>
      <c r="I69" s="1265"/>
      <c r="K69" s="1252"/>
      <c r="L69" s="1264"/>
      <c r="M69" s="1265"/>
      <c r="O69" s="1252"/>
      <c r="P69" s="1264"/>
      <c r="Q69" s="1265"/>
      <c r="S69" s="1252"/>
      <c r="T69" s="1264"/>
      <c r="U69" s="1265"/>
      <c r="W69" s="1252"/>
      <c r="X69" s="1264"/>
      <c r="Y69" s="1265"/>
      <c r="AA69" s="1252"/>
      <c r="AB69" s="1264"/>
      <c r="AC69" s="1265"/>
      <c r="AD69" s="1252"/>
      <c r="AE69" s="1252"/>
      <c r="AF69" s="1264"/>
      <c r="AG69" s="1265"/>
      <c r="AJ69" s="1255"/>
      <c r="AM69" s="1266"/>
      <c r="AN69" s="1266"/>
      <c r="AO69" s="1258"/>
      <c r="AQ69" s="1266"/>
      <c r="AR69" s="1264"/>
      <c r="AS69" s="1265"/>
      <c r="AT69" s="1244"/>
      <c r="AU69" s="1299"/>
      <c r="AV69" s="1264"/>
      <c r="AW69" s="1265"/>
      <c r="AX69" s="1244"/>
      <c r="AY69" s="1253"/>
      <c r="AZ69" s="1264"/>
      <c r="BA69" s="1265"/>
      <c r="BB69" s="1244"/>
      <c r="BC69" s="1253"/>
      <c r="BD69" s="1264"/>
      <c r="BE69" s="1265"/>
      <c r="BF69" s="1244"/>
      <c r="BG69" s="1251"/>
      <c r="BH69" s="1265"/>
      <c r="BK69" s="1253"/>
      <c r="BL69" s="1265"/>
      <c r="BO69" s="1253"/>
      <c r="BP69" s="1265"/>
      <c r="BS69" s="1253"/>
      <c r="BT69" s="1265"/>
    </row>
    <row r="70" spans="1:74" s="1282" customFormat="1">
      <c r="A70" s="1251" t="s">
        <v>898</v>
      </c>
      <c r="B70" s="1281"/>
      <c r="C70" s="1281"/>
      <c r="D70" s="1281"/>
      <c r="E70" s="1281"/>
      <c r="F70" s="1281"/>
      <c r="G70" s="1281"/>
      <c r="H70" s="1281"/>
      <c r="I70" s="1281"/>
      <c r="J70" s="1281"/>
      <c r="K70" s="1281"/>
      <c r="L70" s="1281"/>
      <c r="M70" s="1281"/>
      <c r="N70" s="1281"/>
      <c r="O70" s="1281"/>
      <c r="P70" s="1281"/>
      <c r="Q70" s="1281"/>
      <c r="R70" s="1281"/>
      <c r="S70" s="1281"/>
      <c r="T70" s="1281"/>
      <c r="U70" s="1281"/>
      <c r="V70" s="1281"/>
      <c r="W70" s="1281"/>
      <c r="X70" s="1281"/>
      <c r="Y70" s="1281"/>
      <c r="Z70" s="1281"/>
      <c r="AA70" s="1281"/>
      <c r="AB70" s="1281"/>
      <c r="AC70" s="1281"/>
      <c r="AD70" s="1281"/>
      <c r="AE70" s="1281"/>
      <c r="AF70" s="1281"/>
      <c r="AG70" s="1281"/>
      <c r="AH70" s="1281"/>
      <c r="AI70" s="1281"/>
      <c r="AJ70" s="1281"/>
      <c r="AK70" s="1281"/>
      <c r="AL70" s="1281"/>
      <c r="AM70" s="1281"/>
      <c r="AN70" s="1281"/>
      <c r="AO70" s="1281"/>
      <c r="AP70" s="1281"/>
      <c r="AQ70" s="1281"/>
      <c r="AR70" s="1281"/>
      <c r="AS70" s="1281"/>
      <c r="AT70" s="1281"/>
      <c r="AU70" s="1281"/>
      <c r="AV70" s="1281"/>
      <c r="AW70" s="1281"/>
      <c r="AX70" s="1281"/>
      <c r="AY70" s="1281"/>
      <c r="AZ70" s="1281"/>
      <c r="BA70" s="1281"/>
      <c r="BC70" s="1281"/>
      <c r="BD70" s="1323"/>
      <c r="BE70" s="1281"/>
      <c r="BG70" s="2264" t="str">
        <f>A70</f>
        <v>7. Depreciation and Amortization (% of Sales)</v>
      </c>
      <c r="BH70" s="2265"/>
      <c r="BI70" s="2265"/>
      <c r="BJ70" s="2265"/>
      <c r="BK70" s="2265"/>
      <c r="BL70" s="2265"/>
      <c r="BM70" s="2265"/>
      <c r="BN70" s="1664"/>
      <c r="BO70" s="1664"/>
      <c r="BP70" s="2215"/>
      <c r="BQ70" s="2215"/>
      <c r="BR70" s="2215"/>
      <c r="BS70" s="2215"/>
      <c r="BT70" s="2215"/>
      <c r="BU70" s="2215"/>
    </row>
    <row r="71" spans="1:74" s="1282" customFormat="1">
      <c r="BD71" s="1324"/>
    </row>
    <row r="72" spans="1:74" s="1282" customFormat="1">
      <c r="A72" s="1254" t="s">
        <v>79</v>
      </c>
      <c r="C72" s="1284">
        <v>13.72</v>
      </c>
      <c r="D72" s="1285">
        <f>(C72/C11)*100</f>
        <v>3.0069519326021967</v>
      </c>
      <c r="E72" s="1308" t="str">
        <f>IFERROR(((C72/#REF!-1)*100),"-")</f>
        <v>-</v>
      </c>
      <c r="G72" s="1284">
        <f>15.94+0.972</f>
        <v>16.911999999999999</v>
      </c>
      <c r="H72" s="1285">
        <f>(G72/G11)*100</f>
        <v>3.301094053463201</v>
      </c>
      <c r="I72" s="1287">
        <f>IFERROR(((G72/C72-1)*100),"-")</f>
        <v>23.265306122448969</v>
      </c>
      <c r="K72" s="1284">
        <v>18.725000000000001</v>
      </c>
      <c r="L72" s="1285">
        <f>(K72/K11)*100</f>
        <v>3.5229087844130342</v>
      </c>
      <c r="M72" s="1287">
        <f>IFERROR(((K72/G72-1)*100),"-")</f>
        <v>10.720198675496695</v>
      </c>
      <c r="O72" s="1284">
        <f>21.345</f>
        <v>21.344999999999999</v>
      </c>
      <c r="P72" s="1285">
        <f>(O72/O11)*100</f>
        <v>3.6766289042112863</v>
      </c>
      <c r="Q72" s="1287">
        <f>IFERROR(((O72/K72-1)*100),"-")</f>
        <v>13.991989319092113</v>
      </c>
      <c r="S72" s="1284">
        <v>22.628</v>
      </c>
      <c r="T72" s="1285">
        <f>(S72/S11)*100</f>
        <v>3.4380070862935521</v>
      </c>
      <c r="U72" s="1287">
        <f>IFERROR(((S72/O72-1)*100),"-")</f>
        <v>6.0107753572265166</v>
      </c>
      <c r="W72" s="1284">
        <f>34.984+10.933</f>
        <v>45.917000000000002</v>
      </c>
      <c r="X72" s="1285">
        <f>(W72/W11)*100</f>
        <v>6.9124417025709581</v>
      </c>
      <c r="Y72" s="1287">
        <f>IFERROR(((W72/S72-1)*100),"-")</f>
        <v>102.92115962524306</v>
      </c>
      <c r="AA72" s="1284">
        <f>30.757+10.751</f>
        <v>41.508000000000003</v>
      </c>
      <c r="AB72" s="1285">
        <f>(AA72/AA11)*100</f>
        <v>6.0547271011323804</v>
      </c>
      <c r="AC72" s="1287">
        <f>IFERROR(((AA72/W72-1)*100),"-")</f>
        <v>-9.6021081516649573</v>
      </c>
      <c r="AE72" s="1284">
        <f>30.379+
10.682</f>
        <v>41.061</v>
      </c>
      <c r="AF72" s="1285">
        <f>(AE72/AE11)*100</f>
        <v>5.7554753477940928</v>
      </c>
      <c r="AG72" s="1287">
        <f>IFERROR(((AE72/AA72-1)*100),"-")</f>
        <v>-1.0769008383926026</v>
      </c>
      <c r="AI72" s="1284">
        <v>39.679000000000002</v>
      </c>
      <c r="AJ72" s="1285">
        <f t="shared" ref="AJ72:AJ78" si="128">(AI72/AI11)*100</f>
        <v>4.7803547527055832</v>
      </c>
      <c r="AK72" s="1287">
        <f t="shared" ref="AK72:AK78" si="129">IFERROR(((AI72/AE72-1)*100),"-")</f>
        <v>-3.3657241664840076</v>
      </c>
      <c r="AM72" s="1284">
        <v>36.728999999999999</v>
      </c>
      <c r="AN72" s="1285">
        <f t="shared" ref="AN72:AN78" si="130">(AM72/AM11)*100</f>
        <v>4.105275864612743</v>
      </c>
      <c r="AO72" s="1287">
        <f t="shared" ref="AO72:AO78" si="131">(AM72/AI72-1)*100</f>
        <v>-7.4346631719549467</v>
      </c>
      <c r="AQ72" s="1284">
        <v>36.619999999999997</v>
      </c>
      <c r="AR72" s="1285">
        <f t="shared" ref="AR72:AR78" si="132">(AQ72/AQ11)*100</f>
        <v>3.9415293176805895</v>
      </c>
      <c r="AS72" s="1287">
        <f t="shared" ref="AS72:AS78" si="133">(AQ72/AM72-1)*100</f>
        <v>-0.29676822129652836</v>
      </c>
      <c r="AU72" s="1284">
        <f>39.93774883</f>
        <v>39.937748829999997</v>
      </c>
      <c r="AV72" s="1285">
        <f t="shared" ref="AV72:AV78" si="134">(AU72/AU11)*100</f>
        <v>4.0652344246100078</v>
      </c>
      <c r="AW72" s="1287">
        <f t="shared" ref="AW72:AW78" si="135">(AU72/AQ72-1)*100</f>
        <v>9.0599367285636223</v>
      </c>
      <c r="AY72" s="1284">
        <v>43.991999999999997</v>
      </c>
      <c r="AZ72" s="1285">
        <f t="shared" ref="AZ72:AZ78" si="136">(AY72/AY11)*100</f>
        <v>4.1306538042258634</v>
      </c>
      <c r="BA72" s="1287">
        <f t="shared" ref="BA72:BA78" si="137">(AY72/AU72-1)*100</f>
        <v>10.151426379231898</v>
      </c>
      <c r="BB72" s="1291"/>
      <c r="BC72" s="1284">
        <v>41.207999999999998</v>
      </c>
      <c r="BD72" s="1285">
        <f t="shared" ref="BD72:BD78" si="138">(BC72/BC11)*100</f>
        <v>3.652320501582512</v>
      </c>
      <c r="BE72" s="1287">
        <f t="shared" ref="BE72:BE78" si="139">(BC72/AY72-1)*100</f>
        <v>-6.3284233496999409</v>
      </c>
      <c r="BF72" s="1291"/>
      <c r="BG72" s="1284">
        <v>42.155000000000001</v>
      </c>
      <c r="BH72" s="1285">
        <f t="shared" ref="BH72:BH78" si="140">(BG72/BG11)*100</f>
        <v>3.56322043110276</v>
      </c>
      <c r="BI72" s="1287">
        <f t="shared" ref="BI72:BI78" si="141">(BG72/BC72-1)*100</f>
        <v>2.2980974568045154</v>
      </c>
      <c r="BK72" s="1284">
        <v>45.545000000000002</v>
      </c>
      <c r="BL72" s="1285">
        <f>(BK72/BK11)*100</f>
        <v>3.5507963856642779</v>
      </c>
      <c r="BM72" s="1619">
        <f t="shared" ref="BM72:BM78" si="142">(BK72/BG72-1)*100</f>
        <v>8.0417506820068763</v>
      </c>
      <c r="BO72" s="1284">
        <v>48.012</v>
      </c>
      <c r="BP72" s="1285">
        <f t="shared" ref="BP72:BP78" si="143">(BO72/BO11)*100</f>
        <v>3.565567013677958</v>
      </c>
      <c r="BQ72" s="1619">
        <f>(BO72/BK72-1)*100</f>
        <v>5.4166209243605268</v>
      </c>
      <c r="BS72" s="2169">
        <f t="shared" ref="BS72:BS73" si="144">(BO72*BU72)+BO72</f>
        <v>54.25356</v>
      </c>
      <c r="BT72" s="1285">
        <f t="shared" ref="BT72:BT78" si="145">(BS72/BS11)*100</f>
        <v>3.6509639536870253</v>
      </c>
      <c r="BU72" s="1586">
        <v>0.13</v>
      </c>
      <c r="BV72" s="1587"/>
    </row>
    <row r="73" spans="1:74" s="1282" customFormat="1">
      <c r="A73" s="1254" t="s">
        <v>80</v>
      </c>
      <c r="C73" s="1288">
        <f>13.958+0.847</f>
        <v>14.805</v>
      </c>
      <c r="D73" s="1285">
        <f>(C73/C12)*100</f>
        <v>1.9726270515721056</v>
      </c>
      <c r="E73" s="1308" t="str">
        <f>IFERROR(((C73/#REF!-1)*100),"-")</f>
        <v>-</v>
      </c>
      <c r="G73" s="1288">
        <v>17.785</v>
      </c>
      <c r="H73" s="1285">
        <f>(G73/G12)*100</f>
        <v>2.2490139619697236</v>
      </c>
      <c r="I73" s="1287">
        <f>IFERROR(((G73/C73-1)*100),"-")</f>
        <v>20.128335021952036</v>
      </c>
      <c r="K73" s="1288">
        <v>19.888000000000002</v>
      </c>
      <c r="L73" s="1285">
        <f>(K73/K12)*100</f>
        <v>2.5045808592495575</v>
      </c>
      <c r="M73" s="1287">
        <f>IFERROR(((K73/G73-1)*100),"-")</f>
        <v>11.824571267922423</v>
      </c>
      <c r="O73" s="1288">
        <v>22.826000000000001</v>
      </c>
      <c r="P73" s="1285">
        <f>(O73/O12)*100</f>
        <v>2.5939638576945017</v>
      </c>
      <c r="Q73" s="1287">
        <f>IFERROR(((O73/K73-1)*100),"-")</f>
        <v>14.77272727272727</v>
      </c>
      <c r="S73" s="1288">
        <f>22.435+0.458</f>
        <v>22.892999999999997</v>
      </c>
      <c r="T73" s="1285">
        <f>(S73/S12)*100</f>
        <v>2.3998716881602973</v>
      </c>
      <c r="U73" s="1287">
        <f>IFERROR(((S73/O73-1)*100),"-")</f>
        <v>0.29352492771399508</v>
      </c>
      <c r="W73" s="1288">
        <f>34.59+10.889</f>
        <v>45.478999999999999</v>
      </c>
      <c r="X73" s="1285">
        <f>(W73/W12)*100</f>
        <v>4.5620377550027538</v>
      </c>
      <c r="Y73" s="1287">
        <f>IFERROR(((W73/S73-1)*100),"-")</f>
        <v>98.658978727121863</v>
      </c>
      <c r="AA73" s="1288">
        <f>30.845+10.629</f>
        <v>41.473999999999997</v>
      </c>
      <c r="AB73" s="1285">
        <f>(AA73/AA12)*100</f>
        <v>4.3398688433329742</v>
      </c>
      <c r="AC73" s="1287">
        <f>IFERROR(((AA73/W73-1)*100),"-")</f>
        <v>-8.8062622309197707</v>
      </c>
      <c r="AE73" s="1288">
        <f>31.334+11.083</f>
        <v>42.417000000000002</v>
      </c>
      <c r="AF73" s="1285">
        <f>(AE73/AE12)*100</f>
        <v>4.1984891496715804</v>
      </c>
      <c r="AG73" s="1287">
        <f>IFERROR(((AE73/AA73-1)*100),"-")</f>
        <v>2.2737136519265233</v>
      </c>
      <c r="AI73" s="1288">
        <v>37.665999999999997</v>
      </c>
      <c r="AJ73" s="1285">
        <f t="shared" si="128"/>
        <v>5.3733498055573783</v>
      </c>
      <c r="AK73" s="1287">
        <f t="shared" si="129"/>
        <v>-11.200697833415862</v>
      </c>
      <c r="AM73" s="1288">
        <v>35.506</v>
      </c>
      <c r="AN73" s="1285">
        <f t="shared" si="130"/>
        <v>4.8721783876500853</v>
      </c>
      <c r="AO73" s="1287">
        <f t="shared" si="131"/>
        <v>-5.7346147719428586</v>
      </c>
      <c r="AQ73" s="1288">
        <v>37.366999999999997</v>
      </c>
      <c r="AR73" s="1285">
        <f t="shared" si="132"/>
        <v>4.7100330371627113</v>
      </c>
      <c r="AS73" s="1287">
        <f t="shared" si="133"/>
        <v>5.2413676561707812</v>
      </c>
      <c r="AU73" s="1288">
        <v>39.978999999999999</v>
      </c>
      <c r="AV73" s="1285">
        <f t="shared" si="134"/>
        <v>4.6262287334667196</v>
      </c>
      <c r="AW73" s="1287">
        <f t="shared" si="135"/>
        <v>6.9901249765836226</v>
      </c>
      <c r="AY73" s="1288">
        <f>41.247</f>
        <v>41.247</v>
      </c>
      <c r="AZ73" s="1285">
        <f t="shared" si="136"/>
        <v>4.2800175571307166</v>
      </c>
      <c r="BA73" s="1287">
        <f t="shared" si="137"/>
        <v>3.1716651241902039</v>
      </c>
      <c r="BB73" s="1291"/>
      <c r="BC73" s="1288">
        <v>40.548999999999999</v>
      </c>
      <c r="BD73" s="1285">
        <f t="shared" si="138"/>
        <v>3.8855632672499794</v>
      </c>
      <c r="BE73" s="1287">
        <f t="shared" si="139"/>
        <v>-1.6922442844328089</v>
      </c>
      <c r="BF73" s="1291"/>
      <c r="BG73" s="1288">
        <v>41.746000000000002</v>
      </c>
      <c r="BH73" s="1285">
        <f t="shared" si="140"/>
        <v>3.6484306312258679</v>
      </c>
      <c r="BI73" s="1287">
        <f t="shared" si="141"/>
        <v>2.9519840193346303</v>
      </c>
      <c r="BK73" s="1288">
        <v>44.613</v>
      </c>
      <c r="BL73" s="1285">
        <f t="shared" ref="BL73:BL78" si="146">(BK73/BK12)*100</f>
        <v>3.554670599568305</v>
      </c>
      <c r="BM73" s="1619">
        <f t="shared" si="142"/>
        <v>6.8677238537823815</v>
      </c>
      <c r="BO73" s="1288">
        <v>48.7</v>
      </c>
      <c r="BP73" s="1285">
        <f t="shared" si="143"/>
        <v>3.5724136312154133</v>
      </c>
      <c r="BQ73" s="1619">
        <f>(BO73/BK73-1)*100</f>
        <v>9.1610068814022902</v>
      </c>
      <c r="BS73" s="2175">
        <f t="shared" si="144"/>
        <v>54.544000000000004</v>
      </c>
      <c r="BT73" s="1285">
        <f t="shared" si="145"/>
        <v>3.6386665251995387</v>
      </c>
      <c r="BU73" s="1586">
        <v>0.12</v>
      </c>
    </row>
    <row r="74" spans="1:74" s="1282" customFormat="1">
      <c r="A74" s="1254" t="s">
        <v>81</v>
      </c>
      <c r="C74" s="1288">
        <f>15.102+1.28</f>
        <v>16.382000000000001</v>
      </c>
      <c r="D74" s="1285">
        <f>(C74/C13)*100</f>
        <v>2.0801245382826976</v>
      </c>
      <c r="E74" s="1308" t="str">
        <f>IFERROR(((C74/#REF!-1)*100),"-")</f>
        <v>-</v>
      </c>
      <c r="G74" s="1288">
        <v>17.791</v>
      </c>
      <c r="H74" s="1285">
        <f>(G74/G13)*100</f>
        <v>2.2028106234136073</v>
      </c>
      <c r="I74" s="1287">
        <f>IFERROR(((G74/C74-1)*100),"-")</f>
        <v>8.600903430594542</v>
      </c>
      <c r="K74" s="1288">
        <v>21.530999999999999</v>
      </c>
      <c r="L74" s="1285">
        <f>(K74/K13)*100</f>
        <v>2.5100958758463752</v>
      </c>
      <c r="M74" s="1287">
        <f>IFERROR(((K74/G74-1)*100),"-")</f>
        <v>21.02186498791523</v>
      </c>
      <c r="O74" s="1288">
        <f>20.625</f>
        <v>20.625</v>
      </c>
      <c r="P74" s="1285">
        <f>(O74/O13)*100</f>
        <v>2.1140381357104858</v>
      </c>
      <c r="Q74" s="1287">
        <f>IFERROR(((O74/K74-1)*100),"-")</f>
        <v>-4.2078863034694098</v>
      </c>
      <c r="S74" s="1288">
        <f>22.916+0.009</f>
        <v>22.925000000000001</v>
      </c>
      <c r="T74" s="1285">
        <f>(S74/S13)*100</f>
        <v>2.2213501545497709</v>
      </c>
      <c r="U74" s="1287">
        <f>IFERROR(((S74/O74-1)*100),"-")</f>
        <v>11.151515151515156</v>
      </c>
      <c r="W74" s="1288">
        <f>34.216+10.726</f>
        <v>44.942</v>
      </c>
      <c r="X74" s="1285">
        <f>(W74/W13)*100</f>
        <v>4.50267403252922</v>
      </c>
      <c r="Y74" s="1287">
        <f>IFERROR(((W74/S74-1)*100),"-")</f>
        <v>96.039258451472193</v>
      </c>
      <c r="AA74" s="1288">
        <f>32.399+10.756</f>
        <v>43.155000000000001</v>
      </c>
      <c r="AB74" s="1285">
        <f>(AA74/AA13)*100</f>
        <v>4.3362445941383578</v>
      </c>
      <c r="AC74" s="1287">
        <f>IFERROR(((AA74/W74-1)*100),"-")</f>
        <v>-3.9762360375595218</v>
      </c>
      <c r="AE74" s="1288">
        <f>32.567+11.242</f>
        <v>43.808999999999997</v>
      </c>
      <c r="AF74" s="1285">
        <f>(AE74/AE13)*100</f>
        <v>4.2558834244080144</v>
      </c>
      <c r="AG74" s="1287">
        <f>IFERROR(((AE74/AA74-1)*100),"-")</f>
        <v>1.51546750086895</v>
      </c>
      <c r="AI74" s="1288">
        <v>36.21</v>
      </c>
      <c r="AJ74" s="1285">
        <f t="shared" si="128"/>
        <v>4.1507426860497905</v>
      </c>
      <c r="AK74" s="1287">
        <f t="shared" si="129"/>
        <v>-17.345750873108258</v>
      </c>
      <c r="AM74" s="1288">
        <v>36.96</v>
      </c>
      <c r="AN74" s="1285">
        <f t="shared" si="130"/>
        <v>4.3067586746928992</v>
      </c>
      <c r="AO74" s="1287">
        <f t="shared" si="131"/>
        <v>2.0712510356255098</v>
      </c>
      <c r="AQ74" s="1288">
        <v>39.188000000000002</v>
      </c>
      <c r="AR74" s="1285">
        <f t="shared" si="132"/>
        <v>4.360700284756355</v>
      </c>
      <c r="AS74" s="1287">
        <f t="shared" si="133"/>
        <v>6.0281385281385269</v>
      </c>
      <c r="AU74" s="1288">
        <v>40.844000000000001</v>
      </c>
      <c r="AV74" s="1285">
        <f t="shared" si="134"/>
        <v>4.2198835822931029</v>
      </c>
      <c r="AW74" s="1287">
        <f t="shared" si="135"/>
        <v>4.2257834030825725</v>
      </c>
      <c r="AY74" s="1288">
        <v>41.070999999999998</v>
      </c>
      <c r="AZ74" s="1285">
        <f t="shared" si="136"/>
        <v>3.8582360577997972</v>
      </c>
      <c r="BA74" s="1287">
        <f t="shared" si="137"/>
        <v>0.55577318578003965</v>
      </c>
      <c r="BB74" s="1291"/>
      <c r="BC74" s="1288">
        <v>42.584000000000003</v>
      </c>
      <c r="BD74" s="1285">
        <f t="shared" si="138"/>
        <v>3.6796245027184158</v>
      </c>
      <c r="BE74" s="1287">
        <f t="shared" si="139"/>
        <v>3.6838645272820436</v>
      </c>
      <c r="BF74" s="1291"/>
      <c r="BG74" s="1288">
        <v>43.186</v>
      </c>
      <c r="BH74" s="1285">
        <f t="shared" si="140"/>
        <v>3.5085296282515199</v>
      </c>
      <c r="BI74" s="1287">
        <f t="shared" si="141"/>
        <v>1.4136764982152883</v>
      </c>
      <c r="BK74" s="1288">
        <v>46.472000000000001</v>
      </c>
      <c r="BL74" s="1285">
        <f>(BK74/BK13)*100</f>
        <v>3.4613436615522124</v>
      </c>
      <c r="BM74" s="1619">
        <f t="shared" si="142"/>
        <v>7.6089473440466904</v>
      </c>
      <c r="BO74" s="2219">
        <v>50.835999999999999</v>
      </c>
      <c r="BP74" s="1285">
        <f t="shared" si="143"/>
        <v>3.5347772546581862</v>
      </c>
      <c r="BQ74" s="1619">
        <f>(BO74/BK74-1)*100</f>
        <v>9.3906007918746823</v>
      </c>
      <c r="BS74" s="1312">
        <f>(BO74*BU74)+BO74</f>
        <v>56.936319999999995</v>
      </c>
      <c r="BT74" s="1285">
        <f t="shared" si="145"/>
        <v>3.5984347216279153</v>
      </c>
      <c r="BU74" s="1586">
        <v>0.12</v>
      </c>
    </row>
    <row r="75" spans="1:74" s="1282" customFormat="1">
      <c r="A75" s="1254" t="s">
        <v>82</v>
      </c>
      <c r="C75" s="1314">
        <f>16.835+0.777</f>
        <v>17.612000000000002</v>
      </c>
      <c r="D75" s="1285">
        <f>(C75/C14)*100</f>
        <v>2.892946840541335</v>
      </c>
      <c r="E75" s="1308" t="str">
        <f>IFERROR(((C75/#REF!-1)*100),"-")</f>
        <v>-</v>
      </c>
      <c r="G75" s="1314">
        <v>17.3</v>
      </c>
      <c r="H75" s="1285">
        <f>(G75/G14)*100</f>
        <v>2.8388672099350507</v>
      </c>
      <c r="I75" s="1287">
        <f>IFERROR(((G75/C75-1)*100),"-")</f>
        <v>-1.771519418578249</v>
      </c>
      <c r="K75" s="1314">
        <v>23.132999999999999</v>
      </c>
      <c r="L75" s="1285">
        <f>(K75/K14)*100</f>
        <v>3.3779679331795212</v>
      </c>
      <c r="M75" s="1287">
        <f>IFERROR(((K75/G75-1)*100),"-")</f>
        <v>33.716763005780322</v>
      </c>
      <c r="O75" s="1314">
        <v>25.061</v>
      </c>
      <c r="P75" s="1285">
        <f>(O75/O14)*100</f>
        <v>3.2815499401592785</v>
      </c>
      <c r="Q75" s="1287">
        <f>IFERROR(((O75/K75-1)*100),"-")</f>
        <v>8.3344140405481326</v>
      </c>
      <c r="S75" s="1315">
        <f>S76-SUM(S72:S74)</f>
        <v>-68.445999999999998</v>
      </c>
      <c r="T75" s="1285">
        <f>(S75/S14)*100</f>
        <v>-8.2821692444332538</v>
      </c>
      <c r="U75" s="1287">
        <f>IFERROR(((S75/O75-1)*100),"-")</f>
        <v>-373.11759307290214</v>
      </c>
      <c r="W75" s="1314">
        <f>W76-SUM(W72:W74)</f>
        <v>-136.33799999999999</v>
      </c>
      <c r="X75" s="1285">
        <f>(W75/W14)*100</f>
        <v>-17.426504422516484</v>
      </c>
      <c r="Y75" s="1287">
        <f>IFERROR(((W75/S75-1)*100),"-")</f>
        <v>99.190602810975065</v>
      </c>
      <c r="AA75" s="1314">
        <f>AA76-SUM(AA72:AA74)</f>
        <v>-126.137</v>
      </c>
      <c r="AB75" s="1285">
        <f>(AA75/AA14)*100</f>
        <v>-16.016196881757427</v>
      </c>
      <c r="AC75" s="1287">
        <f>IFERROR(((AA75/W75-1)*100),"-")</f>
        <v>-7.4821399756487494</v>
      </c>
      <c r="AE75" s="1315">
        <f>AE76-SUM(AE72:AE74)</f>
        <v>-127.28700000000001</v>
      </c>
      <c r="AF75" s="1285">
        <f>(AE75/AE14)*100</f>
        <v>-15.555528398154653</v>
      </c>
      <c r="AG75" s="1287">
        <f>IFERROR(((AE75/AA75-1)*100),"-")</f>
        <v>0.91170711210826205</v>
      </c>
      <c r="AI75" s="1315">
        <f>AI76-SUM(AI72:AI74)</f>
        <v>42.832999999999998</v>
      </c>
      <c r="AJ75" s="1285">
        <f t="shared" si="128"/>
        <v>3.8260181381468299</v>
      </c>
      <c r="AK75" s="1287">
        <f t="shared" si="129"/>
        <v>-133.65072631140652</v>
      </c>
      <c r="AM75" s="1315">
        <f>AM76-SUM(AM72:AM74)</f>
        <v>37.563999999999993</v>
      </c>
      <c r="AN75" s="1285">
        <f t="shared" si="130"/>
        <v>3.1619848011932765</v>
      </c>
      <c r="AO75" s="1287">
        <f t="shared" si="131"/>
        <v>-12.301263044848609</v>
      </c>
      <c r="AQ75" s="1315">
        <f>AQ76-SUM(AQ72:AQ74)</f>
        <v>39.894999999999996</v>
      </c>
      <c r="AR75" s="1285">
        <f t="shared" si="132"/>
        <v>3.2354966298768648</v>
      </c>
      <c r="AS75" s="1287">
        <f t="shared" si="133"/>
        <v>6.2054094345650235</v>
      </c>
      <c r="AU75" s="1289">
        <v>46.037999999999997</v>
      </c>
      <c r="AV75" s="1285">
        <f t="shared" si="134"/>
        <v>3.6464669331379289</v>
      </c>
      <c r="AW75" s="1287">
        <f t="shared" si="135"/>
        <v>15.397919538789328</v>
      </c>
      <c r="AY75" s="1289">
        <v>41.884</v>
      </c>
      <c r="AZ75" s="1285">
        <f t="shared" si="136"/>
        <v>3.1390783173209162</v>
      </c>
      <c r="BA75" s="1287">
        <f t="shared" si="137"/>
        <v>-9.0229810156826851</v>
      </c>
      <c r="BB75" s="1291"/>
      <c r="BC75" s="1289">
        <v>43.238999999999997</v>
      </c>
      <c r="BD75" s="1285">
        <f t="shared" si="138"/>
        <v>2.911007552367705</v>
      </c>
      <c r="BE75" s="1287">
        <f t="shared" si="139"/>
        <v>3.2351255849488947</v>
      </c>
      <c r="BF75" s="1291"/>
      <c r="BG75" s="1289">
        <v>45.012</v>
      </c>
      <c r="BH75" s="1285">
        <f t="shared" si="140"/>
        <v>2.921398340698703</v>
      </c>
      <c r="BI75" s="1287">
        <f t="shared" si="141"/>
        <v>4.1004648581142167</v>
      </c>
      <c r="BK75" s="1289">
        <v>46.956000000000003</v>
      </c>
      <c r="BL75" s="1285">
        <f t="shared" si="146"/>
        <v>2.7855242434219312</v>
      </c>
      <c r="BM75" s="1619">
        <f t="shared" si="142"/>
        <v>4.3188483071181061</v>
      </c>
      <c r="BO75" s="1289">
        <v>53.555</v>
      </c>
      <c r="BP75" s="1285">
        <f t="shared" si="143"/>
        <v>2.7650866442003914</v>
      </c>
      <c r="BQ75" s="1586">
        <v>0.1</v>
      </c>
      <c r="BS75" s="1290">
        <f>(BO75*BU75)+BO75</f>
        <v>59.9816</v>
      </c>
      <c r="BT75" s="1285">
        <f t="shared" si="145"/>
        <v>2.9692205575306221</v>
      </c>
      <c r="BU75" s="1586">
        <v>0.12</v>
      </c>
    </row>
    <row r="76" spans="1:74" s="1282" customFormat="1">
      <c r="A76" s="1254" t="s">
        <v>85</v>
      </c>
      <c r="C76" s="1291">
        <f>'yrP&amp;L'!$D110</f>
        <v>0</v>
      </c>
      <c r="D76" s="1285">
        <f>(C76/C15)*100</f>
        <v>0</v>
      </c>
      <c r="E76" s="1308" t="str">
        <f>IFERROR(((C76/#REF!-1)*100),"-")</f>
        <v>-</v>
      </c>
      <c r="G76" s="1291">
        <f>'yrP&amp;L'!$E110</f>
        <v>0</v>
      </c>
      <c r="H76" s="1285">
        <f>(G76/G15)*100</f>
        <v>0</v>
      </c>
      <c r="I76" s="1287" t="str">
        <f>IFERROR(((G76/C76-1)*100),"-")</f>
        <v>-</v>
      </c>
      <c r="K76" s="1291">
        <f>'yrP&amp;L'!$F110</f>
        <v>0</v>
      </c>
      <c r="L76" s="1285">
        <f>(K76/K15)*100</f>
        <v>0</v>
      </c>
      <c r="M76" s="1287" t="str">
        <f>IFERROR(((K76/G76-1)*100),"-")</f>
        <v>-</v>
      </c>
      <c r="O76" s="1291">
        <f>'yrP&amp;L'!G110</f>
        <v>0</v>
      </c>
      <c r="P76" s="1285">
        <f>(O76/O15)*100</f>
        <v>0</v>
      </c>
      <c r="Q76" s="1287" t="str">
        <f>IFERROR(((O76/K76-1)*100),"-")</f>
        <v>-</v>
      </c>
      <c r="S76" s="1291">
        <f>'yrP&amp;L'!H110</f>
        <v>0</v>
      </c>
      <c r="T76" s="1285">
        <f>(S76/S15)*100</f>
        <v>0</v>
      </c>
      <c r="U76" s="1287" t="str">
        <f>IFERROR(((S76/O76-1)*100),"-")</f>
        <v>-</v>
      </c>
      <c r="W76" s="1291">
        <f>'yrP&amp;L'!I110</f>
        <v>0</v>
      </c>
      <c r="X76" s="1285">
        <f>(W76/W15)*100</f>
        <v>0</v>
      </c>
      <c r="Y76" s="1287" t="str">
        <f>IFERROR(((W76/S76-1)*100),"-")</f>
        <v>-</v>
      </c>
      <c r="AA76" s="1291">
        <f>'yrP&amp;L'!J110</f>
        <v>0</v>
      </c>
      <c r="AB76" s="1285">
        <f>(AA76/AA15)*100</f>
        <v>0</v>
      </c>
      <c r="AC76" s="1287" t="str">
        <f>IFERROR(((AA76/W76-1)*100),"-")</f>
        <v>-</v>
      </c>
      <c r="AD76" s="1291"/>
      <c r="AE76" s="1291">
        <f>'yrP&amp;L'!K110</f>
        <v>0</v>
      </c>
      <c r="AF76" s="1285">
        <f>(AE76/AE15)*100</f>
        <v>0</v>
      </c>
      <c r="AG76" s="1287" t="str">
        <f>IFERROR(((AE76/AA76-1)*100),"-")</f>
        <v>-</v>
      </c>
      <c r="AI76" s="1284">
        <v>156.38800000000001</v>
      </c>
      <c r="AJ76" s="1285">
        <f t="shared" si="128"/>
        <v>4.4391659858855483</v>
      </c>
      <c r="AK76" s="1287" t="str">
        <f t="shared" si="129"/>
        <v>-</v>
      </c>
      <c r="AM76" s="1284">
        <v>146.75899999999999</v>
      </c>
      <c r="AN76" s="1285">
        <f t="shared" si="130"/>
        <v>3.9993165471350842</v>
      </c>
      <c r="AO76" s="1287">
        <f t="shared" si="131"/>
        <v>-6.1571220298232703</v>
      </c>
      <c r="AQ76" s="1284">
        <v>153.07</v>
      </c>
      <c r="AR76" s="1285">
        <f t="shared" si="132"/>
        <v>3.9715796077666212</v>
      </c>
      <c r="AS76" s="1287">
        <f t="shared" si="133"/>
        <v>4.3002473442855349</v>
      </c>
      <c r="AU76" s="1291">
        <f>SUM(AU72:AU75)</f>
        <v>166.79874882999997</v>
      </c>
      <c r="AV76" s="1285">
        <f t="shared" si="134"/>
        <v>4.0911785830390563</v>
      </c>
      <c r="AW76" s="1287">
        <f t="shared" si="135"/>
        <v>8.9689350166590298</v>
      </c>
      <c r="AY76" s="1291">
        <f>SUM(AY72:AY75)</f>
        <v>168.19400000000002</v>
      </c>
      <c r="AZ76" s="1285">
        <f t="shared" si="136"/>
        <v>3.7988455343790855</v>
      </c>
      <c r="BA76" s="1287">
        <f t="shared" si="137"/>
        <v>0.83648779129756878</v>
      </c>
      <c r="BC76" s="1291">
        <f>SUM(BC72:BC75)</f>
        <v>167.58</v>
      </c>
      <c r="BD76" s="1285">
        <f t="shared" si="138"/>
        <v>3.4807323869707036</v>
      </c>
      <c r="BE76" s="1287">
        <f t="shared" si="139"/>
        <v>-0.36505463928558912</v>
      </c>
      <c r="BG76" s="1291">
        <f>SUM(BG72:BG75)</f>
        <v>172.09900000000002</v>
      </c>
      <c r="BH76" s="1285">
        <f t="shared" si="140"/>
        <v>3.3751970020388584</v>
      </c>
      <c r="BI76" s="1287">
        <f t="shared" si="141"/>
        <v>2.6966225086525908</v>
      </c>
      <c r="BK76" s="1330">
        <f>SUM(BK72:BK75)</f>
        <v>183.58600000000001</v>
      </c>
      <c r="BL76" s="1285">
        <f t="shared" si="146"/>
        <v>3.2983245892320538</v>
      </c>
      <c r="BM76" s="1287">
        <f t="shared" si="142"/>
        <v>6.6746465697069768</v>
      </c>
      <c r="BO76" s="1291">
        <f>SUM(BO72:BO75)</f>
        <v>201.10300000000001</v>
      </c>
      <c r="BP76" s="1285">
        <f t="shared" si="143"/>
        <v>3.3050243838464786</v>
      </c>
      <c r="BQ76" s="1287">
        <f>(BO76/BK76-1)*100</f>
        <v>9.541577244452192</v>
      </c>
      <c r="BS76" s="1291">
        <f>SUM(BS72:BS75)</f>
        <v>225.71548000000001</v>
      </c>
      <c r="BT76" s="1285">
        <f t="shared" si="145"/>
        <v>3.4264822257800822</v>
      </c>
      <c r="BU76" s="1287">
        <f>(BS76/BO76-1)*100</f>
        <v>12.23874333053212</v>
      </c>
      <c r="BV76" s="1306"/>
    </row>
    <row r="77" spans="1:74" s="1282" customFormat="1">
      <c r="A77" s="1254" t="s">
        <v>87</v>
      </c>
      <c r="C77" s="1291"/>
      <c r="D77" s="1285"/>
      <c r="E77" s="1308"/>
      <c r="G77" s="1291"/>
      <c r="H77" s="1285"/>
      <c r="I77" s="1287"/>
      <c r="K77" s="1291"/>
      <c r="L77" s="1285"/>
      <c r="M77" s="1287"/>
      <c r="O77" s="1291"/>
      <c r="P77" s="1285"/>
      <c r="Q77" s="1287"/>
      <c r="S77" s="1291"/>
      <c r="T77" s="1285"/>
      <c r="U77" s="1287"/>
      <c r="W77" s="1291"/>
      <c r="X77" s="1285"/>
      <c r="Y77" s="1287"/>
      <c r="AA77" s="1291"/>
      <c r="AB77" s="1285"/>
      <c r="AC77" s="1287"/>
      <c r="AD77" s="1291"/>
      <c r="AE77" s="1291"/>
      <c r="AF77" s="1285"/>
      <c r="AG77" s="1287"/>
      <c r="AI77" s="1292">
        <f>AI72+AI73</f>
        <v>77.344999999999999</v>
      </c>
      <c r="AJ77" s="1285">
        <f t="shared" si="128"/>
        <v>5.0518575512680757</v>
      </c>
      <c r="AK77" s="1287" t="str">
        <f t="shared" si="129"/>
        <v>-</v>
      </c>
      <c r="AM77" s="1292">
        <f>AM72+AM73</f>
        <v>72.234999999999999</v>
      </c>
      <c r="AN77" s="1285">
        <f t="shared" si="130"/>
        <v>4.4495351811105888</v>
      </c>
      <c r="AO77" s="1287">
        <f t="shared" si="131"/>
        <v>-6.6067619109186122</v>
      </c>
      <c r="AQ77" s="1292">
        <f>AQ72+AQ73</f>
        <v>73.986999999999995</v>
      </c>
      <c r="AR77" s="1285">
        <f t="shared" si="132"/>
        <v>4.2955011234128531</v>
      </c>
      <c r="AS77" s="1287">
        <f t="shared" si="133"/>
        <v>2.4254170416003307</v>
      </c>
      <c r="AU77" s="1292">
        <f>AU72+AU73</f>
        <v>79.916748829999989</v>
      </c>
      <c r="AV77" s="1285">
        <f t="shared" si="134"/>
        <v>4.3277709546721246</v>
      </c>
      <c r="AW77" s="1287">
        <f t="shared" si="135"/>
        <v>8.0145820617135257</v>
      </c>
      <c r="AY77" s="1292">
        <f>AY72+AY73</f>
        <v>85.239000000000004</v>
      </c>
      <c r="AZ77" s="1285">
        <f t="shared" si="136"/>
        <v>4.201606527058388</v>
      </c>
      <c r="BA77" s="1287">
        <f t="shared" si="137"/>
        <v>6.6597443563696235</v>
      </c>
      <c r="BC77" s="1292">
        <f>BC72+BC73</f>
        <v>81.757000000000005</v>
      </c>
      <c r="BD77" s="1285">
        <f t="shared" si="138"/>
        <v>3.7643944102953708</v>
      </c>
      <c r="BE77" s="1287">
        <f t="shared" si="139"/>
        <v>-4.0849845727894518</v>
      </c>
      <c r="BG77" s="1292">
        <f>BG72+BG73</f>
        <v>83.90100000000001</v>
      </c>
      <c r="BH77" s="1285">
        <f t="shared" si="140"/>
        <v>3.605114474985144</v>
      </c>
      <c r="BI77" s="1287">
        <f t="shared" si="141"/>
        <v>2.622405420942564</v>
      </c>
      <c r="BK77" s="1292">
        <f>BK72+BK73</f>
        <v>90.158000000000001</v>
      </c>
      <c r="BL77" s="1285">
        <f t="shared" si="146"/>
        <v>3.5527124118747402</v>
      </c>
      <c r="BM77" s="1287">
        <f t="shared" si="142"/>
        <v>7.457598836724233</v>
      </c>
      <c r="BO77" s="1292">
        <f>BO72+BO73</f>
        <v>96.712000000000003</v>
      </c>
      <c r="BP77" s="1285">
        <f t="shared" si="143"/>
        <v>3.5690113921107698</v>
      </c>
      <c r="BQ77" s="1287">
        <f>(BO77/BK77-1)*100</f>
        <v>7.2694602808403008</v>
      </c>
      <c r="BS77" s="1292">
        <f>BS72+BS73</f>
        <v>108.79756</v>
      </c>
      <c r="BT77" s="1285">
        <f t="shared" si="145"/>
        <v>3.6447884525628722</v>
      </c>
      <c r="BU77" s="1287">
        <f>(BS77/BO77-1)*100</f>
        <v>12.496443047398454</v>
      </c>
    </row>
    <row r="78" spans="1:74" s="1282" customFormat="1">
      <c r="A78" s="1254" t="s">
        <v>88</v>
      </c>
      <c r="C78" s="1291"/>
      <c r="D78" s="1285"/>
      <c r="E78" s="1308"/>
      <c r="G78" s="1291"/>
      <c r="H78" s="1285"/>
      <c r="I78" s="1287"/>
      <c r="K78" s="1291"/>
      <c r="L78" s="1285"/>
      <c r="M78" s="1287"/>
      <c r="O78" s="1291"/>
      <c r="P78" s="1285"/>
      <c r="Q78" s="1287"/>
      <c r="S78" s="1291"/>
      <c r="T78" s="1285"/>
      <c r="U78" s="1287"/>
      <c r="W78" s="1291"/>
      <c r="X78" s="1285"/>
      <c r="Y78" s="1287"/>
      <c r="AA78" s="1291"/>
      <c r="AB78" s="1285"/>
      <c r="AC78" s="1287"/>
      <c r="AD78" s="1291"/>
      <c r="AE78" s="1291"/>
      <c r="AF78" s="1285"/>
      <c r="AG78" s="1287"/>
      <c r="AI78" s="1292">
        <f>AI72+AI73+AI74</f>
        <v>113.55500000000001</v>
      </c>
      <c r="AJ78" s="1285">
        <f t="shared" si="128"/>
        <v>4.7247747457242779</v>
      </c>
      <c r="AK78" s="1287" t="str">
        <f t="shared" si="129"/>
        <v>-</v>
      </c>
      <c r="AM78" s="1292">
        <f>AM72+AM73+AM74</f>
        <v>109.19499999999999</v>
      </c>
      <c r="AN78" s="1285">
        <f t="shared" si="130"/>
        <v>4.4001605406803801</v>
      </c>
      <c r="AO78" s="1287">
        <f t="shared" si="131"/>
        <v>-3.8395491171679064</v>
      </c>
      <c r="AQ78" s="1292">
        <f>AQ72+AQ73+AQ74</f>
        <v>113.175</v>
      </c>
      <c r="AR78" s="1285">
        <f t="shared" si="132"/>
        <v>4.3178551848408278</v>
      </c>
      <c r="AS78" s="1287">
        <f t="shared" si="133"/>
        <v>3.6448555336782817</v>
      </c>
      <c r="AU78" s="1292">
        <f>AU72+AU73+AU74</f>
        <v>120.76074882999998</v>
      </c>
      <c r="AV78" s="1285">
        <f t="shared" si="134"/>
        <v>4.2906689290058297</v>
      </c>
      <c r="AW78" s="1287">
        <f t="shared" si="135"/>
        <v>6.7026718179809874</v>
      </c>
      <c r="AY78" s="1292">
        <f>AY72+AY73+AY74</f>
        <v>126.31</v>
      </c>
      <c r="AZ78" s="1285">
        <f t="shared" si="136"/>
        <v>4.0834391020895344</v>
      </c>
      <c r="BA78" s="1287">
        <f t="shared" si="137"/>
        <v>4.595244086977246</v>
      </c>
      <c r="BC78" s="1292">
        <f>BC72+BC73+BC74</f>
        <v>124.34100000000001</v>
      </c>
      <c r="BD78" s="1285">
        <f t="shared" si="138"/>
        <v>3.7349262963249994</v>
      </c>
      <c r="BE78" s="1287">
        <f t="shared" si="139"/>
        <v>-1.5588631145594167</v>
      </c>
      <c r="BG78" s="1292">
        <f>BG72+BG73+BG74</f>
        <v>127.08700000000002</v>
      </c>
      <c r="BH78" s="1285">
        <f t="shared" si="140"/>
        <v>3.5717025892293299</v>
      </c>
      <c r="BI78" s="1287">
        <f t="shared" si="141"/>
        <v>2.208442911026931</v>
      </c>
      <c r="BK78" s="1292">
        <f>BK72+BK73+BK74</f>
        <v>136.63</v>
      </c>
      <c r="BL78" s="1285">
        <f t="shared" si="146"/>
        <v>3.5210986301913527</v>
      </c>
      <c r="BM78" s="1287">
        <f t="shared" si="142"/>
        <v>7.5090292476807097</v>
      </c>
      <c r="BO78" s="1292">
        <f>BO72+BO73+BO74</f>
        <v>147.548</v>
      </c>
      <c r="BP78" s="1285">
        <f t="shared" si="143"/>
        <v>3.5571417791543123</v>
      </c>
      <c r="BQ78" s="1287">
        <f>(BO78/BK78-1)*100</f>
        <v>7.9909243943497188</v>
      </c>
      <c r="BS78" s="1292">
        <f>BS72+BS73+BS74</f>
        <v>165.73388</v>
      </c>
      <c r="BT78" s="1285">
        <f t="shared" si="145"/>
        <v>3.6287299954028227</v>
      </c>
      <c r="BU78" s="1287">
        <f>(BS78/BO78-1)*100</f>
        <v>12.325399192127296</v>
      </c>
    </row>
    <row r="79" spans="1:74" s="1282" customFormat="1">
      <c r="A79" s="1254"/>
      <c r="C79" s="1291"/>
      <c r="D79" s="1285"/>
      <c r="E79" s="1308"/>
      <c r="G79" s="1291"/>
      <c r="H79" s="1285"/>
      <c r="I79" s="1287"/>
      <c r="K79" s="1291"/>
      <c r="L79" s="1285"/>
      <c r="M79" s="1287"/>
      <c r="O79" s="1291"/>
      <c r="P79" s="1285"/>
      <c r="Q79" s="1287"/>
      <c r="S79" s="1291"/>
      <c r="T79" s="1285"/>
      <c r="U79" s="1287"/>
      <c r="W79" s="1291"/>
      <c r="X79" s="1285"/>
      <c r="Y79" s="1287"/>
      <c r="AA79" s="1291"/>
      <c r="AB79" s="1285"/>
      <c r="AC79" s="1287"/>
      <c r="AD79" s="1291"/>
      <c r="AE79" s="1291"/>
      <c r="AF79" s="1285"/>
      <c r="AG79" s="1287"/>
      <c r="AI79" s="1284"/>
      <c r="AJ79" s="1285"/>
      <c r="AK79" s="1287"/>
      <c r="AM79" s="1284"/>
      <c r="AN79" s="1285"/>
      <c r="AO79" s="1287"/>
      <c r="AQ79" s="1284"/>
      <c r="AR79" s="1285"/>
      <c r="AS79" s="1287"/>
      <c r="AU79" s="1291"/>
      <c r="AV79" s="1285"/>
      <c r="AW79" s="1287"/>
      <c r="AY79" s="1291"/>
      <c r="AZ79" s="1285"/>
      <c r="BA79" s="1287"/>
      <c r="BC79" s="1291"/>
      <c r="BD79" s="1285"/>
      <c r="BE79" s="1287"/>
      <c r="BG79" s="1291"/>
      <c r="BH79" s="1285"/>
      <c r="BI79" s="1287"/>
      <c r="BK79" s="1291">
        <f>BG76*0.01</f>
        <v>1.7209900000000002</v>
      </c>
      <c r="BL79" s="1285"/>
      <c r="BM79" s="1287"/>
      <c r="BO79" s="1291">
        <f>BK76*0.01</f>
        <v>1.8358600000000003</v>
      </c>
      <c r="BP79" s="1285"/>
      <c r="BQ79" s="1287"/>
      <c r="BS79" s="1291">
        <f>BO76*0.01</f>
        <v>2.0110300000000003</v>
      </c>
      <c r="BT79" s="1285"/>
      <c r="BU79" s="1287"/>
    </row>
    <row r="81" spans="1:76" outlineLevel="1">
      <c r="A81" s="1251" t="s">
        <v>888</v>
      </c>
      <c r="B81" s="1281"/>
      <c r="C81" s="1281"/>
      <c r="D81" s="1281"/>
      <c r="E81" s="1281"/>
      <c r="F81" s="1281"/>
      <c r="G81" s="1281"/>
      <c r="H81" s="1281"/>
      <c r="I81" s="1281"/>
      <c r="J81" s="1281"/>
      <c r="K81" s="1281"/>
      <c r="L81" s="1281"/>
      <c r="M81" s="1281"/>
      <c r="N81" s="1281"/>
      <c r="O81" s="1281"/>
      <c r="P81" s="1281"/>
      <c r="Q81" s="1281"/>
      <c r="R81" s="1281"/>
      <c r="S81" s="1281"/>
      <c r="T81" s="1281"/>
      <c r="U81" s="1281"/>
      <c r="V81" s="1281"/>
      <c r="W81" s="1281"/>
      <c r="X81" s="1281"/>
      <c r="Y81" s="1281"/>
      <c r="Z81" s="1281"/>
      <c r="AA81" s="1281"/>
      <c r="AB81" s="1281"/>
      <c r="AC81" s="1281"/>
      <c r="AD81" s="1281"/>
      <c r="AE81" s="1281"/>
      <c r="AF81" s="1281"/>
      <c r="AG81" s="1281"/>
      <c r="AH81" s="1281"/>
      <c r="AI81" s="1281"/>
      <c r="AJ81" s="1281"/>
      <c r="AK81" s="1281"/>
      <c r="AL81" s="1281"/>
      <c r="AM81" s="1281"/>
      <c r="AN81" s="1281"/>
      <c r="AO81" s="1281"/>
      <c r="AP81" s="1281"/>
      <c r="AQ81" s="1281"/>
      <c r="AR81" s="1281"/>
      <c r="AS81" s="1281"/>
      <c r="AT81" s="1281"/>
      <c r="AU81" s="1281"/>
      <c r="AV81" s="1281"/>
      <c r="AW81" s="1281"/>
      <c r="AX81" s="1281"/>
      <c r="AY81" s="1281"/>
      <c r="AZ81" s="1281"/>
      <c r="BA81" s="1281"/>
      <c r="BB81" s="1282"/>
      <c r="BC81" s="1318"/>
      <c r="BD81" s="1281"/>
      <c r="BE81" s="1319"/>
      <c r="BF81" s="1251"/>
      <c r="BG81" s="2264" t="str">
        <f>A81</f>
        <v>8. Impairment charges-long-lived assets (% of Sales) / % Change</v>
      </c>
      <c r="BH81" s="2264"/>
      <c r="BI81" s="2264"/>
      <c r="BJ81" s="2264"/>
      <c r="BK81" s="2266"/>
      <c r="BL81" s="2264"/>
      <c r="BM81" s="2264"/>
      <c r="BN81" s="1663"/>
      <c r="BO81" s="1663"/>
      <c r="BP81" s="2214"/>
      <c r="BQ81" s="2214"/>
      <c r="BR81" s="2214"/>
      <c r="BS81" s="2214"/>
      <c r="BT81" s="2214"/>
      <c r="BU81" s="2214"/>
    </row>
    <row r="82" spans="1:76" outlineLevel="1">
      <c r="A82" s="1251"/>
      <c r="B82" s="1281"/>
      <c r="C82" s="1281"/>
      <c r="D82" s="1281"/>
      <c r="E82" s="1281"/>
      <c r="F82" s="1281"/>
      <c r="G82" s="1281"/>
      <c r="H82" s="1281"/>
      <c r="I82" s="1281"/>
      <c r="J82" s="1281"/>
      <c r="K82" s="1281"/>
      <c r="L82" s="1281"/>
      <c r="M82" s="1281"/>
      <c r="N82" s="1281"/>
      <c r="O82" s="1281"/>
      <c r="P82" s="1281"/>
      <c r="Q82" s="1281"/>
      <c r="R82" s="1281"/>
      <c r="S82" s="1281"/>
      <c r="T82" s="1281"/>
      <c r="U82" s="1281"/>
      <c r="V82" s="1281"/>
      <c r="W82" s="1281"/>
      <c r="X82" s="1281"/>
      <c r="Y82" s="1281"/>
      <c r="Z82" s="1281"/>
      <c r="AA82" s="1281"/>
      <c r="AB82" s="1281"/>
      <c r="AC82" s="1281"/>
      <c r="AD82" s="1281"/>
      <c r="AE82" s="1281"/>
      <c r="AF82" s="1281"/>
      <c r="AG82" s="1281"/>
      <c r="AH82" s="1281"/>
      <c r="AI82" s="1281"/>
      <c r="AJ82" s="1281"/>
      <c r="AK82" s="1281"/>
      <c r="AL82" s="1281"/>
      <c r="AM82" s="1281"/>
      <c r="AN82" s="1281"/>
      <c r="AO82" s="1281"/>
      <c r="AP82" s="1281"/>
      <c r="AQ82" s="1281"/>
      <c r="AR82" s="1281"/>
      <c r="AS82" s="1281"/>
      <c r="AT82" s="1281"/>
      <c r="AU82" s="1281"/>
      <c r="AV82" s="1281"/>
      <c r="AW82" s="1281"/>
      <c r="AX82" s="1281"/>
      <c r="AY82" s="1281"/>
      <c r="AZ82" s="1281"/>
      <c r="BA82" s="1281"/>
      <c r="BB82" s="1282"/>
      <c r="BC82" s="1318"/>
      <c r="BD82" s="1281"/>
      <c r="BE82" s="1319"/>
      <c r="BF82" s="1282"/>
      <c r="BG82" s="1318"/>
      <c r="BH82" s="1281"/>
      <c r="BI82" s="1281"/>
      <c r="BK82" s="1318"/>
      <c r="BL82" s="1281"/>
      <c r="BM82" s="1281"/>
      <c r="BO82" s="1318"/>
      <c r="BP82" s="2215"/>
      <c r="BQ82" s="2215"/>
      <c r="BS82" s="2216"/>
      <c r="BT82" s="2215"/>
      <c r="BU82" s="2215"/>
    </row>
    <row r="83" spans="1:76" ht="15" customHeight="1" outlineLevel="1">
      <c r="A83" s="1254" t="s">
        <v>79</v>
      </c>
      <c r="C83" s="1266"/>
      <c r="D83" s="1285">
        <f>(C83/C11)*100</f>
        <v>0</v>
      </c>
      <c r="E83" s="1287" t="str">
        <f>IFERROR(((C83/#REF!-1)*100),"-")</f>
        <v>-</v>
      </c>
      <c r="G83" s="1266"/>
      <c r="H83" s="1285">
        <f>(G83/G11)*100</f>
        <v>0</v>
      </c>
      <c r="I83" s="1287" t="str">
        <f>IFERROR(((G83/#REF!-1)*100),"-")</f>
        <v>-</v>
      </c>
      <c r="K83" s="1266"/>
      <c r="L83" s="1285">
        <f>(K83/K11)*100</f>
        <v>0</v>
      </c>
      <c r="M83" s="1287" t="str">
        <f>IFERROR(((K83/#REF!-1)*100),"-")</f>
        <v>-</v>
      </c>
      <c r="O83" s="1266"/>
      <c r="P83" s="1285">
        <f>(O83/O11)*100</f>
        <v>0</v>
      </c>
      <c r="Q83" s="1287" t="str">
        <f>IFERROR(((O83/#REF!-1)*100),"-")</f>
        <v>-</v>
      </c>
      <c r="S83" s="1266"/>
      <c r="T83" s="1285">
        <f>(S83/S11)*100</f>
        <v>0</v>
      </c>
      <c r="U83" s="1287" t="str">
        <f>IFERROR(((S83/#REF!-1)*100),"-")</f>
        <v>-</v>
      </c>
      <c r="W83" s="1266"/>
      <c r="X83" s="1285">
        <f>(W83/W11)*100</f>
        <v>0</v>
      </c>
      <c r="Y83" s="1287" t="str">
        <f>IFERROR(((W83/#REF!-1)*100),"-")</f>
        <v>-</v>
      </c>
      <c r="AA83" s="1266"/>
      <c r="AB83" s="1285">
        <f>(AA83/AA11)*100</f>
        <v>0</v>
      </c>
      <c r="AC83" s="1287" t="str">
        <f>IFERROR(((AA83/#REF!-1)*100),"-")</f>
        <v>-</v>
      </c>
      <c r="AE83" s="1266"/>
      <c r="AF83" s="1285">
        <f>(AE83/AE11)*100</f>
        <v>0</v>
      </c>
      <c r="AG83" s="1287" t="str">
        <f>IFERROR(((AE83/#REF!-1)*100),"-")</f>
        <v>-</v>
      </c>
      <c r="AI83" s="1266">
        <v>15.25</v>
      </c>
      <c r="AJ83" s="1285">
        <f t="shared" ref="AJ83:AJ89" si="147">(AI83/AI11)*100</f>
        <v>1.8372542145406925</v>
      </c>
      <c r="AK83" s="1287" t="str">
        <f>IFERROR(((AI83/#REF!-1)*100),"-")</f>
        <v>-</v>
      </c>
      <c r="AM83" s="1296">
        <v>0.185</v>
      </c>
      <c r="AN83" s="1285">
        <f t="shared" ref="AN83:AN89" si="148">(AM83/AM11)*100</f>
        <v>2.0677830459673762E-2</v>
      </c>
      <c r="AO83" s="1287" t="str">
        <f>IFERROR(((AM83/#REF!-1)*100),"-")</f>
        <v>-</v>
      </c>
      <c r="AQ83" s="1296">
        <v>8.9999999999999993E-3</v>
      </c>
      <c r="AR83" s="1285">
        <f t="shared" ref="AR83:AR89" si="149">(AQ83/AQ11)*100</f>
        <v>9.6869917692859932E-4</v>
      </c>
      <c r="AS83" s="1287">
        <f t="shared" ref="AS83:AS89" si="150">IFERROR(((AQ83/AM83-1)*100),"-")</f>
        <v>-95.135135135135144</v>
      </c>
      <c r="AT83" s="1244"/>
      <c r="AU83" s="1296">
        <v>1.2999999999999999E-2</v>
      </c>
      <c r="AV83" s="1285">
        <f t="shared" ref="AV83:AV89" si="151">(AU83/AU11)*100</f>
        <v>1.3232605509360179E-3</v>
      </c>
      <c r="AW83" s="1287">
        <f t="shared" ref="AW83:AW89" si="152">IFERROR(((AU83/AQ83-1)*100),"-")</f>
        <v>44.444444444444443</v>
      </c>
      <c r="AX83" s="1244"/>
      <c r="AY83" s="1267">
        <f>0.051</f>
        <v>5.0999999999999997E-2</v>
      </c>
      <c r="AZ83" s="1285">
        <f t="shared" ref="AZ83:AZ89" si="153">(AY83/AY11)*100</f>
        <v>4.7886739410692644E-3</v>
      </c>
      <c r="BA83" s="1287">
        <f t="shared" ref="BA83:BA89" si="154">IFERROR(((AY83/AU83-1)*100),"-")</f>
        <v>292.30769230769226</v>
      </c>
      <c r="BB83" s="1252"/>
      <c r="BC83" s="1267">
        <v>1.9E-2</v>
      </c>
      <c r="BD83" s="1285">
        <f t="shared" ref="BD83:BD89" si="155">(BC83/BC11)*100</f>
        <v>1.6839955719779591E-3</v>
      </c>
      <c r="BE83" s="1287">
        <f t="shared" ref="BE83:BE89" si="156">IFERROR(((BC83/AY83-1)*100),"-")</f>
        <v>-62.745098039215684</v>
      </c>
      <c r="BF83" s="1252"/>
      <c r="BG83" s="1257">
        <v>1.7150000000000001</v>
      </c>
      <c r="BH83" s="1285">
        <f t="shared" ref="BH83:BH89" si="157">(BG83/BG11)*100</f>
        <v>0.14496318442275494</v>
      </c>
      <c r="BI83" s="1287">
        <f t="shared" ref="BI83:BI89" si="158">IFERROR(((BG83/BC83-1)*100),"-")</f>
        <v>8926.3157894736851</v>
      </c>
      <c r="BK83" s="1257">
        <v>0.109</v>
      </c>
      <c r="BL83" s="1285">
        <f>(BK83/BK11)*100</f>
        <v>8.4978989139841109E-3</v>
      </c>
      <c r="BM83" s="1287">
        <f>IFERROR(((BK83/BG83-1)*100),"-")</f>
        <v>-93.64431486880467</v>
      </c>
      <c r="BO83" s="1257">
        <v>0</v>
      </c>
      <c r="BP83" s="1285">
        <f>(BO83/BO11)*100</f>
        <v>0</v>
      </c>
      <c r="BQ83" s="1287">
        <f>IFERROR(((BO83/BK83-1)*100),"-")</f>
        <v>-100</v>
      </c>
      <c r="BS83" s="1257">
        <v>0</v>
      </c>
      <c r="BT83" s="1285">
        <f>(BS83/BS11)*100</f>
        <v>0</v>
      </c>
      <c r="BU83" s="1287" t="str">
        <f>IFERROR(((BS83/BO83-1)*100),"-")</f>
        <v>-</v>
      </c>
    </row>
    <row r="84" spans="1:76" ht="12.75" customHeight="1" outlineLevel="1">
      <c r="A84" s="1254" t="s">
        <v>80</v>
      </c>
      <c r="C84" s="1259"/>
      <c r="D84" s="1285">
        <f>(C84/C12)*100</f>
        <v>0</v>
      </c>
      <c r="E84" s="1287" t="str">
        <f>IFERROR(((C84/#REF!-1)*100),"-")</f>
        <v>-</v>
      </c>
      <c r="G84" s="1259"/>
      <c r="H84" s="1285">
        <f>(G84/G12)*100</f>
        <v>0</v>
      </c>
      <c r="I84" s="1287" t="str">
        <f>IFERROR(((G84/#REF!-1)*100),"-")</f>
        <v>-</v>
      </c>
      <c r="K84" s="1259"/>
      <c r="L84" s="1285">
        <f>(K84/K12)*100</f>
        <v>0</v>
      </c>
      <c r="M84" s="1287" t="str">
        <f>IFERROR(((K84/#REF!-1)*100),"-")</f>
        <v>-</v>
      </c>
      <c r="O84" s="1259"/>
      <c r="P84" s="1285">
        <f>(O84/O12)*100</f>
        <v>0</v>
      </c>
      <c r="Q84" s="1287" t="str">
        <f>IFERROR(((O84/#REF!-1)*100),"-")</f>
        <v>-</v>
      </c>
      <c r="S84" s="1259"/>
      <c r="T84" s="1285">
        <f>(S84/S12)*100</f>
        <v>0</v>
      </c>
      <c r="U84" s="1287" t="str">
        <f>IFERROR(((S84/#REF!-1)*100),"-")</f>
        <v>-</v>
      </c>
      <c r="W84" s="1259"/>
      <c r="X84" s="1285">
        <f>(W84/W12)*100</f>
        <v>0</v>
      </c>
      <c r="Y84" s="1287" t="str">
        <f>IFERROR(((W84/#REF!-1)*100),"-")</f>
        <v>-</v>
      </c>
      <c r="AA84" s="1259"/>
      <c r="AB84" s="1285">
        <f>(AA84/AA12)*100</f>
        <v>0</v>
      </c>
      <c r="AC84" s="1287" t="str">
        <f>IFERROR(((AA84/#REF!-1)*100),"-")</f>
        <v>-</v>
      </c>
      <c r="AE84" s="1259"/>
      <c r="AF84" s="1285">
        <f>(AE84/AE12)*100</f>
        <v>0</v>
      </c>
      <c r="AG84" s="1287" t="str">
        <f>IFERROR(((AE84/#REF!-1)*100),"-")</f>
        <v>-</v>
      </c>
      <c r="AI84" s="1259">
        <v>4.2000000000000003E-2</v>
      </c>
      <c r="AJ84" s="1285">
        <f t="shared" si="147"/>
        <v>5.9916288385655474E-3</v>
      </c>
      <c r="AK84" s="1287" t="str">
        <f>IFERROR(((AI84/#REF!-1)*100),"-")</f>
        <v>-</v>
      </c>
      <c r="AL84" s="1269"/>
      <c r="AM84" s="1297">
        <v>7.2999999999999995E-2</v>
      </c>
      <c r="AN84" s="1285">
        <f t="shared" si="148"/>
        <v>1.0017152658662092E-2</v>
      </c>
      <c r="AO84" s="1287" t="str">
        <f>IFERROR(((AM84/#REF!-1)*100),"-")</f>
        <v>-</v>
      </c>
      <c r="AP84" s="1269"/>
      <c r="AQ84" s="1297">
        <v>2.5000000000000001E-2</v>
      </c>
      <c r="AR84" s="1285">
        <f t="shared" si="149"/>
        <v>3.1511982746559209E-3</v>
      </c>
      <c r="AS84" s="1287">
        <f t="shared" si="150"/>
        <v>-65.753424657534239</v>
      </c>
      <c r="AT84" s="1244"/>
      <c r="AU84" s="1297">
        <v>6.6000000000000003E-2</v>
      </c>
      <c r="AV84" s="1285">
        <f t="shared" si="151"/>
        <v>7.6372869858876789E-3</v>
      </c>
      <c r="AW84" s="1287">
        <f t="shared" si="152"/>
        <v>164</v>
      </c>
      <c r="AX84" s="1244"/>
      <c r="AY84" s="1279">
        <f>0.088</f>
        <v>8.7999999999999995E-2</v>
      </c>
      <c r="AZ84" s="1285">
        <f t="shared" si="153"/>
        <v>9.1313682213858705E-3</v>
      </c>
      <c r="BA84" s="1287">
        <f t="shared" si="154"/>
        <v>33.333333333333329</v>
      </c>
      <c r="BB84" s="1252"/>
      <c r="BC84" s="1279">
        <v>0.82899999999999996</v>
      </c>
      <c r="BD84" s="1285">
        <f t="shared" si="155"/>
        <v>7.9438011999068595E-2</v>
      </c>
      <c r="BE84" s="1287">
        <f t="shared" si="156"/>
        <v>842.0454545454545</v>
      </c>
      <c r="BF84" s="1252"/>
      <c r="BG84" s="1279">
        <v>0.188</v>
      </c>
      <c r="BH84" s="1285">
        <f t="shared" si="157"/>
        <v>1.6430435458977221E-2</v>
      </c>
      <c r="BI84" s="1287">
        <f t="shared" si="158"/>
        <v>-77.322074788902299</v>
      </c>
      <c r="BK84" s="1279">
        <v>0</v>
      </c>
      <c r="BL84" s="1285">
        <f t="shared" ref="BL84:BL89" si="159">(BK84/BK12)*100</f>
        <v>0</v>
      </c>
      <c r="BM84" s="1287">
        <f t="shared" ref="BM84:BM89" si="160">IFERROR(((BK84/BG84-1)*100),"-")</f>
        <v>-100</v>
      </c>
      <c r="BO84" s="1279">
        <v>0.98799999999999999</v>
      </c>
      <c r="BP84" s="1285">
        <f t="shared" ref="BP84:BP89" si="161">(BO84/BO12)*100</f>
        <v>7.2475249848887646E-2</v>
      </c>
      <c r="BQ84" s="1287" t="str">
        <f t="shared" ref="BQ84:BQ89" si="162">IFERROR(((BO84/BK84-1)*100),"-")</f>
        <v>-</v>
      </c>
      <c r="BS84" s="1279">
        <v>0</v>
      </c>
      <c r="BT84" s="1285">
        <f t="shared" ref="BT84:BT86" si="163">(BS84/BS12)*100</f>
        <v>0</v>
      </c>
      <c r="BU84" s="1287">
        <f t="shared" ref="BU84:BU89" si="164">IFERROR(((BS84/BO84-1)*100),"-")</f>
        <v>-100</v>
      </c>
    </row>
    <row r="85" spans="1:76" ht="11.25" customHeight="1" outlineLevel="1">
      <c r="A85" s="1254" t="s">
        <v>81</v>
      </c>
      <c r="C85" s="1255"/>
      <c r="D85" s="1285">
        <f>(C85/C13)*100</f>
        <v>0</v>
      </c>
      <c r="E85" s="1287" t="str">
        <f>IFERROR(((C85/#REF!-1)*100),"-")</f>
        <v>-</v>
      </c>
      <c r="G85" s="1255"/>
      <c r="H85" s="1285">
        <f>(G85/G13)*100</f>
        <v>0</v>
      </c>
      <c r="I85" s="1287" t="str">
        <f>IFERROR(((G85/#REF!-1)*100),"-")</f>
        <v>-</v>
      </c>
      <c r="K85" s="1255"/>
      <c r="L85" s="1285">
        <f>(K85/K13)*100</f>
        <v>0</v>
      </c>
      <c r="M85" s="1287" t="str">
        <f>IFERROR(((K85/#REF!-1)*100),"-")</f>
        <v>-</v>
      </c>
      <c r="O85" s="1255"/>
      <c r="P85" s="1285">
        <f>(O85/O13)*100</f>
        <v>0</v>
      </c>
      <c r="Q85" s="1287" t="str">
        <f>IFERROR(((O85/#REF!-1)*100),"-")</f>
        <v>-</v>
      </c>
      <c r="S85" s="1255"/>
      <c r="T85" s="1285">
        <f>(S85/S13)*100</f>
        <v>0</v>
      </c>
      <c r="U85" s="1287" t="str">
        <f>IFERROR(((S85/#REF!-1)*100),"-")</f>
        <v>-</v>
      </c>
      <c r="W85" s="1255"/>
      <c r="X85" s="1285">
        <f>(W85/W13)*100</f>
        <v>0</v>
      </c>
      <c r="Y85" s="1287" t="str">
        <f>IFERROR(((W85/#REF!-1)*100),"-")</f>
        <v>-</v>
      </c>
      <c r="AA85" s="1255"/>
      <c r="AB85" s="1285">
        <f>(AA85/AA13)*100</f>
        <v>0</v>
      </c>
      <c r="AC85" s="1287" t="str">
        <f>IFERROR(((AA85/#REF!-1)*100),"-")</f>
        <v>-</v>
      </c>
      <c r="AE85" s="1255"/>
      <c r="AF85" s="1285">
        <f>(AE85/AE13)*100</f>
        <v>0</v>
      </c>
      <c r="AG85" s="1287" t="str">
        <f>IFERROR(((AE85/#REF!-1)*100),"-")</f>
        <v>-</v>
      </c>
      <c r="AI85" s="1255">
        <v>6.4370000000000003</v>
      </c>
      <c r="AJ85" s="1285">
        <f t="shared" si="147"/>
        <v>0.73787160094179793</v>
      </c>
      <c r="AK85" s="1287" t="str">
        <f>IFERROR(((AI85/#REF!-1)*100),"-")</f>
        <v>-</v>
      </c>
      <c r="AL85" s="1269"/>
      <c r="AM85" s="1297">
        <v>0.252</v>
      </c>
      <c r="AN85" s="1285">
        <f t="shared" si="148"/>
        <v>2.9364263691087949E-2</v>
      </c>
      <c r="AO85" s="1287" t="str">
        <f>IFERROR(((AM85/#REF!-1)*100),"-")</f>
        <v>-</v>
      </c>
      <c r="AP85" s="1269"/>
      <c r="AQ85" s="1297">
        <v>0</v>
      </c>
      <c r="AR85" s="1285">
        <f t="shared" si="149"/>
        <v>0</v>
      </c>
      <c r="AS85" s="1287">
        <f t="shared" si="150"/>
        <v>-100</v>
      </c>
      <c r="AT85" s="1244"/>
      <c r="AU85" s="1297">
        <v>1.0209999999999999</v>
      </c>
      <c r="AV85" s="1285">
        <f t="shared" si="151"/>
        <v>0.10548675784745024</v>
      </c>
      <c r="AW85" s="1287" t="str">
        <f t="shared" si="152"/>
        <v>-</v>
      </c>
      <c r="AX85" s="1244"/>
      <c r="AY85" s="1279">
        <v>0.24299999999999999</v>
      </c>
      <c r="AZ85" s="1285">
        <f t="shared" si="153"/>
        <v>2.2827575711459443E-2</v>
      </c>
      <c r="BA85" s="1287">
        <f t="shared" si="154"/>
        <v>-76.199804113614107</v>
      </c>
      <c r="BB85" s="1252"/>
      <c r="BC85" s="1279">
        <v>6.0000000000000001E-3</v>
      </c>
      <c r="BD85" s="1285">
        <f t="shared" si="155"/>
        <v>5.1845169585549721E-4</v>
      </c>
      <c r="BE85" s="1287">
        <f t="shared" si="156"/>
        <v>-97.53086419753086</v>
      </c>
      <c r="BF85" s="1252"/>
      <c r="BG85" s="1279">
        <v>0</v>
      </c>
      <c r="BH85" s="1285">
        <f t="shared" si="157"/>
        <v>0</v>
      </c>
      <c r="BI85" s="1287">
        <f t="shared" si="158"/>
        <v>-100</v>
      </c>
      <c r="BK85" s="1279">
        <v>0</v>
      </c>
      <c r="BL85" s="1285">
        <f t="shared" si="159"/>
        <v>0</v>
      </c>
      <c r="BM85" s="1287" t="str">
        <f t="shared" si="160"/>
        <v>-</v>
      </c>
      <c r="BO85" s="1279">
        <v>0</v>
      </c>
      <c r="BP85" s="1285">
        <f t="shared" si="161"/>
        <v>0</v>
      </c>
      <c r="BQ85" s="1287" t="str">
        <f t="shared" si="162"/>
        <v>-</v>
      </c>
      <c r="BS85" s="1279">
        <v>0</v>
      </c>
      <c r="BT85" s="1285">
        <f t="shared" si="163"/>
        <v>0</v>
      </c>
      <c r="BU85" s="1287" t="str">
        <f t="shared" si="164"/>
        <v>-</v>
      </c>
    </row>
    <row r="86" spans="1:76" outlineLevel="1">
      <c r="A86" s="1254" t="s">
        <v>82</v>
      </c>
      <c r="C86" s="1274"/>
      <c r="D86" s="1285">
        <f>(C86/C14)*100</f>
        <v>0</v>
      </c>
      <c r="E86" s="1287" t="str">
        <f>IFERROR(((C86/#REF!-1)*100),"-")</f>
        <v>-</v>
      </c>
      <c r="G86" s="1274"/>
      <c r="H86" s="1285">
        <f>(G86/G14)*100</f>
        <v>0</v>
      </c>
      <c r="I86" s="1287" t="str">
        <f>IFERROR(((G86/#REF!-1)*100),"-")</f>
        <v>-</v>
      </c>
      <c r="K86" s="1274"/>
      <c r="L86" s="1285">
        <f>(K86/K14)*100</f>
        <v>0</v>
      </c>
      <c r="M86" s="1287" t="str">
        <f>IFERROR(((K86/#REF!-1)*100),"-")</f>
        <v>-</v>
      </c>
      <c r="O86" s="1274"/>
      <c r="P86" s="1285">
        <f>(O86/O14)*100</f>
        <v>0</v>
      </c>
      <c r="Q86" s="1287" t="str">
        <f>IFERROR(((O86/#REF!-1)*100),"-")</f>
        <v>-</v>
      </c>
      <c r="S86" s="1274"/>
      <c r="T86" s="1285">
        <f>(S86/S14)*100</f>
        <v>0</v>
      </c>
      <c r="U86" s="1287" t="str">
        <f>IFERROR(((S86/#REF!-1)*100),"-")</f>
        <v>-</v>
      </c>
      <c r="W86" s="1274"/>
      <c r="X86" s="1285">
        <f>(W86/W14)*100</f>
        <v>0</v>
      </c>
      <c r="Y86" s="1287" t="str">
        <f>IFERROR(((W86/#REF!-1)*100),"-")</f>
        <v>-</v>
      </c>
      <c r="AA86" s="1274"/>
      <c r="AB86" s="1285">
        <f>(AA86/AA14)*100</f>
        <v>0</v>
      </c>
      <c r="AC86" s="1287" t="str">
        <f>IFERROR(((AA86/#REF!-1)*100),"-")</f>
        <v>-</v>
      </c>
      <c r="AE86" s="1274"/>
      <c r="AF86" s="1285">
        <f>(AE86/AE14)*100</f>
        <v>0</v>
      </c>
      <c r="AG86" s="1287" t="str">
        <f>IFERROR(((AE86/#REF!-1)*100),"-")</f>
        <v>-</v>
      </c>
      <c r="AI86" s="1506">
        <f>AI87-SUM(AI83:AI85)</f>
        <v>49.661999999999992</v>
      </c>
      <c r="AJ86" s="1285">
        <f t="shared" si="147"/>
        <v>4.4360122516902347</v>
      </c>
      <c r="AK86" s="1287" t="str">
        <f>IFERROR(((AI86/#REF!-1)*100),"-")</f>
        <v>-</v>
      </c>
      <c r="AL86" s="1269"/>
      <c r="AM86" s="1506">
        <f>AM87-SUM(AM83:AM85)</f>
        <v>1.57</v>
      </c>
      <c r="AN86" s="1285">
        <f t="shared" si="148"/>
        <v>0.13215621706616562</v>
      </c>
      <c r="AO86" s="1287" t="str">
        <f>IFERROR(((AM86/#REF!-1)*100),"-")</f>
        <v>-</v>
      </c>
      <c r="AP86" s="1269"/>
      <c r="AQ86" s="1298">
        <f>AQ87-SUM(AQ83:AQ85)</f>
        <v>1.7010000000000001</v>
      </c>
      <c r="AR86" s="1285">
        <f t="shared" si="149"/>
        <v>0.1379516171806128</v>
      </c>
      <c r="AS86" s="1287">
        <f t="shared" si="150"/>
        <v>8.3439490445859974</v>
      </c>
      <c r="AT86" s="1244"/>
      <c r="AU86" s="1298">
        <v>10.439</v>
      </c>
      <c r="AV86" s="1285">
        <f t="shared" si="151"/>
        <v>0.82682714963783943</v>
      </c>
      <c r="AW86" s="1287">
        <f t="shared" si="152"/>
        <v>513.69782480893593</v>
      </c>
      <c r="AX86" s="1244"/>
      <c r="AY86" s="1280">
        <v>2.7989999999999999</v>
      </c>
      <c r="AZ86" s="1285">
        <f t="shared" si="153"/>
        <v>0.20977653066042509</v>
      </c>
      <c r="BA86" s="1287">
        <f t="shared" si="154"/>
        <v>-73.187086885717022</v>
      </c>
      <c r="BB86" s="1252"/>
      <c r="BC86" s="1280">
        <v>1.726</v>
      </c>
      <c r="BD86" s="1285">
        <f t="shared" si="155"/>
        <v>0.1162006298801235</v>
      </c>
      <c r="BE86" s="1287">
        <f t="shared" si="156"/>
        <v>-38.335119685602002</v>
      </c>
      <c r="BF86" s="1252"/>
      <c r="BG86" s="1280">
        <v>4.2069999999999999</v>
      </c>
      <c r="BH86" s="1285">
        <f t="shared" si="157"/>
        <v>0.27304547274769936</v>
      </c>
      <c r="BI86" s="1287">
        <f t="shared" si="158"/>
        <v>143.74275782155271</v>
      </c>
      <c r="BK86" s="1280">
        <v>2.3410000000000002</v>
      </c>
      <c r="BL86" s="1285">
        <f t="shared" si="159"/>
        <v>0.13887282251151589</v>
      </c>
      <c r="BM86" s="1287">
        <f t="shared" si="160"/>
        <v>-44.354647016876626</v>
      </c>
      <c r="BO86" s="1280">
        <v>1.1399999999999999</v>
      </c>
      <c r="BP86" s="1285">
        <f t="shared" si="161"/>
        <v>5.8859093910716948E-2</v>
      </c>
      <c r="BQ86" s="1287">
        <f t="shared" si="162"/>
        <v>-51.302862024775742</v>
      </c>
      <c r="BS86" s="1280">
        <v>0</v>
      </c>
      <c r="BT86" s="1285">
        <f t="shared" si="163"/>
        <v>0</v>
      </c>
      <c r="BU86" s="1287">
        <f t="shared" si="164"/>
        <v>-100</v>
      </c>
    </row>
    <row r="87" spans="1:76" outlineLevel="1">
      <c r="A87" s="1254" t="s">
        <v>85</v>
      </c>
      <c r="C87" s="1252">
        <f>SUM(C83:C86)</f>
        <v>0</v>
      </c>
      <c r="D87" s="1285">
        <f>(C87/C15)*100</f>
        <v>0</v>
      </c>
      <c r="E87" s="1287" t="str">
        <f>IFERROR(((C87/#REF!-1)*100),"-")</f>
        <v>-</v>
      </c>
      <c r="G87" s="1252">
        <f>SUM(G83:G86)</f>
        <v>0</v>
      </c>
      <c r="H87" s="1285">
        <f>(G87/G15)*100</f>
        <v>0</v>
      </c>
      <c r="I87" s="1287" t="str">
        <f>IFERROR(((G87/C87-1)*100),"-")</f>
        <v>-</v>
      </c>
      <c r="K87" s="1252">
        <f>SUM(K83:K86)</f>
        <v>0</v>
      </c>
      <c r="L87" s="1285">
        <f>(K87/K15)*100</f>
        <v>0</v>
      </c>
      <c r="M87" s="1287" t="str">
        <f>IFERROR(((K87/G87-1)*100),"-")</f>
        <v>-</v>
      </c>
      <c r="O87" s="1252">
        <f>SUM(O83:O86)</f>
        <v>0</v>
      </c>
      <c r="P87" s="1285">
        <f>(O87/O15)*100</f>
        <v>0</v>
      </c>
      <c r="Q87" s="1287" t="str">
        <f>IFERROR(((O87/K87-1)*100),"-")</f>
        <v>-</v>
      </c>
      <c r="S87" s="1252">
        <f>SUM(S83:S86)</f>
        <v>0</v>
      </c>
      <c r="T87" s="1285">
        <f>(S87/S15)*100</f>
        <v>0</v>
      </c>
      <c r="U87" s="1287" t="str">
        <f>IFERROR(((S87/O87-1)*100),"-")</f>
        <v>-</v>
      </c>
      <c r="W87" s="1252">
        <f>SUM(W83:W86)</f>
        <v>0</v>
      </c>
      <c r="X87" s="1285">
        <f>(W87/W15)*100</f>
        <v>0</v>
      </c>
      <c r="Y87" s="1287" t="str">
        <f>IFERROR(((W87/S87-1)*100),"-")</f>
        <v>-</v>
      </c>
      <c r="AA87" s="1252">
        <f>SUM(AA83:AA86)</f>
        <v>0</v>
      </c>
      <c r="AB87" s="1285">
        <f>(AA87/AA15)*100</f>
        <v>0</v>
      </c>
      <c r="AC87" s="1287" t="str">
        <f>IFERROR(((AA87/W87-1)*100),"-")</f>
        <v>-</v>
      </c>
      <c r="AD87" s="1252"/>
      <c r="AE87" s="1252">
        <f>SUM(AE83:AE86)</f>
        <v>0</v>
      </c>
      <c r="AF87" s="1285">
        <f>(AE87/AE15)*100</f>
        <v>0</v>
      </c>
      <c r="AG87" s="1287" t="str">
        <f>IFERROR(((AE87/AA87-1)*100),"-")</f>
        <v>-</v>
      </c>
      <c r="AI87" s="1266">
        <f>56.141+15.25</f>
        <v>71.390999999999991</v>
      </c>
      <c r="AJ87" s="1285">
        <f t="shared" si="147"/>
        <v>2.0264758095145097</v>
      </c>
      <c r="AK87" s="1287" t="str">
        <f>IFERROR(((AI87/AE87-1)*100),"-")</f>
        <v>-</v>
      </c>
      <c r="AM87" s="1266">
        <v>2.08</v>
      </c>
      <c r="AN87" s="1285">
        <f t="shared" si="148"/>
        <v>5.6681896292840483E-2</v>
      </c>
      <c r="AO87" s="1287">
        <f>IFERROR(((AM87/AI87-1)*100),"-")</f>
        <v>-97.086467481895482</v>
      </c>
      <c r="AQ87" s="1299">
        <v>1.7350000000000001</v>
      </c>
      <c r="AR87" s="1285">
        <f t="shared" si="149"/>
        <v>4.5016597762298875E-2</v>
      </c>
      <c r="AS87" s="1287">
        <f t="shared" si="150"/>
        <v>-16.58653846153846</v>
      </c>
      <c r="AT87" s="1244"/>
      <c r="AU87" s="1299">
        <f>SUM(AU83:AU86)</f>
        <v>11.539</v>
      </c>
      <c r="AV87" s="1285">
        <f t="shared" si="151"/>
        <v>0.28302436319712337</v>
      </c>
      <c r="AW87" s="1287">
        <f t="shared" si="152"/>
        <v>565.0720461095101</v>
      </c>
      <c r="AX87" s="1244"/>
      <c r="AY87" s="1253">
        <f>SUM(AY83:AY86)</f>
        <v>3.181</v>
      </c>
      <c r="AZ87" s="1285">
        <f t="shared" si="153"/>
        <v>7.1846365773213489E-2</v>
      </c>
      <c r="BA87" s="1287">
        <f t="shared" si="154"/>
        <v>-72.432619811075483</v>
      </c>
      <c r="BB87" s="1244"/>
      <c r="BC87" s="1253">
        <f>SUM(BC83:BC86)</f>
        <v>2.58</v>
      </c>
      <c r="BD87" s="1285">
        <f t="shared" si="155"/>
        <v>5.3588074700945315E-2</v>
      </c>
      <c r="BE87" s="1287">
        <f t="shared" si="156"/>
        <v>-18.893429739075764</v>
      </c>
      <c r="BF87" s="1244"/>
      <c r="BG87" s="1253">
        <f>SUM(BG83:BG86)</f>
        <v>6.1099999999999994</v>
      </c>
      <c r="BH87" s="1285">
        <f t="shared" si="157"/>
        <v>0.11982901517415803</v>
      </c>
      <c r="BI87" s="1287">
        <f t="shared" si="158"/>
        <v>136.82170542635657</v>
      </c>
      <c r="BK87" s="1504">
        <f>SUM(BK83:BK86)</f>
        <v>2.4500000000000002</v>
      </c>
      <c r="BL87" s="1285">
        <f t="shared" si="159"/>
        <v>4.401694706360252E-2</v>
      </c>
      <c r="BM87" s="1287">
        <f t="shared" si="160"/>
        <v>-59.901800327332232</v>
      </c>
      <c r="BO87" s="1253">
        <f>SUM(BO83:BO86)</f>
        <v>2.1280000000000001</v>
      </c>
      <c r="BP87" s="1285">
        <f>(BO87/BO15)*100</f>
        <v>3.4972585634353077E-2</v>
      </c>
      <c r="BQ87" s="1287">
        <f t="shared" si="162"/>
        <v>-13.142857142857146</v>
      </c>
      <c r="BS87" s="1253">
        <f>SUM(BS83:BS86)</f>
        <v>0</v>
      </c>
      <c r="BT87" s="1285">
        <f>(BS87/BS15)*100</f>
        <v>0</v>
      </c>
      <c r="BU87" s="1287">
        <f t="shared" si="164"/>
        <v>-100</v>
      </c>
    </row>
    <row r="88" spans="1:76" outlineLevel="1">
      <c r="A88" s="1254" t="s">
        <v>87</v>
      </c>
      <c r="C88" s="1252"/>
      <c r="D88" s="1264"/>
      <c r="E88" s="1256"/>
      <c r="G88" s="1252"/>
      <c r="H88" s="1264"/>
      <c r="I88" s="1265"/>
      <c r="K88" s="1252"/>
      <c r="L88" s="1264"/>
      <c r="M88" s="1265"/>
      <c r="O88" s="1252"/>
      <c r="P88" s="1264"/>
      <c r="Q88" s="1265"/>
      <c r="S88" s="1252"/>
      <c r="T88" s="1264"/>
      <c r="U88" s="1265"/>
      <c r="W88" s="1252"/>
      <c r="X88" s="1264"/>
      <c r="Y88" s="1265"/>
      <c r="AA88" s="1252"/>
      <c r="AB88" s="1264"/>
      <c r="AC88" s="1265"/>
      <c r="AD88" s="1252"/>
      <c r="AE88" s="1252"/>
      <c r="AF88" s="1264"/>
      <c r="AG88" s="1265"/>
      <c r="AI88" s="1292">
        <f>AI83+AI84</f>
        <v>15.292</v>
      </c>
      <c r="AJ88" s="1285">
        <f t="shared" si="147"/>
        <v>0.99881059763386648</v>
      </c>
      <c r="AK88" s="1287" t="str">
        <f>IFERROR(((AI88/AE88-1)*100),"-")</f>
        <v>-</v>
      </c>
      <c r="AM88" s="1292">
        <f>AM83+AM84</f>
        <v>0.25800000000000001</v>
      </c>
      <c r="AN88" s="1285">
        <f t="shared" si="148"/>
        <v>1.5892297040583259E-2</v>
      </c>
      <c r="AO88" s="1287">
        <f>IFERROR(((AM88/AI88-1)*100),"-")</f>
        <v>-98.312843316766944</v>
      </c>
      <c r="AQ88" s="1292">
        <f>AQ83+AQ84</f>
        <v>3.4000000000000002E-2</v>
      </c>
      <c r="AR88" s="1285">
        <f t="shared" si="149"/>
        <v>1.9739554002194577E-3</v>
      </c>
      <c r="AS88" s="1287">
        <f t="shared" si="150"/>
        <v>-86.821705426356587</v>
      </c>
      <c r="AT88" s="1244"/>
      <c r="AU88" s="1292">
        <f>AU83+AU84</f>
        <v>7.9000000000000001E-2</v>
      </c>
      <c r="AV88" s="1285">
        <f t="shared" si="151"/>
        <v>4.2781258049721131E-3</v>
      </c>
      <c r="AW88" s="1287">
        <f t="shared" si="152"/>
        <v>132.35294117647055</v>
      </c>
      <c r="AX88" s="1244"/>
      <c r="AY88" s="1292">
        <f>AY83+AY84</f>
        <v>0.13899999999999998</v>
      </c>
      <c r="AZ88" s="1285">
        <f t="shared" si="153"/>
        <v>6.8515973587338639E-3</v>
      </c>
      <c r="BA88" s="1287">
        <f t="shared" si="154"/>
        <v>75.949367088607573</v>
      </c>
      <c r="BB88" s="1244"/>
      <c r="BC88" s="1292">
        <f>BC83+BC84</f>
        <v>0.84799999999999998</v>
      </c>
      <c r="BD88" s="1285">
        <f t="shared" si="155"/>
        <v>3.9045053756014463E-2</v>
      </c>
      <c r="BE88" s="1287">
        <f t="shared" si="156"/>
        <v>510.07194244604318</v>
      </c>
      <c r="BF88" s="1244"/>
      <c r="BG88" s="1292">
        <f>BG83+BG84</f>
        <v>1.903</v>
      </c>
      <c r="BH88" s="1285">
        <f t="shared" si="157"/>
        <v>8.1769381126526833E-2</v>
      </c>
      <c r="BI88" s="1287">
        <f t="shared" si="158"/>
        <v>124.41037735849059</v>
      </c>
      <c r="BK88" s="1292">
        <f>BK83+BK84</f>
        <v>0.109</v>
      </c>
      <c r="BL88" s="1285">
        <f t="shared" si="159"/>
        <v>4.2951890336336944E-3</v>
      </c>
      <c r="BM88" s="1287">
        <f t="shared" si="160"/>
        <v>-94.272201786652658</v>
      </c>
      <c r="BO88" s="1292">
        <f>BO83+BO84</f>
        <v>0.98799999999999999</v>
      </c>
      <c r="BP88" s="1285">
        <f t="shared" si="161"/>
        <v>3.6460659022721491E-2</v>
      </c>
      <c r="BQ88" s="1287">
        <f t="shared" si="162"/>
        <v>806.42201834862385</v>
      </c>
      <c r="BS88" s="1292">
        <f>BS83+BS84</f>
        <v>0</v>
      </c>
      <c r="BT88" s="1285">
        <f t="shared" ref="BT88:BT89" si="165">(BS88/BS16)*100</f>
        <v>0</v>
      </c>
      <c r="BU88" s="1287">
        <f t="shared" si="164"/>
        <v>-100</v>
      </c>
    </row>
    <row r="89" spans="1:76" s="1282" customFormat="1" outlineLevel="1">
      <c r="A89" s="1254" t="s">
        <v>88</v>
      </c>
      <c r="B89" s="1281"/>
      <c r="C89" s="1281"/>
      <c r="D89" s="1281"/>
      <c r="E89" s="1281"/>
      <c r="F89" s="1281"/>
      <c r="G89" s="1281"/>
      <c r="H89" s="1281"/>
      <c r="I89" s="1281"/>
      <c r="J89" s="1281"/>
      <c r="K89" s="1281"/>
      <c r="L89" s="1281"/>
      <c r="M89" s="1281"/>
      <c r="N89" s="1281"/>
      <c r="O89" s="1281"/>
      <c r="P89" s="1281"/>
      <c r="Q89" s="1281"/>
      <c r="R89" s="1281"/>
      <c r="S89" s="1281"/>
      <c r="T89" s="1281"/>
      <c r="U89" s="1281"/>
      <c r="V89" s="1281"/>
      <c r="W89" s="1281"/>
      <c r="X89" s="1281"/>
      <c r="Y89" s="1281"/>
      <c r="Z89" s="1281"/>
      <c r="AA89" s="1281"/>
      <c r="AB89" s="1281"/>
      <c r="AC89" s="1281"/>
      <c r="AD89" s="1281"/>
      <c r="AE89" s="1281"/>
      <c r="AF89" s="1281"/>
      <c r="AG89" s="1281"/>
      <c r="AH89" s="1281"/>
      <c r="AI89" s="1292">
        <f>AI83+AI84+AI85</f>
        <v>21.728999999999999</v>
      </c>
      <c r="AJ89" s="1285">
        <f t="shared" si="147"/>
        <v>0.90409608075243553</v>
      </c>
      <c r="AK89" s="1287" t="str">
        <f>IFERROR(((AI89/AE89-1)*100),"-")</f>
        <v>-</v>
      </c>
      <c r="AL89" s="1281"/>
      <c r="AM89" s="1292">
        <f>AM83+AM84+AM85</f>
        <v>0.51</v>
      </c>
      <c r="AN89" s="1285">
        <f t="shared" si="148"/>
        <v>2.0551141313677312E-2</v>
      </c>
      <c r="AO89" s="1287">
        <f>IFERROR(((AM89/AI89-1)*100),"-")</f>
        <v>-97.652906254314502</v>
      </c>
      <c r="AP89" s="1281"/>
      <c r="AQ89" s="1292">
        <f>AQ83+AQ84+AQ85</f>
        <v>3.4000000000000002E-2</v>
      </c>
      <c r="AR89" s="1285">
        <f t="shared" si="149"/>
        <v>1.2971687765371165E-3</v>
      </c>
      <c r="AS89" s="1287">
        <f t="shared" si="150"/>
        <v>-93.333333333333329</v>
      </c>
      <c r="AT89" s="1281"/>
      <c r="AU89" s="1292">
        <f>AU83+AU84+AU85</f>
        <v>1.0999999999999999</v>
      </c>
      <c r="AV89" s="1285">
        <f t="shared" si="151"/>
        <v>3.9083360012536726E-2</v>
      </c>
      <c r="AW89" s="1287">
        <f t="shared" si="152"/>
        <v>3135.2941176470581</v>
      </c>
      <c r="AX89" s="1281"/>
      <c r="AY89" s="1292">
        <f>AY83+AY84+AY85</f>
        <v>0.38200000000000001</v>
      </c>
      <c r="AZ89" s="1285">
        <f t="shared" si="153"/>
        <v>1.2349566439697585E-2</v>
      </c>
      <c r="BA89" s="1287">
        <f t="shared" si="154"/>
        <v>-65.272727272727266</v>
      </c>
      <c r="BC89" s="1292">
        <f>BC83+BC84+BC85</f>
        <v>0.85399999999999998</v>
      </c>
      <c r="BD89" s="1285">
        <f t="shared" si="155"/>
        <v>2.5652255145620105E-2</v>
      </c>
      <c r="BE89" s="1287">
        <f t="shared" si="156"/>
        <v>123.56020942408375</v>
      </c>
      <c r="BG89" s="1292">
        <f>BG83+BG84+BG85</f>
        <v>1.903</v>
      </c>
      <c r="BH89" s="1285">
        <f t="shared" si="157"/>
        <v>5.3482653830080301E-2</v>
      </c>
      <c r="BI89" s="1287">
        <f t="shared" si="158"/>
        <v>122.83372365339579</v>
      </c>
      <c r="BJ89" s="1281"/>
      <c r="BK89" s="1292">
        <f>BK83+BK84+BK85</f>
        <v>0.109</v>
      </c>
      <c r="BL89" s="1285">
        <f t="shared" si="159"/>
        <v>2.8090445048002451E-3</v>
      </c>
      <c r="BM89" s="1287">
        <f t="shared" si="160"/>
        <v>-94.272201786652658</v>
      </c>
      <c r="BN89" s="1281"/>
      <c r="BO89" s="1292">
        <f>BO83+BO84+BO85</f>
        <v>0.98799999999999999</v>
      </c>
      <c r="BP89" s="1285">
        <f t="shared" si="161"/>
        <v>2.3819069576032616E-2</v>
      </c>
      <c r="BQ89" s="1287">
        <f t="shared" si="162"/>
        <v>806.42201834862385</v>
      </c>
      <c r="BR89" s="2215"/>
      <c r="BS89" s="1292">
        <f>BS83+BS84+BS85</f>
        <v>0</v>
      </c>
      <c r="BT89" s="1285">
        <f t="shared" si="165"/>
        <v>0</v>
      </c>
      <c r="BU89" s="1287">
        <f t="shared" si="164"/>
        <v>-100</v>
      </c>
    </row>
    <row r="90" spans="1:76" s="1282" customFormat="1" ht="13.5" customHeight="1">
      <c r="A90" s="1254"/>
      <c r="B90" s="1281"/>
      <c r="C90" s="1281"/>
      <c r="D90" s="1281"/>
      <c r="E90" s="1281"/>
      <c r="F90" s="1281"/>
      <c r="G90" s="1281"/>
      <c r="H90" s="1281"/>
      <c r="I90" s="1281"/>
      <c r="J90" s="1281"/>
      <c r="K90" s="1281"/>
      <c r="L90" s="1281"/>
      <c r="M90" s="1281"/>
      <c r="N90" s="1281"/>
      <c r="O90" s="1281"/>
      <c r="P90" s="1281"/>
      <c r="Q90" s="1281"/>
      <c r="R90" s="1281"/>
      <c r="S90" s="1281"/>
      <c r="T90" s="1281"/>
      <c r="U90" s="1281"/>
      <c r="V90" s="1281"/>
      <c r="W90" s="1281"/>
      <c r="X90" s="1281"/>
      <c r="Y90" s="1281"/>
      <c r="Z90" s="1281"/>
      <c r="AA90" s="1281"/>
      <c r="AB90" s="1281"/>
      <c r="AC90" s="1281"/>
      <c r="AD90" s="1281"/>
      <c r="AE90" s="1281"/>
      <c r="AF90" s="1281"/>
      <c r="AG90" s="1281"/>
      <c r="AH90" s="1281"/>
      <c r="AI90" s="1281"/>
      <c r="AJ90" s="1281"/>
      <c r="AK90" s="1281"/>
      <c r="AL90" s="1281"/>
      <c r="AM90" s="1281"/>
      <c r="AN90" s="1281"/>
      <c r="AO90" s="1281"/>
      <c r="AP90" s="1281"/>
      <c r="AQ90" s="1281"/>
      <c r="AR90" s="1281"/>
      <c r="AS90" s="1281"/>
      <c r="AT90" s="1281"/>
      <c r="AU90" s="1281"/>
      <c r="AV90" s="1281"/>
      <c r="AW90" s="1281"/>
      <c r="AX90" s="1281"/>
      <c r="AY90" s="1281"/>
      <c r="AZ90" s="1281"/>
      <c r="BA90" s="1281"/>
      <c r="BC90" s="1281"/>
      <c r="BD90" s="1281"/>
      <c r="BE90" s="1281"/>
      <c r="BG90" s="1281"/>
      <c r="BH90" s="1281"/>
      <c r="BI90" s="1281"/>
      <c r="BJ90" s="1279"/>
      <c r="BK90" s="1281"/>
      <c r="BL90" s="1281"/>
      <c r="BM90" s="1281"/>
      <c r="BN90" s="1279"/>
      <c r="BO90" s="1281"/>
      <c r="BP90" s="2215"/>
      <c r="BQ90" s="2215"/>
      <c r="BR90" s="1279"/>
      <c r="BS90" s="2215"/>
      <c r="BT90" s="2215"/>
      <c r="BU90" s="2215"/>
    </row>
    <row r="91" spans="1:76">
      <c r="A91" s="1251" t="s">
        <v>899</v>
      </c>
      <c r="B91" s="1281"/>
      <c r="C91" s="1281"/>
      <c r="D91" s="1281"/>
      <c r="E91" s="1281"/>
      <c r="F91" s="1281"/>
      <c r="G91" s="1281"/>
      <c r="H91" s="1281"/>
      <c r="I91" s="1281"/>
      <c r="J91" s="1281"/>
      <c r="K91" s="1281"/>
      <c r="L91" s="1281"/>
      <c r="M91" s="1281"/>
      <c r="N91" s="1281"/>
      <c r="O91" s="1281"/>
      <c r="P91" s="1281"/>
      <c r="Q91" s="1281"/>
      <c r="R91" s="1281"/>
      <c r="S91" s="1281"/>
      <c r="T91" s="1281"/>
      <c r="U91" s="1281"/>
      <c r="V91" s="1281"/>
      <c r="W91" s="1281"/>
      <c r="X91" s="1281"/>
      <c r="Y91" s="1281"/>
      <c r="Z91" s="1281"/>
      <c r="AA91" s="1281"/>
      <c r="AB91" s="1281"/>
      <c r="AC91" s="1281"/>
      <c r="AD91" s="1281"/>
      <c r="AE91" s="1281"/>
      <c r="AF91" s="1281"/>
      <c r="AG91" s="1281"/>
      <c r="AH91" s="1281"/>
      <c r="AI91" s="1281"/>
      <c r="AJ91" s="1281"/>
      <c r="AK91" s="1281"/>
      <c r="AL91" s="1281"/>
      <c r="AM91" s="1281"/>
      <c r="AN91" s="1281"/>
      <c r="AO91" s="1281"/>
      <c r="AP91" s="1281"/>
      <c r="AQ91" s="1281"/>
      <c r="AR91" s="1281"/>
      <c r="AS91" s="1281"/>
      <c r="AT91" s="1281"/>
      <c r="AU91" s="1281"/>
      <c r="AV91" s="1281"/>
      <c r="AW91" s="1281"/>
      <c r="AX91" s="1281"/>
      <c r="AY91" s="1281"/>
      <c r="AZ91" s="1281"/>
      <c r="BA91" s="1281"/>
      <c r="BB91" s="1282"/>
      <c r="BC91" s="1318"/>
      <c r="BD91" s="1281"/>
      <c r="BE91" s="1319"/>
      <c r="BF91" s="1251"/>
      <c r="BG91" s="2264" t="str">
        <f>A91</f>
        <v>9. Other (Revenue) / Other (Income) (% of Sales)</v>
      </c>
      <c r="BH91" s="2264"/>
      <c r="BI91" s="2264"/>
      <c r="BJ91" s="2264"/>
      <c r="BK91" s="2266"/>
      <c r="BL91" s="2264"/>
      <c r="BM91" s="2264"/>
      <c r="BN91" s="1663"/>
      <c r="BO91" s="1663"/>
      <c r="BP91" s="2214"/>
      <c r="BQ91" s="2214"/>
      <c r="BR91" s="2214"/>
      <c r="BS91" s="2214"/>
      <c r="BT91" s="2214"/>
      <c r="BU91" s="2214"/>
    </row>
    <row r="92" spans="1:76">
      <c r="A92" s="1251"/>
      <c r="B92" s="1281"/>
      <c r="C92" s="1281"/>
      <c r="D92" s="1281"/>
      <c r="E92" s="1281"/>
      <c r="F92" s="1281"/>
      <c r="G92" s="1281"/>
      <c r="H92" s="1281"/>
      <c r="I92" s="1281"/>
      <c r="J92" s="1281"/>
      <c r="K92" s="1281"/>
      <c r="L92" s="1281"/>
      <c r="M92" s="1281"/>
      <c r="N92" s="1281"/>
      <c r="O92" s="1281"/>
      <c r="P92" s="1281"/>
      <c r="Q92" s="1281"/>
      <c r="R92" s="1281"/>
      <c r="S92" s="1281"/>
      <c r="T92" s="1281"/>
      <c r="U92" s="1281"/>
      <c r="V92" s="1281"/>
      <c r="W92" s="1281"/>
      <c r="X92" s="1281"/>
      <c r="Y92" s="1281"/>
      <c r="Z92" s="1281"/>
      <c r="AA92" s="1281"/>
      <c r="AB92" s="1281"/>
      <c r="AC92" s="1281"/>
      <c r="AD92" s="1281"/>
      <c r="AE92" s="1281"/>
      <c r="AF92" s="1281"/>
      <c r="AG92" s="1281"/>
      <c r="AH92" s="1281"/>
      <c r="AI92" s="1281"/>
      <c r="AJ92" s="1281"/>
      <c r="AK92" s="1281"/>
      <c r="AL92" s="1281"/>
      <c r="AM92" s="1281"/>
      <c r="AN92" s="1281"/>
      <c r="AO92" s="1281"/>
      <c r="AP92" s="1281"/>
      <c r="AQ92" s="1281"/>
      <c r="AR92" s="1281"/>
      <c r="AS92" s="1281"/>
      <c r="AT92" s="1281"/>
      <c r="AU92" s="1281"/>
      <c r="AV92" s="1281"/>
      <c r="AW92" s="1281"/>
      <c r="AX92" s="1281"/>
      <c r="AY92" s="1281"/>
      <c r="AZ92" s="1281"/>
      <c r="BA92" s="1281"/>
      <c r="BB92" s="1282"/>
      <c r="BC92" s="1318"/>
      <c r="BD92" s="1281"/>
      <c r="BE92" s="1319"/>
      <c r="BF92" s="1282"/>
      <c r="BG92" s="1318"/>
      <c r="BH92" s="1281"/>
      <c r="BI92" s="1281"/>
      <c r="BJ92" s="1279"/>
      <c r="BK92" s="1318"/>
      <c r="BL92" s="1596"/>
      <c r="BM92" s="1281"/>
      <c r="BN92" s="1279"/>
      <c r="BO92" s="1318"/>
      <c r="BP92" s="2231"/>
      <c r="BQ92" s="2215"/>
      <c r="BR92" s="1279"/>
      <c r="BS92" s="2216"/>
      <c r="BT92" s="2231"/>
      <c r="BU92" s="2215"/>
    </row>
    <row r="93" spans="1:76" s="1282" customFormat="1">
      <c r="A93" s="1254" t="s">
        <v>79</v>
      </c>
      <c r="C93" s="1326">
        <v>0</v>
      </c>
      <c r="D93" s="1285">
        <f>C93/C11*100</f>
        <v>0</v>
      </c>
      <c r="E93" s="1287" t="str">
        <f>IFERROR(((C93/#REF!-1)*100),"-")</f>
        <v>-</v>
      </c>
      <c r="G93" s="1326">
        <v>0</v>
      </c>
      <c r="H93" s="1285">
        <f>G93/G11*100</f>
        <v>0</v>
      </c>
      <c r="I93" s="1287" t="str">
        <f>IFERROR(((G93/C93-1)*100),"-")</f>
        <v>-</v>
      </c>
      <c r="K93" s="1326">
        <v>0</v>
      </c>
      <c r="L93" s="1285">
        <f>K93/K11*100</f>
        <v>0</v>
      </c>
      <c r="M93" s="1287" t="str">
        <f>IFERROR(((K93/G93-1)*100),"-")</f>
        <v>-</v>
      </c>
      <c r="O93" s="1326">
        <v>-0.752</v>
      </c>
      <c r="P93" s="1285">
        <f>O93/O11*100</f>
        <v>-0.12953033197315003</v>
      </c>
      <c r="Q93" s="1287" t="str">
        <f>IFERROR(((O93/K93-1)*100),"-")</f>
        <v>-</v>
      </c>
      <c r="S93" s="1326">
        <v>-0.11899999999999999</v>
      </c>
      <c r="T93" s="1285">
        <f>S93/S11*100</f>
        <v>-1.8080380204566586E-2</v>
      </c>
      <c r="U93" s="1287">
        <f>IFERROR(((S93/O93-1)*100),"-")</f>
        <v>-84.175531914893625</v>
      </c>
      <c r="W93" s="1326">
        <v>-0.98099999999999998</v>
      </c>
      <c r="X93" s="1285">
        <f>W93/W11*100</f>
        <v>-0.14768180216961277</v>
      </c>
      <c r="Y93" s="1287">
        <f>IFERROR(((W93/S93-1)*100),"-")</f>
        <v>724.36974789915973</v>
      </c>
      <c r="AA93" s="1326">
        <v>-0.65200000000000002</v>
      </c>
      <c r="AB93" s="1285">
        <f>AA93/AA11*100</f>
        <v>-9.5106535365190134E-2</v>
      </c>
      <c r="AC93" s="1287">
        <f>IFERROR(((AA93/W93-1)*100),"-")</f>
        <v>-33.537206931702343</v>
      </c>
      <c r="AE93" s="1327">
        <v>-2.5419999999999998</v>
      </c>
      <c r="AF93" s="1285">
        <f>AE93/AE11*100</f>
        <v>-0.35630935277008791</v>
      </c>
      <c r="AG93" s="1287">
        <f>IFERROR(((AE93/AA93-1)*100),"-")</f>
        <v>289.87730061349686</v>
      </c>
      <c r="AI93" s="1326">
        <f>-7.06-2.921</f>
        <v>-9.9809999999999999</v>
      </c>
      <c r="AJ93" s="1285">
        <f t="shared" ref="AJ93:AJ99" si="166">AI93/AI11*100</f>
        <v>-1.2024678239561084</v>
      </c>
      <c r="AK93" s="1287">
        <f t="shared" ref="AK93:AK99" si="167">IFERROR(((AI93/AE93-1)*100),"-")</f>
        <v>292.64358772619988</v>
      </c>
      <c r="AM93" s="1326">
        <f>-7.28-2.966</f>
        <v>-10.246</v>
      </c>
      <c r="AN93" s="1285">
        <f t="shared" ref="AN93:AN99" si="168">AM93/AM11*100</f>
        <v>-1.1452164912963101</v>
      </c>
      <c r="AO93" s="1287">
        <f t="shared" ref="AO93:AO99" si="169">IFERROR(((AM93/AI93-1)*100),"-")</f>
        <v>2.6550445847109527</v>
      </c>
      <c r="AQ93" s="1326">
        <f>-7.25-2.809</f>
        <v>-10.059000000000001</v>
      </c>
      <c r="AR93" s="1285">
        <f t="shared" ref="AR93:AR99" si="170">AQ93/AQ11*100</f>
        <v>-1.0826827800805314</v>
      </c>
      <c r="AS93" s="1287">
        <f t="shared" ref="AS93:AS99" si="171">IFERROR(((AQ93/AM93-1)*100),"-")</f>
        <v>-1.825102479016194</v>
      </c>
      <c r="AU93" s="1326">
        <f>-7.534-2.304</f>
        <v>-9.8379999999999992</v>
      </c>
      <c r="AV93" s="1285">
        <f t="shared" ref="AV93:AV99" si="172">AU93/AU11*100</f>
        <v>-1.0014028692391188</v>
      </c>
      <c r="AW93" s="1287">
        <f t="shared" ref="AW93:AW99" si="173">IFERROR(((AU93/AQ93-1)*100),"-")</f>
        <v>-2.1970374788746527</v>
      </c>
      <c r="AY93" s="1326">
        <f>-7.976-2.546</f>
        <v>-10.522</v>
      </c>
      <c r="AZ93" s="1285">
        <f t="shared" ref="AZ93:AZ99" si="174">AY93/AY11*100</f>
        <v>-0.98796916093981968</v>
      </c>
      <c r="BA93" s="1287">
        <f t="shared" ref="BA93:BA99" si="175">IFERROR(((AY93/AU93-1)*100),"-")</f>
        <v>6.9526326489123935</v>
      </c>
      <c r="BC93" s="1326">
        <f>-7.589-1.896</f>
        <v>-9.4849999999999994</v>
      </c>
      <c r="BD93" s="1285">
        <f t="shared" ref="BD93:BD99" si="176">BC93/BC11*100</f>
        <v>-0.84066831580057588</v>
      </c>
      <c r="BE93" s="1287">
        <f t="shared" ref="BE93:BE99" si="177">IFERROR(((BC93/AY93-1)*100),"-")</f>
        <v>-9.8555407717164094</v>
      </c>
      <c r="BG93" s="1326">
        <f>-7.86-1.072</f>
        <v>-8.9320000000000004</v>
      </c>
      <c r="BH93" s="1285">
        <f t="shared" ref="BH93:BH99" si="178">BG93/BG11*100</f>
        <v>-0.75499193193238889</v>
      </c>
      <c r="BI93" s="1287">
        <f t="shared" ref="BI93:BI99" si="179">IFERROR(((BG93/BC93-1)*100),"-")</f>
        <v>-5.8302583025830135</v>
      </c>
      <c r="BJ93" s="1322"/>
      <c r="BK93" s="1326">
        <f>-6.214-4.169</f>
        <v>-10.382999999999999</v>
      </c>
      <c r="BL93" s="1285">
        <f t="shared" ref="BL93:BL99" si="180">BK93/BK11*100</f>
        <v>-0.8094833433385048</v>
      </c>
      <c r="BM93" s="1287">
        <f>IFERROR(((BK93/BG93-1)*100),"-")</f>
        <v>16.244961934617088</v>
      </c>
      <c r="BN93" s="1322"/>
      <c r="BO93" s="1326">
        <f>-5.673-1.906</f>
        <v>-7.5789999999999997</v>
      </c>
      <c r="BP93" s="1285">
        <f>BO93/BO11*100</f>
        <v>-0.56284746306475975</v>
      </c>
      <c r="BQ93" s="1287">
        <f t="shared" ref="BQ93:BQ99" si="181">IFERROR(((BO93/BK93-1)*100),"-")</f>
        <v>-27.005682365404983</v>
      </c>
      <c r="BR93" s="1322"/>
      <c r="BS93" s="2176">
        <f t="shared" ref="BS93:BS96" si="182">BT93/100*BS11</f>
        <v>-8.1730354992592602</v>
      </c>
      <c r="BT93" s="1321">
        <v>-0.55000000000000004</v>
      </c>
      <c r="BU93" s="1287">
        <f t="shared" ref="BU93:BU99" si="183">IFERROR(((BS93/BO93-1)*100),"-")</f>
        <v>7.8379139630460504</v>
      </c>
    </row>
    <row r="94" spans="1:76" s="1282" customFormat="1">
      <c r="A94" s="1254" t="s">
        <v>80</v>
      </c>
      <c r="C94" s="1328">
        <v>0</v>
      </c>
      <c r="D94" s="1285">
        <f>C94/C12*100</f>
        <v>0</v>
      </c>
      <c r="E94" s="1287" t="str">
        <f>IFERROR(((C94/#REF!-1)*100),"-")</f>
        <v>-</v>
      </c>
      <c r="G94" s="1328">
        <v>0</v>
      </c>
      <c r="H94" s="1285">
        <f>G94/G12*100</f>
        <v>0</v>
      </c>
      <c r="I94" s="1287" t="str">
        <f>IFERROR(((G94/C94-1)*100),"-")</f>
        <v>-</v>
      </c>
      <c r="K94" s="1328">
        <v>0</v>
      </c>
      <c r="L94" s="1285">
        <f>K94/K12*100</f>
        <v>0</v>
      </c>
      <c r="M94" s="1287" t="str">
        <f>IFERROR(((K94/G94-1)*100),"-")</f>
        <v>-</v>
      </c>
      <c r="O94" s="1328">
        <v>-4.843</v>
      </c>
      <c r="P94" s="1285">
        <f>O94/O12*100</f>
        <v>-0.55036217308396007</v>
      </c>
      <c r="Q94" s="1287" t="str">
        <f>IFERROR(((O94/K94-1)*100),"-")</f>
        <v>-</v>
      </c>
      <c r="S94" s="1328">
        <v>2.6110000000000002</v>
      </c>
      <c r="T94" s="1285">
        <f>S94/S12*100</f>
        <v>0.27371095871168205</v>
      </c>
      <c r="U94" s="1287">
        <f>IFERROR(((S94/O94-1)*100),"-")</f>
        <v>-153.91286392731777</v>
      </c>
      <c r="W94" s="1328">
        <v>-0.68200000000000005</v>
      </c>
      <c r="X94" s="1285">
        <f>W94/W12*100</f>
        <v>-6.841200881531867E-2</v>
      </c>
      <c r="Y94" s="1287">
        <f>IFERROR(((W94/S94-1)*100),"-")</f>
        <v>-126.12026043661433</v>
      </c>
      <c r="AA94" s="1328">
        <f>-1.849</f>
        <v>-1.849</v>
      </c>
      <c r="AB94" s="1285">
        <f>AA94/AA12*100</f>
        <v>-0.19348067443030981</v>
      </c>
      <c r="AC94" s="1287">
        <f>IFERROR(((AA94/W94-1)*100),"-")</f>
        <v>171.11436950146626</v>
      </c>
      <c r="AE94" s="1328">
        <v>-0.29599999999999999</v>
      </c>
      <c r="AF94" s="1285">
        <f>AE94/AE12*100</f>
        <v>-2.9298460247136466E-2</v>
      </c>
      <c r="AG94" s="1287">
        <f>IFERROR(((AE94/AA94-1)*100),"-")</f>
        <v>-83.991346673877771</v>
      </c>
      <c r="AI94" s="1328">
        <f>-6.724-9.267</f>
        <v>-15.991</v>
      </c>
      <c r="AJ94" s="1285">
        <f t="shared" si="166"/>
        <v>-2.2812413513690877</v>
      </c>
      <c r="AK94" s="1287">
        <f t="shared" si="167"/>
        <v>5302.364864864865</v>
      </c>
      <c r="AM94" s="1328">
        <f>-6.795-3.478</f>
        <v>-10.273</v>
      </c>
      <c r="AN94" s="1285">
        <f t="shared" si="168"/>
        <v>-1.4096740994854202</v>
      </c>
      <c r="AO94" s="1287">
        <f t="shared" si="169"/>
        <v>-35.757613657682455</v>
      </c>
      <c r="AQ94" s="1328">
        <f>-7.095-2.311</f>
        <v>-9.4059999999999988</v>
      </c>
      <c r="AR94" s="1285">
        <f t="shared" si="170"/>
        <v>-1.1856068388565435</v>
      </c>
      <c r="AS94" s="1287">
        <f t="shared" si="171"/>
        <v>-8.439598948700489</v>
      </c>
      <c r="AU94" s="1328">
        <f>-7.559-2.113</f>
        <v>-9.6720000000000006</v>
      </c>
      <c r="AV94" s="1285">
        <f t="shared" si="172"/>
        <v>-1.1192096928409943</v>
      </c>
      <c r="AW94" s="1287">
        <f t="shared" si="173"/>
        <v>2.8279821390601922</v>
      </c>
      <c r="AY94" s="1328">
        <f>-7.769-2.059</f>
        <v>-9.8279999999999994</v>
      </c>
      <c r="AZ94" s="1285">
        <f t="shared" si="174"/>
        <v>-1.0198078054520494</v>
      </c>
      <c r="BA94" s="1287">
        <f t="shared" si="175"/>
        <v>1.6129032258064502</v>
      </c>
      <c r="BC94" s="1328">
        <f>-7.545-1.968</f>
        <v>-9.5129999999999999</v>
      </c>
      <c r="BD94" s="1285">
        <f t="shared" si="176"/>
        <v>-0.91157274806651334</v>
      </c>
      <c r="BE94" s="1287">
        <f t="shared" si="177"/>
        <v>-3.2051282051282048</v>
      </c>
      <c r="BG94" s="1328">
        <f>-7.355-1.389</f>
        <v>-8.7439999999999998</v>
      </c>
      <c r="BH94" s="1285">
        <f t="shared" si="178"/>
        <v>-0.76419004070902563</v>
      </c>
      <c r="BI94" s="1287">
        <f t="shared" si="179"/>
        <v>-8.0836749710921918</v>
      </c>
      <c r="BJ94" s="1322"/>
      <c r="BK94" s="1328">
        <f>-5.663-1.717</f>
        <v>-7.3800000000000008</v>
      </c>
      <c r="BL94" s="1285">
        <f t="shared" si="180"/>
        <v>-0.58802297592213237</v>
      </c>
      <c r="BM94" s="1287">
        <f t="shared" ref="BM94:BM99" si="184">IFERROR(((BK94/BG94-1)*100),"-")</f>
        <v>-15.599268069533379</v>
      </c>
      <c r="BN94" s="1322"/>
      <c r="BO94" s="1328">
        <f>-3.68-5.756</f>
        <v>-9.4359999999999999</v>
      </c>
      <c r="BP94" s="1285">
        <f>BO94/BO12*100</f>
        <v>-0.69218264936650176</v>
      </c>
      <c r="BQ94" s="1287">
        <f t="shared" si="181"/>
        <v>27.859078590785892</v>
      </c>
      <c r="BR94" s="1322"/>
      <c r="BS94" s="2177">
        <f t="shared" si="182"/>
        <v>-8.2445587668561888</v>
      </c>
      <c r="BT94" s="1321">
        <v>-0.55000000000000004</v>
      </c>
      <c r="BU94" s="1287">
        <f t="shared" si="183"/>
        <v>-12.626549736581294</v>
      </c>
    </row>
    <row r="95" spans="1:76" s="1282" customFormat="1">
      <c r="A95" s="1254" t="s">
        <v>81</v>
      </c>
      <c r="C95" s="1328">
        <v>0</v>
      </c>
      <c r="D95" s="1285">
        <f>C95/C13*100</f>
        <v>0</v>
      </c>
      <c r="E95" s="1287" t="str">
        <f>IFERROR(((C95/#REF!-1)*100),"-")</f>
        <v>-</v>
      </c>
      <c r="G95" s="1328">
        <v>0</v>
      </c>
      <c r="H95" s="1285">
        <f>G95/G13*100</f>
        <v>0</v>
      </c>
      <c r="I95" s="1287" t="str">
        <f>IFERROR(((G95/C95-1)*100),"-")</f>
        <v>-</v>
      </c>
      <c r="K95" s="1328">
        <v>-1.4319999999999999</v>
      </c>
      <c r="L95" s="1285">
        <f>K95/K13*100</f>
        <v>-0.16694335117792988</v>
      </c>
      <c r="M95" s="1287" t="str">
        <f>IFERROR(((K95/G95-1)*100),"-")</f>
        <v>-</v>
      </c>
      <c r="O95" s="1328">
        <v>-3.4060000000000001</v>
      </c>
      <c r="P95" s="1285">
        <f>O95/O13*100</f>
        <v>-0.34911097649599593</v>
      </c>
      <c r="Q95" s="1287">
        <f>IFERROR(((O95/K95-1)*100),"-")</f>
        <v>137.84916201117321</v>
      </c>
      <c r="S95" s="1328">
        <v>-3.5920000000000001</v>
      </c>
      <c r="T95" s="1285">
        <f>S95/S13*100</f>
        <v>-0.34805189771615169</v>
      </c>
      <c r="U95" s="1287">
        <f>IFERROR(((S95/O95-1)*100),"-")</f>
        <v>5.4609512624779866</v>
      </c>
      <c r="W95" s="1328">
        <v>-3.2040000000000002</v>
      </c>
      <c r="X95" s="1285">
        <f>W95/W13*100</f>
        <v>-0.32100412977223131</v>
      </c>
      <c r="Y95" s="1287">
        <f>IFERROR(((W95/S95-1)*100),"-")</f>
        <v>-10.80178173719376</v>
      </c>
      <c r="AA95" s="1328">
        <f>-8.033</f>
        <v>-8.0329999999999995</v>
      </c>
      <c r="AB95" s="1285">
        <f>AA95/AA13*100</f>
        <v>-0.80716146042668113</v>
      </c>
      <c r="AC95" s="1287">
        <f>IFERROR(((AA95/W95-1)*100),"-")</f>
        <v>150.71785268414479</v>
      </c>
      <c r="AE95" s="1328">
        <v>1.5649999999999999</v>
      </c>
      <c r="AF95" s="1285">
        <f>AE95/AE13*100</f>
        <v>0.15203400121432908</v>
      </c>
      <c r="AG95" s="1287">
        <f>IFERROR(((AE95/AA95-1)*100),"-")</f>
        <v>-119.48213618822359</v>
      </c>
      <c r="AI95" s="1328">
        <f>-7.988-2.558</f>
        <v>-10.545999999999999</v>
      </c>
      <c r="AJ95" s="1285">
        <f t="shared" si="166"/>
        <v>-1.2088851799801463</v>
      </c>
      <c r="AK95" s="1287">
        <f t="shared" si="167"/>
        <v>-773.86581469648559</v>
      </c>
      <c r="AM95" s="1328">
        <f>-7.85-3.59</f>
        <v>-11.44</v>
      </c>
      <c r="AN95" s="1285">
        <f t="shared" si="168"/>
        <v>-1.3330443516906592</v>
      </c>
      <c r="AO95" s="1287">
        <f t="shared" si="169"/>
        <v>8.4771477337379118</v>
      </c>
      <c r="AQ95" s="1328">
        <f>-8.14-1.897</f>
        <v>-10.037000000000001</v>
      </c>
      <c r="AR95" s="1285">
        <f t="shared" si="170"/>
        <v>-1.1168814116081334</v>
      </c>
      <c r="AS95" s="1287">
        <f t="shared" si="171"/>
        <v>-12.263986013986006</v>
      </c>
      <c r="AU95" s="1328">
        <f>-7.958+-1.913</f>
        <v>-9.8710000000000004</v>
      </c>
      <c r="AV95" s="1285">
        <f t="shared" si="172"/>
        <v>-1.0198430819903832</v>
      </c>
      <c r="AW95" s="1287">
        <f t="shared" si="173"/>
        <v>-1.6538806416259821</v>
      </c>
      <c r="AY95" s="1328">
        <f>-8.353-1.703</f>
        <v>-10.055999999999999</v>
      </c>
      <c r="AZ95" s="1285">
        <f t="shared" si="174"/>
        <v>-0.94466708376311181</v>
      </c>
      <c r="BA95" s="1287">
        <f t="shared" si="175"/>
        <v>1.8741768817748916</v>
      </c>
      <c r="BC95" s="1328">
        <f>-8.816-1.705</f>
        <v>-10.521000000000001</v>
      </c>
      <c r="BD95" s="1285">
        <f t="shared" si="176"/>
        <v>-0.90910504868261433</v>
      </c>
      <c r="BE95" s="1287">
        <f t="shared" si="177"/>
        <v>4.6241050119331994</v>
      </c>
      <c r="BG95" s="1328">
        <f>-7.783-1.68</f>
        <v>-9.463000000000001</v>
      </c>
      <c r="BH95" s="1285">
        <f t="shared" si="178"/>
        <v>-0.76879581049747914</v>
      </c>
      <c r="BI95" s="1287">
        <f t="shared" si="179"/>
        <v>-10.056078319551375</v>
      </c>
      <c r="BJ95" s="1322"/>
      <c r="BK95" s="1328">
        <f>-6.447-1.473</f>
        <v>-7.92</v>
      </c>
      <c r="BL95" s="1285">
        <f t="shared" si="180"/>
        <v>-0.58990019365410395</v>
      </c>
      <c r="BM95" s="1287">
        <f t="shared" si="184"/>
        <v>-16.305611328331405</v>
      </c>
      <c r="BN95" s="1322"/>
      <c r="BO95" s="2220">
        <f>-6.405-1.362</f>
        <v>-7.7670000000000003</v>
      </c>
      <c r="BP95" s="1285">
        <f t="shared" ref="BP95:BP96" si="185">BO95/BO13*100</f>
        <v>-0.54006245449937318</v>
      </c>
      <c r="BQ95" s="1287">
        <f t="shared" si="181"/>
        <v>-1.931818181818179</v>
      </c>
      <c r="BR95" s="1322"/>
      <c r="BS95" s="2177">
        <f t="shared" si="182"/>
        <v>-8.7023882389155158</v>
      </c>
      <c r="BT95" s="1321">
        <v>-0.55000000000000004</v>
      </c>
      <c r="BU95" s="1287">
        <f t="shared" si="183"/>
        <v>12.043108522151602</v>
      </c>
    </row>
    <row r="96" spans="1:76" s="1282" customFormat="1">
      <c r="A96" s="1254" t="s">
        <v>82</v>
      </c>
      <c r="C96" s="1280">
        <v>0</v>
      </c>
      <c r="D96" s="1285">
        <f>C96/C14*100</f>
        <v>0</v>
      </c>
      <c r="E96" s="1287" t="str">
        <f>IFERROR(((C96/#REF!-1)*100),"-")</f>
        <v>-</v>
      </c>
      <c r="G96" s="1280">
        <v>0</v>
      </c>
      <c r="H96" s="1285">
        <f>G96/G14*100</f>
        <v>0</v>
      </c>
      <c r="I96" s="1287" t="str">
        <f>IFERROR(((G96/C96-1)*100),"-")</f>
        <v>-</v>
      </c>
      <c r="K96" s="1280">
        <v>-8.4719999999999995</v>
      </c>
      <c r="L96" s="1285">
        <f>K96/K14*100</f>
        <v>-1.2371134020618555</v>
      </c>
      <c r="M96" s="1287" t="str">
        <f>IFERROR(((K96/G96-1)*100),"-")</f>
        <v>-</v>
      </c>
      <c r="O96" s="1280">
        <v>-5.6180000000000003</v>
      </c>
      <c r="P96" s="1285">
        <f>O96/O14*100</f>
        <v>-0.73563495326662265</v>
      </c>
      <c r="Q96" s="1287">
        <f>IFERROR(((O96/K96-1)*100),"-")</f>
        <v>-33.687440982058533</v>
      </c>
      <c r="S96" s="1329">
        <f>S97-SUM(S93:S95)</f>
        <v>1.1000000000000001</v>
      </c>
      <c r="T96" s="1285">
        <f>S96/S14*100</f>
        <v>0.13310326635415629</v>
      </c>
      <c r="U96" s="1287">
        <f>IFERROR(((S96/O96-1)*100),"-")</f>
        <v>-119.57992168031328</v>
      </c>
      <c r="W96" s="1280">
        <f>W97-SUM(W93:W95)</f>
        <v>4.867</v>
      </c>
      <c r="X96" s="1285">
        <f>W96/W14*100</f>
        <v>0.62209213149956533</v>
      </c>
      <c r="Y96" s="1287">
        <f>IFERROR(((W96/S96-1)*100),"-")</f>
        <v>342.45454545454538</v>
      </c>
      <c r="AA96" s="1280">
        <f>AA97-SUM(AA93:AA95)</f>
        <v>10.533999999999999</v>
      </c>
      <c r="AB96" s="1285">
        <f>AA96/AA14*100</f>
        <v>1.337550583511838</v>
      </c>
      <c r="AC96" s="1287">
        <f>IFERROR(((AA96/W96-1)*100),"-")</f>
        <v>116.43723032668993</v>
      </c>
      <c r="AE96" s="1329">
        <f>AE97-SUM(AE93:AE95)</f>
        <v>1.2729999999999997</v>
      </c>
      <c r="AF96" s="1285">
        <f>AE96/AE14*100</f>
        <v>0.15557117106107354</v>
      </c>
      <c r="AG96" s="1287">
        <f>IFERROR(((AE96/AA96-1)*100),"-")</f>
        <v>-87.915321815075004</v>
      </c>
      <c r="AI96" s="1329">
        <f>AI97-SUM(AI93:AI95)</f>
        <v>-10.957000000000001</v>
      </c>
      <c r="AJ96" s="1285">
        <f t="shared" si="166"/>
        <v>-0.97872389838850471</v>
      </c>
      <c r="AK96" s="1287">
        <f t="shared" si="167"/>
        <v>-960.72270227808349</v>
      </c>
      <c r="AM96" s="1329">
        <f>AM97-SUM(AM93:AM95)</f>
        <v>-10.874000000000002</v>
      </c>
      <c r="AN96" s="1285">
        <f t="shared" si="168"/>
        <v>-0.91532911106846182</v>
      </c>
      <c r="AO96" s="1287">
        <f t="shared" si="169"/>
        <v>-0.75750661677465025</v>
      </c>
      <c r="AQ96" s="1329">
        <f>AQ97-SUM(AQ93:AQ95)</f>
        <v>-13.836999999999996</v>
      </c>
      <c r="AR96" s="1285">
        <f t="shared" si="170"/>
        <v>-1.122184907071216</v>
      </c>
      <c r="AS96" s="1287">
        <f t="shared" si="171"/>
        <v>27.248482619091341</v>
      </c>
      <c r="AU96" s="1280">
        <f>-11.074-1.785</f>
        <v>-12.859</v>
      </c>
      <c r="AV96" s="1285">
        <f t="shared" si="172"/>
        <v>-1.018504676424272</v>
      </c>
      <c r="AW96" s="1287">
        <f t="shared" si="173"/>
        <v>-7.0680060706800329</v>
      </c>
      <c r="AY96" s="1280">
        <f>-10.386-2.631</f>
        <v>-13.016999999999999</v>
      </c>
      <c r="AZ96" s="1285">
        <f t="shared" si="174"/>
        <v>-0.97558453004885792</v>
      </c>
      <c r="BA96" s="1287">
        <f t="shared" si="175"/>
        <v>1.2287114083521233</v>
      </c>
      <c r="BC96" s="1280">
        <f>-11.18-5.184</f>
        <v>-16.364000000000001</v>
      </c>
      <c r="BD96" s="1285">
        <f t="shared" si="176"/>
        <v>-1.1016843032203598</v>
      </c>
      <c r="BE96" s="1287">
        <f t="shared" si="177"/>
        <v>25.712529768763925</v>
      </c>
      <c r="BG96" s="1280">
        <f>-7.913-1.721</f>
        <v>-9.6340000000000003</v>
      </c>
      <c r="BH96" s="1285">
        <f t="shared" si="178"/>
        <v>-0.62527218551255903</v>
      </c>
      <c r="BI96" s="1287">
        <f t="shared" si="179"/>
        <v>-41.126863847470055</v>
      </c>
      <c r="BJ96" s="1322"/>
      <c r="BK96" s="1280">
        <f>-6.589-3.475</f>
        <v>-10.064</v>
      </c>
      <c r="BL96" s="1285">
        <f t="shared" si="180"/>
        <v>-0.59701669617936604</v>
      </c>
      <c r="BM96" s="1287">
        <f t="shared" si="184"/>
        <v>4.4633589370977722</v>
      </c>
      <c r="BN96" s="1322"/>
      <c r="BO96" s="1280">
        <f>-7.443-1.939</f>
        <v>-9.3819999999999997</v>
      </c>
      <c r="BP96" s="1285">
        <f t="shared" si="185"/>
        <v>-0.48440001672837407</v>
      </c>
      <c r="BQ96" s="1287">
        <f t="shared" si="181"/>
        <v>-6.7766295707472164</v>
      </c>
      <c r="BR96" s="1322"/>
      <c r="BS96" s="1329">
        <f t="shared" si="182"/>
        <v>-11.1106195585</v>
      </c>
      <c r="BT96" s="1321">
        <v>-0.55000000000000004</v>
      </c>
      <c r="BU96" s="1287">
        <f t="shared" si="183"/>
        <v>18.424851401620135</v>
      </c>
      <c r="BW96" s="1282">
        <f>25.277+8.888</f>
        <v>34.164999999999999</v>
      </c>
      <c r="BX96" s="1364"/>
    </row>
    <row r="97" spans="1:76" s="1282" customFormat="1">
      <c r="A97" s="1254" t="s">
        <v>85</v>
      </c>
      <c r="C97" s="1291">
        <f>'yrP&amp;L'!$D130</f>
        <v>0</v>
      </c>
      <c r="D97" s="1285">
        <f>C97/C15*100</f>
        <v>0</v>
      </c>
      <c r="E97" s="1287" t="str">
        <f>IFERROR(((C97/#REF!-1)*100),"-")</f>
        <v>-</v>
      </c>
      <c r="G97" s="1291">
        <f>'yrP&amp;L'!$E130</f>
        <v>0</v>
      </c>
      <c r="H97" s="1285">
        <f>G97/G15*100</f>
        <v>0</v>
      </c>
      <c r="I97" s="1287" t="str">
        <f>IFERROR(((G97/C97-1)*100),"-")</f>
        <v>-</v>
      </c>
      <c r="K97" s="1291">
        <f>'yrP&amp;L'!$F130</f>
        <v>0</v>
      </c>
      <c r="L97" s="1285">
        <f>K97/K15*100</f>
        <v>0</v>
      </c>
      <c r="M97" s="1287" t="str">
        <f>IFERROR(((K97/G97-1)*100),"-")</f>
        <v>-</v>
      </c>
      <c r="O97" s="1291">
        <f>'yrP&amp;L'!$G130</f>
        <v>0</v>
      </c>
      <c r="P97" s="1285">
        <f>O97/O15*100</f>
        <v>0</v>
      </c>
      <c r="Q97" s="1287" t="str">
        <f>IFERROR(((O97/K97-1)*100),"-")</f>
        <v>-</v>
      </c>
      <c r="S97" s="1291">
        <f>'yrP&amp;L'!$H130</f>
        <v>0</v>
      </c>
      <c r="T97" s="1285">
        <f>S97/S15*100</f>
        <v>0</v>
      </c>
      <c r="U97" s="1287" t="str">
        <f>IFERROR(((S97/O97-1)*100),"-")</f>
        <v>-</v>
      </c>
      <c r="W97" s="1291">
        <f>'yrP&amp;L'!I130</f>
        <v>0</v>
      </c>
      <c r="X97" s="1285">
        <f>W97/W15*100</f>
        <v>0</v>
      </c>
      <c r="Y97" s="1287" t="str">
        <f>IFERROR(((W97/S97-1)*100),"-")</f>
        <v>-</v>
      </c>
      <c r="AA97" s="1291">
        <f>'yrP&amp;L'!J130</f>
        <v>0</v>
      </c>
      <c r="AB97" s="1285">
        <f>AA97/AA15*100</f>
        <v>0</v>
      </c>
      <c r="AC97" s="1287" t="str">
        <f>IFERROR(((AA97/W97-1)*100),"-")</f>
        <v>-</v>
      </c>
      <c r="AD97" s="1291"/>
      <c r="AE97" s="1291">
        <f>'yrP&amp;L'!K130</f>
        <v>0</v>
      </c>
      <c r="AF97" s="1285">
        <f>AE97/AE15*100</f>
        <v>0</v>
      </c>
      <c r="AG97" s="1287" t="str">
        <f>IFERROR(((AE97/AA97-1)*100),"-")</f>
        <v>-</v>
      </c>
      <c r="AI97" s="1326">
        <f>-30.84-16.635</f>
        <v>-47.475000000000001</v>
      </c>
      <c r="AJ97" s="1285">
        <f t="shared" si="166"/>
        <v>-1.3476059875432669</v>
      </c>
      <c r="AK97" s="1287" t="str">
        <f t="shared" si="167"/>
        <v>-</v>
      </c>
      <c r="AM97" s="1326">
        <f>-31.487-11.346</f>
        <v>-42.832999999999998</v>
      </c>
      <c r="AN97" s="1285">
        <f t="shared" si="168"/>
        <v>-1.167238299957325</v>
      </c>
      <c r="AO97" s="1287">
        <f t="shared" si="169"/>
        <v>-9.7777777777777857</v>
      </c>
      <c r="AQ97" s="1326">
        <f>-33.397-9.942</f>
        <v>-43.338999999999999</v>
      </c>
      <c r="AR97" s="1285">
        <f t="shared" si="170"/>
        <v>-1.1244808820866112</v>
      </c>
      <c r="AS97" s="1287">
        <f t="shared" si="171"/>
        <v>1.1813321504447583</v>
      </c>
      <c r="AU97" s="1390">
        <f>SUM(AU93:AU96)</f>
        <v>-42.24</v>
      </c>
      <c r="AV97" s="1285">
        <f t="shared" si="172"/>
        <v>-1.0360472399208331</v>
      </c>
      <c r="AW97" s="1287">
        <f t="shared" si="173"/>
        <v>-2.5358222386303253</v>
      </c>
      <c r="AY97" s="1390">
        <f>SUM(AY93:AY96)</f>
        <v>-43.423000000000002</v>
      </c>
      <c r="AZ97" s="1285">
        <f t="shared" si="174"/>
        <v>-0.98075597012582494</v>
      </c>
      <c r="BA97" s="1287">
        <f t="shared" si="175"/>
        <v>2.8006628787878851</v>
      </c>
      <c r="BC97" s="1390">
        <f>SUM(BC93:BC96)</f>
        <v>-45.882999999999996</v>
      </c>
      <c r="BD97" s="1285">
        <f t="shared" si="176"/>
        <v>-0.95301613624165649</v>
      </c>
      <c r="BE97" s="1287">
        <f t="shared" si="177"/>
        <v>5.6652004697971048</v>
      </c>
      <c r="BG97" s="1390">
        <f>SUM(BG93:BG96)</f>
        <v>-36.773000000000003</v>
      </c>
      <c r="BH97" s="1285">
        <f t="shared" si="178"/>
        <v>-0.72119024140741639</v>
      </c>
      <c r="BI97" s="1287">
        <f t="shared" si="179"/>
        <v>-19.854848200858687</v>
      </c>
      <c r="BJ97" s="1322"/>
      <c r="BK97" s="2204">
        <f>SUM(BK93:BK96)</f>
        <v>-35.747</v>
      </c>
      <c r="BL97" s="2048">
        <f t="shared" si="180"/>
        <v>-0.64223420680922416</v>
      </c>
      <c r="BM97" s="1287">
        <f t="shared" si="184"/>
        <v>-2.7900905555706679</v>
      </c>
      <c r="BN97" s="1322"/>
      <c r="BO97" s="1390">
        <f>SUM(BO93:BO96)</f>
        <v>-34.164000000000001</v>
      </c>
      <c r="BP97" s="1660">
        <f>BO97/BO15*100</f>
        <v>-0.5614677704943789</v>
      </c>
      <c r="BQ97" s="1287">
        <f t="shared" si="181"/>
        <v>-4.4283436372282932</v>
      </c>
      <c r="BR97" s="1322"/>
      <c r="BS97" s="1390">
        <f>SUM(BS93:BS96)</f>
        <v>-36.230602063530966</v>
      </c>
      <c r="BT97" s="1660">
        <f>BS97/BS15*100</f>
        <v>-0.55000000000000004</v>
      </c>
      <c r="BU97" s="1287">
        <f t="shared" si="183"/>
        <v>6.0490635274878857</v>
      </c>
    </row>
    <row r="98" spans="1:76" s="1282" customFormat="1">
      <c r="A98" s="1254" t="s">
        <v>87</v>
      </c>
      <c r="C98" s="1291"/>
      <c r="D98" s="1285"/>
      <c r="E98" s="1308"/>
      <c r="G98" s="1291"/>
      <c r="H98" s="1285"/>
      <c r="I98" s="1287"/>
      <c r="K98" s="1291"/>
      <c r="L98" s="1285"/>
      <c r="M98" s="1287"/>
      <c r="O98" s="1291"/>
      <c r="P98" s="1285"/>
      <c r="Q98" s="1287"/>
      <c r="S98" s="1291"/>
      <c r="T98" s="1285"/>
      <c r="U98" s="1287"/>
      <c r="W98" s="1291"/>
      <c r="X98" s="1285"/>
      <c r="Y98" s="1287"/>
      <c r="AA98" s="1291"/>
      <c r="AB98" s="1285"/>
      <c r="AC98" s="1287"/>
      <c r="AD98" s="1291"/>
      <c r="AE98" s="1291"/>
      <c r="AF98" s="1285"/>
      <c r="AG98" s="1287"/>
      <c r="AI98" s="1292">
        <f>AI93+AI94</f>
        <v>-25.972000000000001</v>
      </c>
      <c r="AJ98" s="1285">
        <f t="shared" si="166"/>
        <v>-1.6963843082492012</v>
      </c>
      <c r="AK98" s="1287" t="str">
        <f t="shared" si="167"/>
        <v>-</v>
      </c>
      <c r="AM98" s="1292">
        <f>AM93+AM94</f>
        <v>-20.518999999999998</v>
      </c>
      <c r="AN98" s="1285">
        <f t="shared" si="168"/>
        <v>-1.2639303991307285</v>
      </c>
      <c r="AO98" s="1287">
        <f t="shared" si="169"/>
        <v>-20.995687663637774</v>
      </c>
      <c r="AQ98" s="1292">
        <f>AQ93+AQ94</f>
        <v>-19.465</v>
      </c>
      <c r="AR98" s="1285">
        <f t="shared" si="170"/>
        <v>-1.1300894666256394</v>
      </c>
      <c r="AS98" s="1287">
        <f t="shared" si="171"/>
        <v>-5.1367025683512813</v>
      </c>
      <c r="AU98" s="1292">
        <f>AU93+AU94</f>
        <v>-19.509999999999998</v>
      </c>
      <c r="AV98" s="1285">
        <f t="shared" si="172"/>
        <v>-1.056534613354505</v>
      </c>
      <c r="AW98" s="1287">
        <f t="shared" si="173"/>
        <v>0.23118417672745029</v>
      </c>
      <c r="AY98" s="1292">
        <f>AY93+AY94</f>
        <v>-20.350000000000001</v>
      </c>
      <c r="AZ98" s="1285">
        <f t="shared" si="174"/>
        <v>-1.0030935701455694</v>
      </c>
      <c r="BA98" s="1287">
        <f t="shared" si="175"/>
        <v>4.3054843669912968</v>
      </c>
      <c r="BC98" s="1292">
        <f>BC93+BC94</f>
        <v>-18.997999999999998</v>
      </c>
      <c r="BD98" s="1285">
        <f t="shared" si="176"/>
        <v>-0.87473812648203131</v>
      </c>
      <c r="BE98" s="1287">
        <f t="shared" si="177"/>
        <v>-6.6437346437346667</v>
      </c>
      <c r="BG98" s="1292">
        <f>BG93+BG94</f>
        <v>-17.676000000000002</v>
      </c>
      <c r="BH98" s="1285">
        <f t="shared" si="178"/>
        <v>-0.75951423057934231</v>
      </c>
      <c r="BI98" s="1287">
        <f t="shared" si="179"/>
        <v>-6.95862722391829</v>
      </c>
      <c r="BJ98" s="1322"/>
      <c r="BK98" s="1292">
        <f>BK93+BK94</f>
        <v>-17.762999999999998</v>
      </c>
      <c r="BL98" s="1285">
        <f t="shared" si="180"/>
        <v>-0.699958190866379</v>
      </c>
      <c r="BM98" s="1287">
        <f t="shared" si="184"/>
        <v>0.49219280380174979</v>
      </c>
      <c r="BN98" s="1322"/>
      <c r="BO98" s="1292">
        <f>BO93+BO94</f>
        <v>-17.015000000000001</v>
      </c>
      <c r="BP98" s="1285">
        <f>BO98/BO16*100</f>
        <v>-0.6279130701129616</v>
      </c>
      <c r="BQ98" s="1287">
        <f t="shared" si="181"/>
        <v>-4.2110003940775691</v>
      </c>
      <c r="BR98" s="1322"/>
      <c r="BS98" s="1292">
        <f>BS93+BS94</f>
        <v>-16.417594266115451</v>
      </c>
      <c r="BT98" s="1285">
        <f>BS98/BS16*100</f>
        <v>-0.55000000000000016</v>
      </c>
      <c r="BU98" s="1287">
        <f t="shared" si="183"/>
        <v>-3.5110533875083783</v>
      </c>
      <c r="BX98" s="1587"/>
    </row>
    <row r="99" spans="1:76" s="1282" customFormat="1">
      <c r="A99" s="1254" t="s">
        <v>88</v>
      </c>
      <c r="C99" s="1291"/>
      <c r="D99" s="1285"/>
      <c r="E99" s="1308"/>
      <c r="G99" s="1291"/>
      <c r="H99" s="1285"/>
      <c r="I99" s="1287"/>
      <c r="K99" s="1291"/>
      <c r="L99" s="1285"/>
      <c r="M99" s="1287"/>
      <c r="O99" s="1291"/>
      <c r="P99" s="1285"/>
      <c r="Q99" s="1287"/>
      <c r="S99" s="1291"/>
      <c r="T99" s="1285"/>
      <c r="U99" s="1287"/>
      <c r="W99" s="1291"/>
      <c r="X99" s="1285"/>
      <c r="Y99" s="1287"/>
      <c r="AA99" s="1291"/>
      <c r="AB99" s="1285"/>
      <c r="AC99" s="1287"/>
      <c r="AD99" s="1291"/>
      <c r="AE99" s="1291"/>
      <c r="AF99" s="1285"/>
      <c r="AG99" s="1287"/>
      <c r="AI99" s="1292">
        <f>AI93+AI94+AI95</f>
        <v>-36.518000000000001</v>
      </c>
      <c r="AJ99" s="1285">
        <f t="shared" si="166"/>
        <v>-1.5194339673669954</v>
      </c>
      <c r="AK99" s="1287" t="str">
        <f t="shared" si="167"/>
        <v>-</v>
      </c>
      <c r="AM99" s="1292">
        <f>AM93+AM94+AM95</f>
        <v>-31.958999999999996</v>
      </c>
      <c r="AN99" s="1285">
        <f t="shared" si="168"/>
        <v>-1.2878312259682609</v>
      </c>
      <c r="AO99" s="1287">
        <f t="shared" si="169"/>
        <v>-12.484254340325329</v>
      </c>
      <c r="AQ99" s="1292">
        <f>AQ93+AQ94+AQ95</f>
        <v>-29.502000000000002</v>
      </c>
      <c r="AR99" s="1285">
        <f t="shared" si="170"/>
        <v>-1.125560977805824</v>
      </c>
      <c r="AS99" s="1287">
        <f t="shared" si="171"/>
        <v>-7.6879752182483667</v>
      </c>
      <c r="AU99" s="1292">
        <f>AU93+AU94+AU95</f>
        <v>-29.381</v>
      </c>
      <c r="AV99" s="1285">
        <f t="shared" si="172"/>
        <v>-1.0439165459348561</v>
      </c>
      <c r="AW99" s="1287">
        <f t="shared" si="173"/>
        <v>-0.41014168530947304</v>
      </c>
      <c r="AY99" s="1292">
        <f>AY93+AY94+AY95</f>
        <v>-30.405999999999999</v>
      </c>
      <c r="AZ99" s="1285">
        <f t="shared" si="174"/>
        <v>-0.98298669415037898</v>
      </c>
      <c r="BA99" s="1287">
        <f t="shared" si="175"/>
        <v>3.4886491269868314</v>
      </c>
      <c r="BC99" s="1292">
        <f>BC93+BC94+BC95</f>
        <v>-29.518999999999998</v>
      </c>
      <c r="BD99" s="1285">
        <f t="shared" si="176"/>
        <v>-0.88668491761540957</v>
      </c>
      <c r="BE99" s="1287">
        <f t="shared" si="177"/>
        <v>-2.9171873972242301</v>
      </c>
      <c r="BG99" s="1292">
        <f>BG93+BG94+BG95</f>
        <v>-27.139000000000003</v>
      </c>
      <c r="BH99" s="1285">
        <f t="shared" si="178"/>
        <v>-0.76272503536234859</v>
      </c>
      <c r="BI99" s="1287">
        <f t="shared" si="179"/>
        <v>-8.0626037467393719</v>
      </c>
      <c r="BJ99" s="1322"/>
      <c r="BK99" s="1292">
        <f>BK93+BK94+BK95</f>
        <v>-25.683</v>
      </c>
      <c r="BL99" s="1285">
        <f t="shared" si="180"/>
        <v>-0.66187789006224484</v>
      </c>
      <c r="BM99" s="1287">
        <f t="shared" si="184"/>
        <v>-5.3649729172040361</v>
      </c>
      <c r="BN99" s="1322"/>
      <c r="BO99" s="1292">
        <f>BO93+BO94+BO95</f>
        <v>-24.782</v>
      </c>
      <c r="BP99" s="1285">
        <f>BO99/BO17*100</f>
        <v>-0.59745362574214611</v>
      </c>
      <c r="BQ99" s="1287">
        <f t="shared" si="181"/>
        <v>-3.5081571467507677</v>
      </c>
      <c r="BR99" s="1322"/>
      <c r="BS99" s="1292">
        <f>BS93+BS94+BS95</f>
        <v>-25.119982505030968</v>
      </c>
      <c r="BT99" s="1285">
        <f>BS99/BS17*100</f>
        <v>-0.55000000000000004</v>
      </c>
      <c r="BU99" s="1287">
        <f t="shared" si="183"/>
        <v>1.3638225527841552</v>
      </c>
    </row>
    <row r="100" spans="1:76">
      <c r="BX100" s="1595"/>
    </row>
    <row r="101" spans="1:76" s="1282" customFormat="1" outlineLevel="1">
      <c r="A101" s="1251" t="s">
        <v>900</v>
      </c>
      <c r="B101" s="1281"/>
      <c r="C101" s="1281"/>
      <c r="D101" s="1281"/>
      <c r="E101" s="1281"/>
      <c r="F101" s="1281"/>
      <c r="G101" s="1281"/>
      <c r="H101" s="1281"/>
      <c r="I101" s="1281"/>
      <c r="J101" s="1281"/>
      <c r="K101" s="1281"/>
      <c r="L101" s="1281"/>
      <c r="M101" s="1281"/>
      <c r="N101" s="1281"/>
      <c r="O101" s="1281"/>
      <c r="P101" s="1281"/>
      <c r="Q101" s="1281"/>
      <c r="R101" s="1281"/>
      <c r="S101" s="1281"/>
      <c r="T101" s="1281"/>
      <c r="U101" s="1281"/>
      <c r="V101" s="1281"/>
      <c r="W101" s="1281"/>
      <c r="X101" s="1281"/>
      <c r="Y101" s="1281"/>
      <c r="Z101" s="1281"/>
      <c r="AA101" s="1281"/>
      <c r="AB101" s="1281"/>
      <c r="AC101" s="1281"/>
      <c r="AD101" s="1281"/>
      <c r="AE101" s="1281"/>
      <c r="AF101" s="1281"/>
      <c r="AG101" s="1281"/>
      <c r="AH101" s="1281"/>
      <c r="AI101" s="1281"/>
      <c r="AJ101" s="1281"/>
      <c r="AK101" s="1281"/>
      <c r="AL101" s="1281"/>
      <c r="AM101" s="1281"/>
      <c r="AN101" s="1281"/>
      <c r="AO101" s="1281"/>
      <c r="AP101" s="1281"/>
      <c r="AQ101" s="1281"/>
      <c r="AR101" s="1281"/>
      <c r="AS101" s="1281"/>
      <c r="AT101" s="1281"/>
      <c r="AU101" s="1281"/>
      <c r="AV101" s="1281"/>
      <c r="AW101" s="1281"/>
      <c r="AX101" s="1281"/>
      <c r="AY101" s="1281"/>
      <c r="AZ101" s="1281"/>
      <c r="BA101" s="1281"/>
      <c r="BD101" s="1281"/>
      <c r="BE101" s="1281"/>
      <c r="BF101" s="1251"/>
      <c r="BG101" s="2264" t="str">
        <f>A101</f>
        <v>10. Loss on extinguishment of debt (% of Sales)</v>
      </c>
      <c r="BH101" s="2264"/>
      <c r="BI101" s="2264"/>
      <c r="BJ101" s="2264"/>
      <c r="BK101" s="2264"/>
      <c r="BL101" s="2264"/>
      <c r="BM101" s="2264"/>
      <c r="BN101" s="1663"/>
      <c r="BO101" s="1663"/>
      <c r="BP101" s="2214"/>
      <c r="BQ101" s="2214"/>
      <c r="BR101" s="2214"/>
      <c r="BS101" s="2214"/>
      <c r="BT101" s="2214"/>
      <c r="BU101" s="2214"/>
    </row>
    <row r="102" spans="1:76" outlineLevel="1">
      <c r="A102" s="1251"/>
      <c r="B102" s="1281"/>
      <c r="C102" s="1281"/>
      <c r="D102" s="1281"/>
      <c r="E102" s="1281"/>
      <c r="F102" s="1281"/>
      <c r="G102" s="1281"/>
      <c r="H102" s="1281"/>
      <c r="I102" s="1281"/>
      <c r="J102" s="1281"/>
      <c r="K102" s="1281"/>
      <c r="L102" s="1281"/>
      <c r="M102" s="1281"/>
      <c r="N102" s="1281"/>
      <c r="O102" s="1281"/>
      <c r="P102" s="1281"/>
      <c r="Q102" s="1281"/>
      <c r="R102" s="1281"/>
      <c r="S102" s="1281"/>
      <c r="T102" s="1281"/>
      <c r="U102" s="1281"/>
      <c r="V102" s="1281"/>
      <c r="W102" s="1281"/>
      <c r="X102" s="1281"/>
      <c r="Y102" s="1281"/>
      <c r="Z102" s="1281"/>
      <c r="AA102" s="1281"/>
      <c r="AB102" s="1281"/>
      <c r="AC102" s="1281"/>
      <c r="AD102" s="1281"/>
      <c r="AE102" s="1281"/>
      <c r="AF102" s="1281"/>
      <c r="AG102" s="1281"/>
      <c r="AH102" s="1281"/>
      <c r="AI102" s="1281"/>
      <c r="AJ102" s="1281"/>
      <c r="AK102" s="1281"/>
      <c r="AL102" s="1281"/>
      <c r="AM102" s="1281"/>
      <c r="AN102" s="1281"/>
      <c r="AO102" s="1281"/>
      <c r="AP102" s="1281"/>
      <c r="AQ102" s="1281"/>
      <c r="AR102" s="1281"/>
      <c r="AS102" s="1281"/>
      <c r="AT102" s="1281"/>
      <c r="AU102" s="1281"/>
      <c r="AV102" s="1281"/>
      <c r="AW102" s="1281"/>
      <c r="AX102" s="1281"/>
      <c r="AY102" s="1281"/>
      <c r="AZ102" s="1281"/>
      <c r="BA102" s="1281"/>
      <c r="BB102" s="1282"/>
      <c r="BC102" s="1318"/>
      <c r="BD102" s="1281"/>
      <c r="BE102" s="1319"/>
      <c r="BF102" s="1282"/>
      <c r="BG102" s="1318"/>
      <c r="BH102" s="1281"/>
      <c r="BI102" s="1281"/>
      <c r="BK102" s="1318"/>
      <c r="BL102" s="1281"/>
      <c r="BM102" s="1281"/>
      <c r="BO102" s="1318"/>
      <c r="BP102" s="2215"/>
      <c r="BQ102" s="2215"/>
      <c r="BS102" s="2216"/>
      <c r="BT102" s="2215"/>
      <c r="BU102" s="2215"/>
    </row>
    <row r="103" spans="1:76" ht="15" customHeight="1" outlineLevel="1">
      <c r="A103" s="1254" t="s">
        <v>79</v>
      </c>
      <c r="C103" s="1266"/>
      <c r="D103" s="1285">
        <f>C103/C11*100</f>
        <v>0</v>
      </c>
      <c r="E103" s="1287" t="str">
        <f>IFERROR(((C103/#REF!-1)*100),"-")</f>
        <v>-</v>
      </c>
      <c r="G103" s="1266"/>
      <c r="H103" s="1285">
        <f>G103/G11*100</f>
        <v>0</v>
      </c>
      <c r="I103" s="1287" t="str">
        <f>IFERROR(((G103/#REF!-1)*100),"-")</f>
        <v>-</v>
      </c>
      <c r="K103" s="1266"/>
      <c r="L103" s="1285">
        <f>K103/K11*100</f>
        <v>0</v>
      </c>
      <c r="M103" s="1287" t="str">
        <f>IFERROR(((K103/#REF!-1)*100),"-")</f>
        <v>-</v>
      </c>
      <c r="O103" s="1266"/>
      <c r="P103" s="1285">
        <f>O103/O11*100</f>
        <v>0</v>
      </c>
      <c r="Q103" s="1287" t="str">
        <f>IFERROR(((O103/#REF!-1)*100),"-")</f>
        <v>-</v>
      </c>
      <c r="S103" s="1266"/>
      <c r="T103" s="1285">
        <f>S103/S11*100</f>
        <v>0</v>
      </c>
      <c r="U103" s="1287" t="str">
        <f>IFERROR(((S103/#REF!-1)*100),"-")</f>
        <v>-</v>
      </c>
      <c r="W103" s="1266"/>
      <c r="X103" s="1285">
        <f>W103/W11*100</f>
        <v>0</v>
      </c>
      <c r="Y103" s="1287" t="str">
        <f>IFERROR(((W103/#REF!-1)*100),"-")</f>
        <v>-</v>
      </c>
      <c r="AA103" s="1266"/>
      <c r="AB103" s="1285">
        <f>AA103/AA11*100</f>
        <v>0</v>
      </c>
      <c r="AC103" s="1287" t="str">
        <f>IFERROR(((AA103/#REF!-1)*100),"-")</f>
        <v>-</v>
      </c>
      <c r="AE103" s="1266"/>
      <c r="AF103" s="1285">
        <f>AE103/AE11*100</f>
        <v>0</v>
      </c>
      <c r="AG103" s="1287" t="str">
        <f>IFERROR(((AE103/#REF!-1)*100),"-")</f>
        <v>-</v>
      </c>
      <c r="AI103" s="1266">
        <v>0</v>
      </c>
      <c r="AJ103" s="1285">
        <f t="shared" ref="AJ103:AJ109" si="186">AI103/AI11*100</f>
        <v>0</v>
      </c>
      <c r="AK103" s="1287" t="str">
        <f>IFERROR(((AI103/#REF!-1)*100),"-")</f>
        <v>-</v>
      </c>
      <c r="AM103" s="1266">
        <v>0</v>
      </c>
      <c r="AN103" s="1285">
        <f t="shared" ref="AN103:AN109" si="187">AM103/AM11*100</f>
        <v>0</v>
      </c>
      <c r="AO103" s="1287" t="str">
        <f>IFERROR(((AM103/#REF!-1)*100),"-")</f>
        <v>-</v>
      </c>
      <c r="AQ103" s="1296">
        <v>37.764000000000003</v>
      </c>
      <c r="AR103" s="1285">
        <f t="shared" ref="AR103:AR109" si="188">AQ103/AQ11*100</f>
        <v>4.0646617463924031</v>
      </c>
      <c r="AS103" s="1287" t="str">
        <f t="shared" ref="AS103:AS109" si="189">IFERROR(((AQ103/AM103-1)*100),"-")</f>
        <v>-</v>
      </c>
      <c r="AT103" s="1244"/>
      <c r="AU103" s="1296">
        <v>0</v>
      </c>
      <c r="AV103" s="1285">
        <f t="shared" ref="AV103:AV109" si="190">AU103/AU11*100</f>
        <v>0</v>
      </c>
      <c r="AW103" s="1287">
        <f t="shared" ref="AW103:AW109" si="191">IFERROR(((AU103/AQ103-1)*100),"-")</f>
        <v>-100</v>
      </c>
      <c r="AX103" s="1244"/>
      <c r="AY103" s="1267">
        <v>0</v>
      </c>
      <c r="AZ103" s="1285">
        <f t="shared" ref="AZ103:AZ109" si="192">AY103/AY11*100</f>
        <v>0</v>
      </c>
      <c r="BA103" s="1287" t="str">
        <f t="shared" ref="BA103:BA109" si="193">IFERROR(((AY103/AU103-1)*100),"-")</f>
        <v>-</v>
      </c>
      <c r="BB103" s="1252"/>
      <c r="BC103" s="1267">
        <v>3.681</v>
      </c>
      <c r="BD103" s="1285">
        <f t="shared" ref="BD103:BD109" si="194">BC103/BC11*100</f>
        <v>0.32625198423425616</v>
      </c>
      <c r="BE103" s="1287" t="str">
        <f t="shared" ref="BE103:BE109" si="195">IFERROR(((BC103/AY103-1)*100),"-")</f>
        <v>-</v>
      </c>
      <c r="BF103" s="1252"/>
      <c r="BG103" s="1267">
        <v>0.64900000000000002</v>
      </c>
      <c r="BH103" s="1285">
        <f t="shared" ref="BH103:BH109" si="196">BG103/BG11*100</f>
        <v>5.4857788157648954E-2</v>
      </c>
      <c r="BI103" s="1287">
        <f t="shared" ref="BI103:BI109" si="197">IFERROR(((BG103/BC103-1)*100),"-")</f>
        <v>-82.368921488725888</v>
      </c>
      <c r="BK103" s="1267">
        <v>0</v>
      </c>
      <c r="BL103" s="1285">
        <f t="shared" ref="BL103:BL109" si="198">BK103/BK11*100</f>
        <v>0</v>
      </c>
      <c r="BM103" s="1287">
        <f t="shared" ref="BM103:BM109" si="199">IFERROR(((BK103/BG103-1)*100),"-")</f>
        <v>-100</v>
      </c>
      <c r="BO103" s="1267">
        <v>0</v>
      </c>
      <c r="BP103" s="1285">
        <f t="shared" ref="BP103:BP109" si="200">BO103/BO11*100</f>
        <v>0</v>
      </c>
      <c r="BQ103" s="1287" t="str">
        <f t="shared" ref="BQ103:BQ109" si="201">IFERROR(((BO103/BK103-1)*100),"-")</f>
        <v>-</v>
      </c>
      <c r="BS103" s="1267">
        <v>0</v>
      </c>
      <c r="BT103" s="1285">
        <f t="shared" ref="BT103:BT106" si="202">BS103/BS11*100</f>
        <v>0</v>
      </c>
      <c r="BU103" s="1287" t="str">
        <f t="shared" ref="BU103:BU109" si="203">IFERROR(((BS103/BO103-1)*100),"-")</f>
        <v>-</v>
      </c>
    </row>
    <row r="104" spans="1:76" ht="15" customHeight="1" outlineLevel="1">
      <c r="A104" s="1254" t="s">
        <v>80</v>
      </c>
      <c r="C104" s="1259"/>
      <c r="D104" s="1285">
        <f>C104/C12*100</f>
        <v>0</v>
      </c>
      <c r="E104" s="1287" t="str">
        <f>IFERROR(((C104/#REF!-1)*100),"-")</f>
        <v>-</v>
      </c>
      <c r="G104" s="1259"/>
      <c r="H104" s="1285">
        <f>G104/G12*100</f>
        <v>0</v>
      </c>
      <c r="I104" s="1287" t="str">
        <f>IFERROR(((G104/#REF!-1)*100),"-")</f>
        <v>-</v>
      </c>
      <c r="K104" s="1259"/>
      <c r="L104" s="1285">
        <f>K104/K12*100</f>
        <v>0</v>
      </c>
      <c r="M104" s="1287" t="str">
        <f>IFERROR(((K104/#REF!-1)*100),"-")</f>
        <v>-</v>
      </c>
      <c r="O104" s="1259"/>
      <c r="P104" s="1285">
        <f>O104/O12*100</f>
        <v>0</v>
      </c>
      <c r="Q104" s="1287" t="str">
        <f>IFERROR(((O104/#REF!-1)*100),"-")</f>
        <v>-</v>
      </c>
      <c r="S104" s="1259"/>
      <c r="T104" s="1285">
        <f>S104/S12*100</f>
        <v>0</v>
      </c>
      <c r="U104" s="1287" t="str">
        <f>IFERROR(((S104/#REF!-1)*100),"-")</f>
        <v>-</v>
      </c>
      <c r="W104" s="1259"/>
      <c r="X104" s="1285">
        <f>W104/W12*100</f>
        <v>0</v>
      </c>
      <c r="Y104" s="1287" t="str">
        <f>IFERROR(((W104/#REF!-1)*100),"-")</f>
        <v>-</v>
      </c>
      <c r="AA104" s="1259"/>
      <c r="AB104" s="1285">
        <f>AA104/AA12*100</f>
        <v>0</v>
      </c>
      <c r="AC104" s="1287" t="str">
        <f>IFERROR(((AA104/#REF!-1)*100),"-")</f>
        <v>-</v>
      </c>
      <c r="AE104" s="1259"/>
      <c r="AF104" s="1285">
        <f>AE104/AE12*100</f>
        <v>0</v>
      </c>
      <c r="AG104" s="1287" t="str">
        <f>IFERROR(((AE104/#REF!-1)*100),"-")</f>
        <v>-</v>
      </c>
      <c r="AI104" s="1259">
        <v>0</v>
      </c>
      <c r="AJ104" s="1285">
        <f t="shared" si="186"/>
        <v>0</v>
      </c>
      <c r="AK104" s="1287" t="str">
        <f>IFERROR(((AI104/#REF!-1)*100),"-")</f>
        <v>-</v>
      </c>
      <c r="AL104" s="1269"/>
      <c r="AM104" s="1297">
        <v>0</v>
      </c>
      <c r="AN104" s="1285">
        <f t="shared" si="187"/>
        <v>0</v>
      </c>
      <c r="AO104" s="1287" t="str">
        <f>IFERROR(((AM104/#REF!-1)*100),"-")</f>
        <v>-</v>
      </c>
      <c r="AP104" s="1269"/>
      <c r="AQ104" s="1297">
        <v>0</v>
      </c>
      <c r="AR104" s="1285">
        <f t="shared" si="188"/>
        <v>0</v>
      </c>
      <c r="AS104" s="1287" t="str">
        <f t="shared" si="189"/>
        <v>-</v>
      </c>
      <c r="AT104" s="1244"/>
      <c r="AU104" s="1297">
        <v>3.4129999999999998</v>
      </c>
      <c r="AV104" s="1285">
        <f t="shared" si="190"/>
        <v>0.39494031034597943</v>
      </c>
      <c r="AW104" s="1287" t="str">
        <f t="shared" si="191"/>
        <v>-</v>
      </c>
      <c r="AX104" s="1244"/>
      <c r="AY104" s="1279">
        <v>0.61699999999999999</v>
      </c>
      <c r="AZ104" s="1285">
        <f t="shared" si="192"/>
        <v>6.4023343097671395E-2</v>
      </c>
      <c r="BA104" s="1287">
        <f t="shared" si="193"/>
        <v>-81.922062701435678</v>
      </c>
      <c r="BB104" s="1252"/>
      <c r="BC104" s="1279">
        <v>0</v>
      </c>
      <c r="BD104" s="1285">
        <f t="shared" si="194"/>
        <v>0</v>
      </c>
      <c r="BE104" s="1287">
        <f t="shared" si="195"/>
        <v>-100</v>
      </c>
      <c r="BF104" s="1252"/>
      <c r="BG104" s="1279">
        <v>0</v>
      </c>
      <c r="BH104" s="1285">
        <f t="shared" si="196"/>
        <v>0</v>
      </c>
      <c r="BI104" s="1287" t="str">
        <f t="shared" si="197"/>
        <v>-</v>
      </c>
      <c r="BK104" s="1279">
        <v>3.8050000000000002</v>
      </c>
      <c r="BL104" s="1285">
        <f t="shared" si="198"/>
        <v>0.3031744476129693</v>
      </c>
      <c r="BM104" s="1287" t="str">
        <f t="shared" si="199"/>
        <v>-</v>
      </c>
      <c r="BO104" s="1279">
        <v>0</v>
      </c>
      <c r="BP104" s="1285">
        <f t="shared" si="200"/>
        <v>0</v>
      </c>
      <c r="BQ104" s="1287">
        <f t="shared" si="201"/>
        <v>-100</v>
      </c>
      <c r="BS104" s="1279">
        <v>0</v>
      </c>
      <c r="BT104" s="1285">
        <f t="shared" si="202"/>
        <v>0</v>
      </c>
      <c r="BU104" s="1287" t="str">
        <f t="shared" si="203"/>
        <v>-</v>
      </c>
    </row>
    <row r="105" spans="1:76" ht="15.75" customHeight="1" outlineLevel="1">
      <c r="A105" s="1254" t="s">
        <v>81</v>
      </c>
      <c r="C105" s="1255"/>
      <c r="D105" s="1285">
        <f>C105/C13*100</f>
        <v>0</v>
      </c>
      <c r="E105" s="1287" t="str">
        <f>IFERROR(((C105/#REF!-1)*100),"-")</f>
        <v>-</v>
      </c>
      <c r="G105" s="1255"/>
      <c r="H105" s="1285">
        <f>G105/G13*100</f>
        <v>0</v>
      </c>
      <c r="I105" s="1287" t="str">
        <f>IFERROR(((G105/#REF!-1)*100),"-")</f>
        <v>-</v>
      </c>
      <c r="K105" s="1255"/>
      <c r="L105" s="1285">
        <f>K105/K13*100</f>
        <v>0</v>
      </c>
      <c r="M105" s="1287" t="str">
        <f>IFERROR(((K105/#REF!-1)*100),"-")</f>
        <v>-</v>
      </c>
      <c r="O105" s="1255"/>
      <c r="P105" s="1285">
        <f>O105/O13*100</f>
        <v>0</v>
      </c>
      <c r="Q105" s="1287" t="str">
        <f>IFERROR(((O105/#REF!-1)*100),"-")</f>
        <v>-</v>
      </c>
      <c r="S105" s="1255"/>
      <c r="T105" s="1285">
        <f>S105/S13*100</f>
        <v>0</v>
      </c>
      <c r="U105" s="1287" t="str">
        <f>IFERROR(((S105/#REF!-1)*100),"-")</f>
        <v>-</v>
      </c>
      <c r="W105" s="1255"/>
      <c r="X105" s="1285">
        <f>W105/W13*100</f>
        <v>0</v>
      </c>
      <c r="Y105" s="1287" t="str">
        <f>IFERROR(((W105/#REF!-1)*100),"-")</f>
        <v>-</v>
      </c>
      <c r="AA105" s="1255"/>
      <c r="AB105" s="1285">
        <f>AA105/AA13*100</f>
        <v>0</v>
      </c>
      <c r="AC105" s="1287" t="str">
        <f>IFERROR(((AA105/#REF!-1)*100),"-")</f>
        <v>-</v>
      </c>
      <c r="AE105" s="1255"/>
      <c r="AF105" s="1285">
        <f>AE105/AE13*100</f>
        <v>0</v>
      </c>
      <c r="AG105" s="1287" t="str">
        <f>IFERROR(((AE105/#REF!-1)*100),"-")</f>
        <v>-</v>
      </c>
      <c r="AI105" s="1255">
        <v>0</v>
      </c>
      <c r="AJ105" s="1285">
        <f t="shared" si="186"/>
        <v>0</v>
      </c>
      <c r="AK105" s="1287" t="str">
        <f>IFERROR(((AI105/#REF!-1)*100),"-")</f>
        <v>-</v>
      </c>
      <c r="AL105" s="1269"/>
      <c r="AM105" s="1297">
        <v>0</v>
      </c>
      <c r="AN105" s="1285">
        <f t="shared" si="187"/>
        <v>0</v>
      </c>
      <c r="AO105" s="1287" t="str">
        <f>IFERROR(((AM105/#REF!-1)*100),"-")</f>
        <v>-</v>
      </c>
      <c r="AP105" s="1269"/>
      <c r="AQ105" s="1297">
        <v>0</v>
      </c>
      <c r="AR105" s="1285">
        <f t="shared" si="188"/>
        <v>0</v>
      </c>
      <c r="AS105" s="1287" t="str">
        <f t="shared" si="189"/>
        <v>-</v>
      </c>
      <c r="AT105" s="1244"/>
      <c r="AU105" s="1297">
        <v>0</v>
      </c>
      <c r="AV105" s="1285">
        <f t="shared" si="190"/>
        <v>0</v>
      </c>
      <c r="AW105" s="1287" t="str">
        <f t="shared" si="191"/>
        <v>-</v>
      </c>
      <c r="AX105" s="1244"/>
      <c r="AY105" s="1279">
        <v>0</v>
      </c>
      <c r="AZ105" s="1285">
        <f t="shared" si="192"/>
        <v>0</v>
      </c>
      <c r="BA105" s="1287" t="str">
        <f t="shared" si="193"/>
        <v>-</v>
      </c>
      <c r="BB105" s="1252"/>
      <c r="BC105" s="1279">
        <v>70.302000000000007</v>
      </c>
      <c r="BD105" s="1285">
        <f t="shared" si="194"/>
        <v>6.0746985203388606</v>
      </c>
      <c r="BE105" s="1287" t="str">
        <f t="shared" si="195"/>
        <v>-</v>
      </c>
      <c r="BF105" s="1252"/>
      <c r="BG105" s="1279">
        <v>0</v>
      </c>
      <c r="BH105" s="1285">
        <f t="shared" si="196"/>
        <v>0</v>
      </c>
      <c r="BI105" s="1287">
        <f t="shared" si="197"/>
        <v>-100</v>
      </c>
      <c r="BK105" s="1279">
        <v>0</v>
      </c>
      <c r="BL105" s="1285">
        <f t="shared" si="198"/>
        <v>0</v>
      </c>
      <c r="BM105" s="1287" t="str">
        <f t="shared" si="199"/>
        <v>-</v>
      </c>
      <c r="BO105" s="1279">
        <v>0</v>
      </c>
      <c r="BP105" s="1285">
        <f t="shared" si="200"/>
        <v>0</v>
      </c>
      <c r="BQ105" s="1287" t="str">
        <f t="shared" si="201"/>
        <v>-</v>
      </c>
      <c r="BS105" s="1279">
        <v>0</v>
      </c>
      <c r="BT105" s="1285">
        <f t="shared" si="202"/>
        <v>0</v>
      </c>
      <c r="BU105" s="1287" t="str">
        <f t="shared" si="203"/>
        <v>-</v>
      </c>
    </row>
    <row r="106" spans="1:76" ht="15" customHeight="1" outlineLevel="1">
      <c r="A106" s="1254" t="s">
        <v>82</v>
      </c>
      <c r="C106" s="1274"/>
      <c r="D106" s="1285">
        <f>C106/C14*100</f>
        <v>0</v>
      </c>
      <c r="E106" s="1287" t="str">
        <f>IFERROR(((C106/#REF!-1)*100),"-")</f>
        <v>-</v>
      </c>
      <c r="G106" s="1274"/>
      <c r="H106" s="1285">
        <f>G106/G14*100</f>
        <v>0</v>
      </c>
      <c r="I106" s="1287" t="str">
        <f>IFERROR(((G106/#REF!-1)*100),"-")</f>
        <v>-</v>
      </c>
      <c r="K106" s="1274"/>
      <c r="L106" s="1285">
        <f>K106/K14*100</f>
        <v>0</v>
      </c>
      <c r="M106" s="1287" t="str">
        <f>IFERROR(((K106/#REF!-1)*100),"-")</f>
        <v>-</v>
      </c>
      <c r="O106" s="1274"/>
      <c r="P106" s="1285">
        <f>O106/O14*100</f>
        <v>0</v>
      </c>
      <c r="Q106" s="1287" t="str">
        <f>IFERROR(((O106/#REF!-1)*100),"-")</f>
        <v>-</v>
      </c>
      <c r="S106" s="1274"/>
      <c r="T106" s="1285">
        <f>S106/S14*100</f>
        <v>0</v>
      </c>
      <c r="U106" s="1287" t="str">
        <f>IFERROR(((S106/#REF!-1)*100),"-")</f>
        <v>-</v>
      </c>
      <c r="W106" s="1274"/>
      <c r="X106" s="1285">
        <f>W106/W14*100</f>
        <v>0</v>
      </c>
      <c r="Y106" s="1287" t="str">
        <f>IFERROR(((W106/#REF!-1)*100),"-")</f>
        <v>-</v>
      </c>
      <c r="AA106" s="1274"/>
      <c r="AB106" s="1285">
        <f>AA106/AA14*100</f>
        <v>0</v>
      </c>
      <c r="AC106" s="1287" t="str">
        <f>IFERROR(((AA106/#REF!-1)*100),"-")</f>
        <v>-</v>
      </c>
      <c r="AE106" s="1274"/>
      <c r="AF106" s="1285">
        <f>AE106/AE14*100</f>
        <v>0</v>
      </c>
      <c r="AG106" s="1287" t="str">
        <f>IFERROR(((AE106/#REF!-1)*100),"-")</f>
        <v>-</v>
      </c>
      <c r="AI106" s="1506">
        <f>AI107-SUM(AI103:AI105)</f>
        <v>0</v>
      </c>
      <c r="AJ106" s="1285">
        <f t="shared" si="186"/>
        <v>0</v>
      </c>
      <c r="AK106" s="1287" t="str">
        <f>IFERROR(((AI106/#REF!-1)*100),"-")</f>
        <v>-</v>
      </c>
      <c r="AL106" s="1269"/>
      <c r="AM106" s="1506">
        <f>AM107-SUM(AM103:AM105)</f>
        <v>0</v>
      </c>
      <c r="AN106" s="1285">
        <f t="shared" si="187"/>
        <v>0</v>
      </c>
      <c r="AO106" s="1287" t="str">
        <f>IFERROR(((AM106/#REF!-1)*100),"-")</f>
        <v>-</v>
      </c>
      <c r="AP106" s="1269"/>
      <c r="AQ106" s="1298">
        <f>AQ107-SUM(AQ103:AQ105)</f>
        <v>0</v>
      </c>
      <c r="AR106" s="1285">
        <f t="shared" si="188"/>
        <v>0</v>
      </c>
      <c r="AS106" s="1287" t="str">
        <f t="shared" si="189"/>
        <v>-</v>
      </c>
      <c r="AT106" s="1244"/>
      <c r="AU106" s="1298">
        <v>-1.1910000000000001</v>
      </c>
      <c r="AV106" s="1285">
        <f t="shared" si="190"/>
        <v>-9.4333857191174125E-2</v>
      </c>
      <c r="AW106" s="1287" t="str">
        <f t="shared" si="191"/>
        <v>-</v>
      </c>
      <c r="AX106" s="1244"/>
      <c r="AY106" s="1280">
        <v>15.476000000000001</v>
      </c>
      <c r="AZ106" s="1285">
        <f t="shared" si="192"/>
        <v>1.1598790955701104</v>
      </c>
      <c r="BA106" s="1287">
        <f t="shared" si="193"/>
        <v>-1399.4122586062133</v>
      </c>
      <c r="BB106" s="1252"/>
      <c r="BC106" s="1280">
        <v>0.36399999999999999</v>
      </c>
      <c r="BD106" s="1285">
        <f t="shared" si="194"/>
        <v>2.4505810704730562E-2</v>
      </c>
      <c r="BE106" s="1287">
        <f t="shared" si="195"/>
        <v>-97.647971051951416</v>
      </c>
      <c r="BF106" s="1252"/>
      <c r="BG106" s="1280">
        <v>0</v>
      </c>
      <c r="BH106" s="1285">
        <f t="shared" si="196"/>
        <v>0</v>
      </c>
      <c r="BI106" s="1287">
        <f t="shared" si="197"/>
        <v>-100</v>
      </c>
      <c r="BK106" s="1280">
        <v>0</v>
      </c>
      <c r="BL106" s="1285">
        <f t="shared" si="198"/>
        <v>0</v>
      </c>
      <c r="BM106" s="1287" t="str">
        <f t="shared" si="199"/>
        <v>-</v>
      </c>
      <c r="BO106" s="1280">
        <v>2.8809999999999998</v>
      </c>
      <c r="BP106" s="1285">
        <f t="shared" si="200"/>
        <v>0.14874828908489082</v>
      </c>
      <c r="BQ106" s="1287" t="str">
        <f t="shared" si="201"/>
        <v>-</v>
      </c>
      <c r="BS106" s="1280">
        <v>0</v>
      </c>
      <c r="BT106" s="1285">
        <f t="shared" si="202"/>
        <v>0</v>
      </c>
      <c r="BU106" s="1287">
        <f t="shared" si="203"/>
        <v>-100</v>
      </c>
    </row>
    <row r="107" spans="1:76" outlineLevel="1">
      <c r="A107" s="1254" t="s">
        <v>85</v>
      </c>
      <c r="C107" s="1266"/>
      <c r="D107" s="1285">
        <f>C107/C15*100</f>
        <v>0</v>
      </c>
      <c r="E107" s="1287" t="str">
        <f>IFERROR(((C107/#REF!-1)*100),"-")</f>
        <v>-</v>
      </c>
      <c r="G107" s="1266"/>
      <c r="H107" s="1285">
        <f>G107/G15*100</f>
        <v>0</v>
      </c>
      <c r="I107" s="1287" t="str">
        <f>IFERROR(((G107/C107-1)*100),"-")</f>
        <v>-</v>
      </c>
      <c r="K107" s="1266"/>
      <c r="L107" s="1285">
        <f>K107/K15*100</f>
        <v>0</v>
      </c>
      <c r="M107" s="1287" t="str">
        <f>IFERROR(((K107/G107-1)*100),"-")</f>
        <v>-</v>
      </c>
      <c r="O107" s="1266"/>
      <c r="P107" s="1285">
        <f>O107/O15*100</f>
        <v>0</v>
      </c>
      <c r="Q107" s="1287" t="str">
        <f>IFERROR(((O107/K107-1)*100),"-")</f>
        <v>-</v>
      </c>
      <c r="S107" s="1266"/>
      <c r="T107" s="1285">
        <f>S107/S15*100</f>
        <v>0</v>
      </c>
      <c r="U107" s="1287" t="str">
        <f>IFERROR(((S107/O107-1)*100),"-")</f>
        <v>-</v>
      </c>
      <c r="W107" s="1266"/>
      <c r="X107" s="1285">
        <f>W107/W15*100</f>
        <v>0</v>
      </c>
      <c r="Y107" s="1287" t="str">
        <f>IFERROR(((W107/S107-1)*100),"-")</f>
        <v>-</v>
      </c>
      <c r="AA107" s="1266"/>
      <c r="AB107" s="1285">
        <f>AA107/AA15*100</f>
        <v>0</v>
      </c>
      <c r="AC107" s="1287" t="str">
        <f>IFERROR(((AA107/W107-1)*100),"-")</f>
        <v>-</v>
      </c>
      <c r="AD107" s="1252"/>
      <c r="AE107" s="1266"/>
      <c r="AF107" s="1285">
        <f>AE107/AE15*100</f>
        <v>0</v>
      </c>
      <c r="AG107" s="1287" t="str">
        <f>IFERROR(((AE107/AA107-1)*100),"-")</f>
        <v>-</v>
      </c>
      <c r="AI107" s="1266">
        <v>0</v>
      </c>
      <c r="AJ107" s="1285">
        <f t="shared" si="186"/>
        <v>0</v>
      </c>
      <c r="AK107" s="1287" t="str">
        <f>IFERROR(((AI107/AE107-1)*100),"-")</f>
        <v>-</v>
      </c>
      <c r="AM107" s="1266">
        <v>0</v>
      </c>
      <c r="AN107" s="1285">
        <f t="shared" si="187"/>
        <v>0</v>
      </c>
      <c r="AO107" s="1287" t="str">
        <f>IFERROR(((AM107/AI107-1)*100),"-")</f>
        <v>-</v>
      </c>
      <c r="AQ107" s="1299">
        <v>37.764000000000003</v>
      </c>
      <c r="AR107" s="1285">
        <f t="shared" si="188"/>
        <v>0.9798310074325387</v>
      </c>
      <c r="AS107" s="1287" t="str">
        <f t="shared" si="189"/>
        <v>-</v>
      </c>
      <c r="AT107" s="1244"/>
      <c r="AU107" s="1299">
        <f>SUM(AU103:AU106)</f>
        <v>2.2219999999999995</v>
      </c>
      <c r="AV107" s="1285">
        <f t="shared" si="190"/>
        <v>5.4500401683335475E-2</v>
      </c>
      <c r="AW107" s="1287">
        <f t="shared" si="191"/>
        <v>-94.116089397309608</v>
      </c>
      <c r="AX107" s="1244"/>
      <c r="AY107" s="1253">
        <f>SUM(AY103:AY106)</f>
        <v>16.093</v>
      </c>
      <c r="AZ107" s="1285">
        <f t="shared" si="192"/>
        <v>0.3634780145829376</v>
      </c>
      <c r="BA107" s="1287">
        <f t="shared" si="193"/>
        <v>624.25742574257447</v>
      </c>
      <c r="BB107" s="1244"/>
      <c r="BC107" s="1253">
        <f>SUM(BC103:BC106)</f>
        <v>74.347000000000008</v>
      </c>
      <c r="BD107" s="1285">
        <f t="shared" si="194"/>
        <v>1.5442296859655742</v>
      </c>
      <c r="BE107" s="1287">
        <f t="shared" si="195"/>
        <v>361.98347107438025</v>
      </c>
      <c r="BF107" s="1244"/>
      <c r="BG107" s="1253">
        <f>SUM(BG103:BG106)</f>
        <v>0.64900000000000002</v>
      </c>
      <c r="BH107" s="1285">
        <f t="shared" si="196"/>
        <v>1.2728155621608605E-2</v>
      </c>
      <c r="BI107" s="1287">
        <f t="shared" si="197"/>
        <v>-99.127066324128748</v>
      </c>
      <c r="BK107" s="1504">
        <f>SUM(BK103:BK106)</f>
        <v>3.8050000000000002</v>
      </c>
      <c r="BL107" s="1285">
        <f t="shared" si="198"/>
        <v>6.8361013704901052E-2</v>
      </c>
      <c r="BM107" s="1287">
        <f t="shared" si="199"/>
        <v>486.28659476117105</v>
      </c>
      <c r="BO107" s="1253">
        <f>SUM(BO103:BO106)</f>
        <v>2.8809999999999998</v>
      </c>
      <c r="BP107" s="1285">
        <f>BO107/BO15*100</f>
        <v>4.7347753389366164E-2</v>
      </c>
      <c r="BQ107" s="1287">
        <f t="shared" si="201"/>
        <v>-24.283837056504609</v>
      </c>
      <c r="BS107" s="1253">
        <f>SUM(BS103:BS106)</f>
        <v>0</v>
      </c>
      <c r="BT107" s="1285">
        <f>BS107/BS15*100</f>
        <v>0</v>
      </c>
      <c r="BU107" s="1287">
        <f t="shared" si="203"/>
        <v>-100</v>
      </c>
    </row>
    <row r="108" spans="1:76" outlineLevel="1">
      <c r="A108" s="1254" t="s">
        <v>87</v>
      </c>
      <c r="C108" s="1266"/>
      <c r="D108" s="1285"/>
      <c r="E108" s="1287"/>
      <c r="G108" s="1266"/>
      <c r="H108" s="1285"/>
      <c r="I108" s="1287"/>
      <c r="K108" s="1266"/>
      <c r="L108" s="1285"/>
      <c r="M108" s="1287"/>
      <c r="O108" s="1266"/>
      <c r="P108" s="1285"/>
      <c r="Q108" s="1287"/>
      <c r="S108" s="1266"/>
      <c r="T108" s="1285"/>
      <c r="U108" s="1287"/>
      <c r="W108" s="1266"/>
      <c r="X108" s="1285"/>
      <c r="Y108" s="1287"/>
      <c r="AA108" s="1266"/>
      <c r="AB108" s="1285"/>
      <c r="AC108" s="1287"/>
      <c r="AD108" s="1252"/>
      <c r="AE108" s="1266"/>
      <c r="AF108" s="1285"/>
      <c r="AG108" s="1287"/>
      <c r="AI108" s="1292">
        <f>AI103+AI104</f>
        <v>0</v>
      </c>
      <c r="AJ108" s="1285">
        <f t="shared" si="186"/>
        <v>0</v>
      </c>
      <c r="AK108" s="1287" t="str">
        <f>IFERROR(((AI108/AE108-1)*100),"-")</f>
        <v>-</v>
      </c>
      <c r="AM108" s="1292">
        <f>AM103+AM104</f>
        <v>0</v>
      </c>
      <c r="AN108" s="1285">
        <f t="shared" si="187"/>
        <v>0</v>
      </c>
      <c r="AO108" s="1287" t="str">
        <f>IFERROR(((AM108/AI108-1)*100),"-")</f>
        <v>-</v>
      </c>
      <c r="AQ108" s="1292">
        <f>AQ103+AQ104</f>
        <v>37.764000000000003</v>
      </c>
      <c r="AR108" s="1285">
        <f t="shared" si="188"/>
        <v>2.1924838745261059</v>
      </c>
      <c r="AS108" s="1287" t="str">
        <f t="shared" si="189"/>
        <v>-</v>
      </c>
      <c r="AT108" s="1244"/>
      <c r="AU108" s="1292">
        <f>AU103+AU104</f>
        <v>3.4129999999999998</v>
      </c>
      <c r="AV108" s="1285">
        <f t="shared" si="190"/>
        <v>0.1848258654730357</v>
      </c>
      <c r="AW108" s="1287">
        <f t="shared" si="191"/>
        <v>-90.962292130070963</v>
      </c>
      <c r="AX108" s="1244"/>
      <c r="AY108" s="1292">
        <f>AY103+AY104</f>
        <v>0.61699999999999999</v>
      </c>
      <c r="AZ108" s="1285">
        <f t="shared" si="192"/>
        <v>3.0413205542005713E-2</v>
      </c>
      <c r="BA108" s="1287">
        <f t="shared" si="193"/>
        <v>-81.922062701435678</v>
      </c>
      <c r="BB108" s="1244"/>
      <c r="BC108" s="1292">
        <f>BC103+BC104</f>
        <v>3.681</v>
      </c>
      <c r="BD108" s="1285">
        <f t="shared" si="194"/>
        <v>0.16948684301402031</v>
      </c>
      <c r="BE108" s="1287">
        <f t="shared" si="195"/>
        <v>496.59643435980553</v>
      </c>
      <c r="BF108" s="1244"/>
      <c r="BG108" s="1292">
        <f>BG103+BG104</f>
        <v>0.64900000000000002</v>
      </c>
      <c r="BH108" s="1285">
        <f t="shared" si="196"/>
        <v>2.7886667551821294E-2</v>
      </c>
      <c r="BI108" s="1287">
        <f t="shared" si="197"/>
        <v>-82.368921488725888</v>
      </c>
      <c r="BK108" s="1292">
        <f>BK103+BK104</f>
        <v>3.8050000000000002</v>
      </c>
      <c r="BL108" s="1285">
        <f t="shared" si="198"/>
        <v>0.1499375621373964</v>
      </c>
      <c r="BM108" s="1287">
        <f t="shared" si="199"/>
        <v>486.28659476117105</v>
      </c>
      <c r="BO108" s="1292">
        <f>BO103+BO104</f>
        <v>0</v>
      </c>
      <c r="BP108" s="1285">
        <f t="shared" si="200"/>
        <v>0</v>
      </c>
      <c r="BQ108" s="1287">
        <f t="shared" si="201"/>
        <v>-100</v>
      </c>
      <c r="BS108" s="1292">
        <f>BS103+BS104</f>
        <v>0</v>
      </c>
      <c r="BT108" s="1285">
        <f t="shared" ref="BT108:BT109" si="204">BS108/BS16*100</f>
        <v>0</v>
      </c>
      <c r="BU108" s="1287" t="str">
        <f t="shared" si="203"/>
        <v>-</v>
      </c>
    </row>
    <row r="109" spans="1:76" outlineLevel="1">
      <c r="A109" s="1254" t="s">
        <v>88</v>
      </c>
      <c r="C109" s="1266"/>
      <c r="D109" s="1285"/>
      <c r="E109" s="1287"/>
      <c r="G109" s="1266"/>
      <c r="H109" s="1285"/>
      <c r="I109" s="1287"/>
      <c r="K109" s="1266"/>
      <c r="L109" s="1285"/>
      <c r="M109" s="1287"/>
      <c r="O109" s="1266"/>
      <c r="P109" s="1285"/>
      <c r="Q109" s="1287"/>
      <c r="S109" s="1266"/>
      <c r="T109" s="1285"/>
      <c r="U109" s="1287"/>
      <c r="W109" s="1266"/>
      <c r="X109" s="1285"/>
      <c r="Y109" s="1287"/>
      <c r="AA109" s="1266"/>
      <c r="AB109" s="1285"/>
      <c r="AC109" s="1287"/>
      <c r="AD109" s="1252"/>
      <c r="AE109" s="1266"/>
      <c r="AF109" s="1285"/>
      <c r="AG109" s="1287"/>
      <c r="AI109" s="1292">
        <f>AI103+AI104+AI105</f>
        <v>0</v>
      </c>
      <c r="AJ109" s="1285">
        <f t="shared" si="186"/>
        <v>0</v>
      </c>
      <c r="AK109" s="1287" t="str">
        <f>IFERROR(((AI109/AE109-1)*100),"-")</f>
        <v>-</v>
      </c>
      <c r="AM109" s="1292">
        <f>AM103+AM104+AM105</f>
        <v>0</v>
      </c>
      <c r="AN109" s="1285">
        <f t="shared" si="187"/>
        <v>0</v>
      </c>
      <c r="AO109" s="1287" t="str">
        <f>IFERROR(((AM109/AI109-1)*100),"-")</f>
        <v>-</v>
      </c>
      <c r="AQ109" s="1292">
        <f>AQ103+AQ104+AQ105</f>
        <v>37.764000000000003</v>
      </c>
      <c r="AR109" s="1285">
        <f t="shared" si="188"/>
        <v>1.4407729905043432</v>
      </c>
      <c r="AS109" s="1287" t="str">
        <f t="shared" si="189"/>
        <v>-</v>
      </c>
      <c r="AT109" s="1244"/>
      <c r="AU109" s="1292">
        <f>AU103+AU104+AU105</f>
        <v>3.4129999999999998</v>
      </c>
      <c r="AV109" s="1285">
        <f t="shared" si="190"/>
        <v>0.12126500702071624</v>
      </c>
      <c r="AW109" s="1287">
        <f t="shared" si="191"/>
        <v>-90.962292130070963</v>
      </c>
      <c r="AX109" s="1244"/>
      <c r="AY109" s="1292">
        <f>AY103+AY104+AY105</f>
        <v>0.61699999999999999</v>
      </c>
      <c r="AZ109" s="1285">
        <f t="shared" si="192"/>
        <v>1.9946812809668611E-2</v>
      </c>
      <c r="BA109" s="1287">
        <f t="shared" si="193"/>
        <v>-81.922062701435678</v>
      </c>
      <c r="BB109" s="1244"/>
      <c r="BC109" s="1292">
        <f>BC103+BC104+BC105</f>
        <v>73.983000000000004</v>
      </c>
      <c r="BD109" s="1285">
        <f t="shared" si="194"/>
        <v>2.2222843002791715</v>
      </c>
      <c r="BE109" s="1287">
        <f t="shared" si="195"/>
        <v>11890.761750405187</v>
      </c>
      <c r="BF109" s="1244"/>
      <c r="BG109" s="1292">
        <f>BG103+BG104+BG105</f>
        <v>0.64900000000000002</v>
      </c>
      <c r="BH109" s="1285">
        <f t="shared" si="196"/>
        <v>1.8239748994073629E-2</v>
      </c>
      <c r="BI109" s="1287">
        <f t="shared" si="197"/>
        <v>-99.122771447494699</v>
      </c>
      <c r="BK109" s="1292">
        <f>BK103+BK104+BK105</f>
        <v>3.8050000000000002</v>
      </c>
      <c r="BL109" s="1285">
        <f t="shared" si="198"/>
        <v>9.8058847162981022E-2</v>
      </c>
      <c r="BM109" s="1287">
        <f t="shared" si="199"/>
        <v>486.28659476117105</v>
      </c>
      <c r="BO109" s="1292">
        <f>BO103+BO104+BO105</f>
        <v>0</v>
      </c>
      <c r="BP109" s="1285">
        <f t="shared" si="200"/>
        <v>0</v>
      </c>
      <c r="BQ109" s="1287">
        <f t="shared" si="201"/>
        <v>-100</v>
      </c>
      <c r="BS109" s="1292">
        <f>BS103+BS104+BS105</f>
        <v>0</v>
      </c>
      <c r="BT109" s="1285">
        <f t="shared" si="204"/>
        <v>0</v>
      </c>
      <c r="BU109" s="1287" t="str">
        <f t="shared" si="203"/>
        <v>-</v>
      </c>
    </row>
    <row r="110" spans="1:76">
      <c r="AO110" s="1287"/>
    </row>
    <row r="111" spans="1:76">
      <c r="A111" s="1251" t="s">
        <v>901</v>
      </c>
      <c r="B111" s="1281"/>
      <c r="C111" s="1281"/>
      <c r="D111" s="1281"/>
      <c r="E111" s="1281"/>
      <c r="F111" s="1281"/>
      <c r="G111" s="1281"/>
      <c r="H111" s="1281"/>
      <c r="I111" s="1281"/>
      <c r="J111" s="1281"/>
      <c r="K111" s="1281"/>
      <c r="L111" s="1281"/>
      <c r="M111" s="1281"/>
      <c r="N111" s="1281"/>
      <c r="O111" s="1281"/>
      <c r="P111" s="1281"/>
      <c r="Q111" s="1281"/>
      <c r="R111" s="1281"/>
      <c r="S111" s="1281"/>
      <c r="T111" s="1281"/>
      <c r="U111" s="1281"/>
      <c r="V111" s="1281"/>
      <c r="W111" s="1281"/>
      <c r="X111" s="1281"/>
      <c r="Y111" s="1281"/>
      <c r="Z111" s="1281"/>
      <c r="AA111" s="1281"/>
      <c r="AB111" s="1281"/>
      <c r="AC111" s="1281"/>
      <c r="AD111" s="1281"/>
      <c r="AE111" s="1281"/>
      <c r="AF111" s="1281"/>
      <c r="AG111" s="1281"/>
      <c r="AH111" s="1281"/>
      <c r="AI111" s="1281"/>
      <c r="AJ111" s="1281"/>
      <c r="AK111" s="1281"/>
      <c r="AL111" s="1281"/>
      <c r="AM111" s="1281"/>
      <c r="AN111" s="1281"/>
      <c r="AO111" s="1281"/>
      <c r="AP111" s="1281"/>
      <c r="AQ111" s="1281"/>
      <c r="AR111" s="1281"/>
      <c r="AS111" s="1281"/>
      <c r="AT111" s="1281"/>
      <c r="AU111" s="1281"/>
      <c r="AV111" s="1281"/>
      <c r="AW111" s="1281"/>
      <c r="AX111" s="1281"/>
      <c r="AY111" s="1281"/>
      <c r="AZ111" s="1281"/>
      <c r="BA111" s="1281"/>
      <c r="BB111" s="1282"/>
      <c r="BC111" s="1318"/>
      <c r="BD111" s="1281"/>
      <c r="BE111" s="1319"/>
      <c r="BF111" s="1251"/>
      <c r="BG111" s="2264" t="str">
        <f>A111</f>
        <v>11.GAAP Operating Income (% Operating Margin)</v>
      </c>
      <c r="BH111" s="2264"/>
      <c r="BI111" s="2264"/>
      <c r="BJ111" s="2264"/>
      <c r="BK111" s="2264"/>
      <c r="BL111" s="2264"/>
      <c r="BM111" s="2264"/>
      <c r="BN111" s="1663"/>
      <c r="BO111" s="1663"/>
      <c r="BP111" s="2214"/>
      <c r="BQ111" s="2214"/>
      <c r="BR111" s="2214"/>
      <c r="BS111" s="2214"/>
      <c r="BT111" s="2214"/>
      <c r="BU111" s="2214"/>
    </row>
    <row r="112" spans="1:76" s="1282" customFormat="1">
      <c r="AM112" s="1325"/>
    </row>
    <row r="113" spans="1:74" s="1282" customFormat="1">
      <c r="A113" s="1254" t="s">
        <v>79</v>
      </c>
      <c r="C113" s="1330">
        <f>C11-C21-C31-C41-C51-C72-C83-C93-C103</f>
        <v>-32.663000000000011</v>
      </c>
      <c r="D113" s="1285">
        <f t="shared" ref="D113:D119" si="205">C113/C11*100</f>
        <v>-7.1586057561651302</v>
      </c>
      <c r="E113" s="1287" t="str">
        <f>IFERROR(((C113/#REF!-1)*100),"-")</f>
        <v>-</v>
      </c>
      <c r="G113" s="1330">
        <f>G11-G21-G31-G41-G51-G72-G83-G93-G103</f>
        <v>-25.378999999999927</v>
      </c>
      <c r="H113" s="1285">
        <f t="shared" ref="H113:H119" si="206">G113/G11*100</f>
        <v>-4.9537881967148971</v>
      </c>
      <c r="I113" s="1287" t="str">
        <f>IFERROR(((G113/#REF!-1)*100),"-")</f>
        <v>-</v>
      </c>
      <c r="K113" s="1330">
        <f>K11-K21-K31-K41-K51-K72-K83-K93-K103</f>
        <v>-24.955000000000048</v>
      </c>
      <c r="L113" s="1285">
        <f t="shared" ref="L113:L119" si="207">K113/K11*100</f>
        <v>-4.6950167538065388</v>
      </c>
      <c r="M113" s="1287" t="str">
        <f>IFERROR(((K113/#REF!-1)*100),"-")</f>
        <v>-</v>
      </c>
      <c r="O113" s="1330">
        <f>O11-O21-O31-O41-O51-O72-O83-O93-O103</f>
        <v>-27.513000000000016</v>
      </c>
      <c r="P113" s="1285">
        <f t="shared" ref="P113:P119" si="208">O113/O11*100</f>
        <v>-4.7390532228421263</v>
      </c>
      <c r="Q113" s="1287" t="str">
        <f>IFERROR(((O113/#REF!-1)*100),"-")</f>
        <v>-</v>
      </c>
      <c r="S113" s="1330">
        <f>S11-S21-S31-S41-S51-S72-S83-S93-S103</f>
        <v>-24.185999999999964</v>
      </c>
      <c r="T113" s="1285">
        <f t="shared" ref="T113:T119" si="209">S113/S11*100</f>
        <v>-3.6747233246020743</v>
      </c>
      <c r="U113" s="1287" t="str">
        <f>IFERROR(((S113/#REF!-1)*100),"-")</f>
        <v>-</v>
      </c>
      <c r="W113" s="1330">
        <f>W11-W21-W31-W41-W51-W72-W83-W93-W103</f>
        <v>-54.644000000000027</v>
      </c>
      <c r="X113" s="1285">
        <f t="shared" ref="X113:X119" si="210">W113/W11*100</f>
        <v>-8.2262226276822883</v>
      </c>
      <c r="Y113" s="1287" t="str">
        <f>IFERROR(((W113/#REF!-1)*100),"-")</f>
        <v>-</v>
      </c>
      <c r="AA113" s="1330">
        <f>AA11-AA21-AA31-AA41-AA51-AA72-AA83-AA93-AA103</f>
        <v>-49.970999999999954</v>
      </c>
      <c r="AB113" s="1285">
        <f t="shared" ref="AB113:AB119" si="211">AA113/AA11*100</f>
        <v>-7.2892157649293114</v>
      </c>
      <c r="AC113" s="1287" t="str">
        <f>IFERROR(((AA113/#REF!-1)*100),"-")</f>
        <v>-</v>
      </c>
      <c r="AE113" s="1330">
        <f>AE11-AE21-AE31-AE41-AE51-AE72-AE83-AE93-AE103</f>
        <v>-30.033000000000008</v>
      </c>
      <c r="AF113" s="1285">
        <f t="shared" ref="AF113:AF119" si="212">AE113/AE11*100</f>
        <v>-4.2096926796790148</v>
      </c>
      <c r="AG113" s="1287" t="str">
        <f>IFERROR(((AE113/#REF!-1)*100),"-")</f>
        <v>-</v>
      </c>
      <c r="AI113" s="1330">
        <f>AI11-AI21-AI31-AI41-AI51-AI61-AI72-AI83-AI93-AI103</f>
        <v>-36.247000000000007</v>
      </c>
      <c r="AJ113" s="1285">
        <f t="shared" ref="AJ113:AJ119" si="213">AI113/AI11*100</f>
        <v>-4.3668821976692778</v>
      </c>
      <c r="AK113" s="1287" t="str">
        <f>IFERROR(((AI113/#REF!-1)*100),"-")</f>
        <v>-</v>
      </c>
      <c r="AM113" s="1330">
        <f>AM11-AM21-AM31-AM41-AM51-AM61-AM72-AM83-AM93-AM103</f>
        <v>36.166000000000025</v>
      </c>
      <c r="AN113" s="1285">
        <f t="shared" ref="AN113:AN119" si="214">AM113/AM11*100</f>
        <v>4.0423481967814148</v>
      </c>
      <c r="AO113" s="1287" t="str">
        <f>IFERROR(((AM113/#REF!-1)*100),"-")</f>
        <v>-</v>
      </c>
      <c r="AQ113" s="1330">
        <f>AQ11-AQ21-AQ31-AQ41-AQ51-AQ61-AQ72-AQ83-AQ93-AQ103</f>
        <v>-1.3839999999999506</v>
      </c>
      <c r="AR113" s="1285">
        <f t="shared" ref="AR113:AR119" si="215">AQ113/AQ11*100</f>
        <v>-0.14896440676323708</v>
      </c>
      <c r="AS113" s="1287">
        <f>(AQ113/AM113-1)*100</f>
        <v>-103.82679865066623</v>
      </c>
      <c r="AU113" s="1330">
        <f>AU11-AU21-AU31-AU41-AU51-AU61-AU72-AU83-AU93-AU103</f>
        <v>23.335830730000051</v>
      </c>
      <c r="AV113" s="1285">
        <f t="shared" ref="AV113:AV119" si="216">AU113/AU11*100</f>
        <v>2.3753372483330404</v>
      </c>
      <c r="AW113" s="1287">
        <f>(AU113/AQ113-1)*100</f>
        <v>-1786.1149371387921</v>
      </c>
      <c r="AY113" s="1330">
        <f>AY11-AY21-AY31-AY41-AY51-AY61-AY72-AY83-AY93-AY103</f>
        <v>25.655999999999896</v>
      </c>
      <c r="AZ113" s="1285">
        <f t="shared" ref="AZ113:AZ119" si="217">AY113/AY11*100</f>
        <v>2.408984679060246</v>
      </c>
      <c r="BA113" s="1287">
        <f>(AY113/AU113-1)*100</f>
        <v>9.942518425183323</v>
      </c>
      <c r="BC113" s="1330">
        <f>BC11-BC21-BC31-BC41-BC51-BC61-BC72-BC83-BC93-BC103</f>
        <v>46.111999999999973</v>
      </c>
      <c r="BD113" s="1285">
        <f t="shared" ref="BD113:BD119" si="218">BC113/BC11*100</f>
        <v>4.0869686218446111</v>
      </c>
      <c r="BE113" s="1287">
        <f>(BC113/AY113-1)*100</f>
        <v>79.731836607421897</v>
      </c>
      <c r="BG113" s="1291">
        <f>BG11-BG21-BG31-BG41-BG51-BG61-BG72-BG83-BG93-BG103</f>
        <v>56.144000000000048</v>
      </c>
      <c r="BH113" s="1285">
        <f t="shared" ref="BH113:BH119" si="219">BG113/BG11*100</f>
        <v>4.745663572146448</v>
      </c>
      <c r="BI113" s="1287">
        <f t="shared" ref="BI113:BI119" si="220">(BG113/BC113-1)*100</f>
        <v>21.755725190839858</v>
      </c>
      <c r="BK113" s="1291">
        <f>BK11-BK21-BK31-BK41-BK51-BK61-BK72-BK83-BK93-BK103</f>
        <v>75.097000000000037</v>
      </c>
      <c r="BL113" s="1285">
        <f t="shared" ref="BL113:BL119" si="221">BK113/BK11*100</f>
        <v>5.854740502233625</v>
      </c>
      <c r="BM113" s="1287">
        <f t="shared" ref="BM113:BM119" si="222">(BK113/BG113-1)*100</f>
        <v>33.757836990595557</v>
      </c>
      <c r="BO113" s="1291">
        <f>BO11-BO21-BO31-BO41-BO51-BO61-BO72-BO83-BO93-BO103</f>
        <v>88.798000000000101</v>
      </c>
      <c r="BP113" s="1285">
        <f t="shared" ref="BP113:BP119" si="223">BO113/BO11*100</f>
        <v>6.5945017845658525</v>
      </c>
      <c r="BQ113" s="1287">
        <f t="shared" ref="BQ113:BQ119" si="224">(BO113/BK113-1)*100</f>
        <v>18.244403904283878</v>
      </c>
      <c r="BS113" s="1291">
        <f>BS11-BS21-BS31-BS41-BS51-BS61-BS72-BS83-BS93-BS103</f>
        <v>104.00612739474754</v>
      </c>
      <c r="BT113" s="1285">
        <f t="shared" ref="BT113:BT116" si="225">BS113/BS11*100</f>
        <v>6.9990360463129786</v>
      </c>
      <c r="BU113" s="1287">
        <f t="shared" ref="BU113:BU119" si="226">(BS113/BO113-1)*100</f>
        <v>17.126655324159799</v>
      </c>
    </row>
    <row r="114" spans="1:74" s="1282" customFormat="1">
      <c r="A114" s="1254" t="s">
        <v>80</v>
      </c>
      <c r="C114" s="1330">
        <f>C12-C22-C32-C42-C52-C73-C84-C94-C104</f>
        <v>66.491000000000071</v>
      </c>
      <c r="D114" s="1285">
        <f t="shared" si="205"/>
        <v>8.8593005934536304</v>
      </c>
      <c r="E114" s="1287" t="str">
        <f>IFERROR(((C114/#REF!-1)*100),"-")</f>
        <v>-</v>
      </c>
      <c r="G114" s="1330">
        <f>G12-G22-G32-G42-G52-G73-G84-G94-G104</f>
        <v>67.476000000000084</v>
      </c>
      <c r="H114" s="1285">
        <f t="shared" si="206"/>
        <v>8.5327222995709455</v>
      </c>
      <c r="I114" s="1287" t="str">
        <f>IFERROR(((G114/#REF!-1)*100),"-")</f>
        <v>-</v>
      </c>
      <c r="K114" s="1330">
        <f>K12-K22-K32-K42-K52-K73-K84-K94-K104</f>
        <v>47.110000000000014</v>
      </c>
      <c r="L114" s="1285">
        <f t="shared" si="207"/>
        <v>5.9327636906298613</v>
      </c>
      <c r="M114" s="1287" t="str">
        <f>IFERROR(((K114/#REF!-1)*100),"-")</f>
        <v>-</v>
      </c>
      <c r="O114" s="1330">
        <f>O12-O22-O32-O42-O52-O73-O84-O94-O104</f>
        <v>69.835999999999999</v>
      </c>
      <c r="P114" s="1285">
        <f t="shared" si="208"/>
        <v>7.936215717425446</v>
      </c>
      <c r="Q114" s="1287" t="str">
        <f>IFERROR(((O114/#REF!-1)*100),"-")</f>
        <v>-</v>
      </c>
      <c r="S114" s="1330">
        <f>S12-S22-S32-S42-S52-S73-S84-S94-S104</f>
        <v>75.548000000000016</v>
      </c>
      <c r="T114" s="1285">
        <f t="shared" si="209"/>
        <v>7.9196918838568209</v>
      </c>
      <c r="U114" s="1287" t="str">
        <f>IFERROR(((S114/#REF!-1)*100),"-")</f>
        <v>-</v>
      </c>
      <c r="W114" s="1330">
        <f>W12-W22-W32-W42-W52-W73-W84-W94-W104</f>
        <v>64.053999999999888</v>
      </c>
      <c r="X114" s="1285">
        <f t="shared" si="210"/>
        <v>6.4253120420182039</v>
      </c>
      <c r="Y114" s="1287" t="str">
        <f>IFERROR(((W114/#REF!-1)*100),"-")</f>
        <v>-</v>
      </c>
      <c r="AA114" s="1330">
        <f>AA12-AA22-AA32-AA42-AA52-AA73-AA84-AA94-AA104</f>
        <v>80.461999999999946</v>
      </c>
      <c r="AB114" s="1285">
        <f t="shared" si="211"/>
        <v>8.4196008794005301</v>
      </c>
      <c r="AC114" s="1287" t="str">
        <f>IFERROR(((AA114/#REF!-1)*100),"-")</f>
        <v>-</v>
      </c>
      <c r="AE114" s="1330">
        <f>AE12-AE22-AE32-AE42-AE52-AE73-AE84-AE94-AE104</f>
        <v>59.030000000000008</v>
      </c>
      <c r="AF114" s="1285">
        <f t="shared" si="212"/>
        <v>5.842865231042115</v>
      </c>
      <c r="AG114" s="1287" t="str">
        <f>IFERROR(((AE114/#REF!-1)*100),"-")</f>
        <v>-</v>
      </c>
      <c r="AI114" s="1376">
        <f>AI12-AI22-AI32-AI42-AI52-AI62-AI73-AI84-AI94-AI104</f>
        <v>-11.610000000000067</v>
      </c>
      <c r="AJ114" s="1285">
        <f t="shared" si="213"/>
        <v>-1.6562574003749144</v>
      </c>
      <c r="AK114" s="1287" t="str">
        <f>IFERROR(((AI114/#REF!-1)*100),"-")</f>
        <v>-</v>
      </c>
      <c r="AM114" s="1376">
        <f>AM12-AM22-AM32-AM42-AM52-AM62-AM73-AM84-AM94-AM104</f>
        <v>-38.912999999999968</v>
      </c>
      <c r="AN114" s="1285">
        <f t="shared" si="214"/>
        <v>-5.3396912521440774</v>
      </c>
      <c r="AO114" s="1287" t="str">
        <f>IFERROR(((AM114/#REF!-1)*100),"-")</f>
        <v>-</v>
      </c>
      <c r="AQ114" s="1376">
        <f>AQ12-AQ22-AQ32-AQ42-AQ52-AQ62-AQ73-AQ84-AQ94-AQ104</f>
        <v>-23.585000000000043</v>
      </c>
      <c r="AR114" s="1285">
        <f t="shared" si="215"/>
        <v>-2.9728404523104013</v>
      </c>
      <c r="AS114" s="1287">
        <f t="shared" ref="AS114:AS119" si="227">(AQ114/AM114-1)*100</f>
        <v>-39.390435073111654</v>
      </c>
      <c r="AU114" s="1376">
        <f>AU12-AU22-AU32-AU42-AU52-AU62-AU73-AU84-AU94-AU104</f>
        <v>-19.759250599999998</v>
      </c>
      <c r="AV114" s="1285">
        <f t="shared" si="216"/>
        <v>-2.2864707190647469</v>
      </c>
      <c r="AW114" s="1287">
        <f t="shared" ref="AW114:AW119" si="228">(AU114/AQ114-1)*100</f>
        <v>-16.221112571549877</v>
      </c>
      <c r="AY114" s="1376">
        <f>AY12-AY22-AY32-AY42-AY52-AY62-AY73-AY84-AY94-AY104</f>
        <v>-5.9100000000000401</v>
      </c>
      <c r="AZ114" s="1285">
        <f t="shared" si="217"/>
        <v>-0.61325438850444169</v>
      </c>
      <c r="BA114" s="1287">
        <f t="shared" ref="BA114:BA119" si="229">(AY114/AU114-1)*100</f>
        <v>-70.089958776067945</v>
      </c>
      <c r="BC114" s="1376">
        <f>BC12-BC22-BC32-BC42-BC52-BC62-BC73-BC84-BC94-BC104</f>
        <v>14.782999999999848</v>
      </c>
      <c r="BD114" s="1285">
        <f t="shared" si="218"/>
        <v>1.4165646940678156</v>
      </c>
      <c r="BE114" s="1287">
        <f t="shared" ref="BE114:BE119" si="230">(BC114/AY114-1)*100</f>
        <v>-350.13536379018188</v>
      </c>
      <c r="BG114" s="1376">
        <f>BG12-BG22-BG32-BG42-BG52-BG62-BG73-BG84-BG94-BG104</f>
        <v>33.184000000000125</v>
      </c>
      <c r="BH114" s="1285">
        <f t="shared" si="219"/>
        <v>2.9001466503760756</v>
      </c>
      <c r="BI114" s="1287">
        <f t="shared" si="220"/>
        <v>124.47405803964328</v>
      </c>
      <c r="BK114" s="1376">
        <f>BK12-BK22-BK32-BK42-BK52-BK62-BK73-BK84-BK94-BK104</f>
        <v>47.767000000000181</v>
      </c>
      <c r="BL114" s="1285">
        <f t="shared" si="221"/>
        <v>3.8059747277605154</v>
      </c>
      <c r="BM114" s="1287">
        <f t="shared" si="222"/>
        <v>43.945877531340408</v>
      </c>
      <c r="BO114" s="1376">
        <f>BO12-BO22-BO32-BO42-BO52-BO62-BO73-BO84-BO94-BO104</f>
        <v>77.607999999999919</v>
      </c>
      <c r="BP114" s="1285">
        <f t="shared" si="223"/>
        <v>5.6929748889397436</v>
      </c>
      <c r="BQ114" s="1287">
        <f t="shared" si="224"/>
        <v>62.471999497560304</v>
      </c>
      <c r="BS114" s="1376">
        <f>BS12-BS22-BS32-BS42-BS52-BS62-BS73-BS84-BS94-BS104</f>
        <v>91.609541776086957</v>
      </c>
      <c r="BT114" s="1285">
        <f t="shared" si="225"/>
        <v>6.1113334748004604</v>
      </c>
      <c r="BU114" s="1287">
        <f t="shared" si="226"/>
        <v>18.041364003823123</v>
      </c>
      <c r="BV114" s="1376"/>
    </row>
    <row r="115" spans="1:74" s="1282" customFormat="1">
      <c r="A115" s="1254" t="s">
        <v>81</v>
      </c>
      <c r="C115" s="1330">
        <f>C13-C23-C33-C43-C53-C74-C85-C95-C105</f>
        <v>59.84099999999998</v>
      </c>
      <c r="D115" s="1285">
        <f t="shared" si="205"/>
        <v>7.5983843544973046</v>
      </c>
      <c r="E115" s="1287" t="str">
        <f>IFERROR(((C115/#REF!-1)*100),"-")</f>
        <v>-</v>
      </c>
      <c r="G115" s="1330">
        <f>G13-G23-G33-G43-G53-G74-G85-G95-G105</f>
        <v>60.094000000000023</v>
      </c>
      <c r="H115" s="1285">
        <f t="shared" si="206"/>
        <v>7.4405992694855465</v>
      </c>
      <c r="I115" s="1287" t="str">
        <f>IFERROR(((G115/#REF!-1)*100),"-")</f>
        <v>-</v>
      </c>
      <c r="K115" s="1330">
        <f>K13-K23-K33-K43-K53-K74-K85-K95-K105</f>
        <v>62.876999999999974</v>
      </c>
      <c r="L115" s="1285">
        <f t="shared" si="207"/>
        <v>7.3302353994516025</v>
      </c>
      <c r="M115" s="1287" t="str">
        <f>IFERROR(((K115/#REF!-1)*100),"-")</f>
        <v>-</v>
      </c>
      <c r="O115" s="1330">
        <f>O13-O23-O33-O43-O53-O74-O85-O95-O105</f>
        <v>110.56899999999999</v>
      </c>
      <c r="P115" s="1285">
        <f t="shared" si="208"/>
        <v>11.333191884963526</v>
      </c>
      <c r="Q115" s="1287" t="str">
        <f>IFERROR(((O115/#REF!-1)*100),"-")</f>
        <v>-</v>
      </c>
      <c r="S115" s="1330">
        <f>S13-S23-S33-S43-S53-S74-S85-S95-S105</f>
        <v>96.014999999999958</v>
      </c>
      <c r="T115" s="1285">
        <f t="shared" si="209"/>
        <v>9.3035086189354921</v>
      </c>
      <c r="U115" s="1287" t="str">
        <f>IFERROR(((S115/#REF!-1)*100),"-")</f>
        <v>-</v>
      </c>
      <c r="W115" s="1330">
        <f>W13-W23-W33-W43-W53-W74-W85-W95-W105</f>
        <v>77.807999999999979</v>
      </c>
      <c r="X115" s="1285">
        <f t="shared" si="210"/>
        <v>7.7954710765660948</v>
      </c>
      <c r="Y115" s="1287" t="str">
        <f>IFERROR(((W115/#REF!-1)*100),"-")</f>
        <v>-</v>
      </c>
      <c r="AA115" s="1330">
        <f>AA13-AA23-AA33-AA43-AA53-AA74-AA85-AA95-AA105</f>
        <v>74.286000000000016</v>
      </c>
      <c r="AB115" s="1285">
        <f t="shared" si="211"/>
        <v>7.4643092554782093</v>
      </c>
      <c r="AC115" s="1287" t="str">
        <f>IFERROR(((AA115/#REF!-1)*100),"-")</f>
        <v>-</v>
      </c>
      <c r="AE115" s="1330">
        <f>AE13-AE23-AE33-AE43-AE53-AE74-AE85-AE95-AE105</f>
        <v>83.976000000000028</v>
      </c>
      <c r="AF115" s="1285">
        <f t="shared" si="212"/>
        <v>8.1579599271402579</v>
      </c>
      <c r="AG115" s="1287" t="str">
        <f>IFERROR(((AE115/#REF!-1)*100),"-")</f>
        <v>-</v>
      </c>
      <c r="AI115" s="1376">
        <f>AI13-AI23-AI33-AI43-AI53-AI63-AI74-AI85-AI95-AI105</f>
        <v>34.048999999999864</v>
      </c>
      <c r="AJ115" s="1285">
        <f t="shared" si="213"/>
        <v>3.9030278298069252</v>
      </c>
      <c r="AK115" s="1287" t="str">
        <f>IFERROR(((AI115/#REF!-1)*100),"-")</f>
        <v>-</v>
      </c>
      <c r="AM115" s="1376">
        <f>AM13-AM23-AM33-AM43-AM53-AM63-AM74-AM85-AM95-AM105</f>
        <v>19.49499999999988</v>
      </c>
      <c r="AN115" s="1285">
        <f t="shared" si="214"/>
        <v>2.2716520661022064</v>
      </c>
      <c r="AO115" s="1287" t="str">
        <f>IFERROR(((AM115/#REF!-1)*100),"-")</f>
        <v>-</v>
      </c>
      <c r="AQ115" s="1376">
        <f>AQ13-AQ23-AQ33-AQ43-AQ53-AQ63-AQ74-AQ85-AQ95-AQ105</f>
        <v>11.139999999999981</v>
      </c>
      <c r="AR115" s="1285">
        <f t="shared" si="215"/>
        <v>1.2396193011173244</v>
      </c>
      <c r="AS115" s="1287">
        <f t="shared" si="227"/>
        <v>-42.857142857142605</v>
      </c>
      <c r="AU115" s="1376">
        <f>AU13-AU23-AU33-AU43-AU53-AU63-AU74-AU85-AU95-AU105</f>
        <v>5.7699999999999738</v>
      </c>
      <c r="AV115" s="1285">
        <f t="shared" si="216"/>
        <v>0.59613965992143503</v>
      </c>
      <c r="AW115" s="1287">
        <f t="shared" si="228"/>
        <v>-48.204667863554903</v>
      </c>
      <c r="AY115" s="1376">
        <f>AY13-AY23-AY33-AY43-AY53-AY63-AY74-AY85-AY95-AY105</f>
        <v>8.1840000000000082</v>
      </c>
      <c r="AZ115" s="1285">
        <f t="shared" si="217"/>
        <v>0.7688102042081657</v>
      </c>
      <c r="BA115" s="1287">
        <f t="shared" si="229"/>
        <v>41.83708838821569</v>
      </c>
      <c r="BC115" s="1379">
        <f>BC13-BC23-BC33-BC43-BC53-BC63-BC74-BC85-BC95-BC105</f>
        <v>-41.599000000000146</v>
      </c>
      <c r="BD115" s="1285">
        <f t="shared" si="218"/>
        <v>-3.5945120159821506</v>
      </c>
      <c r="BE115" s="1287">
        <f t="shared" si="230"/>
        <v>-608.29667644183894</v>
      </c>
      <c r="BG115" s="1376">
        <f>BG13-BG23-BG33-BG43-BG53-BG63-BG74-BG85-BG95-BG105</f>
        <v>39.05000000000004</v>
      </c>
      <c r="BH115" s="1285">
        <f t="shared" si="219"/>
        <v>3.1725115079706843</v>
      </c>
      <c r="BI115" s="1287">
        <f t="shared" si="220"/>
        <v>-193.87244885694344</v>
      </c>
      <c r="BK115" s="1376">
        <f>BK13-BK23-BK33-BK43-BK53-BK63-BK74-BK85-BK95-BK105</f>
        <v>63.011999999999965</v>
      </c>
      <c r="BL115" s="1285">
        <f t="shared" si="221"/>
        <v>4.6932816922389371</v>
      </c>
      <c r="BM115" s="1287">
        <f t="shared" si="222"/>
        <v>61.362355953905002</v>
      </c>
      <c r="BO115" s="1376">
        <f>BO13-BO23-BO33-BO43-BO53-BO63-BO74-BO85-BO95-BO105</f>
        <v>83.149999999999949</v>
      </c>
      <c r="BP115" s="1285">
        <f t="shared" si="223"/>
        <v>5.781665133465026</v>
      </c>
      <c r="BQ115" s="1287">
        <f t="shared" si="224"/>
        <v>31.958991938043546</v>
      </c>
      <c r="BS115" s="1376">
        <f>BS13-BS23-BS33-BS43-BS53-BS63-BS74-BS85-BS95-BS105</f>
        <v>100.02311878189448</v>
      </c>
      <c r="BT115" s="1285">
        <f t="shared" si="225"/>
        <v>6.3215652783720904</v>
      </c>
      <c r="BU115" s="1287">
        <f t="shared" si="226"/>
        <v>20.292385787004854</v>
      </c>
    </row>
    <row r="116" spans="1:74" s="1282" customFormat="1">
      <c r="A116" s="1254" t="s">
        <v>82</v>
      </c>
      <c r="C116" s="1332">
        <f>C14-C24-C34-C44-C54-C75-C86-C96-C106</f>
        <v>14.813000000000038</v>
      </c>
      <c r="D116" s="1285">
        <f t="shared" si="205"/>
        <v>2.4331831449545143</v>
      </c>
      <c r="E116" s="1287" t="str">
        <f>IFERROR(((C116/#REF!-1)*100),"-")</f>
        <v>-</v>
      </c>
      <c r="G116" s="1332">
        <f>G14-G24-G34-G44-G54-G75-G86-G96-G106</f>
        <v>7.9870000000000054</v>
      </c>
      <c r="H116" s="1285">
        <f t="shared" si="206"/>
        <v>1.310637711315102</v>
      </c>
      <c r="I116" s="1287" t="str">
        <f>IFERROR(((G116/#REF!-1)*100),"-")</f>
        <v>-</v>
      </c>
      <c r="K116" s="1332">
        <f>K14-K24-K34-K44-K54-K75-K86-K96-K106</f>
        <v>35.454000000000065</v>
      </c>
      <c r="L116" s="1285">
        <f t="shared" si="207"/>
        <v>5.1771268362489504</v>
      </c>
      <c r="M116" s="1287" t="str">
        <f>IFERROR(((K116/#REF!-1)*100),"-")</f>
        <v>-</v>
      </c>
      <c r="O116" s="1332">
        <f>O14-O24-O34-O44-O54-O75-O86-O96-O106</f>
        <v>26.490999999999943</v>
      </c>
      <c r="P116" s="1285">
        <f t="shared" si="208"/>
        <v>3.4687977121726692</v>
      </c>
      <c r="Q116" s="1287" t="str">
        <f>IFERROR(((O116/#REF!-1)*100),"-")</f>
        <v>-</v>
      </c>
      <c r="S116" s="1332">
        <f>S14-S24-S34-S44-S54-S75-S86-S96-S106</f>
        <v>87.992000000000644</v>
      </c>
      <c r="T116" s="1285">
        <f t="shared" si="209"/>
        <v>10.647293284577277</v>
      </c>
      <c r="U116" s="1287" t="str">
        <f>IFERROR(((S116/#REF!-1)*100),"-")</f>
        <v>-</v>
      </c>
      <c r="W116" s="1332">
        <f>W14-W24-W34-W44-W54-W75-W86-W96-W106</f>
        <v>166.79900000000021</v>
      </c>
      <c r="X116" s="1285">
        <f t="shared" si="210"/>
        <v>21.319980571603889</v>
      </c>
      <c r="Y116" s="1287" t="str">
        <f>IFERROR(((W116/#REF!-1)*100),"-")</f>
        <v>-</v>
      </c>
      <c r="AA116" s="1332">
        <f>AA14-AA24-AA34-AA44-AA54-AA75-AA86-AA96-AA106</f>
        <v>133.00300000000021</v>
      </c>
      <c r="AB116" s="1285">
        <f t="shared" si="211"/>
        <v>16.888004581244097</v>
      </c>
      <c r="AC116" s="1287" t="str">
        <f>IFERROR(((AA116/#REF!-1)*100),"-")</f>
        <v>-</v>
      </c>
      <c r="AE116" s="1332">
        <f>AE14-AE24-AE34-AE44-AE54-AE75-AE86-AE96-AE106</f>
        <v>143.37999999999988</v>
      </c>
      <c r="AF116" s="1285">
        <f t="shared" si="212"/>
        <v>17.522226635299852</v>
      </c>
      <c r="AG116" s="1287" t="str">
        <f>IFERROR(((AE116/#REF!-1)*100),"-")</f>
        <v>-</v>
      </c>
      <c r="AI116" s="1375">
        <f>AI14-AI24-AI34-AI44-AI54-AI64-AI75-AI86-AI96-AI106</f>
        <v>53.299000000000142</v>
      </c>
      <c r="AJ116" s="1285">
        <f t="shared" si="213"/>
        <v>4.7608839153243627</v>
      </c>
      <c r="AK116" s="1287" t="str">
        <f>IFERROR(((AI116/#REF!-1)*100),"-")</f>
        <v>-</v>
      </c>
      <c r="AM116" s="1375">
        <f>AM14-AM24-AM34-AM44-AM54-AM64-AM75-AM86-AM96-AM106</f>
        <v>135.68900000000011</v>
      </c>
      <c r="AN116" s="1285">
        <f t="shared" si="214"/>
        <v>11.421748367828638</v>
      </c>
      <c r="AO116" s="1287" t="str">
        <f>IFERROR(((AM116/#REF!-1)*100),"-")</f>
        <v>-</v>
      </c>
      <c r="AQ116" s="1375">
        <f>AQ14-AQ24-AQ34-AQ44-AQ54-AQ64-AQ75-AQ86-AQ96-AQ106</f>
        <v>132.05700000000027</v>
      </c>
      <c r="AR116" s="1285">
        <f t="shared" si="215"/>
        <v>10.709862851275851</v>
      </c>
      <c r="AS116" s="1287">
        <f t="shared" si="227"/>
        <v>-2.6767092395108216</v>
      </c>
      <c r="AU116" s="1375">
        <f>AU14-AU24-AU34-AU44-AU54-AU64-AU75-AU86-AU96-AU106</f>
        <v>134.23691639699481</v>
      </c>
      <c r="AV116" s="1285">
        <f t="shared" si="216"/>
        <v>10.632314106782275</v>
      </c>
      <c r="AW116" s="1287">
        <f t="shared" si="228"/>
        <v>1.6507389967927111</v>
      </c>
      <c r="AY116" s="1375">
        <f>AY14-AY24-AY34-AY44-AY54-AY64-AY75-AY86-AY96-AY106</f>
        <v>132.16700000000012</v>
      </c>
      <c r="AZ116" s="1285">
        <f t="shared" si="217"/>
        <v>9.9055143722030827</v>
      </c>
      <c r="BA116" s="1287">
        <f t="shared" si="229"/>
        <v>-1.5419874447004545</v>
      </c>
      <c r="BC116" s="1375">
        <f>BC14-BC24-BC34-BC44-BC54-BC64-BC75-BC86-BC96-BC106</f>
        <v>178.76500000000007</v>
      </c>
      <c r="BD116" s="1285">
        <f t="shared" si="218"/>
        <v>12.035113325909782</v>
      </c>
      <c r="BE116" s="1287">
        <f t="shared" si="230"/>
        <v>35.256909818638469</v>
      </c>
      <c r="BG116" s="1375">
        <f>BG14-BG24-BG34-BG44-BG54-BG64-BG75-BG86-BG96-BG106</f>
        <v>169.49600000000004</v>
      </c>
      <c r="BH116" s="1285">
        <f t="shared" si="219"/>
        <v>11.00074053930213</v>
      </c>
      <c r="BI116" s="1287">
        <f t="shared" si="220"/>
        <v>-5.1850194389282178</v>
      </c>
      <c r="BK116" s="1375">
        <f>BK14-BK24-BK34-BK44-BK54-BK64-BK75-BK86-BK96-BK106</f>
        <v>203.49699999999993</v>
      </c>
      <c r="BL116" s="1285">
        <f t="shared" si="221"/>
        <v>12.071850817012363</v>
      </c>
      <c r="BM116" s="1287">
        <f t="shared" si="222"/>
        <v>20.060060414405001</v>
      </c>
      <c r="BO116" s="1375">
        <f>BO14-BO24-BO34-BO44-BO54-BO64-BO75-BO86-BO96-BO106</f>
        <v>238.20100000000005</v>
      </c>
      <c r="BP116" s="1285">
        <f t="shared" si="223"/>
        <v>12.298504411076046</v>
      </c>
      <c r="BQ116" s="1287">
        <f t="shared" si="224"/>
        <v>17.053814061141015</v>
      </c>
      <c r="BS116" s="1375">
        <f>BS14-BS24-BS34-BS44-BS54-BS64-BS75-BS86-BS96-BS106</f>
        <v>261.01429960829989</v>
      </c>
      <c r="BT116" s="1285">
        <f t="shared" si="225"/>
        <v>12.920779442469374</v>
      </c>
      <c r="BU116" s="1287">
        <f t="shared" si="226"/>
        <v>9.5773315847959672</v>
      </c>
    </row>
    <row r="117" spans="1:74" s="1282" customFormat="1">
      <c r="A117" s="1254" t="s">
        <v>85</v>
      </c>
      <c r="C117" s="1291">
        <f>C15-C25-C35-C45-C55-C76-C87-C97-C107</f>
        <v>169.03300000000002</v>
      </c>
      <c r="D117" s="1285">
        <f t="shared" si="205"/>
        <v>6.6189931148500039</v>
      </c>
      <c r="E117" s="1287" t="str">
        <f>IFERROR(((C117/#REF!-1)*100),"-")</f>
        <v>-</v>
      </c>
      <c r="G117" s="1291">
        <f>G15-G25-G35-G45-G55-G76-G87-G97-G107</f>
        <v>179.21800000000007</v>
      </c>
      <c r="H117" s="1285">
        <f t="shared" si="206"/>
        <v>6.6919131572501414</v>
      </c>
      <c r="I117" s="1287">
        <f>IFERROR(((G117/C117-1)*100),"-")</f>
        <v>6.0254506516479456</v>
      </c>
      <c r="K117" s="1291">
        <f>K15-K25-K35-K45-K55-K76-K87-K97-K107</f>
        <v>194.423</v>
      </c>
      <c r="L117" s="1285">
        <f t="shared" si="207"/>
        <v>6.7981020713576408</v>
      </c>
      <c r="M117" s="1287">
        <f>IFERROR(((K117/G117-1)*100),"-")</f>
        <v>8.4840808400941334</v>
      </c>
      <c r="O117" s="1291">
        <f>O15-O25-O35-O45-O55-O76-O87-O97-O107</f>
        <v>254.92200000000003</v>
      </c>
      <c r="P117" s="1285">
        <f t="shared" si="208"/>
        <v>7.9667108355417779</v>
      </c>
      <c r="Q117" s="1287">
        <f>IFERROR(((O117/K117-1)*100),"-")</f>
        <v>31.117203211554202</v>
      </c>
      <c r="S117" s="1291">
        <f>S15-S25-S35-S45-S55-S76-S87-S97-S107</f>
        <v>235.36900000000014</v>
      </c>
      <c r="T117" s="1285">
        <f t="shared" si="209"/>
        <v>6.7818855433455338</v>
      </c>
      <c r="U117" s="1287">
        <f>IFERROR(((S117/O117-1)*100),"-")</f>
        <v>-7.6701893128093612</v>
      </c>
      <c r="W117" s="1291">
        <f>W15-W25-W35-W45-W55-W76-W87-W97-W107</f>
        <v>254.01700000000005</v>
      </c>
      <c r="X117" s="1285">
        <f t="shared" si="210"/>
        <v>7.3806856895467146</v>
      </c>
      <c r="Y117" s="1287">
        <f>IFERROR(((W117/S117-1)*100),"-")</f>
        <v>7.9228785439033667</v>
      </c>
      <c r="AA117" s="1291">
        <f>AA15-AA25-AA35-AA45-AA55-AA76-AA87-AA97-AA107</f>
        <v>237.77999999999997</v>
      </c>
      <c r="AB117" s="1285">
        <f t="shared" si="211"/>
        <v>6.9445641072520132</v>
      </c>
      <c r="AC117" s="1287">
        <f>IFERROR(((AA117/W117-1)*100),"-")</f>
        <v>-6.3920918678671441</v>
      </c>
      <c r="AE117" s="1291">
        <f>AE15-AE25-AE35-AE45-AE55-AE76-AE87-AE97-AE107</f>
        <v>256.35300000000007</v>
      </c>
      <c r="AF117" s="1285">
        <f t="shared" si="212"/>
        <v>7.1780077488535916</v>
      </c>
      <c r="AG117" s="1287">
        <f>IFERROR(((AE117/AA117-1)*100),"-")</f>
        <v>7.8110017663386655</v>
      </c>
      <c r="AI117" s="1330">
        <f>AI15-AI25-AI35-AI45-AI55-AI65-AI76-AI87-AI97-AI107</f>
        <v>39.49099999999985</v>
      </c>
      <c r="AJ117" s="1285">
        <f t="shared" si="213"/>
        <v>1.1209754197803254</v>
      </c>
      <c r="AK117" s="1287">
        <f>IFERROR(((AI117/AE117-1)*100),"-")</f>
        <v>-84.595070079148741</v>
      </c>
      <c r="AM117" s="1330">
        <f>AM15-AM25-AM35-AM45-AM55-AM65-AM76-AM87-AM97-AM107</f>
        <v>152.43699999999984</v>
      </c>
      <c r="AN117" s="1285">
        <f t="shared" si="214"/>
        <v>4.1540472236498625</v>
      </c>
      <c r="AO117" s="1287">
        <f>IFERROR(((AM117/AI117-1)*100),"-")</f>
        <v>286.00440606720622</v>
      </c>
      <c r="AQ117" s="1330">
        <f>AQ15-AQ25-AQ35-AQ45-AQ55-AQ65-AQ76-AQ87-AQ97-AQ107</f>
        <v>118.22800000000018</v>
      </c>
      <c r="AR117" s="1285">
        <f t="shared" si="215"/>
        <v>3.0675632969689217</v>
      </c>
      <c r="AS117" s="1287">
        <f t="shared" si="227"/>
        <v>-22.441402021818647</v>
      </c>
      <c r="AU117" s="1330">
        <f>AU15-AU25-AU35-AU45-AU55-AU65-AU76-AU87-AU97-AU107</f>
        <v>143.58349652699474</v>
      </c>
      <c r="AV117" s="1285">
        <f t="shared" si="216"/>
        <v>3.5217633824568044</v>
      </c>
      <c r="AW117" s="1287">
        <f t="shared" si="228"/>
        <v>21.446270364883535</v>
      </c>
      <c r="AY117" s="1330">
        <f>AY15-AY25-AY35-AY45-AY55-AY65-AY76-AY87-AY97-AY107</f>
        <v>160.09799999999979</v>
      </c>
      <c r="AZ117" s="1285">
        <f t="shared" si="217"/>
        <v>3.6159885154227966</v>
      </c>
      <c r="BA117" s="1287">
        <f t="shared" si="229"/>
        <v>11.501672457112932</v>
      </c>
      <c r="BC117" s="1330">
        <f>BC15-BC25-BC35-BC45-BC55-BC65-BC76-BC87-BC97-BC107</f>
        <v>198.06099999999978</v>
      </c>
      <c r="BD117" s="1285">
        <f t="shared" si="218"/>
        <v>4.1138401795906656</v>
      </c>
      <c r="BE117" s="1287">
        <f t="shared" si="230"/>
        <v>23.712351184899273</v>
      </c>
      <c r="BG117" s="1291">
        <f>BG15-BG25-BG35-BG45-BG55-BG65-BG76-BG87-BG97-BG107</f>
        <v>297.87400000000002</v>
      </c>
      <c r="BH117" s="1285">
        <f t="shared" si="219"/>
        <v>5.8418900271664747</v>
      </c>
      <c r="BI117" s="1287">
        <f t="shared" si="220"/>
        <v>50.395080303543025</v>
      </c>
      <c r="BK117" s="1330">
        <f>BK15-BK25-BK35-BK45-BK55-BK65-BK76-BK87-BK97-BK107</f>
        <v>389.37299999999954</v>
      </c>
      <c r="BL117" s="1285">
        <f t="shared" si="221"/>
        <v>6.9955145832637067</v>
      </c>
      <c r="BM117" s="1287">
        <f t="shared" si="222"/>
        <v>30.717350289048227</v>
      </c>
      <c r="BO117" s="1291">
        <f>BO15-BO25-BO35-BO45-BO55-BO65-BO76-BO87-BO97-BO107</f>
        <v>487.75699999999983</v>
      </c>
      <c r="BP117" s="1285">
        <f>BO117/BO15*100</f>
        <v>8.0160354564168923</v>
      </c>
      <c r="BQ117" s="1287">
        <f t="shared" si="224"/>
        <v>25.267288692333679</v>
      </c>
      <c r="BS117" s="1291">
        <f>BS15-BS25-BS35-BS45-BS55-BS65-BS76-BS87-BS97-BS107</f>
        <v>556.653087561029</v>
      </c>
      <c r="BT117" s="1285">
        <f>BS117/BS15*100</f>
        <v>8.450292866282231</v>
      </c>
      <c r="BU117" s="1287">
        <f t="shared" si="226"/>
        <v>14.125084327037673</v>
      </c>
    </row>
    <row r="118" spans="1:74" s="1282" customFormat="1">
      <c r="A118" s="1254" t="s">
        <v>87</v>
      </c>
      <c r="C118" s="1292">
        <f>SUM(C113:C114)</f>
        <v>33.82800000000006</v>
      </c>
      <c r="D118" s="1285">
        <f t="shared" si="205"/>
        <v>2.8031203233681246</v>
      </c>
      <c r="E118" s="1287" t="str">
        <f>IFERROR(((C118/#REF!-1)*100),"-")</f>
        <v>-</v>
      </c>
      <c r="G118" s="1292">
        <f>SUM(G113:G114)</f>
        <v>42.097000000000158</v>
      </c>
      <c r="H118" s="1285">
        <f t="shared" si="206"/>
        <v>3.2305123297721097</v>
      </c>
      <c r="I118" s="1287">
        <f>IFERROR(((G118/C118-1)*100),"-")</f>
        <v>24.444247369043648</v>
      </c>
      <c r="K118" s="1292">
        <f>SUM(K113:K114)</f>
        <v>22.154999999999966</v>
      </c>
      <c r="L118" s="1285">
        <f t="shared" si="207"/>
        <v>1.6713362995686412</v>
      </c>
      <c r="M118" s="1287">
        <f>IFERROR(((K118/G118-1)*100),"-")</f>
        <v>-47.371546666033495</v>
      </c>
      <c r="O118" s="1292">
        <f>SUM(O113:O114)</f>
        <v>42.322999999999979</v>
      </c>
      <c r="P118" s="1285">
        <f t="shared" si="208"/>
        <v>2.8977936016158559</v>
      </c>
      <c r="Q118" s="1287">
        <f>IFERROR(((O118/K118-1)*100),"-")</f>
        <v>91.031369893929352</v>
      </c>
      <c r="S118" s="1292">
        <f>SUM(S113:S114)</f>
        <v>51.362000000000052</v>
      </c>
      <c r="T118" s="1285">
        <f t="shared" si="209"/>
        <v>3.186034595911666</v>
      </c>
      <c r="U118" s="1287">
        <f>IFERROR(((S118/O118-1)*100),"-")</f>
        <v>21.357181674267125</v>
      </c>
      <c r="W118" s="1292">
        <f>SUM(W113:W114)</f>
        <v>9.4099999999998616</v>
      </c>
      <c r="X118" s="1285">
        <f t="shared" si="210"/>
        <v>0.56646923518224612</v>
      </c>
      <c r="Y118" s="1287">
        <f>IFERROR(((W118/S118-1)*100),"-")</f>
        <v>-81.679062341809399</v>
      </c>
      <c r="AA118" s="1292">
        <f>SUM(AA113:AA114)</f>
        <v>30.490999999999993</v>
      </c>
      <c r="AB118" s="1285">
        <f t="shared" si="211"/>
        <v>1.8578501801732632</v>
      </c>
      <c r="AC118" s="1287">
        <f>IFERROR(((AA118/W118-1)*100),"-")</f>
        <v>224.02763018066355</v>
      </c>
      <c r="AE118" s="1292">
        <f>SUM(AE113:AE114)</f>
        <v>28.997</v>
      </c>
      <c r="AF118" s="1285">
        <f t="shared" si="212"/>
        <v>1.6822367012682475</v>
      </c>
      <c r="AG118" s="1287">
        <f>IFERROR(((AE118/AA118-1)*100),"-")</f>
        <v>-4.8998065002787472</v>
      </c>
      <c r="AI118" s="1292">
        <f>SUM(AI113:AI114)</f>
        <v>-47.85700000000007</v>
      </c>
      <c r="AJ118" s="1285">
        <f t="shared" si="213"/>
        <v>-3.1258225719960779</v>
      </c>
      <c r="AK118" s="1287">
        <f>IFERROR(((AI118/AE118-1)*100),"-")</f>
        <v>-265.0412111597754</v>
      </c>
      <c r="AM118" s="1292">
        <f>SUM(AM113:AM114)</f>
        <v>-2.746999999999943</v>
      </c>
      <c r="AN118" s="1285">
        <f t="shared" si="214"/>
        <v>-0.1692098448468268</v>
      </c>
      <c r="AO118" s="1287">
        <f>IFERROR(((AM118/AI118-1)*100),"-")</f>
        <v>-94.259982865620614</v>
      </c>
      <c r="AQ118" s="1292">
        <f>SUM(AQ113:AQ114)</f>
        <v>-24.968999999999994</v>
      </c>
      <c r="AR118" s="1285">
        <f t="shared" si="215"/>
        <v>-1.4496380114141065</v>
      </c>
      <c r="AS118" s="1287">
        <f t="shared" si="227"/>
        <v>808.95522388061568</v>
      </c>
      <c r="AU118" s="1292">
        <f>SUM(AU113:AU114)</f>
        <v>3.5765801300000533</v>
      </c>
      <c r="AV118" s="1285">
        <f t="shared" si="216"/>
        <v>0.19368430060384484</v>
      </c>
      <c r="AW118" s="1287">
        <f t="shared" si="228"/>
        <v>-114.32408238215407</v>
      </c>
      <c r="AY118" s="1292">
        <f>SUM(AY113:AY114)</f>
        <v>19.745999999999857</v>
      </c>
      <c r="AZ118" s="1285">
        <f t="shared" si="217"/>
        <v>0.97332116147883385</v>
      </c>
      <c r="BA118" s="1287">
        <f t="shared" si="229"/>
        <v>452.09164291810691</v>
      </c>
      <c r="BC118" s="1292">
        <f>SUM(BC113:BC114)</f>
        <v>60.894999999999825</v>
      </c>
      <c r="BD118" s="1285">
        <f t="shared" si="218"/>
        <v>2.8038308354628465</v>
      </c>
      <c r="BE118" s="1287">
        <f t="shared" si="230"/>
        <v>208.3915729768068</v>
      </c>
      <c r="BG118" s="1292">
        <f>SUM(BG113:BG114)</f>
        <v>89.328000000000173</v>
      </c>
      <c r="BH118" s="1285">
        <f t="shared" si="219"/>
        <v>3.8383054531110896</v>
      </c>
      <c r="BI118" s="1287">
        <f t="shared" si="220"/>
        <v>46.691846621233978</v>
      </c>
      <c r="BK118" s="1292">
        <f>SUM(BK113:BK114)</f>
        <v>122.86400000000022</v>
      </c>
      <c r="BL118" s="1285">
        <f t="shared" si="221"/>
        <v>4.8415055543887267</v>
      </c>
      <c r="BM118" s="1287">
        <f t="shared" si="222"/>
        <v>37.542539853125547</v>
      </c>
      <c r="BO118" s="1292">
        <f>SUM(BO113:BO114)</f>
        <v>166.40600000000001</v>
      </c>
      <c r="BP118" s="1285">
        <f t="shared" si="223"/>
        <v>6.1409639932540401</v>
      </c>
      <c r="BQ118" s="1287">
        <f t="shared" si="224"/>
        <v>35.439184789685932</v>
      </c>
      <c r="BS118" s="1292">
        <f>SUM(BS113:BS114)</f>
        <v>195.61566917083451</v>
      </c>
      <c r="BT118" s="1285">
        <f t="shared" ref="BT118:BT119" si="231">BS118/BS16*100</f>
        <v>6.5532511219389162</v>
      </c>
      <c r="BU118" s="1287">
        <f t="shared" si="226"/>
        <v>17.553254792996942</v>
      </c>
    </row>
    <row r="119" spans="1:74" s="1282" customFormat="1">
      <c r="A119" s="1254" t="s">
        <v>88</v>
      </c>
      <c r="C119" s="1292">
        <f>SUM(C113:C115)</f>
        <v>93.66900000000004</v>
      </c>
      <c r="D119" s="1285">
        <f t="shared" si="205"/>
        <v>4.6967252940436159</v>
      </c>
      <c r="E119" s="1287" t="str">
        <f>IFERROR(((C119/#REF!-1)*100),"-")</f>
        <v>-</v>
      </c>
      <c r="G119" s="1292">
        <f>SUM(G113:G115)</f>
        <v>102.19100000000017</v>
      </c>
      <c r="H119" s="1285">
        <f t="shared" si="206"/>
        <v>4.841440697077263</v>
      </c>
      <c r="I119" s="1287">
        <f>IFERROR(((G119/C119-1)*100),"-")</f>
        <v>9.0979940001496118</v>
      </c>
      <c r="K119" s="1292">
        <f>SUM(K113:K115)</f>
        <v>85.03199999999994</v>
      </c>
      <c r="L119" s="1285">
        <f t="shared" si="207"/>
        <v>3.8945442853727386</v>
      </c>
      <c r="M119" s="1287">
        <f>IFERROR(((K119/G119-1)*100),"-")</f>
        <v>-16.791106848939929</v>
      </c>
      <c r="O119" s="1292">
        <f>SUM(O113:O115)</f>
        <v>152.89199999999997</v>
      </c>
      <c r="P119" s="1285">
        <f t="shared" si="208"/>
        <v>6.2759785333062936</v>
      </c>
      <c r="Q119" s="1287">
        <f>IFERROR(((O119/K119-1)*100),"-")</f>
        <v>79.805249788315066</v>
      </c>
      <c r="S119" s="1292">
        <f>SUM(S113:S115)</f>
        <v>147.37700000000001</v>
      </c>
      <c r="T119" s="1285">
        <f t="shared" si="209"/>
        <v>5.5737468080213981</v>
      </c>
      <c r="U119" s="1287">
        <f>IFERROR(((S119/O119-1)*100),"-")</f>
        <v>-3.6071213667163482</v>
      </c>
      <c r="W119" s="1292">
        <f>SUM(W113:W115)</f>
        <v>87.217999999999847</v>
      </c>
      <c r="X119" s="1285">
        <f t="shared" si="210"/>
        <v>3.279753768400147</v>
      </c>
      <c r="Y119" s="1287">
        <f>IFERROR(((W119/S119-1)*100),"-")</f>
        <v>-40.819802275796192</v>
      </c>
      <c r="AA119" s="1292">
        <f>SUM(AA113:AA115)</f>
        <v>104.77700000000002</v>
      </c>
      <c r="AB119" s="1285">
        <f t="shared" si="211"/>
        <v>3.9742240786158782</v>
      </c>
      <c r="AC119" s="1287">
        <f>IFERROR(((AA119/W119-1)*100),"-")</f>
        <v>20.132312137403051</v>
      </c>
      <c r="AE119" s="1292">
        <f>SUM(AE113:AE115)</f>
        <v>112.97300000000003</v>
      </c>
      <c r="AF119" s="1285">
        <f t="shared" si="212"/>
        <v>4.1034952700454621</v>
      </c>
      <c r="AG119" s="1287">
        <f>IFERROR(((AE119/AA119-1)*100),"-")</f>
        <v>7.8223274191855152</v>
      </c>
      <c r="AI119" s="1292">
        <f>SUM(AI113:AI115)</f>
        <v>-13.808000000000206</v>
      </c>
      <c r="AJ119" s="1285">
        <f t="shared" si="213"/>
        <v>-0.5745206260311021</v>
      </c>
      <c r="AK119" s="1287">
        <f>IFERROR(((AI119/AE119-1)*100),"-")</f>
        <v>-112.22238942048118</v>
      </c>
      <c r="AM119" s="1292">
        <f>SUM(AM113:AM115)</f>
        <v>16.747999999999937</v>
      </c>
      <c r="AN119" s="1285">
        <f t="shared" si="214"/>
        <v>0.67488336219895351</v>
      </c>
      <c r="AO119" s="1287">
        <f>IFERROR(((AM119/AI119-1)*100),"-")</f>
        <v>-221.29200463499194</v>
      </c>
      <c r="AQ119" s="1292">
        <f>SUM(AQ113:AQ115)</f>
        <v>-13.829000000000013</v>
      </c>
      <c r="AR119" s="1285">
        <f t="shared" si="215"/>
        <v>-0.52760432384505296</v>
      </c>
      <c r="AS119" s="1287">
        <f t="shared" si="227"/>
        <v>-182.57105326009113</v>
      </c>
      <c r="AU119" s="1292">
        <f>SUM(AU113:AU115)</f>
        <v>9.346580130000028</v>
      </c>
      <c r="AV119" s="1285">
        <f t="shared" si="216"/>
        <v>0.33208705100619401</v>
      </c>
      <c r="AW119" s="1287">
        <f t="shared" si="228"/>
        <v>-167.58681126617989</v>
      </c>
      <c r="AY119" s="1292">
        <f>SUM(AY113:AY115)</f>
        <v>27.929999999999865</v>
      </c>
      <c r="AZ119" s="1285">
        <f t="shared" si="217"/>
        <v>0.90294081324804165</v>
      </c>
      <c r="BA119" s="1287">
        <f t="shared" si="229"/>
        <v>198.82587654014773</v>
      </c>
      <c r="BC119" s="1292">
        <f>SUM(BC113:BC115)</f>
        <v>19.29599999999968</v>
      </c>
      <c r="BD119" s="1285">
        <f t="shared" si="218"/>
        <v>0.57960880010524274</v>
      </c>
      <c r="BE119" s="1287">
        <f t="shared" si="230"/>
        <v>-30.912996777659242</v>
      </c>
      <c r="BG119" s="1292">
        <f>SUM(BG113:BG115)</f>
        <v>128.37800000000021</v>
      </c>
      <c r="BH119" s="1285">
        <f t="shared" si="219"/>
        <v>3.6079853564887334</v>
      </c>
      <c r="BI119" s="1287">
        <f t="shared" si="220"/>
        <v>565.30887230515305</v>
      </c>
      <c r="BK119" s="1292">
        <f>SUM(BK113:BK115)</f>
        <v>185.87600000000018</v>
      </c>
      <c r="BL119" s="1285">
        <f t="shared" si="221"/>
        <v>4.7902197832500075</v>
      </c>
      <c r="BM119" s="1287">
        <f t="shared" si="222"/>
        <v>44.788047796351307</v>
      </c>
      <c r="BO119" s="1292">
        <f>SUM(BO113:BO115)</f>
        <v>249.55599999999995</v>
      </c>
      <c r="BP119" s="1285">
        <f t="shared" si="223"/>
        <v>6.0163883877696298</v>
      </c>
      <c r="BQ119" s="1287">
        <f t="shared" si="224"/>
        <v>34.2593987389441</v>
      </c>
      <c r="BS119" s="1292">
        <f>SUM(BS113:BS115)</f>
        <v>295.63878795272899</v>
      </c>
      <c r="BT119" s="1285">
        <f t="shared" si="231"/>
        <v>6.4729875246304633</v>
      </c>
      <c r="BU119" s="1287">
        <f t="shared" si="226"/>
        <v>18.465910638385385</v>
      </c>
    </row>
    <row r="120" spans="1:74" s="1282" customFormat="1">
      <c r="A120" s="1254"/>
      <c r="C120" s="1292"/>
      <c r="D120" s="1285"/>
      <c r="E120" s="1287"/>
      <c r="G120" s="1292"/>
      <c r="H120" s="1285"/>
      <c r="I120" s="1287"/>
      <c r="K120" s="1292"/>
      <c r="L120" s="1285"/>
      <c r="M120" s="1287"/>
      <c r="O120" s="1292"/>
      <c r="P120" s="1285"/>
      <c r="Q120" s="1287"/>
      <c r="S120" s="1292"/>
      <c r="T120" s="1285"/>
      <c r="U120" s="1287"/>
      <c r="W120" s="1292"/>
      <c r="X120" s="1285"/>
      <c r="Y120" s="1287"/>
      <c r="AA120" s="1292"/>
      <c r="AB120" s="1285"/>
      <c r="AC120" s="1287"/>
      <c r="AE120" s="1292"/>
      <c r="AF120" s="1285"/>
      <c r="AG120" s="1287"/>
      <c r="AI120" s="1292"/>
      <c r="AJ120" s="1285"/>
      <c r="AK120" s="1287"/>
      <c r="AM120" s="1292"/>
      <c r="AN120" s="1285"/>
      <c r="AO120" s="1287"/>
      <c r="AQ120" s="1292"/>
      <c r="AR120" s="1285"/>
      <c r="AS120" s="1287"/>
      <c r="AU120" s="1292"/>
      <c r="AV120" s="1285"/>
      <c r="AW120" s="1287"/>
      <c r="AY120" s="1292"/>
      <c r="AZ120" s="1285"/>
      <c r="BA120" s="1287"/>
      <c r="BC120" s="1292"/>
      <c r="BD120" s="1285"/>
      <c r="BE120" s="1287"/>
      <c r="BG120" s="1292"/>
      <c r="BH120" s="1285"/>
      <c r="BI120" s="1287"/>
      <c r="BK120" s="1292"/>
      <c r="BL120" s="1285"/>
      <c r="BM120" s="1287"/>
      <c r="BO120" s="1292"/>
      <c r="BP120" s="1285"/>
      <c r="BQ120" s="1287"/>
      <c r="BS120" s="1292"/>
      <c r="BT120" s="1285"/>
      <c r="BU120" s="1287"/>
    </row>
    <row r="121" spans="1:74">
      <c r="A121" s="1251" t="s">
        <v>889</v>
      </c>
      <c r="B121" s="1281"/>
      <c r="C121" s="1281"/>
      <c r="D121" s="1281"/>
      <c r="E121" s="1281"/>
      <c r="F121" s="1281"/>
      <c r="G121" s="1281"/>
      <c r="H121" s="1281"/>
      <c r="I121" s="1281"/>
      <c r="J121" s="1281"/>
      <c r="K121" s="1281"/>
      <c r="L121" s="1281"/>
      <c r="M121" s="1281"/>
      <c r="N121" s="1281"/>
      <c r="O121" s="1281"/>
      <c r="P121" s="1281"/>
      <c r="Q121" s="1281"/>
      <c r="R121" s="1281"/>
      <c r="S121" s="1281"/>
      <c r="T121" s="1281"/>
      <c r="U121" s="1281"/>
      <c r="V121" s="1281"/>
      <c r="W121" s="1281"/>
      <c r="X121" s="1281"/>
      <c r="Y121" s="1281"/>
      <c r="Z121" s="1281"/>
      <c r="AA121" s="1281"/>
      <c r="AB121" s="1281"/>
      <c r="AC121" s="1281"/>
      <c r="AD121" s="1281"/>
      <c r="AE121" s="1281"/>
      <c r="AF121" s="1281"/>
      <c r="AG121" s="1281"/>
      <c r="AH121" s="1281"/>
      <c r="AI121" s="1281"/>
      <c r="AJ121" s="1281"/>
      <c r="AK121" s="1281"/>
      <c r="AL121" s="1281"/>
      <c r="AM121" s="1281"/>
      <c r="AN121" s="1281"/>
      <c r="AO121" s="1281"/>
      <c r="AP121" s="1281"/>
      <c r="AQ121" s="1281"/>
      <c r="AR121" s="1281"/>
      <c r="AS121" s="1281"/>
      <c r="AT121" s="1281"/>
      <c r="AU121" s="1281"/>
      <c r="AV121" s="1281"/>
      <c r="AW121" s="1281"/>
      <c r="AX121" s="1281"/>
      <c r="AY121" s="1281"/>
      <c r="AZ121" s="1281"/>
      <c r="BA121" s="1281"/>
      <c r="BB121" s="1282"/>
      <c r="BC121" s="1318"/>
      <c r="BD121" s="1281"/>
      <c r="BE121" s="1319"/>
      <c r="BF121" s="1251"/>
      <c r="BG121" s="2264" t="str">
        <f>A121</f>
        <v xml:space="preserve">12. Interest Expense (Income) (% of Sales) </v>
      </c>
      <c r="BH121" s="2264"/>
      <c r="BI121" s="2264"/>
      <c r="BJ121" s="2264"/>
      <c r="BK121" s="2264"/>
      <c r="BL121" s="2264"/>
      <c r="BM121" s="2264"/>
      <c r="BN121" s="1663"/>
      <c r="BO121" s="1663"/>
      <c r="BP121" s="2214"/>
      <c r="BQ121" s="2214"/>
      <c r="BR121" s="2214"/>
      <c r="BS121" s="2214"/>
      <c r="BT121" s="2214"/>
      <c r="BU121" s="2214"/>
    </row>
    <row r="122" spans="1:74" s="1282" customFormat="1"/>
    <row r="123" spans="1:74" s="1282" customFormat="1">
      <c r="A123" s="1254" t="s">
        <v>79</v>
      </c>
      <c r="C123" s="1326">
        <v>0.313</v>
      </c>
      <c r="D123" s="1285">
        <f>C123/C11*100</f>
        <v>6.8598830532397057E-2</v>
      </c>
      <c r="E123" s="1322"/>
      <c r="G123" s="1326">
        <v>0.45</v>
      </c>
      <c r="H123" s="1285">
        <f>G123/G11*100</f>
        <v>8.7836584913578555E-2</v>
      </c>
      <c r="I123" s="1322"/>
      <c r="K123" s="1326">
        <v>0.78100000000000003</v>
      </c>
      <c r="L123" s="1285">
        <f>K123/K11*100</f>
        <v>0.14693680964627928</v>
      </c>
      <c r="M123" s="1322"/>
      <c r="O123" s="1326">
        <v>1.794</v>
      </c>
      <c r="P123" s="1285">
        <f>O123/O11*100</f>
        <v>0.30901252069126478</v>
      </c>
      <c r="Q123" s="1322"/>
      <c r="S123" s="1326">
        <v>1.7629999999999999</v>
      </c>
      <c r="T123" s="1285">
        <f>S123/S11*100</f>
        <v>0.26786311177017552</v>
      </c>
      <c r="U123" s="1322"/>
      <c r="W123" s="1326">
        <v>35.414000000000001</v>
      </c>
      <c r="X123" s="1285">
        <f>W123/W11*100</f>
        <v>5.3312980041128109</v>
      </c>
      <c r="Y123" s="1322"/>
      <c r="AA123" s="1326">
        <v>33.225000000000001</v>
      </c>
      <c r="AB123" s="1285">
        <f>AA123/AA11*100</f>
        <v>4.8464948428043595</v>
      </c>
      <c r="AC123" s="1322"/>
      <c r="AE123" s="1326">
        <v>26.373999999999999</v>
      </c>
      <c r="AF123" s="1285">
        <f>AE123/AE11*100</f>
        <v>3.6968146616673097</v>
      </c>
      <c r="AG123" s="1287"/>
      <c r="AI123" s="1284">
        <v>20.917999999999999</v>
      </c>
      <c r="AJ123" s="1285">
        <f t="shared" ref="AJ123:AJ129" si="232">AI123/AI11*100</f>
        <v>2.5201104039188333</v>
      </c>
      <c r="AK123" s="1322"/>
      <c r="AM123" s="1326">
        <f>27.365</f>
        <v>27.364999999999998</v>
      </c>
      <c r="AN123" s="1285">
        <f t="shared" ref="AN123:AN129" si="233">AM123/AM11*100</f>
        <v>3.0586423271836347</v>
      </c>
      <c r="AO123" s="1322"/>
      <c r="AQ123" s="1326">
        <f>30.854</f>
        <v>30.853999999999999</v>
      </c>
      <c r="AR123" s="1285">
        <f t="shared" ref="AR123:AR129" si="234">AQ123/AQ11*100</f>
        <v>3.3209160449950001</v>
      </c>
      <c r="AS123" s="1287"/>
      <c r="AU123" s="1326">
        <v>29.457967570000005</v>
      </c>
      <c r="AV123" s="1285">
        <f t="shared" ref="AV123:AV129" si="235">AU123/AU11*100</f>
        <v>2.9985051073948887</v>
      </c>
      <c r="AW123" s="1322"/>
      <c r="AY123" s="1326">
        <v>34.302999999999997</v>
      </c>
      <c r="AZ123" s="1285">
        <f t="shared" ref="AZ123:AZ129" si="236">AY123/AY11*100</f>
        <v>3.2208996509901757</v>
      </c>
      <c r="BA123" s="1322"/>
      <c r="BC123" s="1326">
        <v>26.552</v>
      </c>
      <c r="BD123" s="1285">
        <f t="shared" ref="BD123:BD129" si="237">BC123/BC11*100</f>
        <v>2.3533394961662508</v>
      </c>
      <c r="BE123" s="1322"/>
      <c r="BG123" s="1326">
        <v>14.803000000000001</v>
      </c>
      <c r="BH123" s="1285">
        <f t="shared" ref="BH123:BH129" si="238">BG123/BG11*100</f>
        <v>1.2512478244956509</v>
      </c>
      <c r="BI123" s="1331"/>
      <c r="BJ123" s="1322"/>
      <c r="BK123" s="1328">
        <v>14.952</v>
      </c>
      <c r="BL123" s="1285">
        <f t="shared" ref="BL123:BL129" si="239">BK123/BK11*100</f>
        <v>1.1656934363476186</v>
      </c>
      <c r="BM123" s="1331"/>
      <c r="BN123" s="1322"/>
      <c r="BO123" s="1328">
        <v>13.513999999999999</v>
      </c>
      <c r="BP123" s="1285">
        <f t="shared" ref="BP123:BP129" si="240">BO123/BO11*100</f>
        <v>1.0036047784479698</v>
      </c>
      <c r="BQ123" s="1331"/>
      <c r="BR123" s="1322"/>
      <c r="BS123" s="1328">
        <v>15</v>
      </c>
      <c r="BT123" s="1285">
        <f t="shared" ref="BT123:BT126" si="241">BS123/BS11*100</f>
        <v>1.0094168807596291</v>
      </c>
      <c r="BU123" s="1331"/>
    </row>
    <row r="124" spans="1:74" s="1282" customFormat="1">
      <c r="A124" s="1254" t="s">
        <v>80</v>
      </c>
      <c r="C124" s="1328">
        <v>0.22900000000000001</v>
      </c>
      <c r="D124" s="1285">
        <f>C124/C12*100</f>
        <v>3.0512096913881268E-2</v>
      </c>
      <c r="E124" s="1322"/>
      <c r="G124" s="1328">
        <v>0.61299999999999999</v>
      </c>
      <c r="H124" s="1285">
        <f>G124/G12*100</f>
        <v>7.7517321264404873E-2</v>
      </c>
      <c r="I124" s="1322"/>
      <c r="K124" s="1328">
        <v>1.6859999999999999</v>
      </c>
      <c r="L124" s="1285">
        <f>K124/K12*100</f>
        <v>0.21232518748465173</v>
      </c>
      <c r="M124" s="1322"/>
      <c r="O124" s="1328">
        <v>1.778</v>
      </c>
      <c r="P124" s="1285">
        <f>O124/O12*100</f>
        <v>0.20205326114872621</v>
      </c>
      <c r="Q124" s="1322"/>
      <c r="S124" s="1328">
        <v>1.5309999999999999</v>
      </c>
      <c r="T124" s="1285">
        <f>S124/S12*100</f>
        <v>0.1604946295624608</v>
      </c>
      <c r="U124" s="1322"/>
      <c r="W124" s="1328">
        <v>35.216000000000001</v>
      </c>
      <c r="X124" s="1285">
        <f>W124/W12*100</f>
        <v>3.5325473642819101</v>
      </c>
      <c r="Y124" s="1322"/>
      <c r="AA124" s="1328">
        <v>33.685000000000002</v>
      </c>
      <c r="AB124" s="1285">
        <f>AA124/AA12*100</f>
        <v>3.5248223462330919</v>
      </c>
      <c r="AC124" s="1322"/>
      <c r="AE124" s="1328">
        <v>27.763999999999999</v>
      </c>
      <c r="AF124" s="1285">
        <f>AE124/AE12*100</f>
        <v>2.7481163861537059</v>
      </c>
      <c r="AG124" s="1287"/>
      <c r="AI124" s="1288">
        <v>16.765999999999998</v>
      </c>
      <c r="AJ124" s="1285">
        <f t="shared" si="232"/>
        <v>2.3918011692235708</v>
      </c>
      <c r="AK124" s="1322"/>
      <c r="AM124" s="1328">
        <v>26.056999999999999</v>
      </c>
      <c r="AN124" s="1285">
        <f t="shared" si="233"/>
        <v>3.5755746140651801</v>
      </c>
      <c r="AO124" s="1322"/>
      <c r="AQ124" s="1328">
        <f>32.31</f>
        <v>32.31</v>
      </c>
      <c r="AR124" s="1285">
        <f t="shared" si="234"/>
        <v>4.0726086501653125</v>
      </c>
      <c r="AS124" s="1287"/>
      <c r="AU124" s="1328">
        <v>27.634452080000003</v>
      </c>
      <c r="AV124" s="1285">
        <f t="shared" si="235"/>
        <v>3.1977612307987986</v>
      </c>
      <c r="AW124" s="1322"/>
      <c r="AY124" s="1328">
        <v>33.326999999999998</v>
      </c>
      <c r="AZ124" s="1285">
        <f t="shared" si="236"/>
        <v>3.4581944172059877</v>
      </c>
      <c r="BA124" s="1322"/>
      <c r="BC124" s="1328">
        <v>25.545999999999999</v>
      </c>
      <c r="BD124" s="1285">
        <f t="shared" si="237"/>
        <v>2.4479173154743141</v>
      </c>
      <c r="BE124" s="1322"/>
      <c r="BG124" s="1328">
        <v>14.598000000000001</v>
      </c>
      <c r="BH124" s="1285">
        <f t="shared" si="238"/>
        <v>1.2758058342029228</v>
      </c>
      <c r="BI124" s="1285"/>
      <c r="BJ124" s="1322"/>
      <c r="BK124" s="1328">
        <v>15.084</v>
      </c>
      <c r="BL124" s="1285">
        <f t="shared" si="239"/>
        <v>1.2018615946896265</v>
      </c>
      <c r="BM124" s="1285"/>
      <c r="BN124" s="1322"/>
      <c r="BO124" s="1328">
        <v>14.544</v>
      </c>
      <c r="BP124" s="1285">
        <f t="shared" si="240"/>
        <v>1.0668826253058925</v>
      </c>
      <c r="BQ124" s="1285"/>
      <c r="BR124" s="1322"/>
      <c r="BS124" s="1328">
        <v>15</v>
      </c>
      <c r="BT124" s="1285">
        <f t="shared" si="241"/>
        <v>1.0006599786959718</v>
      </c>
      <c r="BU124" s="1285"/>
    </row>
    <row r="125" spans="1:74" s="1282" customFormat="1">
      <c r="A125" s="1254" t="s">
        <v>81</v>
      </c>
      <c r="C125" s="1328">
        <v>0.109</v>
      </c>
      <c r="D125" s="1285">
        <f>C125/C13*100</f>
        <v>1.3840408660286536E-2</v>
      </c>
      <c r="E125" s="1322"/>
      <c r="G125" s="1328">
        <v>1.04</v>
      </c>
      <c r="H125" s="1285">
        <f>G125/G13*100</f>
        <v>0.12876864978641739</v>
      </c>
      <c r="I125" s="1322"/>
      <c r="K125" s="1328">
        <v>1.63</v>
      </c>
      <c r="L125" s="1285">
        <f>K125/K13*100</f>
        <v>0.19002630057264369</v>
      </c>
      <c r="M125" s="1322"/>
      <c r="O125" s="1328">
        <v>1.78</v>
      </c>
      <c r="P125" s="1285">
        <f>O125/O13*100</f>
        <v>0.18244789728798377</v>
      </c>
      <c r="Q125" s="1322"/>
      <c r="S125" s="1328">
        <v>0.89400000000000002</v>
      </c>
      <c r="T125" s="1285">
        <f>S125/S13*100</f>
        <v>8.6625388796837302E-2</v>
      </c>
      <c r="U125" s="1322"/>
      <c r="W125" s="1328">
        <v>31.713999999999999</v>
      </c>
      <c r="X125" s="1285">
        <f>W125/W13*100</f>
        <v>3.1773798288378723</v>
      </c>
      <c r="Y125" s="1322"/>
      <c r="AA125" s="1328">
        <v>29.902999999999999</v>
      </c>
      <c r="AB125" s="1285">
        <f>AA125/AA13*100</f>
        <v>3.0046743621485184</v>
      </c>
      <c r="AC125" s="1322"/>
      <c r="AE125" s="1328">
        <v>21.562000000000001</v>
      </c>
      <c r="AF125" s="1285">
        <f>AE125/AE13*100</f>
        <v>2.094669095324833</v>
      </c>
      <c r="AG125" s="1287"/>
      <c r="AI125" s="1288">
        <v>20.587</v>
      </c>
      <c r="AJ125" s="1285">
        <f t="shared" si="232"/>
        <v>2.359882344040515</v>
      </c>
      <c r="AK125" s="1322"/>
      <c r="AM125" s="1328">
        <v>24.928000000000001</v>
      </c>
      <c r="AN125" s="1285">
        <f t="shared" si="233"/>
        <v>2.9047316082993668</v>
      </c>
      <c r="AO125" s="1322"/>
      <c r="AQ125" s="1328">
        <f>34.812</f>
        <v>34.811999999999998</v>
      </c>
      <c r="AR125" s="1285">
        <f t="shared" si="234"/>
        <v>3.8737546777824385</v>
      </c>
      <c r="AS125" s="1287"/>
      <c r="AU125" s="1328">
        <v>27.420999999999999</v>
      </c>
      <c r="AV125" s="1285">
        <f t="shared" si="235"/>
        <v>2.8330581654602671</v>
      </c>
      <c r="AW125" s="1322"/>
      <c r="AY125" s="1328">
        <v>32.719000000000001</v>
      </c>
      <c r="AZ125" s="1285">
        <f t="shared" si="236"/>
        <v>3.073643825939266</v>
      </c>
      <c r="BA125" s="1322"/>
      <c r="BC125" s="1328">
        <v>16.623999999999999</v>
      </c>
      <c r="BD125" s="1285">
        <f t="shared" si="237"/>
        <v>1.4364568319836308</v>
      </c>
      <c r="BE125" s="1322"/>
      <c r="BG125" s="1328">
        <v>14.792</v>
      </c>
      <c r="BH125" s="1285">
        <f t="shared" si="238"/>
        <v>1.2017359852983949</v>
      </c>
      <c r="BI125" s="1285"/>
      <c r="BJ125" s="1322"/>
      <c r="BK125" s="1328">
        <v>13.159000000000001</v>
      </c>
      <c r="BL125" s="1285">
        <f t="shared" si="239"/>
        <v>0.98011321316847921</v>
      </c>
      <c r="BM125" s="1285"/>
      <c r="BN125" s="1322"/>
      <c r="BO125" s="1328">
        <v>15.351000000000001</v>
      </c>
      <c r="BP125" s="1285">
        <f t="shared" si="240"/>
        <v>1.0674003783983363</v>
      </c>
      <c r="BQ125" s="1285"/>
      <c r="BR125" s="1322"/>
      <c r="BS125" s="1328">
        <v>15</v>
      </c>
      <c r="BT125" s="1285">
        <f t="shared" si="241"/>
        <v>0.94801562209181656</v>
      </c>
      <c r="BU125" s="1285"/>
    </row>
    <row r="126" spans="1:74" s="1282" customFormat="1">
      <c r="A126" s="1254" t="s">
        <v>82</v>
      </c>
      <c r="C126" s="1280">
        <v>0.314</v>
      </c>
      <c r="D126" s="1285">
        <f>C126/C14*100</f>
        <v>5.1577635017600452E-2</v>
      </c>
      <c r="E126" s="1322"/>
      <c r="G126" s="1280">
        <v>0.68100000000000005</v>
      </c>
      <c r="H126" s="1285">
        <f>G126/G14*100</f>
        <v>0.11174962832172079</v>
      </c>
      <c r="I126" s="1322"/>
      <c r="K126" s="1280">
        <v>1.768</v>
      </c>
      <c r="L126" s="1285">
        <f>K126/K14*100</f>
        <v>0.25817003008089717</v>
      </c>
      <c r="M126" s="1322"/>
      <c r="O126" s="1280">
        <v>1.78</v>
      </c>
      <c r="P126" s="1285">
        <f>O126/O14*100</f>
        <v>0.23307764628241157</v>
      </c>
      <c r="Q126" s="1322"/>
      <c r="S126" s="1329">
        <f>S127-SUM(S123:S125)</f>
        <v>3466.366</v>
      </c>
      <c r="T126" s="1285">
        <f>S126/S14*100</f>
        <v>419.44057907181025</v>
      </c>
      <c r="U126" s="1322"/>
      <c r="W126" s="1280">
        <f>W127-SUM(W123:W125)</f>
        <v>3339.3009999999999</v>
      </c>
      <c r="X126" s="1285">
        <f>W126/W14*100</f>
        <v>426.82409632394285</v>
      </c>
      <c r="Y126" s="1322"/>
      <c r="AA126" s="1280">
        <f>AA127-SUM(AA123:AA125)</f>
        <v>3327.16</v>
      </c>
      <c r="AB126" s="1285">
        <f>AA126/AA14*100</f>
        <v>422.46485660121954</v>
      </c>
      <c r="AC126" s="1322"/>
      <c r="AE126" s="1329">
        <f>AE127-SUM(AE123:AE125)</f>
        <v>3495.6670000000004</v>
      </c>
      <c r="AF126" s="1285">
        <f>AE126/AE14*100</f>
        <v>427.19953560844459</v>
      </c>
      <c r="AG126" s="1287"/>
      <c r="AI126" s="1315">
        <f>AI127-SUM(AI123:AI125)</f>
        <v>26.152000000000001</v>
      </c>
      <c r="AJ126" s="1285">
        <f t="shared" si="232"/>
        <v>2.3360032299585809</v>
      </c>
      <c r="AK126" s="1322"/>
      <c r="AM126" s="1315">
        <f>AM127-SUM(AM123:AM125)</f>
        <v>20.959000000000003</v>
      </c>
      <c r="AN126" s="1285">
        <f t="shared" si="233"/>
        <v>1.7642434098660928</v>
      </c>
      <c r="AO126" s="1322"/>
      <c r="AQ126" s="1315">
        <f>AQ127-SUM(AQ123:AQ125)</f>
        <v>31.14500000000001</v>
      </c>
      <c r="AR126" s="1285">
        <f t="shared" si="234"/>
        <v>2.5258689694827674</v>
      </c>
      <c r="AS126" s="1287"/>
      <c r="AU126" s="1280">
        <v>27.257206503999996</v>
      </c>
      <c r="AV126" s="1285">
        <f t="shared" si="235"/>
        <v>2.158923111485036</v>
      </c>
      <c r="AW126" s="1322"/>
      <c r="AY126" s="1280">
        <v>27.39</v>
      </c>
      <c r="AZ126" s="1285">
        <f t="shared" si="236"/>
        <v>2.05279713282924</v>
      </c>
      <c r="BA126" s="1322"/>
      <c r="BC126" s="1280">
        <v>15.023</v>
      </c>
      <c r="BD126" s="1285">
        <f t="shared" si="237"/>
        <v>1.0114032808163935</v>
      </c>
      <c r="BE126" s="1322"/>
      <c r="BG126" s="643">
        <v>14.807</v>
      </c>
      <c r="BH126" s="1285">
        <f t="shared" si="238"/>
        <v>0.96101362371646892</v>
      </c>
      <c r="BI126" s="1285"/>
      <c r="BJ126" s="1322"/>
      <c r="BK126" s="1280">
        <v>12.965999999999999</v>
      </c>
      <c r="BL126" s="1285">
        <f t="shared" si="239"/>
        <v>0.76916916560628579</v>
      </c>
      <c r="BM126" s="1285"/>
      <c r="BN126" s="1322"/>
      <c r="BO126" s="1280">
        <v>15.368</v>
      </c>
      <c r="BP126" s="1285">
        <f t="shared" si="240"/>
        <v>0.79346189054377037</v>
      </c>
      <c r="BQ126" s="1285"/>
      <c r="BR126" s="1322"/>
      <c r="BS126" s="1280">
        <v>15</v>
      </c>
      <c r="BT126" s="1285">
        <f t="shared" si="241"/>
        <v>0.74253284945648879</v>
      </c>
      <c r="BU126" s="1285"/>
    </row>
    <row r="127" spans="1:74" s="1282" customFormat="1">
      <c r="A127" s="1254" t="s">
        <v>85</v>
      </c>
      <c r="C127" s="1291">
        <f>'yrP&amp;L'!$D8</f>
        <v>2553.7570000000001</v>
      </c>
      <c r="D127" s="1285">
        <f>C127/C15*100</f>
        <v>100</v>
      </c>
      <c r="E127" s="1322"/>
      <c r="G127" s="1291">
        <f>'yrP&amp;L'!$E8</f>
        <v>2678.1280000000002</v>
      </c>
      <c r="H127" s="1285">
        <f>G127/G15*100</f>
        <v>100</v>
      </c>
      <c r="I127" s="1322"/>
      <c r="K127" s="1291">
        <f>'yrP&amp;L'!$F8</f>
        <v>2859.96</v>
      </c>
      <c r="L127" s="1285">
        <f>K127/K15*100</f>
        <v>100</v>
      </c>
      <c r="M127" s="1322"/>
      <c r="O127" s="1291">
        <f>'yrP&amp;L'!$G8</f>
        <v>3199.84</v>
      </c>
      <c r="P127" s="1285">
        <f>O127/O15*100</f>
        <v>100</v>
      </c>
      <c r="Q127" s="1322"/>
      <c r="S127" s="1291">
        <f>'yrP&amp;L'!$H8</f>
        <v>3470.5540000000001</v>
      </c>
      <c r="T127" s="1285">
        <f>S127/S15*100</f>
        <v>100</v>
      </c>
      <c r="U127" s="1322"/>
      <c r="W127" s="1291">
        <f>'yrP&amp;L'!$I8</f>
        <v>3441.645</v>
      </c>
      <c r="X127" s="1285">
        <f>W127/W15*100</f>
        <v>100</v>
      </c>
      <c r="Y127" s="1322"/>
      <c r="AA127" s="1291">
        <f>'yrP&amp;L'!J8</f>
        <v>3423.973</v>
      </c>
      <c r="AB127" s="1285">
        <f>AA127/AA15*100</f>
        <v>100</v>
      </c>
      <c r="AC127" s="1322"/>
      <c r="AD127" s="1291"/>
      <c r="AE127" s="1291">
        <f>'yrP&amp;L'!K8</f>
        <v>3571.3670000000002</v>
      </c>
      <c r="AF127" s="1285">
        <f>AE127/AE15*100</f>
        <v>100</v>
      </c>
      <c r="AG127" s="1287"/>
      <c r="AI127" s="1284">
        <v>84.423000000000002</v>
      </c>
      <c r="AJ127" s="1285">
        <f t="shared" si="232"/>
        <v>2.396396846474254</v>
      </c>
      <c r="AK127" s="1322"/>
      <c r="AM127" s="1284">
        <v>99.308999999999997</v>
      </c>
      <c r="AN127" s="1285">
        <f t="shared" si="233"/>
        <v>2.706260787954661</v>
      </c>
      <c r="AO127" s="1322"/>
      <c r="AQ127" s="1284">
        <f>129.121</f>
        <v>129.12100000000001</v>
      </c>
      <c r="AR127" s="1285">
        <f t="shared" si="234"/>
        <v>3.3501948816517539</v>
      </c>
      <c r="AS127" s="1287"/>
      <c r="AU127" s="1291">
        <f>SUM(AU123:AU126)</f>
        <v>111.770626154</v>
      </c>
      <c r="AV127" s="1285">
        <f t="shared" si="235"/>
        <v>2.7414689567015853</v>
      </c>
      <c r="AW127" s="1322"/>
      <c r="AY127" s="1291">
        <f>SUM(AY123:AY126)</f>
        <v>127.73899999999999</v>
      </c>
      <c r="AZ127" s="1285">
        <f t="shared" si="236"/>
        <v>2.8851250919536362</v>
      </c>
      <c r="BA127" s="1322"/>
      <c r="BC127" s="1291">
        <f>SUM(BC123:BC126)</f>
        <v>83.74499999999999</v>
      </c>
      <c r="BD127" s="1285">
        <f t="shared" si="237"/>
        <v>1.7394315177638235</v>
      </c>
      <c r="BE127" s="1322"/>
      <c r="BG127" s="1291">
        <f>SUM(BG123:BG126)</f>
        <v>59.000000000000007</v>
      </c>
      <c r="BH127" s="1285">
        <f t="shared" si="238"/>
        <v>1.1571050565098733</v>
      </c>
      <c r="BI127" s="1285"/>
      <c r="BJ127" s="1322"/>
      <c r="BK127" s="1330">
        <f>SUM(BK123:BK126)</f>
        <v>56.161000000000001</v>
      </c>
      <c r="BL127" s="1285">
        <f t="shared" si="239"/>
        <v>1.0089941894036658</v>
      </c>
      <c r="BM127" s="1285"/>
      <c r="BN127" s="1322"/>
      <c r="BO127" s="1291">
        <f>SUM(BO123:BO126)</f>
        <v>58.777000000000001</v>
      </c>
      <c r="BP127" s="1285">
        <f>BO127/BO15*100</f>
        <v>0.96596976777742982</v>
      </c>
      <c r="BQ127" s="1285"/>
      <c r="BR127" s="1322"/>
      <c r="BS127" s="1291">
        <f>SUM(BS123:BS126)</f>
        <v>60</v>
      </c>
      <c r="BT127" s="1285">
        <f>BS127/BS15*100</f>
        <v>0.91083222801911901</v>
      </c>
      <c r="BU127" s="1285"/>
    </row>
    <row r="128" spans="1:74" s="1282" customFormat="1">
      <c r="A128" s="1254" t="s">
        <v>87</v>
      </c>
      <c r="C128" s="1291"/>
      <c r="D128" s="1285"/>
      <c r="E128" s="1322"/>
      <c r="G128" s="1291"/>
      <c r="H128" s="1285"/>
      <c r="I128" s="1322"/>
      <c r="K128" s="1291"/>
      <c r="L128" s="1285"/>
      <c r="M128" s="1322"/>
      <c r="O128" s="1291"/>
      <c r="P128" s="1285"/>
      <c r="Q128" s="1322"/>
      <c r="S128" s="1291"/>
      <c r="T128" s="1285"/>
      <c r="U128" s="1322"/>
      <c r="W128" s="1291"/>
      <c r="X128" s="1285"/>
      <c r="Y128" s="1322"/>
      <c r="AA128" s="1291"/>
      <c r="AB128" s="1285"/>
      <c r="AC128" s="1322"/>
      <c r="AD128" s="1291"/>
      <c r="AE128" s="1291"/>
      <c r="AF128" s="1285"/>
      <c r="AG128" s="1287"/>
      <c r="AI128" s="1292">
        <f>SUM(AI123:AI124)</f>
        <v>37.683999999999997</v>
      </c>
      <c r="AJ128" s="1285">
        <f t="shared" si="232"/>
        <v>2.4613640178678149</v>
      </c>
      <c r="AK128" s="1322"/>
      <c r="AM128" s="1292">
        <f>SUM(AM123:AM124)</f>
        <v>53.421999999999997</v>
      </c>
      <c r="AN128" s="1285">
        <f t="shared" si="233"/>
        <v>3.2906910562094529</v>
      </c>
      <c r="AO128" s="1322"/>
      <c r="AQ128" s="1292">
        <f>SUM(AQ123:AQ124)</f>
        <v>63.164000000000001</v>
      </c>
      <c r="AR128" s="1285">
        <f t="shared" si="234"/>
        <v>3.6671446735135831</v>
      </c>
      <c r="AS128" s="1287"/>
      <c r="AU128" s="1292">
        <f>SUM(AU123:AU124)</f>
        <v>57.092419650000011</v>
      </c>
      <c r="AV128" s="1285">
        <f t="shared" si="235"/>
        <v>3.0917538452273665</v>
      </c>
      <c r="AW128" s="1322"/>
      <c r="AY128" s="1292">
        <f>SUM(AY123:AY124)</f>
        <v>67.63</v>
      </c>
      <c r="AZ128" s="1285">
        <f t="shared" si="236"/>
        <v>3.3336225134616635</v>
      </c>
      <c r="BA128" s="1322"/>
      <c r="BC128" s="1292">
        <f>SUM(BC123:BC124)</f>
        <v>52.097999999999999</v>
      </c>
      <c r="BD128" s="1285">
        <f t="shared" si="237"/>
        <v>2.3987844464396715</v>
      </c>
      <c r="BE128" s="1322"/>
      <c r="BG128" s="1292">
        <f>SUM(BG123:BG124)</f>
        <v>29.401000000000003</v>
      </c>
      <c r="BH128" s="1285">
        <f t="shared" si="238"/>
        <v>1.2633218993699504</v>
      </c>
      <c r="BI128" s="1285"/>
      <c r="BJ128" s="1322"/>
      <c r="BK128" s="1291">
        <f>SUM(BK123:BK124)</f>
        <v>30.036000000000001</v>
      </c>
      <c r="BL128" s="1285">
        <f t="shared" si="239"/>
        <v>1.1835807138919419</v>
      </c>
      <c r="BM128" s="1285"/>
      <c r="BN128" s="1322"/>
      <c r="BO128" s="1291">
        <f>SUM(BO123:BO124)</f>
        <v>28.058</v>
      </c>
      <c r="BP128" s="1285">
        <f t="shared" si="240"/>
        <v>1.0354384320440482</v>
      </c>
      <c r="BQ128" s="1285"/>
      <c r="BR128" s="1322"/>
      <c r="BS128" s="1291">
        <f>SUM(BS123:BS124)</f>
        <v>30</v>
      </c>
      <c r="BT128" s="1285">
        <f t="shared" ref="BT128:BT129" si="242">BS128/BS16*100</f>
        <v>1.0050193550010329</v>
      </c>
      <c r="BU128" s="1285"/>
    </row>
    <row r="129" spans="1:75" s="1282" customFormat="1">
      <c r="A129" s="1254" t="s">
        <v>88</v>
      </c>
      <c r="C129" s="1291"/>
      <c r="D129" s="1285"/>
      <c r="E129" s="1322"/>
      <c r="G129" s="1291"/>
      <c r="H129" s="1285"/>
      <c r="I129" s="1322"/>
      <c r="K129" s="1291"/>
      <c r="L129" s="1285"/>
      <c r="M129" s="1322"/>
      <c r="O129" s="1291"/>
      <c r="P129" s="1285"/>
      <c r="Q129" s="1322"/>
      <c r="S129" s="1291"/>
      <c r="T129" s="1285"/>
      <c r="U129" s="1322"/>
      <c r="W129" s="1291"/>
      <c r="X129" s="1285"/>
      <c r="Y129" s="1322"/>
      <c r="AA129" s="1291"/>
      <c r="AB129" s="1285"/>
      <c r="AC129" s="1322"/>
      <c r="AD129" s="1291"/>
      <c r="AE129" s="1291"/>
      <c r="AF129" s="1285"/>
      <c r="AG129" s="1287"/>
      <c r="AI129" s="1292">
        <f>SUM(AI123:AI125)</f>
        <v>58.271000000000001</v>
      </c>
      <c r="AJ129" s="1285">
        <f t="shared" si="232"/>
        <v>2.4245286355343172</v>
      </c>
      <c r="AK129" s="1322"/>
      <c r="AM129" s="1292">
        <f>SUM(AM123:AM125)</f>
        <v>78.349999999999994</v>
      </c>
      <c r="AN129" s="1285">
        <f t="shared" si="233"/>
        <v>3.157219454758073</v>
      </c>
      <c r="AO129" s="1322"/>
      <c r="AQ129" s="1292">
        <f>SUM(AQ123:AQ125)</f>
        <v>97.975999999999999</v>
      </c>
      <c r="AR129" s="1285">
        <f t="shared" si="234"/>
        <v>3.7379825897058976</v>
      </c>
      <c r="AS129" s="1287"/>
      <c r="AU129" s="1292">
        <f>SUM(AU123:AU125)</f>
        <v>84.513419650000003</v>
      </c>
      <c r="AV129" s="1285">
        <f t="shared" si="235"/>
        <v>3.002789460065042</v>
      </c>
      <c r="AW129" s="1322"/>
      <c r="AY129" s="1292">
        <f>SUM(AY123:AY125)</f>
        <v>100.34899999999999</v>
      </c>
      <c r="AZ129" s="1285">
        <f t="shared" si="236"/>
        <v>3.244153514809458</v>
      </c>
      <c r="BA129" s="1322"/>
      <c r="BC129" s="1292">
        <f>SUM(BC123:BC125)</f>
        <v>68.721999999999994</v>
      </c>
      <c r="BD129" s="1285">
        <f t="shared" si="237"/>
        <v>2.0642555949851342</v>
      </c>
      <c r="BE129" s="1322"/>
      <c r="BG129" s="1292">
        <f>SUM(BG123:BG125)</f>
        <v>44.193000000000005</v>
      </c>
      <c r="BH129" s="1285">
        <f t="shared" si="238"/>
        <v>1.2420172993761107</v>
      </c>
      <c r="BI129" s="1285"/>
      <c r="BJ129" s="1322"/>
      <c r="BK129" s="1291">
        <f>SUM(BK123:BK125)</f>
        <v>43.195</v>
      </c>
      <c r="BL129" s="1285">
        <f t="shared" si="239"/>
        <v>1.1131805264664822</v>
      </c>
      <c r="BM129" s="1285"/>
      <c r="BN129" s="1322"/>
      <c r="BO129" s="1291">
        <f>SUM(BO123:BO125)</f>
        <v>43.408999999999999</v>
      </c>
      <c r="BP129" s="1285">
        <f t="shared" si="240"/>
        <v>1.0465202340344129</v>
      </c>
      <c r="BQ129" s="1285"/>
      <c r="BR129" s="1322"/>
      <c r="BS129" s="1291">
        <f>SUM(BS123:BS125)</f>
        <v>45</v>
      </c>
      <c r="BT129" s="1285">
        <f t="shared" si="242"/>
        <v>0.98527138683488868</v>
      </c>
      <c r="BU129" s="1285"/>
    </row>
    <row r="130" spans="1:75" s="1282" customFormat="1">
      <c r="A130" s="1254"/>
      <c r="C130" s="1291"/>
      <c r="D130" s="1285"/>
      <c r="E130" s="1322"/>
      <c r="G130" s="1291"/>
      <c r="H130" s="1285"/>
      <c r="I130" s="1322"/>
      <c r="K130" s="1291"/>
      <c r="L130" s="1285"/>
      <c r="M130" s="1322"/>
      <c r="O130" s="1291"/>
      <c r="P130" s="1285"/>
      <c r="Q130" s="1322"/>
      <c r="S130" s="1291"/>
      <c r="T130" s="1285"/>
      <c r="U130" s="1322"/>
      <c r="W130" s="1291"/>
      <c r="X130" s="1285"/>
      <c r="Y130" s="1322"/>
      <c r="AA130" s="1291"/>
      <c r="AB130" s="1285"/>
      <c r="AC130" s="1322"/>
      <c r="AD130" s="1291"/>
      <c r="AE130" s="1291"/>
      <c r="AF130" s="1285"/>
      <c r="AG130" s="1287"/>
      <c r="AI130" s="1292"/>
      <c r="AJ130" s="1285"/>
      <c r="AK130" s="1322"/>
      <c r="AM130" s="1292"/>
      <c r="AN130" s="1285"/>
      <c r="AO130" s="1322"/>
      <c r="AQ130" s="1292"/>
      <c r="AR130" s="1285"/>
      <c r="AS130" s="1287"/>
      <c r="AU130" s="1292"/>
      <c r="AV130" s="1285"/>
      <c r="AW130" s="1322"/>
      <c r="AY130" s="1292"/>
      <c r="AZ130" s="1285"/>
      <c r="BA130" s="1322"/>
      <c r="BC130" s="1292"/>
      <c r="BD130" s="1285"/>
      <c r="BE130" s="1322"/>
      <c r="BG130" s="1292"/>
      <c r="BH130" s="1285"/>
      <c r="BI130" s="1285"/>
      <c r="BJ130" s="1322"/>
      <c r="BK130" s="1284"/>
      <c r="BL130" s="1285"/>
      <c r="BM130" s="1285"/>
      <c r="BN130" s="1322"/>
      <c r="BO130" s="1284"/>
      <c r="BP130" s="1285"/>
      <c r="BQ130" s="1285"/>
      <c r="BR130" s="1322"/>
      <c r="BS130" s="1284"/>
      <c r="BT130" s="1285"/>
      <c r="BU130" s="1285"/>
    </row>
    <row r="131" spans="1:75" s="1282" customFormat="1">
      <c r="A131" s="1251" t="s">
        <v>902</v>
      </c>
      <c r="B131" s="1281"/>
      <c r="C131" s="1281"/>
      <c r="D131" s="1281"/>
      <c r="E131" s="1281"/>
      <c r="F131" s="1281"/>
      <c r="G131" s="1281"/>
      <c r="H131" s="1281"/>
      <c r="I131" s="1281"/>
      <c r="J131" s="1281"/>
      <c r="K131" s="1281"/>
      <c r="L131" s="1281"/>
      <c r="M131" s="1281"/>
      <c r="N131" s="1281"/>
      <c r="O131" s="1281"/>
      <c r="P131" s="1281"/>
      <c r="Q131" s="1281"/>
      <c r="R131" s="1281"/>
      <c r="S131" s="1281"/>
      <c r="T131" s="1281"/>
      <c r="U131" s="1281"/>
      <c r="V131" s="1281"/>
      <c r="W131" s="1281"/>
      <c r="X131" s="1281"/>
      <c r="Y131" s="1281"/>
      <c r="Z131" s="1281"/>
      <c r="AA131" s="1281"/>
      <c r="AB131" s="1281"/>
      <c r="AC131" s="1281"/>
      <c r="AD131" s="1281"/>
      <c r="AE131" s="1281"/>
      <c r="AF131" s="1281"/>
      <c r="AG131" s="1281"/>
      <c r="AH131" s="1281"/>
      <c r="AI131" s="1281"/>
      <c r="AJ131" s="1281"/>
      <c r="AK131" s="1281"/>
      <c r="AL131" s="1281"/>
      <c r="AM131" s="1281"/>
      <c r="AN131" s="1281"/>
      <c r="AO131" s="1281"/>
      <c r="AP131" s="1281"/>
      <c r="AQ131" s="1281"/>
      <c r="AR131" s="1281"/>
      <c r="AS131" s="1281"/>
      <c r="AT131" s="1281"/>
      <c r="AU131" s="1281"/>
      <c r="AV131" s="1281"/>
      <c r="AW131" s="1281"/>
      <c r="AX131" s="1281"/>
      <c r="AY131" s="1281"/>
      <c r="AZ131" s="1281"/>
      <c r="BA131" s="1281"/>
      <c r="BC131" s="1281"/>
      <c r="BD131" s="1251"/>
      <c r="BE131" s="1281"/>
      <c r="BG131" s="2264" t="str">
        <f>A131</f>
        <v xml:space="preserve">13. Pretax Income (Loss) (% Margin) </v>
      </c>
      <c r="BH131" s="2264"/>
      <c r="BI131" s="2264"/>
      <c r="BJ131" s="2264"/>
      <c r="BK131" s="2264"/>
      <c r="BL131" s="2264"/>
      <c r="BM131" s="2264"/>
      <c r="BN131" s="1663"/>
      <c r="BO131" s="1663"/>
      <c r="BP131" s="2214"/>
      <c r="BQ131" s="2214"/>
      <c r="BR131" s="2214"/>
      <c r="BS131" s="2214"/>
      <c r="BT131" s="2214"/>
      <c r="BU131" s="2214"/>
    </row>
    <row r="132" spans="1:75" s="1282" customFormat="1"/>
    <row r="133" spans="1:75" s="1282" customFormat="1">
      <c r="A133" s="1254" t="s">
        <v>79</v>
      </c>
      <c r="C133" s="1291">
        <f>C94-C119-C32</f>
        <v>-313.04300000000001</v>
      </c>
      <c r="D133" s="1285">
        <f>C133/C11*100</f>
        <v>-68.608254652885535</v>
      </c>
      <c r="E133" s="1308"/>
      <c r="G133" s="1291">
        <f>G94-G119-G32</f>
        <v>-332.36700000000019</v>
      </c>
      <c r="H133" s="1285">
        <f>G133/G11*100</f>
        <v>-64.8755160399364</v>
      </c>
      <c r="I133" s="1287">
        <f>(G133/C133-1)*100</f>
        <v>6.1729538753462654</v>
      </c>
      <c r="K133" s="1291">
        <f>K94-K119-K32</f>
        <v>-325.12399999999997</v>
      </c>
      <c r="L133" s="1285">
        <f>K133/K11*100</f>
        <v>-61.168608578024198</v>
      </c>
      <c r="M133" s="1287">
        <f>(K133/G133-1)*100</f>
        <v>-2.1792175516823886</v>
      </c>
      <c r="O133" s="1291">
        <f>O94-O119-O32</f>
        <v>-409.69499999999994</v>
      </c>
      <c r="P133" s="1285">
        <f>O133/O11*100</f>
        <v>-70.569054996994268</v>
      </c>
      <c r="Q133" s="1287">
        <f>(O133/K133-1)*100</f>
        <v>26.011921605295196</v>
      </c>
      <c r="S133" s="1291">
        <f>S94-S119-S32</f>
        <v>-408.91900000000004</v>
      </c>
      <c r="T133" s="1285">
        <f>S133/S11*100</f>
        <v>-62.129504141774497</v>
      </c>
      <c r="U133" s="1287">
        <f>(S133/O133-1)*100</f>
        <v>-0.18940919464477401</v>
      </c>
      <c r="W133" s="1291">
        <f>W94-W119-W32</f>
        <v>-375.48099999999988</v>
      </c>
      <c r="X133" s="1285">
        <f>W133/W11*100</f>
        <v>-56.525699042251134</v>
      </c>
      <c r="Y133" s="1287">
        <f>(W133/S133-1)*100</f>
        <v>-8.1771695616980722</v>
      </c>
      <c r="AA133" s="1291">
        <f>AA94-AA119-AA32</f>
        <v>-385.02700000000004</v>
      </c>
      <c r="AB133" s="1285">
        <f>AA133/AA11*100</f>
        <v>-56.163472380449484</v>
      </c>
      <c r="AC133" s="1287">
        <f>(AA133/W133-1)*100</f>
        <v>2.5423390264754264</v>
      </c>
      <c r="AE133" s="1291">
        <f>AE94-AE119-AE32</f>
        <v>-419.46300000000008</v>
      </c>
      <c r="AF133" s="1285">
        <f>AE133/AE11*100</f>
        <v>-58.795668780880973</v>
      </c>
      <c r="AG133" s="1287">
        <f>(AE133/AA133-1)*100</f>
        <v>8.9437883576995993</v>
      </c>
      <c r="AI133" s="1291">
        <f>AI113-AI123</f>
        <v>-57.165000000000006</v>
      </c>
      <c r="AJ133" s="1285">
        <f t="shared" ref="AJ133:AJ139" si="243">AI133/AI11*100</f>
        <v>-6.8869926015881111</v>
      </c>
      <c r="AK133" s="1287">
        <f>(AI133/AE133-1)*100</f>
        <v>-86.371861165347113</v>
      </c>
      <c r="AM133" s="1291">
        <f>AM113-AM123</f>
        <v>8.8010000000000268</v>
      </c>
      <c r="AN133" s="1285">
        <f t="shared" ref="AN133:AN139" si="244">AM133/AM11*100</f>
        <v>0.98370586959778006</v>
      </c>
      <c r="AO133" s="1287">
        <f>(AM133/AI133-1)*100</f>
        <v>-115.39578413364826</v>
      </c>
      <c r="AQ133" s="1291">
        <f>AQ113-AQ123</f>
        <v>-32.23799999999995</v>
      </c>
      <c r="AR133" s="1285">
        <f t="shared" ref="AR133:AR139" si="245">AQ133/AQ11*100</f>
        <v>-3.4698804517582373</v>
      </c>
      <c r="AS133" s="1287">
        <f>(AQ133/AM133-1)*100</f>
        <v>-466.29928417225148</v>
      </c>
      <c r="AU133" s="1291">
        <f>AU113-AU123</f>
        <v>-6.1221368399999534</v>
      </c>
      <c r="AV133" s="1285">
        <f t="shared" ref="AV133:AV139" si="246">AU133/AU11*100</f>
        <v>-0.62316785906184846</v>
      </c>
      <c r="AW133" s="1287">
        <f>(AU133/AQ133-1)*100</f>
        <v>-81.009563744649299</v>
      </c>
      <c r="AY133" s="1389">
        <f>AY113-AY123</f>
        <v>-8.6470000000001015</v>
      </c>
      <c r="AZ133" s="1285">
        <f t="shared" ref="AZ133:AZ139" si="247">AY133/AY11*100</f>
        <v>-0.81191497192992967</v>
      </c>
      <c r="BA133" s="1287">
        <f>(AY133/AU133-1)*100</f>
        <v>41.241534222227003</v>
      </c>
      <c r="BC133" s="1330">
        <f>BC113-BC123</f>
        <v>19.559999999999974</v>
      </c>
      <c r="BD133" s="1285">
        <f t="shared" ref="BD133:BD139" si="248">BC133/BC11*100</f>
        <v>1.7336291256783598</v>
      </c>
      <c r="BE133" s="1287">
        <f>(BC133/AY133-1)*100</f>
        <v>-326.20562044639468</v>
      </c>
      <c r="BG133" s="1291">
        <f>BG113-BG123</f>
        <v>41.341000000000051</v>
      </c>
      <c r="BH133" s="1285">
        <f t="shared" ref="BH133:BH139" si="249">BG133/BG11*100</f>
        <v>3.4944157476507973</v>
      </c>
      <c r="BI133" s="1287">
        <f>(BG133/BC133-1)*100</f>
        <v>111.3548057259719</v>
      </c>
      <c r="BK133" s="1330">
        <f>BK113-BK123</f>
        <v>60.145000000000039</v>
      </c>
      <c r="BL133" s="1285">
        <f t="shared" ref="BL133:BL139" si="250">BK133/BK11*100</f>
        <v>4.6890470658860064</v>
      </c>
      <c r="BM133" s="1287">
        <f>(BK133/BG133-1)*100</f>
        <v>45.48511163251969</v>
      </c>
      <c r="BO133" s="1330">
        <f>BO113-BO123</f>
        <v>75.284000000000106</v>
      </c>
      <c r="BP133" s="1285">
        <f t="shared" ref="BP133:BP139" si="251">BO133/BO11*100</f>
        <v>5.5908970061178831</v>
      </c>
      <c r="BQ133" s="1287">
        <f>(BO133/BK133-1)*100</f>
        <v>25.170837143569802</v>
      </c>
      <c r="BS133" s="1330">
        <f>BS113-BS123</f>
        <v>89.006127394747537</v>
      </c>
      <c r="BT133" s="1285">
        <f t="shared" ref="BT133:BT136" si="252">BS133/BS11*100</f>
        <v>5.9896191655533491</v>
      </c>
      <c r="BU133" s="1287">
        <f>(BS133/BO133-1)*100</f>
        <v>18.227149719392454</v>
      </c>
    </row>
    <row r="134" spans="1:75" s="1282" customFormat="1">
      <c r="A134" s="1254" t="s">
        <v>80</v>
      </c>
      <c r="C134" s="1312">
        <f>C95-C121-C33</f>
        <v>-207.62100000000001</v>
      </c>
      <c r="D134" s="1285">
        <f>C134/C12*100</f>
        <v>-27.663546171864382</v>
      </c>
      <c r="E134" s="1308"/>
      <c r="G134" s="1312">
        <f>G95-G121-G33</f>
        <v>-214.08</v>
      </c>
      <c r="H134" s="1285">
        <f>G134/G12*100</f>
        <v>-27.071628281050241</v>
      </c>
      <c r="I134" s="1287">
        <f>(G134/C134-1)*100</f>
        <v>3.1109569841200946</v>
      </c>
      <c r="K134" s="1312">
        <f>K95-K121-K33</f>
        <v>-227.22199999999998</v>
      </c>
      <c r="L134" s="1285">
        <f>K134/K12*100</f>
        <v>-28.615037811766037</v>
      </c>
      <c r="M134" s="1287">
        <f>(K134/G134-1)*100</f>
        <v>6.1388266068759245</v>
      </c>
      <c r="O134" s="1312">
        <f>O95-O121-O33</f>
        <v>-240.22900000000001</v>
      </c>
      <c r="P134" s="1285">
        <f>O134/O12*100</f>
        <v>-27.29980476518411</v>
      </c>
      <c r="Q134" s="1287">
        <f>(O134/K134-1)*100</f>
        <v>5.7243576766334403</v>
      </c>
      <c r="S134" s="1312">
        <f>S95-S121-S33</f>
        <v>-270.93399999999997</v>
      </c>
      <c r="T134" s="1285">
        <f>S134/S12*100</f>
        <v>-28.401993446032499</v>
      </c>
      <c r="U134" s="1287">
        <f>(S134/O134-1)*100</f>
        <v>12.781554266970252</v>
      </c>
      <c r="W134" s="1312">
        <f>W95-W121-W33</f>
        <v>-259.52300000000002</v>
      </c>
      <c r="X134" s="1285">
        <f>W134/W12*100</f>
        <v>-26.032976193222801</v>
      </c>
      <c r="Y134" s="1287">
        <f>(W134/S134-1)*100</f>
        <v>-4.2117268412233066</v>
      </c>
      <c r="AA134" s="1312">
        <f>AA95-AA121-AA33</f>
        <v>-281.53700000000003</v>
      </c>
      <c r="AB134" s="1285">
        <f>AA134/AA12*100</f>
        <v>-29.460231821030902</v>
      </c>
      <c r="AC134" s="1287">
        <f>(AA134/W134-1)*100</f>
        <v>8.4824851747244079</v>
      </c>
      <c r="AE134" s="1312">
        <f>AE95-AE121-AE33</f>
        <v>-264.07400000000001</v>
      </c>
      <c r="AF134" s="1285">
        <f>AE134/AE12*100</f>
        <v>-26.138383754399719</v>
      </c>
      <c r="AG134" s="1287">
        <f>(AE134/AA134-1)*100</f>
        <v>-6.2027371180342294</v>
      </c>
      <c r="AI134" s="1370">
        <f>AI114-AI124</f>
        <v>-28.376000000000065</v>
      </c>
      <c r="AJ134" s="1285">
        <f t="shared" si="243"/>
        <v>-4.048058569598485</v>
      </c>
      <c r="AK134" s="1287">
        <f>(AI134/AE134-1)*100</f>
        <v>-89.254527140119791</v>
      </c>
      <c r="AM134" s="1312">
        <f>AM114-AM124</f>
        <v>-64.96999999999997</v>
      </c>
      <c r="AN134" s="1285">
        <f t="shared" si="244"/>
        <v>-8.9152658662092588</v>
      </c>
      <c r="AO134" s="1287">
        <f>(AM134/AI134-1)*100</f>
        <v>128.96109388215331</v>
      </c>
      <c r="AQ134" s="1312">
        <f>AQ114-AQ124</f>
        <v>-55.895000000000046</v>
      </c>
      <c r="AR134" s="1285">
        <f t="shared" si="245"/>
        <v>-7.0454491024757138</v>
      </c>
      <c r="AS134" s="1287">
        <f>(AQ134/AM134-1)*100</f>
        <v>-13.967985223949409</v>
      </c>
      <c r="AU134" s="1312">
        <f>AU114-AU124</f>
        <v>-47.393702680000004</v>
      </c>
      <c r="AV134" s="1285">
        <f t="shared" si="246"/>
        <v>-5.4842319498635463</v>
      </c>
      <c r="AW134" s="1287">
        <f>(AU134/AQ134-1)*100</f>
        <v>-15.209405707129498</v>
      </c>
      <c r="AY134" s="1325">
        <f>AY114-AY124</f>
        <v>-39.237000000000037</v>
      </c>
      <c r="AZ134" s="1285">
        <f t="shared" si="247"/>
        <v>-4.0714488057104292</v>
      </c>
      <c r="BA134" s="1287">
        <f>(AY134/AU134-1)*100</f>
        <v>-17.210520003203023</v>
      </c>
      <c r="BC134" s="1325">
        <f>BC114-BC124</f>
        <v>-10.763000000000151</v>
      </c>
      <c r="BD134" s="1285">
        <f t="shared" si="248"/>
        <v>-1.0313526214064985</v>
      </c>
      <c r="BE134" s="1287">
        <f>(BC134/AY134-1)*100</f>
        <v>-72.569258607946225</v>
      </c>
      <c r="BG134" s="1312">
        <f>BG114-BG124</f>
        <v>18.586000000000126</v>
      </c>
      <c r="BH134" s="1285">
        <f t="shared" si="249"/>
        <v>1.6243408161731527</v>
      </c>
      <c r="BI134" s="1287">
        <f>(BG134/BC134-1)*100</f>
        <v>-272.68419585617266</v>
      </c>
      <c r="BK134" s="1325">
        <f>BK114-BK124</f>
        <v>32.683000000000177</v>
      </c>
      <c r="BL134" s="1285">
        <f t="shared" si="250"/>
        <v>2.6041131330708884</v>
      </c>
      <c r="BM134" s="1287">
        <f>(BK134/BG134-1)*100</f>
        <v>75.847412030560406</v>
      </c>
      <c r="BO134" s="1325">
        <f>BO114-BO124</f>
        <v>63.063999999999922</v>
      </c>
      <c r="BP134" s="1285">
        <f t="shared" si="251"/>
        <v>4.6260922636338506</v>
      </c>
      <c r="BQ134" s="1287">
        <f>(BO134/BK134-1)*100</f>
        <v>92.956582933022005</v>
      </c>
      <c r="BS134" s="1325">
        <f>BS114-BS124</f>
        <v>76.609541776086957</v>
      </c>
      <c r="BT134" s="1285">
        <f t="shared" si="252"/>
        <v>5.1106734961044893</v>
      </c>
      <c r="BU134" s="1287">
        <f>(BS134/BO134-1)*100</f>
        <v>21.479039984915403</v>
      </c>
    </row>
    <row r="135" spans="1:75" s="1282" customFormat="1">
      <c r="A135" s="1254" t="s">
        <v>81</v>
      </c>
      <c r="C135" s="1312">
        <f>C96-C122-C34</f>
        <v>-211.83099999999999</v>
      </c>
      <c r="D135" s="1285">
        <f>C135/C13*100</f>
        <v>-26.897500980891348</v>
      </c>
      <c r="E135" s="1308"/>
      <c r="G135" s="1312">
        <f>G96-G122-G34</f>
        <v>-219.03200000000001</v>
      </c>
      <c r="H135" s="1285">
        <f>G135/G13*100</f>
        <v>-27.119668173094784</v>
      </c>
      <c r="I135" s="1287">
        <f>(G135/C135-1)*100</f>
        <v>3.3994080186563913</v>
      </c>
      <c r="K135" s="1312">
        <f>K96-K122-K34</f>
        <v>-242.22400000000002</v>
      </c>
      <c r="L135" s="1285">
        <f>K135/K13*100</f>
        <v>-28.238607748409844</v>
      </c>
      <c r="M135" s="1287">
        <f>(K135/G135-1)*100</f>
        <v>10.588407173381054</v>
      </c>
      <c r="O135" s="1312">
        <f>O96-O122-O34</f>
        <v>-259.35700000000003</v>
      </c>
      <c r="P135" s="1285">
        <f>O135/O13*100</f>
        <v>-26.58378612186495</v>
      </c>
      <c r="Q135" s="1287">
        <f>(O135/K135-1)*100</f>
        <v>7.0732049673029929</v>
      </c>
      <c r="S135" s="1312">
        <f>S96-S122-S34</f>
        <v>-284.81299999999999</v>
      </c>
      <c r="T135" s="1285">
        <f>S135/S13*100</f>
        <v>-27.597356665988393</v>
      </c>
      <c r="U135" s="1287">
        <f>(S135/O135-1)*100</f>
        <v>9.8150425860878965</v>
      </c>
      <c r="W135" s="1312">
        <f>W96-W122-W34</f>
        <v>-266.64100000000002</v>
      </c>
      <c r="X135" s="1285">
        <f>W135/W13*100</f>
        <v>-26.714376456491117</v>
      </c>
      <c r="Y135" s="1287">
        <f>(W135/S135-1)*100</f>
        <v>-6.3803267407035342</v>
      </c>
      <c r="AA135" s="1312">
        <f>AA96-AA122-AA34</f>
        <v>-277.50299999999993</v>
      </c>
      <c r="AB135" s="1285">
        <f>AA135/AA13*100</f>
        <v>-27.883695599749192</v>
      </c>
      <c r="AC135" s="1287">
        <f>(AA135/W135-1)*100</f>
        <v>4.0736420880509439</v>
      </c>
      <c r="AE135" s="1312">
        <f>AE96-AE122-AE34</f>
        <v>-276.43000000000006</v>
      </c>
      <c r="AF135" s="1285">
        <f>AE135/AE13*100</f>
        <v>-26.854159077109902</v>
      </c>
      <c r="AG135" s="1287">
        <f>(AE135/AA135-1)*100</f>
        <v>-0.38666248653163038</v>
      </c>
      <c r="AI135" s="1312">
        <f>AI115-AI125</f>
        <v>13.461999999999865</v>
      </c>
      <c r="AJ135" s="1285">
        <f t="shared" si="243"/>
        <v>1.5431454857664106</v>
      </c>
      <c r="AK135" s="1287">
        <f>(AI135/AE135-1)*100</f>
        <v>-104.86994899251161</v>
      </c>
      <c r="AM135" s="1312">
        <f>AM115-AM125</f>
        <v>-5.4330000000001206</v>
      </c>
      <c r="AN135" s="1285">
        <f t="shared" si="244"/>
        <v>-0.63307954219716023</v>
      </c>
      <c r="AO135" s="1287">
        <f>(AM135/AI135-1)*100</f>
        <v>-140.35804486703444</v>
      </c>
      <c r="AQ135" s="1312">
        <f>AQ115-AQ125</f>
        <v>-23.672000000000018</v>
      </c>
      <c r="AR135" s="1285">
        <f t="shared" si="245"/>
        <v>-2.6341353766651148</v>
      </c>
      <c r="AS135" s="1287">
        <f>(AQ135/AM135-1)*100</f>
        <v>335.70771212956919</v>
      </c>
      <c r="AU135" s="1312">
        <f>AU115-AU125</f>
        <v>-21.651000000000025</v>
      </c>
      <c r="AV135" s="1285">
        <f t="shared" si="246"/>
        <v>-2.2369185055388323</v>
      </c>
      <c r="AW135" s="1287">
        <f>(AU135/AQ135-1)*100</f>
        <v>-8.537512673200375</v>
      </c>
      <c r="AY135" s="1312">
        <f>AY115-AY125</f>
        <v>-24.534999999999993</v>
      </c>
      <c r="AZ135" s="1285">
        <f t="shared" si="247"/>
        <v>-2.3048336217311003</v>
      </c>
      <c r="BA135" s="1287">
        <f>(AY135/AU135-1)*100</f>
        <v>13.320400905269803</v>
      </c>
      <c r="BC135" s="1312">
        <f>BC115-BC125</f>
        <v>-58.223000000000141</v>
      </c>
      <c r="BD135" s="1285">
        <f t="shared" si="248"/>
        <v>-5.0309688479657808</v>
      </c>
      <c r="BE135" s="1287">
        <f>(BC135/AY135-1)*100</f>
        <v>137.30588954554781</v>
      </c>
      <c r="BG135" s="1312">
        <f>BG115-BG125</f>
        <v>24.258000000000038</v>
      </c>
      <c r="BH135" s="1285">
        <f t="shared" si="249"/>
        <v>1.9707755226722898</v>
      </c>
      <c r="BI135" s="1287">
        <f>(BG135/BC135-1)*100</f>
        <v>-141.66394723734604</v>
      </c>
      <c r="BK135" s="1312">
        <f>BK115-BK125</f>
        <v>49.852999999999966</v>
      </c>
      <c r="BL135" s="1285">
        <f t="shared" si="250"/>
        <v>3.7131684790704584</v>
      </c>
      <c r="BM135" s="1287">
        <f>(BK135/BG135-1)*100</f>
        <v>105.51158380740327</v>
      </c>
      <c r="BO135" s="1312">
        <f>BO115-BO125</f>
        <v>67.79899999999995</v>
      </c>
      <c r="BP135" s="1285">
        <f t="shared" si="251"/>
        <v>4.7142647550666892</v>
      </c>
      <c r="BQ135" s="1287">
        <f>(BO135/BK135-1)*100</f>
        <v>35.997833630874766</v>
      </c>
      <c r="BS135" s="1312">
        <f>BS115-BS125</f>
        <v>85.023118781894482</v>
      </c>
      <c r="BT135" s="1285">
        <f t="shared" si="252"/>
        <v>5.3735496562802734</v>
      </c>
      <c r="BU135" s="1287">
        <f>(BS135/BO135-1)*100</f>
        <v>25.404679688335442</v>
      </c>
    </row>
    <row r="136" spans="1:75" s="1282" customFormat="1">
      <c r="A136" s="1254" t="s">
        <v>82</v>
      </c>
      <c r="C136" s="1290">
        <f>C97-C123-C35</f>
        <v>-801.40300000000002</v>
      </c>
      <c r="D136" s="1285">
        <f>C136/C14*100</f>
        <v>-131.6384440637263</v>
      </c>
      <c r="E136" s="1308"/>
      <c r="G136" s="1290">
        <f>G97-G123-G35</f>
        <v>-839.19</v>
      </c>
      <c r="H136" s="1285">
        <f>G136/G14*100</f>
        <v>-137.70803317372227</v>
      </c>
      <c r="I136" s="1287">
        <f>(G136/C136-1)*100</f>
        <v>4.7151058830575909</v>
      </c>
      <c r="K136" s="1290">
        <f>K97-K123-K35</f>
        <v>-900.83999999999992</v>
      </c>
      <c r="L136" s="1285">
        <f>K136/K14*100</f>
        <v>-131.54405537221459</v>
      </c>
      <c r="M136" s="1287">
        <f>(K136/G136-1)*100</f>
        <v>7.3463697136524342</v>
      </c>
      <c r="O136" s="1290">
        <f>O97-O123-O35</f>
        <v>-959.553</v>
      </c>
      <c r="P136" s="1285">
        <f>O136/O14*100</f>
        <v>-125.64626669844205</v>
      </c>
      <c r="Q136" s="1287">
        <f>(O136/K136-1)*100</f>
        <v>6.5175835886505995</v>
      </c>
      <c r="S136" s="1290">
        <f>S97-S123-S35</f>
        <v>-1053.6849999999999</v>
      </c>
      <c r="T136" s="1285">
        <f>S136/S14*100</f>
        <v>-127.49901382579922</v>
      </c>
      <c r="U136" s="1287">
        <f>(S136/O136-1)*100</f>
        <v>9.8099844406718475</v>
      </c>
      <c r="W136" s="1290">
        <f>W97-W123-W35</f>
        <v>-1097.8820000000001</v>
      </c>
      <c r="X136" s="1285">
        <f>W136/W14*100</f>
        <v>-140.32951582391738</v>
      </c>
      <c r="Y136" s="1287">
        <f>(W136/S136-1)*100</f>
        <v>4.1945173367752275</v>
      </c>
      <c r="AA136" s="1290">
        <f>AA97-AA123-AA35</f>
        <v>-1124.0539999999999</v>
      </c>
      <c r="AB136" s="1285">
        <f>AA136/AA14*100</f>
        <v>-142.72632272629727</v>
      </c>
      <c r="AC136" s="1287">
        <f>(AA136/W136-1)*100</f>
        <v>2.3838627466339579</v>
      </c>
      <c r="AE136" s="1290">
        <f>AE97-AE123-AE35</f>
        <v>-1141.6220000000001</v>
      </c>
      <c r="AF136" s="1285">
        <f>AE136/AE14*100</f>
        <v>-139.51568849103296</v>
      </c>
      <c r="AG136" s="1287">
        <f>(AE136/AA136-1)*100</f>
        <v>1.5629142372163729</v>
      </c>
      <c r="AI136" s="1290">
        <f>AI116-AI126</f>
        <v>27.147000000000141</v>
      </c>
      <c r="AJ136" s="1285">
        <f t="shared" si="243"/>
        <v>2.4248806853657814</v>
      </c>
      <c r="AK136" s="1287">
        <f>(AI136/AE136-1)*100</f>
        <v>-102.37793245049589</v>
      </c>
      <c r="AM136" s="1290">
        <f>AM116-AM126</f>
        <v>114.7300000000001</v>
      </c>
      <c r="AN136" s="1285">
        <f t="shared" si="244"/>
        <v>9.6575049579625443</v>
      </c>
      <c r="AO136" s="1287">
        <f>(AM136/AI136-1)*100</f>
        <v>322.62496776807569</v>
      </c>
      <c r="AQ136" s="1290">
        <f>AQ116-AQ126</f>
        <v>100.91200000000026</v>
      </c>
      <c r="AR136" s="1285">
        <f t="shared" si="245"/>
        <v>8.183993881793084</v>
      </c>
      <c r="AS136" s="1287">
        <f>(AQ136/AM136-1)*100</f>
        <v>-12.043929225137129</v>
      </c>
      <c r="AU136" s="1290">
        <f>AU116-AU126</f>
        <v>106.97970989299482</v>
      </c>
      <c r="AV136" s="1285">
        <f t="shared" si="246"/>
        <v>8.4733909952972386</v>
      </c>
      <c r="AW136" s="1287">
        <f>(AU136/AQ136-1)*100</f>
        <v>6.0128724958325552</v>
      </c>
      <c r="AY136" s="1391">
        <f>AY116-AY126</f>
        <v>104.77700000000011</v>
      </c>
      <c r="AZ136" s="1285">
        <f t="shared" si="247"/>
        <v>7.8527172393738409</v>
      </c>
      <c r="BA136" s="1287">
        <f>(AY136/AU136-1)*100</f>
        <v>-2.058997818556374</v>
      </c>
      <c r="BC136" s="1290">
        <f>BC116-BC126</f>
        <v>163.74200000000008</v>
      </c>
      <c r="BD136" s="1285">
        <f t="shared" si="248"/>
        <v>11.02371004509339</v>
      </c>
      <c r="BE136" s="1287">
        <f>(BC136/AY136-1)*100</f>
        <v>56.276663771629167</v>
      </c>
      <c r="BG136" s="1391">
        <f>BG116-BG126</f>
        <v>154.68900000000005</v>
      </c>
      <c r="BH136" s="1285">
        <f t="shared" si="249"/>
        <v>10.039726915585662</v>
      </c>
      <c r="BI136" s="1287">
        <f>(BG136/BC136-1)*100</f>
        <v>-5.528819728597445</v>
      </c>
      <c r="BK136" s="1290">
        <f>BK116-BK126</f>
        <v>190.53099999999992</v>
      </c>
      <c r="BL136" s="1285">
        <f t="shared" si="250"/>
        <v>11.302681651406076</v>
      </c>
      <c r="BM136" s="1287">
        <f>(BK136/BG136-1)*100</f>
        <v>23.170361176295586</v>
      </c>
      <c r="BO136" s="1290">
        <f>BO116-BO126</f>
        <v>222.83300000000006</v>
      </c>
      <c r="BP136" s="1285">
        <f t="shared" si="251"/>
        <v>11.505042520532276</v>
      </c>
      <c r="BQ136" s="1287">
        <f>(BO136/BK136-1)*100</f>
        <v>16.953671581002649</v>
      </c>
      <c r="BS136" s="1290">
        <f>BS116-BS126</f>
        <v>246.01429960829989</v>
      </c>
      <c r="BT136" s="1285">
        <f t="shared" si="252"/>
        <v>12.178246593012885</v>
      </c>
      <c r="BU136" s="1287">
        <f>(BS136/BO136-1)*100</f>
        <v>10.402992199674109</v>
      </c>
    </row>
    <row r="137" spans="1:75" s="1282" customFormat="1">
      <c r="A137" s="1254" t="s">
        <v>85</v>
      </c>
      <c r="C137" s="1291">
        <f>C100-C124-C36</f>
        <v>-399.96199999999999</v>
      </c>
      <c r="D137" s="1285">
        <f>C137/C15*100</f>
        <v>-15.661709395216535</v>
      </c>
      <c r="E137" s="1308"/>
      <c r="G137" s="1291">
        <f>G100-G124-G36</f>
        <v>-425.75299999999999</v>
      </c>
      <c r="H137" s="1285">
        <f>G137/G15*100</f>
        <v>-15.897410429971979</v>
      </c>
      <c r="I137" s="1287">
        <f>(G137/C137-1)*100</f>
        <v>6.4483625944464773</v>
      </c>
      <c r="K137" s="1291">
        <f>K100-K124-K36</f>
        <v>-446.58499999999998</v>
      </c>
      <c r="L137" s="1285">
        <f>K137/K15*100</f>
        <v>-15.615078532566889</v>
      </c>
      <c r="M137" s="1287">
        <f>(K137/G137-1)*100</f>
        <v>4.8929778533562951</v>
      </c>
      <c r="O137" s="1291">
        <f>O100-O124-O36</f>
        <v>-469.27600000000007</v>
      </c>
      <c r="P137" s="1285">
        <f>O137/O15*100</f>
        <v>-14.665608280414022</v>
      </c>
      <c r="Q137" s="1287">
        <f>(O137/K137-1)*100</f>
        <v>5.0810036163328576</v>
      </c>
      <c r="S137" s="1291">
        <f>S100-S124-S36</f>
        <v>-500.19800000000004</v>
      </c>
      <c r="T137" s="1285">
        <f>S137/S15*100</f>
        <v>-14.412626917777393</v>
      </c>
      <c r="U137" s="1287">
        <f>(S137/O137-1)*100</f>
        <v>6.5892992609892564</v>
      </c>
      <c r="W137" s="1291">
        <f>W100-W124-W36</f>
        <v>-569.85700000000008</v>
      </c>
      <c r="X137" s="1285">
        <f>W137/W15*100</f>
        <v>-16.557692615014044</v>
      </c>
      <c r="Y137" s="1287">
        <f>(W137/S137-1)*100</f>
        <v>13.926285191064359</v>
      </c>
      <c r="AA137" s="1291">
        <f>AA100-AA124-AA36</f>
        <v>-562.97299999999996</v>
      </c>
      <c r="AB137" s="1285">
        <f>AA137/AA15*100</f>
        <v>-16.442098112339085</v>
      </c>
      <c r="AC137" s="1287">
        <f>(AA137/W137-1)*100</f>
        <v>-1.2080223635052567</v>
      </c>
      <c r="AE137" s="1291">
        <f>AE100-AE124-AE36</f>
        <v>-599.66999999999996</v>
      </c>
      <c r="AF137" s="1285">
        <f>AE137/AE15*100</f>
        <v>-16.791049477692994</v>
      </c>
      <c r="AG137" s="1287">
        <f>(AE137/AA137-1)*100</f>
        <v>6.5184298358891057</v>
      </c>
      <c r="AI137" s="1291">
        <f>AI117-AI127</f>
        <v>-44.932000000000151</v>
      </c>
      <c r="AJ137" s="1285">
        <f t="shared" si="243"/>
        <v>-1.2754214266939288</v>
      </c>
      <c r="AK137" s="1287">
        <f>(AI137/AE137-1)*100</f>
        <v>-92.507212300098359</v>
      </c>
      <c r="AM137" s="1291">
        <f>AM117-AM127</f>
        <v>53.127999999999844</v>
      </c>
      <c r="AN137" s="1285">
        <f t="shared" si="244"/>
        <v>1.4477864356952019</v>
      </c>
      <c r="AO137" s="1287">
        <f>(AM137/AI137-1)*100</f>
        <v>-218.2408973560039</v>
      </c>
      <c r="AQ137" s="1291">
        <f>AQ117-AQ127</f>
        <v>-10.89299999999983</v>
      </c>
      <c r="AR137" s="1285">
        <f t="shared" si="245"/>
        <v>-0.28263158468283228</v>
      </c>
      <c r="AS137" s="1287">
        <f>(AQ137/AM137-1)*100</f>
        <v>-120.50331275410304</v>
      </c>
      <c r="AU137" s="1291">
        <f>AU117-AU127</f>
        <v>31.812870372994738</v>
      </c>
      <c r="AV137" s="1285">
        <f t="shared" si="246"/>
        <v>0.78029442575521868</v>
      </c>
      <c r="AW137" s="1287">
        <f>(AU137/AQ137-1)*100</f>
        <v>-392.04875032585363</v>
      </c>
      <c r="AY137" s="1291">
        <f>AY117-AY127</f>
        <v>32.358999999999796</v>
      </c>
      <c r="AZ137" s="1285">
        <f t="shared" si="247"/>
        <v>0.73086342346916078</v>
      </c>
      <c r="BA137" s="1287">
        <f>(AY137/AU137-1)*100</f>
        <v>1.7166939688304739</v>
      </c>
      <c r="BC137" s="1291">
        <f>BC117-BC127</f>
        <v>114.31599999999979</v>
      </c>
      <c r="BD137" s="1285">
        <f t="shared" si="248"/>
        <v>2.3744086618268425</v>
      </c>
      <c r="BE137" s="1287">
        <f>(BC137/AY137-1)*100</f>
        <v>253.2742050125174</v>
      </c>
      <c r="BG137" s="1291">
        <f>BG117-BG127</f>
        <v>238.87400000000002</v>
      </c>
      <c r="BH137" s="1285">
        <f t="shared" si="249"/>
        <v>4.6847849706566009</v>
      </c>
      <c r="BI137" s="1287">
        <f>(BG137/BC137-1)*100</f>
        <v>108.95937576542258</v>
      </c>
      <c r="BK137" s="1291">
        <f>BK117-BK127</f>
        <v>333.21199999999953</v>
      </c>
      <c r="BL137" s="1285">
        <f t="shared" si="250"/>
        <v>5.9865203938600411</v>
      </c>
      <c r="BM137" s="1287">
        <f>(BK137/BG137-1)*100</f>
        <v>39.492786992305362</v>
      </c>
      <c r="BO137" s="1330">
        <f>BO117-BO127</f>
        <v>428.97999999999985</v>
      </c>
      <c r="BP137" s="1285">
        <f>BO137/BO15*100</f>
        <v>7.0500656886394619</v>
      </c>
      <c r="BQ137" s="1287">
        <f>(BO137/BK137-1)*100</f>
        <v>28.740861673649331</v>
      </c>
      <c r="BS137" s="1291">
        <f>BS117-BS127</f>
        <v>496.653087561029</v>
      </c>
      <c r="BT137" s="1285">
        <f>BS137/BS15*100</f>
        <v>7.5394606382631109</v>
      </c>
      <c r="BU137" s="1287">
        <f>(BS137/BO137-1)*100</f>
        <v>15.775347932544449</v>
      </c>
    </row>
    <row r="138" spans="1:75" s="1282" customFormat="1">
      <c r="A138" s="1254" t="s">
        <v>87</v>
      </c>
      <c r="C138" s="1291"/>
      <c r="D138" s="1285"/>
      <c r="E138" s="1308"/>
      <c r="G138" s="1291"/>
      <c r="H138" s="1285"/>
      <c r="I138" s="1287"/>
      <c r="K138" s="1291"/>
      <c r="L138" s="1285"/>
      <c r="M138" s="1287"/>
      <c r="O138" s="1291"/>
      <c r="P138" s="1285"/>
      <c r="Q138" s="1287"/>
      <c r="S138" s="1291"/>
      <c r="T138" s="1285"/>
      <c r="U138" s="1287"/>
      <c r="W138" s="1291"/>
      <c r="X138" s="1285"/>
      <c r="Y138" s="1287"/>
      <c r="AA138" s="1291"/>
      <c r="AB138" s="1285"/>
      <c r="AC138" s="1287"/>
      <c r="AE138" s="1291"/>
      <c r="AF138" s="1285"/>
      <c r="AG138" s="1287"/>
      <c r="AI138" s="1292">
        <f>SUM(AI133:AI134)</f>
        <v>-85.541000000000068</v>
      </c>
      <c r="AJ138" s="1285">
        <f t="shared" si="243"/>
        <v>-5.5871865898638928</v>
      </c>
      <c r="AK138" s="1287" t="str">
        <f>IFERROR((AI138/AE138-1)*100,"-")</f>
        <v>-</v>
      </c>
      <c r="AM138" s="1292">
        <f>SUM(AM133:AM134)</f>
        <v>-56.16899999999994</v>
      </c>
      <c r="AN138" s="1285">
        <f t="shared" si="244"/>
        <v>-3.45990090105628</v>
      </c>
      <c r="AO138" s="1287">
        <f>IFERROR((AM138/AI138-1)*100,"-")</f>
        <v>-34.336750797863132</v>
      </c>
      <c r="AQ138" s="1292">
        <f>SUM(AQ133:AQ134)</f>
        <v>-88.132999999999996</v>
      </c>
      <c r="AR138" s="1285">
        <f t="shared" si="245"/>
        <v>-5.1167826849276903</v>
      </c>
      <c r="AS138" s="1287">
        <f>IFERROR((AQ138/AM138-1)*100,"-")</f>
        <v>56.906834730901544</v>
      </c>
      <c r="AU138" s="1292">
        <f>SUM(AU133:AU134)</f>
        <v>-53.515839519999957</v>
      </c>
      <c r="AV138" s="1285">
        <f t="shared" si="246"/>
        <v>-2.8980695446235218</v>
      </c>
      <c r="AW138" s="1287">
        <f>IFERROR((AU138/AQ138-1)*100,"-")</f>
        <v>-39.27831854129559</v>
      </c>
      <c r="AY138" s="1292">
        <f>SUM(AY133:AY134)</f>
        <v>-47.884000000000142</v>
      </c>
      <c r="AZ138" s="1285">
        <f t="shared" si="247"/>
        <v>-2.3603013519828298</v>
      </c>
      <c r="BA138" s="1287">
        <f>IFERROR((AY138/AU138-1)*100,"-")</f>
        <v>-10.523687137328908</v>
      </c>
      <c r="BC138" s="1292">
        <f>SUM(BC133:BC134)</f>
        <v>8.796999999999823</v>
      </c>
      <c r="BD138" s="1285">
        <f t="shared" si="248"/>
        <v>0.40504638902317486</v>
      </c>
      <c r="BE138" s="1287">
        <f>IFERROR((BC138/AY138-1)*100,"-")</f>
        <v>-118.37148107927449</v>
      </c>
      <c r="BG138" s="1292">
        <f>SUM(BG133:BG134)</f>
        <v>59.927000000000177</v>
      </c>
      <c r="BH138" s="1285">
        <f t="shared" si="249"/>
        <v>2.5749835537411396</v>
      </c>
      <c r="BI138" s="1287">
        <f>IFERROR((BG138/BC138-1)*100,"-")</f>
        <v>581.22087075140826</v>
      </c>
      <c r="BK138" s="1292">
        <f>SUM(BK133:BK134)</f>
        <v>92.828000000000216</v>
      </c>
      <c r="BL138" s="1285">
        <f t="shared" si="250"/>
        <v>3.6579248404967846</v>
      </c>
      <c r="BM138" s="1287">
        <f>IFERROR((BK138/BG138-1)*100,"-")</f>
        <v>54.901797186576907</v>
      </c>
      <c r="BO138" s="1292">
        <f>SUM(BO133:BO134)</f>
        <v>138.34800000000001</v>
      </c>
      <c r="BP138" s="1285">
        <f t="shared" si="251"/>
        <v>5.1055255612099923</v>
      </c>
      <c r="BQ138" s="1287">
        <f>IFERROR((BO138/BK138-1)*100,"-")</f>
        <v>49.036928512948343</v>
      </c>
      <c r="BS138" s="1292">
        <f>SUM(BS133:BS134)</f>
        <v>165.61566917083451</v>
      </c>
      <c r="BT138" s="1285">
        <f t="shared" ref="BT138:BT139" si="253">BS138/BS16*100</f>
        <v>5.5482317669378842</v>
      </c>
      <c r="BU138" s="1287">
        <f>IFERROR((BS138/BO138-1)*100,"-")</f>
        <v>19.709478395664902</v>
      </c>
    </row>
    <row r="139" spans="1:75" s="1282" customFormat="1">
      <c r="A139" s="1254" t="s">
        <v>88</v>
      </c>
      <c r="C139" s="1291"/>
      <c r="D139" s="1285"/>
      <c r="E139" s="1308"/>
      <c r="G139" s="1291"/>
      <c r="H139" s="1285"/>
      <c r="I139" s="1287"/>
      <c r="K139" s="1291"/>
      <c r="L139" s="1285"/>
      <c r="M139" s="1287"/>
      <c r="O139" s="1291"/>
      <c r="P139" s="1285"/>
      <c r="Q139" s="1287"/>
      <c r="S139" s="1291"/>
      <c r="T139" s="1285"/>
      <c r="U139" s="1287"/>
      <c r="W139" s="1291"/>
      <c r="X139" s="1285"/>
      <c r="Y139" s="1287"/>
      <c r="AA139" s="1291"/>
      <c r="AB139" s="1285"/>
      <c r="AC139" s="1287"/>
      <c r="AE139" s="1291"/>
      <c r="AF139" s="1285"/>
      <c r="AG139" s="1287"/>
      <c r="AI139" s="1292">
        <f>SUM(AI133:AI135)</f>
        <v>-72.079000000000207</v>
      </c>
      <c r="AJ139" s="1285">
        <f t="shared" si="243"/>
        <v>-2.999049261565419</v>
      </c>
      <c r="AK139" s="1287" t="str">
        <f>IFERROR((AI139/AE139-1)*100,"-")</f>
        <v>-</v>
      </c>
      <c r="AM139" s="1292">
        <f>SUM(AM133:AM135)</f>
        <v>-61.602000000000061</v>
      </c>
      <c r="AN139" s="1285">
        <f t="shared" si="244"/>
        <v>-2.4823360925591196</v>
      </c>
      <c r="AO139" s="1287">
        <f>IFERROR((AM139/AI139-1)*100,"-")</f>
        <v>-14.535440280803169</v>
      </c>
      <c r="AQ139" s="1292">
        <f>SUM(AQ133:AQ135)</f>
        <v>-111.80500000000001</v>
      </c>
      <c r="AR139" s="1285">
        <f t="shared" si="245"/>
        <v>-4.2655869135509503</v>
      </c>
      <c r="AS139" s="1287">
        <f>IFERROR((AQ139/AM139-1)*100,"-")</f>
        <v>81.49573065809534</v>
      </c>
      <c r="AU139" s="1292">
        <f>SUM(AU133:AU135)</f>
        <v>-75.166839519999982</v>
      </c>
      <c r="AV139" s="1285">
        <f t="shared" si="246"/>
        <v>-2.670702409058848</v>
      </c>
      <c r="AW139" s="1287">
        <f>IFERROR((AU139/AQ139-1)*100,"-")</f>
        <v>-32.769697670050554</v>
      </c>
      <c r="AY139" s="1292">
        <f>SUM(AY133:AY135)</f>
        <v>-72.419000000000139</v>
      </c>
      <c r="AZ139" s="1285">
        <f t="shared" si="247"/>
        <v>-2.3412127015614166</v>
      </c>
      <c r="BA139" s="1287">
        <f>IFERROR((AY139/AU139-1)*100,"-")</f>
        <v>-3.6556539260490184</v>
      </c>
      <c r="BC139" s="1292">
        <f>SUM(BC133:BC135)</f>
        <v>-49.426000000000315</v>
      </c>
      <c r="BD139" s="1285">
        <f t="shared" si="248"/>
        <v>-1.4846467948798914</v>
      </c>
      <c r="BE139" s="1287">
        <f>IFERROR((BC139/AY139-1)*100,"-")</f>
        <v>-31.749955122274244</v>
      </c>
      <c r="BG139" s="1292">
        <f>SUM(BG133:BG135)</f>
        <v>84.185000000000215</v>
      </c>
      <c r="BH139" s="1285">
        <f t="shared" si="249"/>
        <v>2.3659680571126227</v>
      </c>
      <c r="BI139" s="1287">
        <f>IFERROR((BG139/BC139-1)*100,"-")</f>
        <v>-270.32533484400858</v>
      </c>
      <c r="BK139" s="1292">
        <f>SUM(BK133:BK135)</f>
        <v>142.68100000000018</v>
      </c>
      <c r="BL139" s="1285">
        <f t="shared" si="250"/>
        <v>3.6770392567835248</v>
      </c>
      <c r="BM139" s="1287">
        <f>IFERROR((BK139/BG139-1)*100,"-")</f>
        <v>69.485062659618492</v>
      </c>
      <c r="BO139" s="1292">
        <f>SUM(BO133:BO135)</f>
        <v>206.14699999999996</v>
      </c>
      <c r="BP139" s="1285">
        <f t="shared" si="251"/>
        <v>4.9698681537352174</v>
      </c>
      <c r="BQ139" s="1287">
        <f>IFERROR((BO139/BK139-1)*100,"-")</f>
        <v>44.481045128643416</v>
      </c>
      <c r="BS139" s="1292">
        <f>SUM(BS133:BS135)</f>
        <v>250.63878795272899</v>
      </c>
      <c r="BT139" s="1285">
        <f t="shared" si="253"/>
        <v>5.4877161377955748</v>
      </c>
      <c r="BU139" s="1287">
        <f>IFERROR((BS139/BO139-1)*100,"-")</f>
        <v>21.582554173831792</v>
      </c>
    </row>
    <row r="141" spans="1:75" s="1282" customFormat="1">
      <c r="A141" s="1251" t="s">
        <v>903</v>
      </c>
      <c r="B141" s="1281"/>
      <c r="C141" s="1281"/>
      <c r="D141" s="1281"/>
      <c r="E141" s="1281"/>
      <c r="F141" s="1281"/>
      <c r="G141" s="1281"/>
      <c r="H141" s="1281"/>
      <c r="I141" s="1281"/>
      <c r="J141" s="1281"/>
      <c r="K141" s="1281"/>
      <c r="L141" s="1281"/>
      <c r="M141" s="1281"/>
      <c r="N141" s="1281"/>
      <c r="O141" s="1281"/>
      <c r="P141" s="1281"/>
      <c r="Q141" s="1281"/>
      <c r="R141" s="1281"/>
      <c r="S141" s="1281"/>
      <c r="T141" s="1281"/>
      <c r="U141" s="1281"/>
      <c r="V141" s="1281"/>
      <c r="W141" s="1281"/>
      <c r="X141" s="1281"/>
      <c r="Y141" s="1281"/>
      <c r="Z141" s="1281"/>
      <c r="AA141" s="1281"/>
      <c r="AB141" s="1281"/>
      <c r="AC141" s="1281"/>
      <c r="AD141" s="1281"/>
      <c r="AE141" s="1281"/>
      <c r="AF141" s="1281"/>
      <c r="AG141" s="1281"/>
      <c r="AH141" s="1281"/>
      <c r="AI141" s="1281"/>
      <c r="AJ141" s="1281"/>
      <c r="AK141" s="1281"/>
      <c r="AL141" s="1281"/>
      <c r="AM141" s="1281"/>
      <c r="AN141" s="1281"/>
      <c r="AO141" s="1281"/>
      <c r="AP141" s="1281"/>
      <c r="AQ141" s="1281"/>
      <c r="AR141" s="1281"/>
      <c r="AS141" s="1281"/>
      <c r="AT141" s="1281"/>
      <c r="AU141" s="1281"/>
      <c r="AV141" s="1281"/>
      <c r="AW141" s="1281"/>
      <c r="AX141" s="1281"/>
      <c r="AY141" s="1281"/>
      <c r="AZ141" s="1281"/>
      <c r="BA141" s="1281"/>
      <c r="BC141" s="1281"/>
      <c r="BD141" s="1251"/>
      <c r="BE141" s="1281"/>
      <c r="BG141" s="2264" t="str">
        <f>A141</f>
        <v>14. Income Taxes/(Credit) (% Tax Rate)</v>
      </c>
      <c r="BH141" s="2264"/>
      <c r="BI141" s="2264"/>
      <c r="BJ141" s="2264"/>
      <c r="BK141" s="2264"/>
      <c r="BL141" s="2264"/>
      <c r="BM141" s="2264"/>
      <c r="BN141" s="1663"/>
      <c r="BO141" s="1663"/>
      <c r="BP141" s="2214"/>
      <c r="BQ141" s="2214"/>
      <c r="BR141" s="2214"/>
      <c r="BS141" s="2214"/>
      <c r="BT141" s="2214"/>
      <c r="BU141" s="2214"/>
    </row>
    <row r="142" spans="1:75" s="1282" customFormat="1">
      <c r="BW142" s="1212"/>
    </row>
    <row r="143" spans="1:75" s="1282" customFormat="1">
      <c r="A143" s="1254" t="s">
        <v>79</v>
      </c>
      <c r="C143" s="1333">
        <v>-12.398999999999999</v>
      </c>
      <c r="D143" s="1285">
        <f>(C143/C113)*100</f>
        <v>37.960383308330513</v>
      </c>
      <c r="E143" s="1308" t="s">
        <v>90</v>
      </c>
      <c r="G143" s="1333">
        <v>-9.766</v>
      </c>
      <c r="H143" s="1285">
        <f>(G143/G113)*100</f>
        <v>38.480633594704393</v>
      </c>
      <c r="I143" s="1287">
        <f>(G143/C143-1)*100</f>
        <v>-21.235583514799572</v>
      </c>
      <c r="K143" s="1333">
        <v>-9.9610000000000003</v>
      </c>
      <c r="L143" s="1285">
        <f>(K143/K113)*100</f>
        <v>39.915848527349155</v>
      </c>
      <c r="M143" s="1287">
        <f>(K143/G143-1)*100</f>
        <v>1.9967233258243011</v>
      </c>
      <c r="O143" s="1333">
        <v>-11.89</v>
      </c>
      <c r="P143" s="1285">
        <f>(O143/O113)*100</f>
        <v>43.215934285610416</v>
      </c>
      <c r="Q143" s="1287">
        <f>(O143/K143-1)*100</f>
        <v>19.365525549643614</v>
      </c>
      <c r="S143" s="1333">
        <v>-10.042</v>
      </c>
      <c r="T143" s="1285">
        <f>(S143/S113)*100</f>
        <v>41.519887538245328</v>
      </c>
      <c r="U143" s="1287">
        <f>(S143/O143-1)*100</f>
        <v>-15.542472666105978</v>
      </c>
      <c r="W143" s="1333">
        <v>-38.25</v>
      </c>
      <c r="X143" s="1285">
        <f>(W143/W113)*100</f>
        <v>69.998535978332441</v>
      </c>
      <c r="Y143" s="1287">
        <f>(W143/S143-1)*100</f>
        <v>280.9002190798646</v>
      </c>
      <c r="AA143" s="1333">
        <v>-33.353999999999999</v>
      </c>
      <c r="AB143" s="1285">
        <f>(AA143/AA113)*100</f>
        <v>66.746713093594352</v>
      </c>
      <c r="AC143" s="1287">
        <f>(AA143/W143-1)*100</f>
        <v>-12.8</v>
      </c>
      <c r="AE143" s="1334">
        <v>-23.939</v>
      </c>
      <c r="AF143" s="1285">
        <f>(AE143/AE113)*100</f>
        <v>79.708986781207315</v>
      </c>
      <c r="AG143" s="1287">
        <f>(AE143/AA143-1)*100</f>
        <v>-28.227498950650599</v>
      </c>
      <c r="AI143" s="1326">
        <f>-35.477</f>
        <v>-35.476999999999997</v>
      </c>
      <c r="AJ143" s="1285">
        <f t="shared" ref="AJ143:AJ149" si="254">(AI143/AI113)*100</f>
        <v>97.875686263690767</v>
      </c>
      <c r="AK143" s="1287">
        <f>IFERROR((AI143/AE143-1)*100,"-")</f>
        <v>48.197501984209843</v>
      </c>
      <c r="AM143" s="1326">
        <f>3.588</f>
        <v>3.5880000000000001</v>
      </c>
      <c r="AN143" s="1285">
        <f t="shared" ref="AN143:AN148" si="255">(AM143/AM133)*100</f>
        <v>40.768094534711842</v>
      </c>
      <c r="AO143" s="1287">
        <f>(AM143/AI143-1)*100</f>
        <v>-110.11359472334188</v>
      </c>
      <c r="AP143" s="1283"/>
      <c r="AQ143" s="1326">
        <f>-11.181</f>
        <v>-11.180999999999999</v>
      </c>
      <c r="AR143" s="1285">
        <f t="shared" ref="AR143:AR148" si="256">(AQ143/AQ133)*100</f>
        <v>34.682672622371172</v>
      </c>
      <c r="AS143" s="1287">
        <f>(AQ143/AM143-1)*100</f>
        <v>-411.62207357859535</v>
      </c>
      <c r="AT143" s="1283"/>
      <c r="AU143" s="1326">
        <v>-1.7172039999999993</v>
      </c>
      <c r="AV143" s="1285">
        <f t="shared" ref="AV143:AV148" si="257">(AU143/AU133)*100</f>
        <v>28.049095354752186</v>
      </c>
      <c r="AW143" s="1287">
        <f>(AU143/AQ143-1)*100</f>
        <v>-84.641767283785001</v>
      </c>
      <c r="AY143" s="1326">
        <v>-3.0840000000000001</v>
      </c>
      <c r="AZ143" s="1285">
        <f t="shared" ref="AZ143:AZ148" si="258">(AY143/AY133)*100</f>
        <v>35.665548745229145</v>
      </c>
      <c r="BA143" s="1287">
        <f>(AY143/AU143-1)*100</f>
        <v>79.594270686534713</v>
      </c>
      <c r="BB143" s="1287"/>
      <c r="BC143" s="1326">
        <v>7.7859999999999996</v>
      </c>
      <c r="BD143" s="1285">
        <f t="shared" ref="BD143:BD148" si="259">(BC143/BC133)*100</f>
        <v>39.805725971370194</v>
      </c>
      <c r="BE143" s="1287">
        <f>(BC143/AY143-1)*100</f>
        <v>-352.46433203631648</v>
      </c>
      <c r="BF143" s="1287"/>
      <c r="BG143" s="1326">
        <v>15.646000000000001</v>
      </c>
      <c r="BH143" s="1285">
        <f t="shared" ref="BH143:BH149" si="260">(BG143/BG133)*100</f>
        <v>37.846205945671322</v>
      </c>
      <c r="BI143" s="1287">
        <f>(BG143/BC143-1)*100</f>
        <v>100.95042383765733</v>
      </c>
      <c r="BK143" s="1326">
        <v>22.631</v>
      </c>
      <c r="BL143" s="1285">
        <f t="shared" ref="BL143:BL149" si="261">(BK143/BK133)*100</f>
        <v>37.627400448915097</v>
      </c>
      <c r="BM143" s="1287">
        <f>(BK143/BG143-1)*100</f>
        <v>44.643998466061596</v>
      </c>
      <c r="BO143" s="1326">
        <v>22.916</v>
      </c>
      <c r="BP143" s="1285">
        <f>(BO143/BO133)*100</f>
        <v>30.439402794750503</v>
      </c>
      <c r="BQ143" s="1287">
        <f>(BO143/BK143-1)*100</f>
        <v>1.2593345411161749</v>
      </c>
      <c r="BS143" s="2176">
        <f t="shared" ref="BS143:BS144" si="262">BS133*BT143%</f>
        <v>17.801225478949508</v>
      </c>
      <c r="BT143" s="2174">
        <v>20</v>
      </c>
      <c r="BU143" s="1287">
        <f>(BS143/BO143-1)*100</f>
        <v>-22.319665391213526</v>
      </c>
    </row>
    <row r="144" spans="1:75" s="1282" customFormat="1">
      <c r="A144" s="1254" t="s">
        <v>80</v>
      </c>
      <c r="C144" s="1335">
        <v>24.997</v>
      </c>
      <c r="D144" s="1285">
        <f>(C144/C114)*100</f>
        <v>37.594561670000409</v>
      </c>
      <c r="E144" s="1308" t="s">
        <v>90</v>
      </c>
      <c r="G144" s="1335">
        <v>25.282</v>
      </c>
      <c r="H144" s="1285">
        <f>(G144/G114)*100</f>
        <v>37.468136819017083</v>
      </c>
      <c r="I144" s="1287">
        <f>(G144/C144-1)*100</f>
        <v>1.1401368164179804</v>
      </c>
      <c r="K144" s="1335">
        <v>17.581</v>
      </c>
      <c r="L144" s="1285">
        <f>(K144/K114)*100</f>
        <v>37.319040543409031</v>
      </c>
      <c r="M144" s="1287">
        <f>(K144/G144-1)*100</f>
        <v>-30.460406613400835</v>
      </c>
      <c r="O144" s="1335">
        <v>26.585000000000001</v>
      </c>
      <c r="P144" s="1285">
        <f>(O144/O114)*100</f>
        <v>38.067758749069256</v>
      </c>
      <c r="Q144" s="1287">
        <f>(O144/K144-1)*100</f>
        <v>51.214379159319719</v>
      </c>
      <c r="S144" s="1335">
        <v>28.643999999999998</v>
      </c>
      <c r="T144" s="1285">
        <f>(S144/S114)*100</f>
        <v>37.914967967384968</v>
      </c>
      <c r="U144" s="1287">
        <f>(S144/O144-1)*100</f>
        <v>7.7449689674628397</v>
      </c>
      <c r="W144" s="1335">
        <v>13.414</v>
      </c>
      <c r="X144" s="1285">
        <f>(W144/W114)*100</f>
        <v>20.941705436038379</v>
      </c>
      <c r="Y144" s="1287">
        <f>(W144/S144-1)*100</f>
        <v>-53.16994833123865</v>
      </c>
      <c r="AA144" s="1335">
        <v>16.777999999999999</v>
      </c>
      <c r="AB144" s="1285">
        <f>(AA144/AA114)*100</f>
        <v>20.852079242375297</v>
      </c>
      <c r="AC144" s="1287">
        <f>(AA144/W144-1)*100</f>
        <v>25.078276427612934</v>
      </c>
      <c r="AE144" s="1336">
        <v>13.089</v>
      </c>
      <c r="AF144" s="1285">
        <f>(AE144/AE114)*100</f>
        <v>22.173471116381499</v>
      </c>
      <c r="AG144" s="1287">
        <f>(AE144/AA144-1)*100</f>
        <v>-21.987125998331138</v>
      </c>
      <c r="AI144" s="1328">
        <f>-15.856</f>
        <v>-15.856</v>
      </c>
      <c r="AJ144" s="1285">
        <f t="shared" si="254"/>
        <v>136.5719207579665</v>
      </c>
      <c r="AK144" s="1287">
        <f t="shared" ref="AK144:AK149" si="263">IFERROR((AI144/AE144-1)*100,"-")</f>
        <v>-221.13988845595537</v>
      </c>
      <c r="AM144" s="1328">
        <f>-24.491</f>
        <v>-24.491</v>
      </c>
      <c r="AN144" s="1285">
        <f t="shared" si="255"/>
        <v>37.695859627520413</v>
      </c>
      <c r="AO144" s="1287">
        <f>(AM144/AI144-1)*100</f>
        <v>54.45887991927345</v>
      </c>
      <c r="AP144" s="1283"/>
      <c r="AQ144" s="1328">
        <f>-23.132</f>
        <v>-23.132000000000001</v>
      </c>
      <c r="AR144" s="1285">
        <f t="shared" si="256"/>
        <v>41.384739243223869</v>
      </c>
      <c r="AS144" s="1287">
        <f>(AQ144/AM144-1)*100</f>
        <v>-5.5489771752888721</v>
      </c>
      <c r="AT144" s="1283"/>
      <c r="AU144" s="1328">
        <v>-16.04417188</v>
      </c>
      <c r="AV144" s="1285">
        <f t="shared" si="257"/>
        <v>33.852961412045552</v>
      </c>
      <c r="AW144" s="1287">
        <f>(AU144/AQ144-1)*100</f>
        <v>-30.640792495244686</v>
      </c>
      <c r="AY144" s="1328">
        <v>-14.223000000000001</v>
      </c>
      <c r="AZ144" s="1285">
        <f t="shared" si="258"/>
        <v>36.248948696383479</v>
      </c>
      <c r="BA144" s="1287">
        <f>(AY144/AU144-1)*100</f>
        <v>-11.350987097502973</v>
      </c>
      <c r="BB144" s="1287"/>
      <c r="BC144" s="1328">
        <v>-4.2930000000000001</v>
      </c>
      <c r="BD144" s="1285">
        <f t="shared" si="259"/>
        <v>39.886648703892405</v>
      </c>
      <c r="BE144" s="1287">
        <f>(BC144/AY144-1)*100</f>
        <v>-69.816494410461928</v>
      </c>
      <c r="BF144" s="1287"/>
      <c r="BG144" s="1328">
        <v>7.6859999999999999</v>
      </c>
      <c r="BH144" s="1285">
        <f t="shared" si="260"/>
        <v>41.353707091358807</v>
      </c>
      <c r="BI144" s="1287">
        <f>(BG144/BC144-1)*100</f>
        <v>-279.03563941299791</v>
      </c>
      <c r="BK144" s="1328">
        <v>12.289</v>
      </c>
      <c r="BL144" s="1285">
        <f t="shared" si="261"/>
        <v>37.600587461371148</v>
      </c>
      <c r="BM144" s="1287">
        <f>(BK144/BG144-1)*100</f>
        <v>59.888108248763984</v>
      </c>
      <c r="BO144" s="1328">
        <v>16.161999999999999</v>
      </c>
      <c r="BP144" s="1285">
        <f>(BO144/BO134)*100</f>
        <v>25.62793352784476</v>
      </c>
      <c r="BQ144" s="1287">
        <f>(BO144/BK144-1)*100</f>
        <v>31.515989909675323</v>
      </c>
      <c r="BS144" s="2177">
        <f t="shared" si="262"/>
        <v>13.789717519695651</v>
      </c>
      <c r="BT144" s="2174">
        <v>18</v>
      </c>
      <c r="BU144" s="1287">
        <f>(BS144/BO144-1)*100</f>
        <v>-14.678149240838678</v>
      </c>
    </row>
    <row r="145" spans="1:77" s="1282" customFormat="1">
      <c r="A145" s="1254" t="s">
        <v>81</v>
      </c>
      <c r="C145" s="1335">
        <v>22.425999999999998</v>
      </c>
      <c r="D145" s="1285">
        <f>(C145/C115)*100</f>
        <v>37.475978008388907</v>
      </c>
      <c r="E145" s="1308" t="s">
        <v>90</v>
      </c>
      <c r="G145" s="1335">
        <v>22.327999999999999</v>
      </c>
      <c r="H145" s="1285">
        <f>(G145/G115)*100</f>
        <v>37.155123639631228</v>
      </c>
      <c r="I145" s="1287">
        <f>(G145/C145-1)*100</f>
        <v>-0.43699277624186239</v>
      </c>
      <c r="K145" s="1335">
        <v>23.606999999999999</v>
      </c>
      <c r="L145" s="1285">
        <f>(K145/K115)*100</f>
        <v>37.544730187508961</v>
      </c>
      <c r="M145" s="1287">
        <f>(K145/G145-1)*100</f>
        <v>5.7282336080257901</v>
      </c>
      <c r="O145" s="1335">
        <v>42.673999999999999</v>
      </c>
      <c r="P145" s="1285">
        <f>(O145/O115)*100</f>
        <v>38.59490453924699</v>
      </c>
      <c r="Q145" s="1287">
        <f>(O145/K145-1)*100</f>
        <v>80.768416147752788</v>
      </c>
      <c r="S145" s="1335">
        <v>36.811</v>
      </c>
      <c r="T145" s="1285">
        <f>(S145/S115)*100</f>
        <v>38.338801228974653</v>
      </c>
      <c r="U145" s="1287">
        <f>(S145/O145-1)*100</f>
        <v>-13.739044851666115</v>
      </c>
      <c r="W145" s="1335">
        <v>15.042</v>
      </c>
      <c r="X145" s="1285">
        <f>(W145/W115)*100</f>
        <v>19.332202344231959</v>
      </c>
      <c r="Y145" s="1287">
        <f>(W145/S145-1)*100</f>
        <v>-59.137214419602834</v>
      </c>
      <c r="AA145" s="1335">
        <v>17.109000000000002</v>
      </c>
      <c r="AB145" s="1285">
        <f>(AA145/AA115)*100</f>
        <v>23.031257572086258</v>
      </c>
      <c r="AC145" s="1287">
        <f>(AA145/W145-1)*100</f>
        <v>13.74152373354609</v>
      </c>
      <c r="AE145" s="1336">
        <v>-99.944000000000003</v>
      </c>
      <c r="AF145" s="1285">
        <f>(AE145/AE115)*100</f>
        <v>-119.01495665428214</v>
      </c>
      <c r="AG145" s="1287">
        <f>(AE145/AA145-1)*100</f>
        <v>-684.16038342392881</v>
      </c>
      <c r="AI145" s="1328">
        <f>5.951</f>
        <v>5.9509999999999996</v>
      </c>
      <c r="AJ145" s="1285">
        <f t="shared" si="254"/>
        <v>17.477752650591864</v>
      </c>
      <c r="AK145" s="1287">
        <f t="shared" si="263"/>
        <v>-105.95433442727928</v>
      </c>
      <c r="AM145" s="1328">
        <f>-2.638</f>
        <v>-2.6379999999999999</v>
      </c>
      <c r="AN145" s="1285">
        <f t="shared" si="255"/>
        <v>48.555126081353606</v>
      </c>
      <c r="AO145" s="1287">
        <f>(AM145/AI145-1)*100</f>
        <v>-144.32868425474709</v>
      </c>
      <c r="AP145" s="1283"/>
      <c r="AQ145" s="1328">
        <f>-13.395</f>
        <v>-13.395</v>
      </c>
      <c r="AR145" s="1285">
        <f t="shared" si="256"/>
        <v>56.585839810746833</v>
      </c>
      <c r="AS145" s="1287">
        <f>(AQ145/AM145-1)*100</f>
        <v>407.77103866565579</v>
      </c>
      <c r="AT145" s="1283"/>
      <c r="AU145" s="1328">
        <v>-14.204000000000001</v>
      </c>
      <c r="AV145" s="1285">
        <f t="shared" si="257"/>
        <v>65.60436007574701</v>
      </c>
      <c r="AW145" s="1287">
        <f>(AU145/AQ145-1)*100</f>
        <v>6.0395670026129222</v>
      </c>
      <c r="AY145" s="1328">
        <v>-7.6779999999999999</v>
      </c>
      <c r="AZ145" s="1285">
        <f t="shared" si="258"/>
        <v>31.294069696352157</v>
      </c>
      <c r="BA145" s="1287">
        <f>(AY145/AU145-1)*100</f>
        <v>-45.944804280484377</v>
      </c>
      <c r="BB145" s="1287"/>
      <c r="BC145" s="1328">
        <v>-24.009</v>
      </c>
      <c r="BD145" s="1285">
        <f t="shared" si="259"/>
        <v>41.236281194716767</v>
      </c>
      <c r="BE145" s="1287">
        <f>(BC145/AY145-1)*100</f>
        <v>212.6986194321438</v>
      </c>
      <c r="BF145" s="1287"/>
      <c r="BG145" s="1328">
        <v>9.1419999999999995</v>
      </c>
      <c r="BH145" s="1285">
        <f t="shared" si="260"/>
        <v>37.686536400362705</v>
      </c>
      <c r="BI145" s="1287">
        <f>(BG145/BC145-1)*100</f>
        <v>-138.07738764629931</v>
      </c>
      <c r="BK145" s="1328">
        <v>17.449000000000002</v>
      </c>
      <c r="BL145" s="1285">
        <f t="shared" si="261"/>
        <v>35.000902653802207</v>
      </c>
      <c r="BM145" s="1287">
        <f>(BK145/BG145-1)*100</f>
        <v>90.866331218551764</v>
      </c>
      <c r="BO145" s="2220">
        <v>22.92</v>
      </c>
      <c r="BP145" s="2218">
        <f>(BO145/BO135)*100</f>
        <v>33.805808345255855</v>
      </c>
      <c r="BQ145" s="1287">
        <f>(BO145/BK145-1)*100</f>
        <v>31.354232334231181</v>
      </c>
      <c r="BS145" s="1364">
        <f>BS135*BT145%</f>
        <v>21.25577969547362</v>
      </c>
      <c r="BT145" s="2174">
        <v>25</v>
      </c>
      <c r="BU145" s="1287">
        <f>(BS145/BO145-1)*100</f>
        <v>-7.2609960930470336</v>
      </c>
    </row>
    <row r="146" spans="1:77" s="1282" customFormat="1">
      <c r="A146" s="1254" t="s">
        <v>82</v>
      </c>
      <c r="C146" s="1337">
        <v>5.6289999999999996</v>
      </c>
      <c r="D146" s="1285">
        <f>(C146/C116)*100</f>
        <v>38.000405049618479</v>
      </c>
      <c r="E146" s="1308" t="s">
        <v>90</v>
      </c>
      <c r="G146" s="1337">
        <v>2.6619999999999999</v>
      </c>
      <c r="H146" s="1285">
        <f>(G146/G116)*100</f>
        <v>33.329159884812796</v>
      </c>
      <c r="I146" s="1287">
        <f>(G146/C146-1)*100</f>
        <v>-52.709184579854316</v>
      </c>
      <c r="K146" s="1337">
        <v>11.177</v>
      </c>
      <c r="L146" s="1285">
        <f>(K146/K116)*100</f>
        <v>31.525356800360971</v>
      </c>
      <c r="M146" s="1287">
        <f>(K146/G146-1)*100</f>
        <v>319.87227648384675</v>
      </c>
      <c r="O146" s="1337">
        <v>8.8339999999999996</v>
      </c>
      <c r="P146" s="1285">
        <f>(O146/O116)*100</f>
        <v>33.347174512098519</v>
      </c>
      <c r="Q146" s="1287">
        <f>(O146/K146-1)*100</f>
        <v>-20.962691240941222</v>
      </c>
      <c r="S146" s="1315">
        <f>S147-SUM(S143:S145)</f>
        <v>-8.6239999999999952</v>
      </c>
      <c r="T146" s="1285">
        <f>(S146/S116)*100</f>
        <v>-9.8008909900899308</v>
      </c>
      <c r="U146" s="1287">
        <f>(S146/O146-1)*100</f>
        <v>-197.62282091917584</v>
      </c>
      <c r="W146" s="1337">
        <f>W147-SUM(W143:W145)</f>
        <v>-15.631000000000002</v>
      </c>
      <c r="X146" s="1285">
        <f>(W146/W116)*100</f>
        <v>-9.3711592995161741</v>
      </c>
      <c r="Y146" s="1287">
        <f>(W146/S146-1)*100</f>
        <v>81.250000000000128</v>
      </c>
      <c r="AA146" s="1337">
        <f>AA147-SUM(AA143:AA145)</f>
        <v>-25.837</v>
      </c>
      <c r="AB146" s="1285">
        <f>(AA146/AA116)*100</f>
        <v>-19.425877611783164</v>
      </c>
      <c r="AC146" s="1287">
        <f>(AA146/W146-1)*100</f>
        <v>65.293327362292857</v>
      </c>
      <c r="AE146" s="1315">
        <f>AE147-SUM(AE143:AE145)</f>
        <v>-36.595000000000013</v>
      </c>
      <c r="AF146" s="1285">
        <f>(AE146/AE116)*100</f>
        <v>-25.523085507044247</v>
      </c>
      <c r="AG146" s="1287">
        <f>(AE146/AA146-1)*100</f>
        <v>41.637961063591035</v>
      </c>
      <c r="AI146" s="1315">
        <f>AI147-SUM(AI143:AI145)</f>
        <v>15.628999999999998</v>
      </c>
      <c r="AJ146" s="1285">
        <f t="shared" si="254"/>
        <v>29.323251843374088</v>
      </c>
      <c r="AK146" s="1287">
        <f t="shared" si="263"/>
        <v>-142.70802022134168</v>
      </c>
      <c r="AM146" s="1315">
        <f>AM147-SUM(AM143:AM145)</f>
        <v>45.670999999999992</v>
      </c>
      <c r="AN146" s="1285">
        <f t="shared" si="255"/>
        <v>39.807373834219426</v>
      </c>
      <c r="AO146" s="1287">
        <f>(AM146/AI146-1)*100</f>
        <v>192.21959178450314</v>
      </c>
      <c r="AP146" s="1283"/>
      <c r="AQ146" s="1315">
        <f>AQ147-SUM(AQ143:AQ145)</f>
        <v>43.56</v>
      </c>
      <c r="AR146" s="1285">
        <f t="shared" si="256"/>
        <v>43.166323133026687</v>
      </c>
      <c r="AS146" s="1287">
        <f>(AQ146/AM146-1)*100</f>
        <v>-4.6221891353375071</v>
      </c>
      <c r="AT146" s="1283"/>
      <c r="AU146" s="1280">
        <v>35.828000000000003</v>
      </c>
      <c r="AV146" s="1285">
        <f t="shared" si="257"/>
        <v>33.490462851167322</v>
      </c>
      <c r="AW146" s="1287">
        <f>(AU146/AQ146-1)*100</f>
        <v>-17.750229568411381</v>
      </c>
      <c r="AY146" s="1280">
        <v>41.192999999999998</v>
      </c>
      <c r="AZ146" s="1285">
        <f t="shared" si="258"/>
        <v>39.31492598566475</v>
      </c>
      <c r="BA146" s="1287">
        <f>(AY146/AU146-1)*100</f>
        <v>14.974321759517672</v>
      </c>
      <c r="BB146" s="1287"/>
      <c r="BC146" s="1280">
        <v>59.597000000000001</v>
      </c>
      <c r="BD146" s="1285">
        <f t="shared" si="259"/>
        <v>36.396892672619103</v>
      </c>
      <c r="BE146" s="1287">
        <f>(BC146/AY146-1)*100</f>
        <v>44.677493748937948</v>
      </c>
      <c r="BF146" s="1287"/>
      <c r="BG146" s="1280">
        <v>55.917999999999999</v>
      </c>
      <c r="BH146" s="1285">
        <f t="shared" si="260"/>
        <v>36.148659568553668</v>
      </c>
      <c r="BI146" s="1287">
        <f>(BG146/BC146-1)*100</f>
        <v>-6.1731295199422771</v>
      </c>
      <c r="BK146" s="1280">
        <v>64.97</v>
      </c>
      <c r="BL146" s="1285">
        <f t="shared" si="261"/>
        <v>34.099437886748099</v>
      </c>
      <c r="BM146" s="1287">
        <f>(BK146/BG146-1)*100</f>
        <v>16.187989556135761</v>
      </c>
      <c r="BO146" s="2233">
        <f>BO136*BP146%</f>
        <v>75.31755400000003</v>
      </c>
      <c r="BP146" s="2174">
        <f>36.6-1.8-1</f>
        <v>33.800000000000004</v>
      </c>
      <c r="BQ146" s="1287">
        <f>(BO146/BK146-1)*100</f>
        <v>15.926664614437481</v>
      </c>
      <c r="BS146" s="1329">
        <f>BS136*BT146%</f>
        <v>63.963717898157974</v>
      </c>
      <c r="BT146" s="2174">
        <v>26</v>
      </c>
      <c r="BU146" s="1287">
        <f>(BS146/BO146-1)*100</f>
        <v>-15.074621384866072</v>
      </c>
    </row>
    <row r="147" spans="1:77" s="1282" customFormat="1">
      <c r="A147" s="1254" t="s">
        <v>85</v>
      </c>
      <c r="C147" s="1291">
        <v>43.414000000000001</v>
      </c>
      <c r="D147" s="1285">
        <f>(C147/C117)*100</f>
        <v>25.683742227848999</v>
      </c>
      <c r="E147" s="1308" t="s">
        <v>90</v>
      </c>
      <c r="G147" s="1291">
        <v>42.82</v>
      </c>
      <c r="H147" s="1285">
        <f>(G147/G117)*100</f>
        <v>23.892689350400062</v>
      </c>
      <c r="I147" s="1287">
        <f>(G147/C147-1)*100</f>
        <v>-1.3682222324595816</v>
      </c>
      <c r="K147" s="1291">
        <v>42.640999999999998</v>
      </c>
      <c r="L147" s="1285">
        <f>(K147/K117)*100</f>
        <v>21.932075937517677</v>
      </c>
      <c r="M147" s="1287">
        <f>(K147/G147-1)*100</f>
        <v>-0.41802895843064958</v>
      </c>
      <c r="O147" s="1291">
        <v>66.203999999999994</v>
      </c>
      <c r="P147" s="1285">
        <f>(O147/O117)*100</f>
        <v>25.97029679666721</v>
      </c>
      <c r="Q147" s="1287">
        <f>(O147/K147-1)*100</f>
        <v>55.25902300602705</v>
      </c>
      <c r="S147" s="1291">
        <v>46.789000000000001</v>
      </c>
      <c r="T147" s="1285">
        <f>(S147/S117)*100</f>
        <v>19.878998508724589</v>
      </c>
      <c r="U147" s="1287">
        <f>(S147/O147-1)*100</f>
        <v>-29.326022596821932</v>
      </c>
      <c r="W147" s="1291">
        <v>-25.425000000000001</v>
      </c>
      <c r="X147" s="1285">
        <f>(W147/W117)*100</f>
        <v>-10.009172614431316</v>
      </c>
      <c r="Y147" s="1287">
        <f>(W147/S147-1)*100</f>
        <v>-154.33969522751073</v>
      </c>
      <c r="AA147" s="1291">
        <v>-25.303999999999998</v>
      </c>
      <c r="AB147" s="1285">
        <f>(AA147/AA117)*100</f>
        <v>-10.641769703086888</v>
      </c>
      <c r="AC147" s="1287">
        <f>(AA147/W147-1)*100</f>
        <v>-0.47590953785644485</v>
      </c>
      <c r="AE147" s="1291">
        <f>-147.389</f>
        <v>-147.38900000000001</v>
      </c>
      <c r="AF147" s="1285">
        <f>(AE147/AE117)*100</f>
        <v>-57.49454853268734</v>
      </c>
      <c r="AG147" s="1287">
        <f>(AE147/AA147-1)*100</f>
        <v>482.47312677837505</v>
      </c>
      <c r="AI147" s="1284">
        <f>-29.753</f>
        <v>-29.753</v>
      </c>
      <c r="AJ147" s="1285">
        <f t="shared" si="254"/>
        <v>-75.341216986149036</v>
      </c>
      <c r="AK147" s="1287">
        <f t="shared" si="263"/>
        <v>-79.813283216522265</v>
      </c>
      <c r="AM147" s="1284">
        <f>22.13</f>
        <v>22.13</v>
      </c>
      <c r="AN147" s="1285">
        <f t="shared" si="255"/>
        <v>41.654118355669446</v>
      </c>
      <c r="AO147" s="1287">
        <f>(AM147/AI147-1)*100</f>
        <v>-174.37905421302054</v>
      </c>
      <c r="AP147" s="1283"/>
      <c r="AQ147" s="1284">
        <f>-4.148</f>
        <v>-4.1479999999999997</v>
      </c>
      <c r="AR147" s="1285">
        <f t="shared" si="256"/>
        <v>38.079500596714077</v>
      </c>
      <c r="AS147" s="1287">
        <f>(AQ147/AM147-1)*100</f>
        <v>-118.7437867148667</v>
      </c>
      <c r="AT147" s="1283"/>
      <c r="AU147" s="1291">
        <f>SUM(AU143:AU146)</f>
        <v>3.8626241200000031</v>
      </c>
      <c r="AV147" s="1285">
        <f t="shared" si="257"/>
        <v>12.141702633909143</v>
      </c>
      <c r="AW147" s="1287">
        <f>(AU147/AQ147-1)*100</f>
        <v>-193.12015718418522</v>
      </c>
      <c r="AY147" s="1291">
        <f>SUM(AY143:AY146)</f>
        <v>16.207999999999995</v>
      </c>
      <c r="AZ147" s="1285">
        <f t="shared" si="258"/>
        <v>50.088074415155283</v>
      </c>
      <c r="BA147" s="1287">
        <f>(AY147/AU147-1)*100</f>
        <v>319.61111142235563</v>
      </c>
      <c r="BB147" s="1287"/>
      <c r="BC147" s="1291">
        <f>SUM(BC143:BC146)</f>
        <v>39.081000000000003</v>
      </c>
      <c r="BD147" s="1285">
        <f t="shared" si="259"/>
        <v>34.186815493894187</v>
      </c>
      <c r="BE147" s="1287">
        <f>(BC147/AY147-1)*100</f>
        <v>141.1216683119448</v>
      </c>
      <c r="BF147" s="1287"/>
      <c r="BG147" s="1291">
        <f>SUM(BG143:BG146)</f>
        <v>88.391999999999996</v>
      </c>
      <c r="BH147" s="1285">
        <f t="shared" si="260"/>
        <v>37.003608597000927</v>
      </c>
      <c r="BI147" s="1287">
        <f>(BG147/BC147-1)*100</f>
        <v>126.17640285560756</v>
      </c>
      <c r="BK147" s="1330">
        <f>SUM(BK143:BK146)</f>
        <v>117.339</v>
      </c>
      <c r="BL147" s="1285">
        <f t="shared" si="261"/>
        <v>35.214518084582835</v>
      </c>
      <c r="BM147" s="1287">
        <f>(BK147/BG147-1)*100</f>
        <v>32.748438772739632</v>
      </c>
      <c r="BO147" s="1291">
        <f>SUM(BO143:BO146)</f>
        <v>137.31555400000002</v>
      </c>
      <c r="BP147" s="1285">
        <f>(BO147/BO137)*100</f>
        <v>32.009779943120911</v>
      </c>
      <c r="BQ147" s="1287">
        <f>(BO147/BK147-1)*100</f>
        <v>17.024649945883308</v>
      </c>
      <c r="BS147" s="1291">
        <f>SUM(BS143:BS146)</f>
        <v>116.81044059227676</v>
      </c>
      <c r="BT147" s="1285">
        <f>(BS147/BS137)*100</f>
        <v>23.519523691257234</v>
      </c>
      <c r="BU147" s="1287">
        <f>(BS147/BO147-1)*100</f>
        <v>-14.932841044156774</v>
      </c>
    </row>
    <row r="148" spans="1:77" ht="12" customHeight="1">
      <c r="A148" s="1254" t="s">
        <v>87</v>
      </c>
      <c r="AI148" s="1292">
        <f>SUM(AI143:AI144)</f>
        <v>-51.332999999999998</v>
      </c>
      <c r="AJ148" s="1285">
        <f t="shared" si="254"/>
        <v>107.26330526359764</v>
      </c>
      <c r="AK148" s="1287" t="str">
        <f t="shared" si="263"/>
        <v>-</v>
      </c>
      <c r="AM148" s="1292">
        <f>SUM(AM143:AM144)</f>
        <v>-20.902999999999999</v>
      </c>
      <c r="AN148" s="1285">
        <f t="shared" si="255"/>
        <v>37.214477736829963</v>
      </c>
      <c r="AO148" s="1287">
        <f>IFERROR((AM148/AI148-1)*100,"-")</f>
        <v>-59.279605711725402</v>
      </c>
      <c r="AQ148" s="1292">
        <f>SUM(AQ143:AQ144)</f>
        <v>-34.313000000000002</v>
      </c>
      <c r="AR148" s="1285">
        <f t="shared" si="256"/>
        <v>38.933203226941103</v>
      </c>
      <c r="AS148" s="1287">
        <f>IFERROR((AQ148/AM148-1)*100,"-")</f>
        <v>64.153470793666003</v>
      </c>
      <c r="AU148" s="1292">
        <f>SUM(AU143:AU144)</f>
        <v>-17.761375879999999</v>
      </c>
      <c r="AV148" s="1285">
        <f t="shared" si="257"/>
        <v>33.189007290752137</v>
      </c>
      <c r="AW148" s="1287">
        <f>IFERROR((AU148/AQ148-1)*100,"-")</f>
        <v>-48.23718159298226</v>
      </c>
      <c r="AY148" s="1292">
        <f>SUM(AY143:AY144)</f>
        <v>-17.307000000000002</v>
      </c>
      <c r="AZ148" s="1285">
        <f t="shared" si="258"/>
        <v>36.143597026146416</v>
      </c>
      <c r="BA148" s="1287">
        <f>IFERROR((AY148/AU148-1)*100,"-")</f>
        <v>-2.5582245602472797</v>
      </c>
      <c r="BC148" s="1292">
        <f>SUM(BC143:BC144)</f>
        <v>3.4929999999999994</v>
      </c>
      <c r="BD148" s="1285">
        <f t="shared" si="259"/>
        <v>39.706718199386948</v>
      </c>
      <c r="BE148" s="1287">
        <f>IFERROR((BC148/AY148-1)*100,"-")</f>
        <v>-120.18258508118103</v>
      </c>
      <c r="BG148" s="1292">
        <f>SUM(BG143:BG144)</f>
        <v>23.332000000000001</v>
      </c>
      <c r="BH148" s="1285">
        <f t="shared" si="260"/>
        <v>38.934036410966563</v>
      </c>
      <c r="BI148" s="1287">
        <f>IFERROR((BG148/BC148-1)*100,"-")</f>
        <v>567.96450042943047</v>
      </c>
      <c r="BK148" s="1292">
        <f>SUM(BK143:BK144)</f>
        <v>34.92</v>
      </c>
      <c r="BL148" s="1285">
        <f t="shared" si="261"/>
        <v>37.617960098246137</v>
      </c>
      <c r="BM148" s="1287">
        <f>IFERROR((BK148/BG148-1)*100,"-")</f>
        <v>49.665695182581857</v>
      </c>
      <c r="BO148" s="1292">
        <f>SUM(BO143:BO144)</f>
        <v>39.078000000000003</v>
      </c>
      <c r="BP148" s="1285">
        <f>(BO148/BO138)*100</f>
        <v>28.246161852719233</v>
      </c>
      <c r="BQ148" s="1287">
        <f>IFERROR((BO148/BK148-1)*100,"-")</f>
        <v>11.907216494845363</v>
      </c>
      <c r="BS148" s="1292">
        <f>SUM(BS143:BS144)</f>
        <v>31.590942998645161</v>
      </c>
      <c r="BT148" s="1285">
        <f>(BS148/BS138)*100</f>
        <v>19.074851526312241</v>
      </c>
      <c r="BU148" s="1287">
        <f>IFERROR((BS148/BO148-1)*100,"-")</f>
        <v>-19.159263527700599</v>
      </c>
      <c r="BY148" s="1694"/>
    </row>
    <row r="149" spans="1:77" s="1282" customFormat="1">
      <c r="A149" s="1254" t="s">
        <v>88</v>
      </c>
      <c r="B149" s="1281"/>
      <c r="C149" s="1281"/>
      <c r="D149" s="1281"/>
      <c r="E149" s="1281"/>
      <c r="F149" s="1281"/>
      <c r="G149" s="1281"/>
      <c r="H149" s="1281"/>
      <c r="I149" s="1281"/>
      <c r="J149" s="1281"/>
      <c r="K149" s="1281"/>
      <c r="L149" s="1281"/>
      <c r="M149" s="1281"/>
      <c r="N149" s="1281"/>
      <c r="O149" s="1281"/>
      <c r="P149" s="1281"/>
      <c r="Q149" s="1281"/>
      <c r="R149" s="1281"/>
      <c r="S149" s="1281"/>
      <c r="T149" s="1281"/>
      <c r="U149" s="1281"/>
      <c r="V149" s="1281"/>
      <c r="W149" s="1281"/>
      <c r="X149" s="1281"/>
      <c r="Y149" s="1281"/>
      <c r="Z149" s="1281"/>
      <c r="AA149" s="1281"/>
      <c r="AB149" s="1281"/>
      <c r="AC149" s="1281"/>
      <c r="AD149" s="1281"/>
      <c r="AE149" s="1281"/>
      <c r="AF149" s="1281"/>
      <c r="AG149" s="1281"/>
      <c r="AH149" s="1281"/>
      <c r="AI149" s="1292">
        <f>SUM(AI143:AI145)</f>
        <v>-45.381999999999998</v>
      </c>
      <c r="AJ149" s="1285">
        <f t="shared" si="254"/>
        <v>328.66454229431719</v>
      </c>
      <c r="AK149" s="1287" t="str">
        <f t="shared" si="263"/>
        <v>-</v>
      </c>
      <c r="AL149" s="1281"/>
      <c r="AM149" s="1292">
        <f>SUM(AM143:AM145)</f>
        <v>-23.540999999999997</v>
      </c>
      <c r="AN149" s="1285">
        <f>(AM149/AM119)*100</f>
        <v>-140.56006687365706</v>
      </c>
      <c r="AO149" s="1287">
        <f>IFERROR((AM149/AI149-1)*100,"-")</f>
        <v>-48.127010709091714</v>
      </c>
      <c r="AP149" s="1281"/>
      <c r="AQ149" s="1292">
        <f>SUM(AQ143:AQ145)</f>
        <v>-47.707999999999998</v>
      </c>
      <c r="AR149" s="1285">
        <f>(AQ149/AQ119)*100</f>
        <v>344.98517607925339</v>
      </c>
      <c r="AS149" s="1287">
        <f>IFERROR((AQ149/AM149-1)*100,"-")</f>
        <v>102.65919034875326</v>
      </c>
      <c r="AT149" s="1281"/>
      <c r="AU149" s="1292">
        <f>SUM(AU143:AU145)</f>
        <v>-31.96537588</v>
      </c>
      <c r="AV149" s="1285">
        <f>(AU149/AU119)*100</f>
        <v>-342.00076857416195</v>
      </c>
      <c r="AW149" s="1287">
        <f>IFERROR((AU149/AQ149-1)*100,"-")</f>
        <v>-32.997870629663787</v>
      </c>
      <c r="AX149" s="1281"/>
      <c r="AY149" s="1292">
        <f>SUM(AY143:AY145)</f>
        <v>-24.985000000000003</v>
      </c>
      <c r="AZ149" s="1285">
        <f>(AY149/AY119)*100</f>
        <v>-89.455782312925606</v>
      </c>
      <c r="BA149" s="1287">
        <f>IFERROR((AY149/AU149-1)*100,"-")</f>
        <v>-21.837302668377056</v>
      </c>
      <c r="BC149" s="1292">
        <f>SUM(BC143:BC145)</f>
        <v>-20.516000000000002</v>
      </c>
      <c r="BD149" s="1285">
        <f>(BC149/BC119)*100</f>
        <v>-106.32255389718254</v>
      </c>
      <c r="BE149" s="1287">
        <f>IFERROR((BC149/AY149-1)*100,"-")</f>
        <v>-17.886732039223542</v>
      </c>
      <c r="BG149" s="1292">
        <f>SUM(BG143:BG145)</f>
        <v>32.474000000000004</v>
      </c>
      <c r="BH149" s="1285">
        <f t="shared" si="260"/>
        <v>38.574567915899408</v>
      </c>
      <c r="BI149" s="1287">
        <f>IFERROR((BG149/BC149-1)*100,"-")</f>
        <v>-258.28621563657634</v>
      </c>
      <c r="BJ149" s="1281"/>
      <c r="BK149" s="1292">
        <f>SUM(BK143:BK145)</f>
        <v>52.369</v>
      </c>
      <c r="BL149" s="1285">
        <f t="shared" si="261"/>
        <v>36.703555483911614</v>
      </c>
      <c r="BM149" s="1287">
        <f>IFERROR((BK149/BG149-1)*100,"-")</f>
        <v>61.264396132290422</v>
      </c>
      <c r="BN149" s="1281"/>
      <c r="BO149" s="1292">
        <f>SUM(BO143:BO145)</f>
        <v>61.998000000000005</v>
      </c>
      <c r="BP149" s="1285">
        <f>(BO149/BO139)*100</f>
        <v>30.074655464304605</v>
      </c>
      <c r="BQ149" s="1287">
        <f>IFERROR((BO149/BK149-1)*100,"-")</f>
        <v>18.386831904370915</v>
      </c>
      <c r="BR149" s="1281"/>
      <c r="BS149" s="1292">
        <f>SUM(BS143:BS145)</f>
        <v>52.846722694118782</v>
      </c>
      <c r="BT149" s="1285">
        <f>(BS149/BS139)*100</f>
        <v>21.084814176521547</v>
      </c>
      <c r="BU149" s="1287">
        <f>IFERROR((BS149/BO149-1)*100,"-")</f>
        <v>-14.760600835319238</v>
      </c>
    </row>
    <row r="150" spans="1:77" s="1282" customFormat="1">
      <c r="A150" s="1251"/>
      <c r="B150" s="1281"/>
      <c r="C150" s="1281"/>
      <c r="D150" s="1281"/>
      <c r="E150" s="1281"/>
      <c r="F150" s="1281"/>
      <c r="G150" s="1281"/>
      <c r="H150" s="1281"/>
      <c r="I150" s="1281"/>
      <c r="J150" s="1281"/>
      <c r="K150" s="1281"/>
      <c r="L150" s="1281"/>
      <c r="M150" s="1281"/>
      <c r="N150" s="1281"/>
      <c r="O150" s="1281"/>
      <c r="P150" s="1281"/>
      <c r="Q150" s="1281"/>
      <c r="R150" s="1281"/>
      <c r="S150" s="1281"/>
      <c r="T150" s="1281"/>
      <c r="U150" s="1281"/>
      <c r="V150" s="1281"/>
      <c r="W150" s="1281"/>
      <c r="X150" s="1281"/>
      <c r="Y150" s="1281"/>
      <c r="Z150" s="1281"/>
      <c r="AA150" s="1281"/>
      <c r="AB150" s="1281"/>
      <c r="AC150" s="1281"/>
      <c r="AD150" s="1281"/>
      <c r="AE150" s="1281"/>
      <c r="AF150" s="1281"/>
      <c r="AG150" s="1281"/>
      <c r="AH150" s="1281"/>
      <c r="AI150" s="1281"/>
      <c r="AJ150" s="1281"/>
      <c r="AK150" s="1281"/>
      <c r="AL150" s="1281"/>
      <c r="AM150" s="1281"/>
      <c r="AN150" s="1281"/>
      <c r="AO150" s="1281"/>
      <c r="AP150" s="1281"/>
      <c r="AQ150" s="1281"/>
      <c r="AR150" s="1281"/>
      <c r="AS150" s="1281"/>
      <c r="AT150" s="1281"/>
      <c r="AU150" s="1281"/>
      <c r="AV150" s="1281"/>
      <c r="AW150" s="1281"/>
      <c r="AX150" s="1281"/>
      <c r="AY150" s="1281"/>
      <c r="AZ150" s="1281"/>
      <c r="BA150" s="1281"/>
      <c r="BC150" s="1281"/>
      <c r="BD150" s="1281"/>
      <c r="BE150" s="1281"/>
      <c r="BG150" s="1281"/>
      <c r="BH150" s="1281"/>
      <c r="BI150" s="1281"/>
      <c r="BJ150" s="1281"/>
      <c r="BK150" s="1281"/>
      <c r="BL150" s="1281"/>
      <c r="BM150" s="1281"/>
      <c r="BN150" s="1281"/>
      <c r="BO150" s="1281"/>
      <c r="BP150" s="1281"/>
      <c r="BQ150" s="1281"/>
      <c r="BR150" s="1281"/>
      <c r="BS150" s="1281"/>
      <c r="BT150" s="1281"/>
      <c r="BU150" s="1281"/>
      <c r="BY150" s="1694"/>
    </row>
    <row r="151" spans="1:77" s="1282" customFormat="1">
      <c r="A151" s="1251" t="s">
        <v>904</v>
      </c>
      <c r="B151" s="1281"/>
      <c r="C151" s="1281"/>
      <c r="D151" s="1281"/>
      <c r="E151" s="1281"/>
      <c r="F151" s="1281"/>
      <c r="G151" s="1281"/>
      <c r="H151" s="1281"/>
      <c r="I151" s="1281"/>
      <c r="J151" s="1281"/>
      <c r="K151" s="1281"/>
      <c r="L151" s="1281"/>
      <c r="M151" s="1281"/>
      <c r="N151" s="1281"/>
      <c r="O151" s="1281"/>
      <c r="P151" s="1281"/>
      <c r="Q151" s="1281"/>
      <c r="R151" s="1281"/>
      <c r="S151" s="1281"/>
      <c r="T151" s="1281"/>
      <c r="U151" s="1281"/>
      <c r="V151" s="1281"/>
      <c r="W151" s="1281"/>
      <c r="X151" s="1281"/>
      <c r="Y151" s="1281"/>
      <c r="Z151" s="1281"/>
      <c r="AA151" s="1281"/>
      <c r="AB151" s="1281"/>
      <c r="AC151" s="1281"/>
      <c r="AD151" s="1281"/>
      <c r="AE151" s="1281"/>
      <c r="AF151" s="1281"/>
      <c r="AG151" s="1281"/>
      <c r="AH151" s="1281"/>
      <c r="AI151" s="1281"/>
      <c r="AJ151" s="1281"/>
      <c r="AK151" s="1281"/>
      <c r="AL151" s="1281"/>
      <c r="AM151" s="1281"/>
      <c r="AN151" s="1281"/>
      <c r="AO151" s="1281"/>
      <c r="AP151" s="1281"/>
      <c r="AQ151" s="1281"/>
      <c r="AR151" s="1281"/>
      <c r="AS151" s="1281"/>
      <c r="AT151" s="1281"/>
      <c r="AU151" s="1281"/>
      <c r="AV151" s="1281"/>
      <c r="AW151" s="1281"/>
      <c r="AX151" s="1281"/>
      <c r="AY151" s="1281"/>
      <c r="AZ151" s="1281"/>
      <c r="BA151" s="1281"/>
      <c r="BC151" s="1281"/>
      <c r="BD151" s="1251"/>
      <c r="BE151" s="1281"/>
      <c r="BG151" s="2264" t="str">
        <f>A151</f>
        <v>15. GAAP Net Earnings (% Net Margin)</v>
      </c>
      <c r="BH151" s="2264"/>
      <c r="BI151" s="2264"/>
      <c r="BJ151" s="2264"/>
      <c r="BK151" s="2264"/>
      <c r="BL151" s="2264"/>
      <c r="BM151" s="2264"/>
      <c r="BN151" s="1663"/>
      <c r="BO151" s="2251">
        <f>BO147-44.128</f>
        <v>93.18755400000002</v>
      </c>
      <c r="BP151" s="1663"/>
      <c r="BQ151" s="1663"/>
      <c r="BR151" s="2149"/>
      <c r="BS151" s="2149"/>
      <c r="BT151" s="2149"/>
      <c r="BU151" s="2149"/>
    </row>
    <row r="152" spans="1:77" s="1282" customFormat="1">
      <c r="AI152" s="1283"/>
      <c r="AM152" s="1283"/>
      <c r="AN152" s="1283"/>
      <c r="AO152" s="1283"/>
      <c r="AP152" s="1283"/>
      <c r="AQ152" s="1283"/>
      <c r="AR152" s="1283"/>
      <c r="AS152" s="1283"/>
      <c r="AT152" s="1283"/>
      <c r="AU152" s="1283"/>
      <c r="AV152" s="1283"/>
      <c r="AW152" s="1283"/>
    </row>
    <row r="153" spans="1:77" s="1282" customFormat="1">
      <c r="A153" s="1254" t="s">
        <v>79</v>
      </c>
      <c r="C153" s="1291">
        <f>C113-C143</f>
        <v>-20.26400000000001</v>
      </c>
      <c r="D153" s="1285">
        <f>(C153/C11)*100</f>
        <v>-4.4411715715926343</v>
      </c>
      <c r="E153" s="1308" t="str">
        <f>IFERROR(((C153/#REF!-1)*100),"-")</f>
        <v>-</v>
      </c>
      <c r="G153" s="1291">
        <f>G113-G143</f>
        <v>-15.612999999999927</v>
      </c>
      <c r="H153" s="1285">
        <f>(G153/G11)*100</f>
        <v>-3.0475391116793231</v>
      </c>
      <c r="I153" s="1287" t="str">
        <f>IFERROR(((G153/#REF!-1)*100),"-")</f>
        <v>-</v>
      </c>
      <c r="K153" s="1291">
        <f>K113-K143</f>
        <v>-14.994000000000048</v>
      </c>
      <c r="L153" s="1285">
        <f>(K153/K11)*100</f>
        <v>-2.820960978023455</v>
      </c>
      <c r="M153" s="1287" t="str">
        <f>IFERROR(((K153/#REF!-1)*100),"-")</f>
        <v>-</v>
      </c>
      <c r="O153" s="1291">
        <f>O113-O143</f>
        <v>-15.623000000000015</v>
      </c>
      <c r="P153" s="1285">
        <f>(O153/O11)*100</f>
        <v>-2.6910270962985701</v>
      </c>
      <c r="Q153" s="1287" t="str">
        <f>IFERROR(((O153/#REF!-1)*100),"-")</f>
        <v>-</v>
      </c>
      <c r="S153" s="1291">
        <f>S113-S143</f>
        <v>-14.143999999999965</v>
      </c>
      <c r="T153" s="1285">
        <f>(S153/S11)*100</f>
        <v>-2.1489823328856232</v>
      </c>
      <c r="U153" s="1287" t="str">
        <f>IFERROR(((S153/#REF!-1)*100),"-")</f>
        <v>-</v>
      </c>
      <c r="W153" s="1291">
        <f>W113-W143</f>
        <v>-16.394000000000027</v>
      </c>
      <c r="X153" s="1285">
        <f>(W153/W11)*100</f>
        <v>-2.4679872219863772</v>
      </c>
      <c r="Y153" s="1287" t="str">
        <f>IFERROR(((W153/#REF!-1)*100),"-")</f>
        <v>-</v>
      </c>
      <c r="AA153" s="1291">
        <f>AA113-AA143</f>
        <v>-16.616999999999955</v>
      </c>
      <c r="AB153" s="1285">
        <f>(AA153/AA11)*100</f>
        <v>-2.4239038315388961</v>
      </c>
      <c r="AC153" s="1287" t="str">
        <f>IFERROR(((AA153/#REF!-1)*100),"-")</f>
        <v>-</v>
      </c>
      <c r="AE153" s="1291">
        <f>AE113-AE143</f>
        <v>-6.0940000000000083</v>
      </c>
      <c r="AF153" s="1285">
        <f>(AE153/AE11)*100</f>
        <v>-0.85418929810421684</v>
      </c>
      <c r="AG153" s="1287" t="str">
        <f>IFERROR(((AE153/#REF!-1)*100),"-")</f>
        <v>-</v>
      </c>
      <c r="AI153" s="1330">
        <f>AI133-AI143</f>
        <v>-21.688000000000009</v>
      </c>
      <c r="AJ153" s="1285">
        <f t="shared" ref="AJ153:AJ159" si="264">(AI153/AI11)*100</f>
        <v>-2.6128766822923644</v>
      </c>
      <c r="AK153" s="1287">
        <f>IFERROR((AI153/AE153-1)*100,"-")</f>
        <v>255.89104036757436</v>
      </c>
      <c r="AM153" s="1330">
        <f>AM133-AM143</f>
        <v>5.2130000000000267</v>
      </c>
      <c r="AN153" s="1287">
        <f t="shared" ref="AN153:AN159" si="265">(AM153/AM11)*100</f>
        <v>0.5826677307366479</v>
      </c>
      <c r="AO153" s="1287">
        <f>(AM153/AI153-1)*100</f>
        <v>-124.0363334562893</v>
      </c>
      <c r="AQ153" s="1330">
        <f>AQ133-AQ143</f>
        <v>-21.056999999999952</v>
      </c>
      <c r="AR153" s="1287">
        <f t="shared" ref="AR153:AR159" si="266">(AQ153/AQ11)*100</f>
        <v>-2.2664331742872745</v>
      </c>
      <c r="AS153" s="1287">
        <f>(AQ153/AM153-1)*100</f>
        <v>-503.93247650105207</v>
      </c>
      <c r="AU153" s="1330">
        <f>AU133-AU143</f>
        <v>-4.4049328399999546</v>
      </c>
      <c r="AV153" s="1287">
        <f t="shared" ref="AV153:AV159" si="267">(AU153/AU11)*100</f>
        <v>-0.44837491205342289</v>
      </c>
      <c r="AW153" s="1287">
        <f>(AU153/AQ153-1)*100</f>
        <v>-79.080909721233013</v>
      </c>
      <c r="AY153" s="1291">
        <f>AY133-AY143</f>
        <v>-5.5630000000001019</v>
      </c>
      <c r="AZ153" s="1287">
        <f t="shared" ref="AZ153:AZ159" si="268">(AY153/AY11)*100</f>
        <v>-0.52234104184644714</v>
      </c>
      <c r="BA153" s="1287">
        <f>(AY153/AU153-1)*100</f>
        <v>26.290234200259889</v>
      </c>
      <c r="BC153" s="1330">
        <f>BC133-BC143</f>
        <v>11.773999999999974</v>
      </c>
      <c r="BD153" s="1287">
        <f t="shared" ref="BD153:BD159" si="269">(BC153/BC11)*100</f>
        <v>1.0435454665509709</v>
      </c>
      <c r="BE153" s="1287">
        <f>(BC153/AY153-1)*100</f>
        <v>-311.64839115584687</v>
      </c>
      <c r="BG153" s="1291">
        <f>BG133-BG143</f>
        <v>25.69500000000005</v>
      </c>
      <c r="BH153" s="1287">
        <f t="shared" ref="BH153:BH159" si="270">(BG153/BG11)*100</f>
        <v>2.1719119671969067</v>
      </c>
      <c r="BI153" s="1287">
        <f>(BG153/BC153-1)*100</f>
        <v>118.23509427552325</v>
      </c>
      <c r="BK153" s="1291">
        <f>BK133-BK143</f>
        <v>37.514000000000038</v>
      </c>
      <c r="BL153" s="1287">
        <f t="shared" ref="BL153:BL159" si="271">(BK153/BK11)*100</f>
        <v>2.9246805491669745</v>
      </c>
      <c r="BM153" s="1287">
        <f>(BK153/BG153-1)*100</f>
        <v>45.997275734578565</v>
      </c>
      <c r="BO153" s="1291">
        <f>BO133-BO143</f>
        <v>52.368000000000109</v>
      </c>
      <c r="BP153" s="1287">
        <f t="shared" ref="BP153:BP159" si="272">(BO153/BO11)*100</f>
        <v>3.889061346586014</v>
      </c>
      <c r="BQ153" s="1287">
        <f>(BO153/BK153-1)*100</f>
        <v>39.595884203230945</v>
      </c>
      <c r="BS153" s="1291">
        <f>BS133-BS143</f>
        <v>71.204901915798033</v>
      </c>
      <c r="BT153" s="1287">
        <f t="shared" ref="BT153:BT156" si="273">(BS153/BS11)*100</f>
        <v>4.7916953324426794</v>
      </c>
      <c r="BU153" s="1287">
        <f>(BS153/BO153-1)*100</f>
        <v>35.970252665364136</v>
      </c>
    </row>
    <row r="154" spans="1:77" s="1282" customFormat="1">
      <c r="A154" s="1254" t="s">
        <v>80</v>
      </c>
      <c r="C154" s="1312">
        <f>C114-C144</f>
        <v>41.494000000000071</v>
      </c>
      <c r="D154" s="1285">
        <f>(C154/C12)*100</f>
        <v>5.5286853683169941</v>
      </c>
      <c r="E154" s="1308" t="str">
        <f>IFERROR(((C154/#REF!-1)*100),"-")</f>
        <v>-</v>
      </c>
      <c r="G154" s="1312">
        <f>G114-G144</f>
        <v>42.194000000000088</v>
      </c>
      <c r="H154" s="1285">
        <f>(G154/G12)*100</f>
        <v>5.3356702339809239</v>
      </c>
      <c r="I154" s="1287" t="str">
        <f>IFERROR(((G154/#REF!-1)*100),"-")</f>
        <v>-</v>
      </c>
      <c r="K154" s="1312">
        <f>K114-K144</f>
        <v>29.529000000000014</v>
      </c>
      <c r="L154" s="1285">
        <f>(K154/K12)*100</f>
        <v>3.7187132035790533</v>
      </c>
      <c r="M154" s="1287" t="str">
        <f>IFERROR(((K154/#REF!-1)*100),"-")</f>
        <v>-</v>
      </c>
      <c r="O154" s="1312">
        <f>O114-O144</f>
        <v>43.250999999999998</v>
      </c>
      <c r="P154" s="1285">
        <f>(O154/O12)*100</f>
        <v>4.9150762643102111</v>
      </c>
      <c r="Q154" s="1287" t="str">
        <f>IFERROR(((O154/#REF!-1)*100),"-")</f>
        <v>-</v>
      </c>
      <c r="S154" s="1312">
        <f>S114-S144</f>
        <v>46.904000000000018</v>
      </c>
      <c r="T154" s="1285">
        <f>(S154/S12)*100</f>
        <v>4.9169432429769202</v>
      </c>
      <c r="U154" s="1287" t="str">
        <f>IFERROR(((S154/#REF!-1)*100),"-")</f>
        <v>-</v>
      </c>
      <c r="W154" s="1312">
        <f>W114-W144</f>
        <v>50.639999999999887</v>
      </c>
      <c r="X154" s="1285">
        <f>(W154/W12)*100</f>
        <v>5.0797421208324485</v>
      </c>
      <c r="Y154" s="1287" t="str">
        <f>IFERROR(((W154/#REF!-1)*100),"-")</f>
        <v>-</v>
      </c>
      <c r="AA154" s="1312">
        <f>AA114-AA144</f>
        <v>63.683999999999948</v>
      </c>
      <c r="AB154" s="1285">
        <f>(AA154/AA12)*100</f>
        <v>6.663939032136204</v>
      </c>
      <c r="AC154" s="1287" t="str">
        <f>IFERROR(((AA154/#REF!-1)*100),"-")</f>
        <v>-</v>
      </c>
      <c r="AE154" s="1312">
        <f>AE114-AE144</f>
        <v>45.94100000000001</v>
      </c>
      <c r="AF154" s="1285">
        <f>(AE154/AE12)*100</f>
        <v>4.5472991966678951</v>
      </c>
      <c r="AG154" s="1287" t="str">
        <f>IFERROR(((AE154/#REF!-1)*100),"-")</f>
        <v>-</v>
      </c>
      <c r="AI154" s="1376">
        <f>AI134-AI144</f>
        <v>-12.520000000000065</v>
      </c>
      <c r="AJ154" s="1285">
        <f t="shared" si="264"/>
        <v>-1.786076025210501</v>
      </c>
      <c r="AK154" s="1287">
        <f t="shared" ref="AK154:AK159" si="274">IFERROR((AI154/AE154-1)*100,"-")</f>
        <v>-127.25234539953432</v>
      </c>
      <c r="AM154" s="1376">
        <f>AM134-AM144</f>
        <v>-40.478999999999971</v>
      </c>
      <c r="AN154" s="1287">
        <f t="shared" si="265"/>
        <v>-5.5545797598627749</v>
      </c>
      <c r="AO154" s="1287">
        <f>(AM154/AI154-1)*100</f>
        <v>223.31469648562111</v>
      </c>
      <c r="AQ154" s="1376">
        <f>AQ134-AQ144</f>
        <v>-32.763000000000048</v>
      </c>
      <c r="AR154" s="1287">
        <f t="shared" si="266"/>
        <v>-4.1297083629020834</v>
      </c>
      <c r="AS154" s="1287">
        <f>(AQ154/AM154-1)*100</f>
        <v>-19.061735714814908</v>
      </c>
      <c r="AU154" s="1379">
        <f>AU134-AU144</f>
        <v>-31.349530800000004</v>
      </c>
      <c r="AV154" s="1287">
        <f t="shared" si="267"/>
        <v>-3.6276570241291664</v>
      </c>
      <c r="AW154" s="1287">
        <f>(AU154/AQ154-1)*100</f>
        <v>-4.3142239721638447</v>
      </c>
      <c r="AY154" s="1376">
        <f>AY134-AY144</f>
        <v>-25.014000000000038</v>
      </c>
      <c r="AZ154" s="1287">
        <f t="shared" si="268"/>
        <v>-2.5955914169289382</v>
      </c>
      <c r="BA154" s="1287">
        <f>(AY154/AU154-1)*100</f>
        <v>-20.209332128185999</v>
      </c>
      <c r="BC154" s="1379">
        <f>BC134-BC144</f>
        <v>-6.4700000000001507</v>
      </c>
      <c r="BD154" s="1287">
        <f t="shared" si="269"/>
        <v>-0.61998062440770307</v>
      </c>
      <c r="BE154" s="1287">
        <f>(BC154/AY154-1)*100</f>
        <v>-74.134484688573849</v>
      </c>
      <c r="BG154" s="1376">
        <f>BG134-BG144</f>
        <v>10.900000000000126</v>
      </c>
      <c r="BH154" s="1287">
        <f t="shared" si="270"/>
        <v>0.95261567288752025</v>
      </c>
      <c r="BI154" s="1287">
        <f>(BG154/BC154-1)*100</f>
        <v>-268.46986089644315</v>
      </c>
      <c r="BK154" s="1379">
        <f>BK134-BK144</f>
        <v>20.394000000000176</v>
      </c>
      <c r="BL154" s="1287">
        <f t="shared" si="271"/>
        <v>1.6249512968775162</v>
      </c>
      <c r="BM154" s="1287">
        <f>(BK154/BG154-1)*100</f>
        <v>87.100917431192102</v>
      </c>
      <c r="BO154" s="1376">
        <f>BO134-BO144</f>
        <v>46.901999999999923</v>
      </c>
      <c r="BP154" s="1287">
        <f t="shared" si="272"/>
        <v>3.4405204133729987</v>
      </c>
      <c r="BQ154" s="1287">
        <f>(BO154/BK154-1)*100</f>
        <v>129.97940570755867</v>
      </c>
      <c r="BS154" s="1376">
        <f>BS134-BS144</f>
        <v>62.819824256391307</v>
      </c>
      <c r="BT154" s="1287">
        <f t="shared" si="273"/>
        <v>4.1907522668056805</v>
      </c>
      <c r="BU154" s="1287">
        <f>(BS154/BO154-1)*100</f>
        <v>33.938476517827397</v>
      </c>
    </row>
    <row r="155" spans="1:77" s="1282" customFormat="1">
      <c r="A155" s="1254" t="s">
        <v>81</v>
      </c>
      <c r="C155" s="1312">
        <f>C115-C145</f>
        <v>37.414999999999978</v>
      </c>
      <c r="D155" s="1285">
        <f>(C155/C13)*100</f>
        <v>4.7508155048130307</v>
      </c>
      <c r="E155" s="1308" t="str">
        <f>IFERROR(((C155/#REF!-1)*100),"-")</f>
        <v>-</v>
      </c>
      <c r="G155" s="1312">
        <f>G115-G145</f>
        <v>37.76600000000002</v>
      </c>
      <c r="H155" s="1285">
        <f>(G155/G13)*100</f>
        <v>4.6760354113786935</v>
      </c>
      <c r="I155" s="1287" t="str">
        <f>IFERROR(((G155/#REF!-1)*100),"-")</f>
        <v>-</v>
      </c>
      <c r="K155" s="1312">
        <f>K115-K145</f>
        <v>39.269999999999975</v>
      </c>
      <c r="L155" s="1285">
        <f>(K155/K13)*100</f>
        <v>4.5781182966182286</v>
      </c>
      <c r="M155" s="1287" t="str">
        <f>IFERROR(((K155/#REF!-1)*100),"-")</f>
        <v>-</v>
      </c>
      <c r="O155" s="1312">
        <f>O115-O145</f>
        <v>67.894999999999982</v>
      </c>
      <c r="P155" s="1285">
        <f>(O155/O13)*100</f>
        <v>6.9591572957121652</v>
      </c>
      <c r="Q155" s="1287" t="str">
        <f>IFERROR(((O155/#REF!-1)*100),"-")</f>
        <v>-</v>
      </c>
      <c r="S155" s="1312">
        <f>S115-S145</f>
        <v>59.203999999999958</v>
      </c>
      <c r="T155" s="1285">
        <f>(S155/S13)*100</f>
        <v>5.7366549422012882</v>
      </c>
      <c r="U155" s="1287" t="str">
        <f>IFERROR(((S155/#REF!-1)*100),"-")</f>
        <v>-</v>
      </c>
      <c r="W155" s="1312">
        <f>W115-W145</f>
        <v>62.765999999999977</v>
      </c>
      <c r="X155" s="1285">
        <f>(W155/W13)*100</f>
        <v>6.2884348343582603</v>
      </c>
      <c r="Y155" s="1287" t="str">
        <f>IFERROR(((W155/#REF!-1)*100),"-")</f>
        <v>-</v>
      </c>
      <c r="AA155" s="1312">
        <f>AA115-AA145</f>
        <v>57.177000000000014</v>
      </c>
      <c r="AB155" s="1285">
        <f>(AA155/AA13)*100</f>
        <v>5.7451849648719486</v>
      </c>
      <c r="AC155" s="1287" t="str">
        <f>IFERROR(((AA155/#REF!-1)*100),"-")</f>
        <v>-</v>
      </c>
      <c r="AE155" s="1312">
        <f>AE115-AE145</f>
        <v>183.92000000000002</v>
      </c>
      <c r="AF155" s="1285">
        <f>(AE155/AE13)*100</f>
        <v>17.86715239829994</v>
      </c>
      <c r="AG155" s="1287" t="str">
        <f>IFERROR(((AE155/#REF!-1)*100),"-")</f>
        <v>-</v>
      </c>
      <c r="AI155" s="1376">
        <f>AI135-AI145</f>
        <v>7.5109999999998651</v>
      </c>
      <c r="AJ155" s="1285">
        <f t="shared" si="264"/>
        <v>0.86098393578899257</v>
      </c>
      <c r="AK155" s="1287">
        <f t="shared" si="274"/>
        <v>-95.9161591996521</v>
      </c>
      <c r="AM155" s="1376">
        <f>AM135-AM145</f>
        <v>-2.7950000000001207</v>
      </c>
      <c r="AN155" s="1287">
        <f t="shared" si="265"/>
        <v>-0.32568697228807286</v>
      </c>
      <c r="AO155" s="1287">
        <f>(AM155/AI155-1)*100</f>
        <v>-137.21208893622915</v>
      </c>
      <c r="AQ155" s="1376">
        <f>AQ135-AQ145</f>
        <v>-10.277000000000019</v>
      </c>
      <c r="AR155" s="1287">
        <f t="shared" si="266"/>
        <v>-1.1435877520271802</v>
      </c>
      <c r="AS155" s="1287">
        <f>(AQ155/AM155-1)*100</f>
        <v>267.6923076922925</v>
      </c>
      <c r="AU155" s="1379">
        <f>AU135-AU145</f>
        <v>-7.447000000000024</v>
      </c>
      <c r="AV155" s="1287">
        <f t="shared" si="267"/>
        <v>-0.76940243456411794</v>
      </c>
      <c r="AW155" s="1287">
        <f>(AU155/AQ155-1)*100</f>
        <v>-27.537219032791572</v>
      </c>
      <c r="AY155" s="1376">
        <f>AY135-AY145</f>
        <v>-16.856999999999992</v>
      </c>
      <c r="AZ155" s="1287">
        <f t="shared" si="268"/>
        <v>-1.583557381761612</v>
      </c>
      <c r="BA155" s="1287">
        <f>(AY155/AU155-1)*100</f>
        <v>126.35960789579612</v>
      </c>
      <c r="BC155" s="1379">
        <f>BC135-BC145</f>
        <v>-34.214000000000141</v>
      </c>
      <c r="BD155" s="1287">
        <f t="shared" si="269"/>
        <v>-2.9563843870000088</v>
      </c>
      <c r="BE155" s="1287">
        <f>(BC155/AY155-1)*100</f>
        <v>102.96612683158423</v>
      </c>
      <c r="BG155" s="1376">
        <f>BG135-BG145</f>
        <v>15.116000000000039</v>
      </c>
      <c r="BH155" s="1287">
        <f t="shared" si="270"/>
        <v>1.2280584879509588</v>
      </c>
      <c r="BI155" s="1287">
        <f>(BG155/BC155-1)*100</f>
        <v>-144.18074472438175</v>
      </c>
      <c r="BK155" s="1376">
        <f>BK135-BK145</f>
        <v>32.403999999999968</v>
      </c>
      <c r="BL155" s="1287">
        <f t="shared" si="271"/>
        <v>2.4135259943393392</v>
      </c>
      <c r="BM155" s="1287">
        <f>(BK155/BG155-1)*100</f>
        <v>114.3688806562575</v>
      </c>
      <c r="BO155" s="1376">
        <f>BO135-BO145</f>
        <v>44.878999999999948</v>
      </c>
      <c r="BP155" s="1287">
        <f t="shared" si="272"/>
        <v>3.1205694470808987</v>
      </c>
      <c r="BQ155" s="1287">
        <f>(BO155/BK155-1)*100</f>
        <v>38.498333539069222</v>
      </c>
      <c r="BS155" s="1376">
        <f>BS135-BS145</f>
        <v>63.767339086420861</v>
      </c>
      <c r="BT155" s="1287">
        <f t="shared" si="273"/>
        <v>4.0301622422102046</v>
      </c>
      <c r="BU155" s="1287">
        <f>(BS155/BO155-1)*100</f>
        <v>42.087254810537075</v>
      </c>
    </row>
    <row r="156" spans="1:77" s="1282" customFormat="1">
      <c r="A156" s="1254" t="s">
        <v>82</v>
      </c>
      <c r="C156" s="1290">
        <f>C116-C146</f>
        <v>9.1840000000000384</v>
      </c>
      <c r="D156" s="1285">
        <f>(C156/C14)*100</f>
        <v>1.5085636942727532</v>
      </c>
      <c r="E156" s="1308" t="str">
        <f>IFERROR(((C156/#REF!-1)*100),"-")</f>
        <v>-</v>
      </c>
      <c r="G156" s="1290">
        <f>G116-G146</f>
        <v>5.3250000000000055</v>
      </c>
      <c r="H156" s="1285">
        <f>(G156/G14)*100</f>
        <v>0.87381317300024042</v>
      </c>
      <c r="I156" s="1287" t="str">
        <f>IFERROR(((G156/#REF!-1)*100),"-")</f>
        <v>-</v>
      </c>
      <c r="K156" s="1290">
        <f>K116-K146</f>
        <v>24.277000000000065</v>
      </c>
      <c r="L156" s="1285">
        <f>(K156/K14)*100</f>
        <v>3.545019129114229</v>
      </c>
      <c r="M156" s="1287" t="str">
        <f>IFERROR(((K156/#REF!-1)*100),"-")</f>
        <v>-</v>
      </c>
      <c r="O156" s="1290">
        <f>O116-O146</f>
        <v>17.656999999999943</v>
      </c>
      <c r="P156" s="1285">
        <f>(O156/O14)*100</f>
        <v>2.3120516856227682</v>
      </c>
      <c r="Q156" s="1287" t="str">
        <f>IFERROR(((O156/#REF!-1)*100),"-")</f>
        <v>-</v>
      </c>
      <c r="S156" s="1290">
        <f>S116-S146</f>
        <v>96.616000000000639</v>
      </c>
      <c r="T156" s="1285">
        <f>(S156/S14)*100</f>
        <v>11.690822892793861</v>
      </c>
      <c r="U156" s="1287" t="str">
        <f>IFERROR(((S156/#REF!-1)*100),"-")</f>
        <v>-</v>
      </c>
      <c r="W156" s="1290">
        <f>W116-W146</f>
        <v>182.43000000000021</v>
      </c>
      <c r="X156" s="1285">
        <f>(W156/W14)*100</f>
        <v>23.317909913594786</v>
      </c>
      <c r="Y156" s="1287" t="str">
        <f>IFERROR(((W156/#REF!-1)*100),"-")</f>
        <v>-</v>
      </c>
      <c r="AA156" s="1290">
        <f>AA116-AA146</f>
        <v>158.8400000000002</v>
      </c>
      <c r="AB156" s="1285">
        <f>(AA156/AA14)*100</f>
        <v>20.168647682268904</v>
      </c>
      <c r="AC156" s="1287" t="str">
        <f>IFERROR(((AA156/#REF!-1)*100),"-")</f>
        <v>-</v>
      </c>
      <c r="AE156" s="1290">
        <f>AE116-AE146</f>
        <v>179.97499999999991</v>
      </c>
      <c r="AF156" s="1285">
        <f>(AE156/AE14)*100</f>
        <v>21.994439522165518</v>
      </c>
      <c r="AG156" s="1287" t="str">
        <f>IFERROR(((AE156/#REF!-1)*100),"-")</f>
        <v>-</v>
      </c>
      <c r="AI156" s="1375">
        <f>AI136-AI146</f>
        <v>11.518000000000143</v>
      </c>
      <c r="AJ156" s="1285">
        <f t="shared" si="264"/>
        <v>1.0288347049045301</v>
      </c>
      <c r="AK156" s="1287">
        <f t="shared" si="274"/>
        <v>-93.600222253090621</v>
      </c>
      <c r="AM156" s="1375">
        <f>AM136-AM146</f>
        <v>69.059000000000111</v>
      </c>
      <c r="AN156" s="1287">
        <f t="shared" si="265"/>
        <v>5.8131058562881188</v>
      </c>
      <c r="AO156" s="1287">
        <f>(AM156/AI156-1)*100</f>
        <v>499.57457891994494</v>
      </c>
      <c r="AQ156" s="1375">
        <f>AQ136-AQ146</f>
        <v>57.35200000000026</v>
      </c>
      <c r="AR156" s="1287">
        <f t="shared" si="266"/>
        <v>4.6512646375911464</v>
      </c>
      <c r="AS156" s="1287">
        <f>(AQ156/AM156-1)*100</f>
        <v>-16.952171331759558</v>
      </c>
      <c r="AU156" s="1375">
        <f>AU136-AU146</f>
        <v>71.151709892994816</v>
      </c>
      <c r="AV156" s="1287">
        <f t="shared" si="267"/>
        <v>5.6356131317830593</v>
      </c>
      <c r="AW156" s="1287">
        <f>(AU156/AQ156-1)*100</f>
        <v>24.061427488133802</v>
      </c>
      <c r="AY156" s="1375">
        <f>AY136-AY146</f>
        <v>63.584000000000117</v>
      </c>
      <c r="AZ156" s="1287">
        <f t="shared" si="268"/>
        <v>4.7654272688504795</v>
      </c>
      <c r="BA156" s="1287">
        <f>(AY156/AU156-1)*100</f>
        <v>-10.636019716709255</v>
      </c>
      <c r="BC156" s="1386">
        <f>BC136-BC146</f>
        <v>104.14500000000007</v>
      </c>
      <c r="BD156" s="1287">
        <f t="shared" si="269"/>
        <v>7.0114221314400167</v>
      </c>
      <c r="BE156" s="1287">
        <f>(BC156/AY156-1)*100</f>
        <v>63.791205334675197</v>
      </c>
      <c r="BG156" s="1662">
        <f>BG136-BG146</f>
        <v>98.771000000000043</v>
      </c>
      <c r="BH156" s="1287">
        <f t="shared" si="270"/>
        <v>6.4105002112581468</v>
      </c>
      <c r="BI156" s="1287">
        <f>(BG156/BC156-1)*100</f>
        <v>-5.1601133035671598</v>
      </c>
      <c r="BK156" s="1662">
        <f>BK136-BK146</f>
        <v>125.56099999999992</v>
      </c>
      <c r="BL156" s="1287">
        <f t="shared" si="271"/>
        <v>7.4485307421479865</v>
      </c>
      <c r="BM156" s="1287">
        <f>(BK156/BG156-1)*100</f>
        <v>27.123345921373556</v>
      </c>
      <c r="BO156" s="1662">
        <f>BO136-BO146</f>
        <v>147.51544600000003</v>
      </c>
      <c r="BP156" s="1287">
        <f t="shared" si="272"/>
        <v>7.6163381485923649</v>
      </c>
      <c r="BQ156" s="1287">
        <f>(BO156/BK156-1)*100</f>
        <v>17.485083744156316</v>
      </c>
      <c r="BS156" s="1662">
        <f>BS136-BS146</f>
        <v>182.05058171014193</v>
      </c>
      <c r="BT156" s="1287">
        <f t="shared" si="273"/>
        <v>9.011902478829537</v>
      </c>
      <c r="BU156" s="1287">
        <f>(BS156/BO156-1)*100</f>
        <v>23.411199739817</v>
      </c>
    </row>
    <row r="157" spans="1:77" s="1282" customFormat="1">
      <c r="A157" s="1254" t="s">
        <v>85</v>
      </c>
      <c r="C157" s="1291">
        <f>C117-C147</f>
        <v>125.61900000000001</v>
      </c>
      <c r="D157" s="1285">
        <f>(C157/C15)*100</f>
        <v>4.9189879851528557</v>
      </c>
      <c r="E157" s="1308" t="str">
        <f>IFERROR(((C157/#REF!-1)*100),"-")</f>
        <v>-</v>
      </c>
      <c r="G157" s="1291">
        <f>G117-G147</f>
        <v>136.39800000000008</v>
      </c>
      <c r="H157" s="1285">
        <f>(G157/G15)*100</f>
        <v>5.0930351349898162</v>
      </c>
      <c r="I157" s="1287">
        <f>IFERROR(((G157/C157-1)*100),"-")</f>
        <v>8.580708332338304</v>
      </c>
      <c r="K157" s="1291">
        <f>K117-K147</f>
        <v>151.78200000000001</v>
      </c>
      <c r="L157" s="1285">
        <f>(K157/K15)*100</f>
        <v>5.3071371627575212</v>
      </c>
      <c r="M157" s="1287">
        <f>IFERROR(((K157/G157-1)*100),"-")</f>
        <v>11.278757753046165</v>
      </c>
      <c r="O157" s="1291">
        <f>O117-O147</f>
        <v>188.71800000000002</v>
      </c>
      <c r="P157" s="1285">
        <f>(O157/O15)*100</f>
        <v>5.8977323866193307</v>
      </c>
      <c r="Q157" s="1287">
        <f>IFERROR(((O157/K157-1)*100),"-")</f>
        <v>24.334901371704156</v>
      </c>
      <c r="S157" s="1291">
        <f>S117-S147</f>
        <v>188.58000000000015</v>
      </c>
      <c r="T157" s="1285">
        <f>(S157/S15)*100</f>
        <v>5.4337146173204669</v>
      </c>
      <c r="U157" s="1287">
        <f>IFERROR(((S157/O157-1)*100),"-")</f>
        <v>-7.3124980129013473E-2</v>
      </c>
      <c r="W157" s="1291">
        <f>W117-W147</f>
        <v>279.44200000000006</v>
      </c>
      <c r="X157" s="1285">
        <f>(W157/W15)*100</f>
        <v>8.1194312603420755</v>
      </c>
      <c r="Y157" s="1287">
        <f>IFERROR(((W157/S157-1)*100),"-")</f>
        <v>48.182203839219341</v>
      </c>
      <c r="AA157" s="1291">
        <f>AA117-AA147</f>
        <v>263.08399999999995</v>
      </c>
      <c r="AB157" s="1285">
        <f>(AA157/AA15)*100</f>
        <v>7.6835886264290041</v>
      </c>
      <c r="AC157" s="1287">
        <f>IFERROR(((AA157/W157-1)*100),"-")</f>
        <v>-5.853808661546978</v>
      </c>
      <c r="AE157" s="1291">
        <f>AE117-AE147</f>
        <v>403.74200000000008</v>
      </c>
      <c r="AF157" s="1285">
        <f>(AE157/AE15)*100</f>
        <v>11.304970897698279</v>
      </c>
      <c r="AG157" s="1287">
        <f>IFERROR(((AE157/AA157-1)*100),"-")</f>
        <v>53.465052986878781</v>
      </c>
      <c r="AI157" s="1510">
        <f>AI137-AI147</f>
        <v>-15.179000000000151</v>
      </c>
      <c r="AJ157" s="1285">
        <f t="shared" si="264"/>
        <v>-0.43086490331583888</v>
      </c>
      <c r="AK157" s="1287">
        <f t="shared" si="274"/>
        <v>-103.7595791371718</v>
      </c>
      <c r="AM157" s="1510">
        <f>AM137-AM147</f>
        <v>30.997999999999845</v>
      </c>
      <c r="AN157" s="1287">
        <f t="shared" si="265"/>
        <v>0.84472376023339446</v>
      </c>
      <c r="AO157" s="1287">
        <f>(AM157/AI157-1)*100</f>
        <v>-304.21635153830647</v>
      </c>
      <c r="AQ157" s="1510">
        <f>AQ137-AQ147</f>
        <v>-6.7449999999998305</v>
      </c>
      <c r="AR157" s="1287">
        <f t="shared" si="266"/>
        <v>-0.17500688870703071</v>
      </c>
      <c r="AS157" s="1287">
        <f>(AQ157/AM157-1)*100</f>
        <v>-121.75946835279652</v>
      </c>
      <c r="AU157" s="1510">
        <f>AU137-AU147</f>
        <v>27.950246252994734</v>
      </c>
      <c r="AV157" s="1287">
        <f t="shared" si="267"/>
        <v>0.68555339691105111</v>
      </c>
      <c r="AW157" s="1287">
        <f>(AU157/AQ157-1)*100</f>
        <v>-514.3846738768782</v>
      </c>
      <c r="AY157" s="1510">
        <f>AY137-AY147</f>
        <v>16.150999999999801</v>
      </c>
      <c r="AZ157" s="1287">
        <f t="shared" si="268"/>
        <v>0.36478800804877604</v>
      </c>
      <c r="BA157" s="1287">
        <f>(AY157/AU157-1)*100</f>
        <v>-42.215178164058933</v>
      </c>
      <c r="BC157" s="1510">
        <f>BC137-BC147</f>
        <v>75.234999999999786</v>
      </c>
      <c r="BD157" s="1287">
        <f t="shared" si="269"/>
        <v>1.5626739535370577</v>
      </c>
      <c r="BE157" s="1287">
        <f>(BC157/AY157-1)*100</f>
        <v>365.82254968733031</v>
      </c>
      <c r="BG157" s="1510">
        <f>BG137-BG147</f>
        <v>150.48200000000003</v>
      </c>
      <c r="BH157" s="1287">
        <f t="shared" si="270"/>
        <v>2.9512454765037077</v>
      </c>
      <c r="BI157" s="1287">
        <f>(BG157/BC157-1)*100</f>
        <v>100.01595002326104</v>
      </c>
      <c r="BK157" s="2203">
        <f>BK137-BK147</f>
        <v>215.87299999999954</v>
      </c>
      <c r="BL157" s="1287">
        <f t="shared" si="271"/>
        <v>3.8783960871269576</v>
      </c>
      <c r="BM157" s="1287">
        <f>(BK157/BG157-1)*100</f>
        <v>43.454366635211848</v>
      </c>
      <c r="BO157" s="1510">
        <f>BO137-BO147</f>
        <v>291.66444599999983</v>
      </c>
      <c r="BP157" s="1287">
        <f>(BO157/BO15)*100</f>
        <v>4.7933551758604986</v>
      </c>
      <c r="BQ157" s="1287">
        <f>(BO157/BK157-1)*100</f>
        <v>35.109275360976341</v>
      </c>
      <c r="BS157" s="1510">
        <f>BS137-BS147</f>
        <v>379.84264696875221</v>
      </c>
      <c r="BT157" s="1287">
        <f>(BS157/BS15)*100</f>
        <v>5.7662154072538039</v>
      </c>
      <c r="BU157" s="1287">
        <f>(BS157/BO157-1)*100</f>
        <v>30.232756229997413</v>
      </c>
    </row>
    <row r="158" spans="1:77" ht="13.5" customHeight="1">
      <c r="A158" s="1254" t="s">
        <v>87</v>
      </c>
      <c r="AI158" s="1292">
        <f>SUM(AI153:AI154)</f>
        <v>-34.208000000000077</v>
      </c>
      <c r="AJ158" s="1285">
        <f t="shared" si="264"/>
        <v>-2.2343259824653008</v>
      </c>
      <c r="AK158" s="1287" t="str">
        <f t="shared" si="274"/>
        <v>-</v>
      </c>
      <c r="AM158" s="1292">
        <f>SUM(AM153:AM154)</f>
        <v>-35.265999999999941</v>
      </c>
      <c r="AN158" s="1285">
        <f t="shared" si="265"/>
        <v>-2.1723168505163115</v>
      </c>
      <c r="AO158" s="1287">
        <f>IFERROR((AM158/AI158-1)*100,"-")</f>
        <v>3.0928437792325347</v>
      </c>
      <c r="AQ158" s="1292">
        <f>SUM(AQ153:AQ154)</f>
        <v>-53.82</v>
      </c>
      <c r="AR158" s="1285">
        <f t="shared" si="266"/>
        <v>-3.1246552835238592</v>
      </c>
      <c r="AS158" s="1287">
        <f>IFERROR((AQ158/AM158-1)*100,"-")</f>
        <v>52.611580559179075</v>
      </c>
      <c r="AU158" s="1292">
        <f>SUM(AU153:AU154)</f>
        <v>-35.754463639999955</v>
      </c>
      <c r="AV158" s="1285">
        <f t="shared" si="267"/>
        <v>-1.9362290321673536</v>
      </c>
      <c r="AW158" s="1287">
        <f>IFERROR((AU158/AQ158-1)*100,"-")</f>
        <v>-33.566585581568276</v>
      </c>
      <c r="AY158" s="1292">
        <f>SUM(AY153:AY154)</f>
        <v>-30.57700000000014</v>
      </c>
      <c r="AZ158" s="1285">
        <f t="shared" si="268"/>
        <v>-1.5072035427194701</v>
      </c>
      <c r="BA158" s="1287">
        <f>IFERROR((AY158/AU158-1)*100,"-")</f>
        <v>-14.480607770067566</v>
      </c>
      <c r="BC158" s="1292">
        <f>SUM(BC153:BC154)</f>
        <v>5.3039999999998235</v>
      </c>
      <c r="BD158" s="1285">
        <f t="shared" si="269"/>
        <v>0.24421576075695026</v>
      </c>
      <c r="BE158" s="1287">
        <f>IFERROR((BC158/AY158-1)*100,"-")</f>
        <v>-117.34637145566865</v>
      </c>
      <c r="BG158" s="1292">
        <f>SUM(BG153:BG154)</f>
        <v>36.595000000000176</v>
      </c>
      <c r="BH158" s="1285">
        <f t="shared" si="270"/>
        <v>1.5724385193511634</v>
      </c>
      <c r="BI158" s="1287">
        <f>IFERROR((BG158/BC158-1)*100,"-")</f>
        <v>589.95098039218317</v>
      </c>
      <c r="BK158" s="1292">
        <f>SUM(BK153:BK154)</f>
        <v>57.908000000000214</v>
      </c>
      <c r="BL158" s="1285">
        <f t="shared" si="271"/>
        <v>2.2818881335748706</v>
      </c>
      <c r="BM158" s="1287">
        <f>IFERROR((BK158/BG158-1)*100,"-")</f>
        <v>58.240196748189476</v>
      </c>
      <c r="BO158" s="1292">
        <f>SUM(BO153:BO154)</f>
        <v>99.270000000000039</v>
      </c>
      <c r="BP158" s="1285">
        <f t="shared" si="272"/>
        <v>3.6634105477586671</v>
      </c>
      <c r="BQ158" s="1287">
        <f>IFERROR((BO158/BK158-1)*100,"-")</f>
        <v>71.427091248186201</v>
      </c>
      <c r="BS158" s="1292">
        <f>SUM(BS153:BS154)</f>
        <v>134.02472617218933</v>
      </c>
      <c r="BT158" s="1285">
        <f t="shared" ref="BT158:BT159" si="275">(BS158/BS16)*100</f>
        <v>4.489914795058791</v>
      </c>
      <c r="BU158" s="1287">
        <f>IFERROR((BS158/BO158-1)*100,"-")</f>
        <v>35.010301372206378</v>
      </c>
    </row>
    <row r="159" spans="1:77" ht="13.5" customHeight="1">
      <c r="A159" s="1254" t="s">
        <v>88</v>
      </c>
      <c r="AI159" s="1292">
        <f>SUM(AI153:AI155)</f>
        <v>-26.697000000000212</v>
      </c>
      <c r="AJ159" s="1285">
        <f t="shared" si="264"/>
        <v>-1.1108036756338517</v>
      </c>
      <c r="AK159" s="1287" t="str">
        <f t="shared" si="274"/>
        <v>-</v>
      </c>
      <c r="AM159" s="1292">
        <f>SUM(AM153:AM155)</f>
        <v>-38.061000000000064</v>
      </c>
      <c r="AN159" s="1285">
        <f t="shared" si="265"/>
        <v>-1.5337195873330851</v>
      </c>
      <c r="AO159" s="1287">
        <f>IFERROR((AM159/AI159-1)*100,"-")</f>
        <v>42.566580514663663</v>
      </c>
      <c r="AQ159" s="1292">
        <f>SUM(AQ153:AQ155)</f>
        <v>-64.097000000000023</v>
      </c>
      <c r="AR159" s="1285">
        <f t="shared" si="266"/>
        <v>-2.4454302079323407</v>
      </c>
      <c r="AS159" s="1287">
        <f>IFERROR((AQ159/AM159-1)*100,"-")</f>
        <v>68.405979874411898</v>
      </c>
      <c r="AU159" s="1292">
        <f>SUM(AU153:AU155)</f>
        <v>-43.201463639999979</v>
      </c>
      <c r="AV159" s="1285">
        <f t="shared" si="267"/>
        <v>-1.5349621422823949</v>
      </c>
      <c r="AW159" s="1287">
        <f>IFERROR((AU159/AQ159-1)*100,"-")</f>
        <v>-32.59986639000271</v>
      </c>
      <c r="AY159" s="1292">
        <f>SUM(AY153:AY155)</f>
        <v>-47.434000000000133</v>
      </c>
      <c r="AZ159" s="1285">
        <f t="shared" si="268"/>
        <v>-1.5334799332476883</v>
      </c>
      <c r="BA159" s="1287">
        <f>IFERROR((AY159/AU159-1)*100,"-")</f>
        <v>9.7972059355907462</v>
      </c>
      <c r="BC159" s="1292">
        <f>SUM(BC153:BC155)</f>
        <v>-28.910000000000316</v>
      </c>
      <c r="BD159" s="1285">
        <f t="shared" si="269"/>
        <v>-0.86839191599518195</v>
      </c>
      <c r="BE159" s="1287">
        <f>IFERROR((BC159/AY159-1)*100,"-")</f>
        <v>-39.05215668086133</v>
      </c>
      <c r="BG159" s="1292">
        <f>SUM(BG153:BG155)</f>
        <v>51.711000000000212</v>
      </c>
      <c r="BH159" s="1285">
        <f t="shared" si="270"/>
        <v>1.4533061020532285</v>
      </c>
      <c r="BI159" s="1287">
        <f>IFERROR((BG159/BC159-1)*100,"-")</f>
        <v>-278.86890349359959</v>
      </c>
      <c r="BK159" s="1292">
        <f>SUM(BK153:BK155)</f>
        <v>90.312000000000182</v>
      </c>
      <c r="BL159" s="1285">
        <f t="shared" si="271"/>
        <v>2.327435113004773</v>
      </c>
      <c r="BM159" s="1287">
        <f>IFERROR((BK159/BG159-1)*100,"-")</f>
        <v>74.647560480361648</v>
      </c>
      <c r="BO159" s="1292">
        <f>SUM(BO153:BO155)</f>
        <v>144.149</v>
      </c>
      <c r="BP159" s="1285">
        <f t="shared" si="272"/>
        <v>3.4751974294691554</v>
      </c>
      <c r="BQ159" s="1287">
        <f>IFERROR((BO159/BK159-1)*100,"-")</f>
        <v>59.612233147311208</v>
      </c>
      <c r="BS159" s="1292">
        <f>SUM(BS153:BS155)</f>
        <v>197.79206525861019</v>
      </c>
      <c r="BT159" s="1285">
        <f t="shared" si="275"/>
        <v>4.3306413876063932</v>
      </c>
      <c r="BU159" s="1287">
        <f>IFERROR((BS159/BO159-1)*100,"-")</f>
        <v>37.213622889239751</v>
      </c>
    </row>
    <row r="160" spans="1:77" ht="13.5" customHeight="1"/>
    <row r="161" spans="1:76" s="1282" customFormat="1">
      <c r="A161" s="1251" t="s">
        <v>905</v>
      </c>
      <c r="B161" s="1281"/>
      <c r="C161" s="1281"/>
      <c r="D161" s="1281"/>
      <c r="E161" s="1281"/>
      <c r="F161" s="1281"/>
      <c r="G161" s="1281"/>
      <c r="H161" s="1281"/>
      <c r="I161" s="1281"/>
      <c r="J161" s="1281"/>
      <c r="K161" s="1281"/>
      <c r="L161" s="1281"/>
      <c r="M161" s="1281"/>
      <c r="N161" s="1281"/>
      <c r="O161" s="1281"/>
      <c r="P161" s="1281"/>
      <c r="Q161" s="1281"/>
      <c r="R161" s="1281"/>
      <c r="S161" s="1281"/>
      <c r="T161" s="1281"/>
      <c r="U161" s="1281"/>
      <c r="V161" s="1281"/>
      <c r="W161" s="1281"/>
      <c r="X161" s="1281"/>
      <c r="Y161" s="1281"/>
      <c r="Z161" s="1281"/>
      <c r="AA161" s="1281"/>
      <c r="AB161" s="1281"/>
      <c r="AC161" s="1281"/>
      <c r="AD161" s="1281"/>
      <c r="AE161" s="1281"/>
      <c r="AF161" s="1281"/>
      <c r="AG161" s="1281"/>
      <c r="AH161" s="1281"/>
      <c r="AI161" s="1281"/>
      <c r="AJ161" s="1281"/>
      <c r="AK161" s="1281"/>
      <c r="AL161" s="1281"/>
      <c r="AM161" s="1281"/>
      <c r="AN161" s="1281"/>
      <c r="AO161" s="1281"/>
      <c r="AP161" s="1281"/>
      <c r="AQ161" s="1281"/>
      <c r="AR161" s="1281"/>
      <c r="AS161" s="1281"/>
      <c r="AT161" s="1281"/>
      <c r="AU161" s="1281"/>
      <c r="AV161" s="1281"/>
      <c r="AW161" s="1281"/>
      <c r="AX161" s="1281"/>
      <c r="AY161" s="1281"/>
      <c r="AZ161" s="1281"/>
      <c r="BA161" s="1281"/>
      <c r="BC161" s="1281"/>
      <c r="BD161" s="1251"/>
      <c r="BE161" s="1281"/>
      <c r="BG161" s="2264" t="str">
        <f>A161</f>
        <v>16. Earnings Per Share - GAAP - Fully Diluted (% Margin)</v>
      </c>
      <c r="BH161" s="2264"/>
      <c r="BI161" s="2264"/>
      <c r="BJ161" s="2264"/>
      <c r="BK161" s="2264"/>
      <c r="BL161" s="2264"/>
      <c r="BM161" s="2264"/>
      <c r="BN161" s="1663"/>
      <c r="BO161" s="1663"/>
      <c r="BP161" s="1663"/>
      <c r="BQ161" s="1663"/>
      <c r="BR161" s="2149"/>
      <c r="BS161" s="2149"/>
      <c r="BT161" s="2149"/>
      <c r="BU161" s="2149"/>
    </row>
    <row r="162" spans="1:76" s="1282" customFormat="1">
      <c r="AQ162" s="1306"/>
      <c r="AU162" s="1306"/>
    </row>
    <row r="163" spans="1:76" s="1282" customFormat="1">
      <c r="A163" s="1254" t="s">
        <v>79</v>
      </c>
      <c r="C163" s="1339">
        <f>C153/C173</f>
        <v>-0.45584199397129638</v>
      </c>
      <c r="D163" s="1287" t="str">
        <f>IFERROR(((B163/#REF!-1)*100),"-")</f>
        <v>-</v>
      </c>
      <c r="E163" s="1322"/>
      <c r="G163" s="1339">
        <f>G153/G173</f>
        <v>-0.35099048760251211</v>
      </c>
      <c r="H163" s="1287">
        <f>IFERROR(((F163/C163-1)*100),"-")</f>
        <v>-100</v>
      </c>
      <c r="I163" s="1322"/>
      <c r="K163" s="1339">
        <f>K153/K173</f>
        <v>-0.33658511126064072</v>
      </c>
      <c r="L163" s="1287">
        <f>IFERROR(((J163/G163-1)*100),"-")</f>
        <v>-100</v>
      </c>
      <c r="M163" s="1322"/>
      <c r="O163" s="1339">
        <f>O153/O173</f>
        <v>-0.35001016111557187</v>
      </c>
      <c r="P163" s="1287">
        <f>IFERROR(((N163/K163-1)*100),"-")</f>
        <v>-100</v>
      </c>
      <c r="Q163" s="1322"/>
      <c r="S163" s="1339">
        <f>S153/S173</f>
        <v>-0.31590605055903836</v>
      </c>
      <c r="T163" s="1287">
        <f>IFERROR(((R163/O163-1)*100),"-")</f>
        <v>-100</v>
      </c>
      <c r="U163" s="1322"/>
      <c r="W163" s="1354" t="s">
        <v>585</v>
      </c>
      <c r="X163" s="1287">
        <f>IFERROR(((V163/S163-1)*100),"-")</f>
        <v>-100</v>
      </c>
      <c r="Y163" s="1287"/>
      <c r="AA163" s="1354" t="s">
        <v>585</v>
      </c>
      <c r="AB163" s="1287" t="str">
        <f>IFERROR(((Z163/W163-1)*100),"-")</f>
        <v>-</v>
      </c>
      <c r="AC163" s="1287"/>
      <c r="AE163" s="1354" t="s">
        <v>585</v>
      </c>
      <c r="AF163" s="1287" t="str">
        <f>IFERROR(((AD163/AA163-1)*100),"-")</f>
        <v>-</v>
      </c>
      <c r="AG163" s="1287"/>
      <c r="AI163" s="1354" t="s">
        <v>585</v>
      </c>
      <c r="AJ163" s="1287" t="str">
        <f t="shared" ref="AJ163:AJ169" si="276">IFERROR(((AH163/AE163-1)*100),"-")</f>
        <v>-</v>
      </c>
      <c r="AK163" s="1287"/>
      <c r="AM163" s="1354" t="s">
        <v>585</v>
      </c>
      <c r="AN163" s="1287" t="str">
        <f t="shared" ref="AN163:AN169" si="277">IFERROR(((AL163/AI163-1)*100),"-")</f>
        <v>-</v>
      </c>
      <c r="AO163" s="1287"/>
      <c r="AQ163" s="1354" t="s">
        <v>585</v>
      </c>
      <c r="AR163" s="1287" t="str">
        <f t="shared" ref="AR163:AR169" si="278">IFERROR(((AP163/AM163-1)*100),"-")</f>
        <v>-</v>
      </c>
      <c r="AS163" s="1287"/>
      <c r="AT163" s="1370"/>
      <c r="AU163" s="1354">
        <f>AU153/AU173</f>
        <v>-5.6920877804388773E-2</v>
      </c>
      <c r="AV163" s="1287" t="str">
        <f t="shared" ref="AV163:AV169" si="279">IFERROR(((AT163/AQ163-1)*100),"-")</f>
        <v>-</v>
      </c>
      <c r="AW163" s="1287"/>
      <c r="AY163" s="1354">
        <f>AY153/AY173</f>
        <v>-7.1885509888006335E-2</v>
      </c>
      <c r="AZ163" s="1287">
        <f t="shared" ref="AZ163:AZ169" si="280">(AY163/AU163-1)*100</f>
        <v>26.290234200259889</v>
      </c>
      <c r="BC163" s="1356">
        <f>BC153/BC173</f>
        <v>0.15214452515214258</v>
      </c>
      <c r="BD163" s="1287">
        <f t="shared" ref="BD163:BD169" si="281">(BC163/AY163-1)*100</f>
        <v>-311.64839115584681</v>
      </c>
      <c r="BG163" s="1354">
        <f>BG153/BG173</f>
        <v>0.33587796237957734</v>
      </c>
      <c r="BH163" s="1287">
        <f t="shared" ref="BH163:BH169" si="282">(BG163/BC163-1)*100</f>
        <v>120.76243758604109</v>
      </c>
      <c r="BI163" s="1355"/>
      <c r="BK163" s="1354">
        <f>BK153/BK173</f>
        <v>0.51798461814616958</v>
      </c>
      <c r="BL163" s="1287">
        <f t="shared" ref="BL163:BL169" si="283">(BK163/BG163-1)*100</f>
        <v>54.218101859505929</v>
      </c>
      <c r="BM163" s="1355"/>
      <c r="BO163" s="1354">
        <f>BO153/BO173</f>
        <v>0.73236836584854359</v>
      </c>
      <c r="BP163" s="1287">
        <f t="shared" ref="BP163:BP169" si="284">(BO163/BK163-1)*100</f>
        <v>41.388052886519745</v>
      </c>
      <c r="BQ163" s="1355"/>
      <c r="BS163" s="1354">
        <f>BS153/BS173</f>
        <v>1.0333778668572386</v>
      </c>
      <c r="BT163" s="1287">
        <f t="shared" ref="BT163:BT169" si="285">(BS163/BO163-1)*100</f>
        <v>41.100833275333585</v>
      </c>
      <c r="BU163" s="1355"/>
    </row>
    <row r="164" spans="1:76" s="1282" customFormat="1">
      <c r="A164" s="1254" t="s">
        <v>80</v>
      </c>
      <c r="C164" s="1339">
        <f>C154/C174</f>
        <v>0.93450745461916285</v>
      </c>
      <c r="D164" s="1287" t="str">
        <f>IFERROR(((B164/#REF!-1)*100),"-")</f>
        <v>-</v>
      </c>
      <c r="E164" s="1322"/>
      <c r="G164" s="1339">
        <f>G154/G174</f>
        <v>0.94661728241286058</v>
      </c>
      <c r="H164" s="1287">
        <f>IFERROR(((F164/C164-1)*100),"-")</f>
        <v>-100</v>
      </c>
      <c r="I164" s="1322"/>
      <c r="K164" s="1339">
        <f>K154/K174</f>
        <v>0.6611543083867838</v>
      </c>
      <c r="L164" s="1287">
        <f>IFERROR(((J164/G164-1)*100),"-")</f>
        <v>-100</v>
      </c>
      <c r="M164" s="1322"/>
      <c r="O164" s="1339">
        <f>O154/O174</f>
        <v>0.96875875642473785</v>
      </c>
      <c r="P164" s="1287">
        <f>IFERROR(((N164/K164-1)*100),"-")</f>
        <v>-100</v>
      </c>
      <c r="Q164" s="1322"/>
      <c r="S164" s="1339">
        <f>S154/S174</f>
        <v>1.0475860093039149</v>
      </c>
      <c r="T164" s="1287">
        <f>IFERROR(((R164/O164-1)*100),"-")</f>
        <v>-100</v>
      </c>
      <c r="U164" s="1322"/>
      <c r="W164" s="1356" t="s">
        <v>585</v>
      </c>
      <c r="X164" s="1287">
        <f>IFERROR(((V164/S164-1)*100),"-")</f>
        <v>-100</v>
      </c>
      <c r="Y164" s="1287"/>
      <c r="AA164" s="1356" t="s">
        <v>585</v>
      </c>
      <c r="AB164" s="1287" t="str">
        <f>IFERROR(((Z164/W164-1)*100),"-")</f>
        <v>-</v>
      </c>
      <c r="AC164" s="1287"/>
      <c r="AE164" s="1356" t="s">
        <v>585</v>
      </c>
      <c r="AF164" s="1287" t="str">
        <f>IFERROR(((AD164/AA164-1)*100),"-")</f>
        <v>-</v>
      </c>
      <c r="AG164" s="1287"/>
      <c r="AI164" s="1356" t="s">
        <v>585</v>
      </c>
      <c r="AJ164" s="1287" t="str">
        <f t="shared" si="276"/>
        <v>-</v>
      </c>
      <c r="AK164" s="1287"/>
      <c r="AM164" s="1356" t="s">
        <v>585</v>
      </c>
      <c r="AN164" s="1287" t="str">
        <f t="shared" si="277"/>
        <v>-</v>
      </c>
      <c r="AO164" s="1287"/>
      <c r="AQ164" s="1356" t="s">
        <v>585</v>
      </c>
      <c r="AR164" s="1287" t="str">
        <f t="shared" si="278"/>
        <v>-</v>
      </c>
      <c r="AS164" s="1287"/>
      <c r="AT164" s="1370"/>
      <c r="AU164" s="1356">
        <f>AU154/AU174</f>
        <v>-0.4051010257608697</v>
      </c>
      <c r="AV164" s="1287" t="str">
        <f t="shared" si="279"/>
        <v>-</v>
      </c>
      <c r="AW164" s="1287"/>
      <c r="AY164" s="1356">
        <f>AY154/AY174</f>
        <v>-0.32323281401016724</v>
      </c>
      <c r="AZ164" s="1287">
        <f t="shared" si="280"/>
        <v>-20.209332128185999</v>
      </c>
      <c r="BC164" s="1356">
        <f>BC154/BC174</f>
        <v>-8.3605832999353452E-2</v>
      </c>
      <c r="BD164" s="1287">
        <f t="shared" si="281"/>
        <v>-74.134484688573849</v>
      </c>
      <c r="BG164" s="1356">
        <f>BG154/BG174</f>
        <v>0.1424631752297072</v>
      </c>
      <c r="BH164" s="1287">
        <f t="shared" si="282"/>
        <v>-270.39860751200086</v>
      </c>
      <c r="BI164" s="1355"/>
      <c r="BK164" s="1356">
        <f>BK154/BK174</f>
        <v>0.28330115159681857</v>
      </c>
      <c r="BL164" s="1287">
        <f t="shared" si="283"/>
        <v>98.859214769026906</v>
      </c>
      <c r="BM164" s="1355"/>
      <c r="BO164" s="1356">
        <f>BO154/BO174</f>
        <v>0.66244827050465283</v>
      </c>
      <c r="BP164" s="1287">
        <f t="shared" si="284"/>
        <v>133.83183117004035</v>
      </c>
      <c r="BQ164" s="1355"/>
      <c r="BS164" s="1356">
        <f>BS154/BS174</f>
        <v>0.91701079127642238</v>
      </c>
      <c r="BT164" s="1287">
        <f t="shared" si="285"/>
        <v>38.427531945678403</v>
      </c>
      <c r="BU164" s="1355"/>
    </row>
    <row r="165" spans="1:76" s="1282" customFormat="1">
      <c r="A165" s="1254" t="s">
        <v>81</v>
      </c>
      <c r="C165" s="1339">
        <f>C155/C175</f>
        <v>0.84146725440806003</v>
      </c>
      <c r="D165" s="1287" t="str">
        <f>IFERROR(((B165/#REF!-1)*100),"-")</f>
        <v>-</v>
      </c>
      <c r="E165" s="1322"/>
      <c r="G165" s="1339">
        <f>G155/G175</f>
        <v>0.84764899727226573</v>
      </c>
      <c r="H165" s="1287">
        <f>IFERROR(((F165/C165-1)*100),"-")</f>
        <v>-100</v>
      </c>
      <c r="I165" s="1322"/>
      <c r="K165" s="1339">
        <f>K155/K175</f>
        <v>0.87911467980480784</v>
      </c>
      <c r="L165" s="1287">
        <f>IFERROR(((J165/G165-1)*100),"-")</f>
        <v>-100</v>
      </c>
      <c r="M165" s="1322"/>
      <c r="O165" s="1339">
        <f>O155/O175</f>
        <v>1.5159197473269115</v>
      </c>
      <c r="P165" s="1287">
        <f>IFERROR(((N165/K165-1)*100),"-")</f>
        <v>-100</v>
      </c>
      <c r="Q165" s="1322"/>
      <c r="S165" s="1339">
        <f>S155/S175</f>
        <v>1.3166459145858755</v>
      </c>
      <c r="T165" s="1287">
        <f>IFERROR(((R165/O165-1)*100),"-")</f>
        <v>-100</v>
      </c>
      <c r="U165" s="1322"/>
      <c r="W165" s="1356" t="s">
        <v>585</v>
      </c>
      <c r="X165" s="1287">
        <f>IFERROR(((V165/S165-1)*100),"-")</f>
        <v>-100</v>
      </c>
      <c r="Y165" s="1287"/>
      <c r="AA165" s="1356" t="s">
        <v>585</v>
      </c>
      <c r="AB165" s="1287" t="str">
        <f>IFERROR(((Z165/W165-1)*100),"-")</f>
        <v>-</v>
      </c>
      <c r="AC165" s="1287"/>
      <c r="AE165" s="1356" t="s">
        <v>585</v>
      </c>
      <c r="AF165" s="1287" t="str">
        <f>IFERROR(((AD165/AA165-1)*100),"-")</f>
        <v>-</v>
      </c>
      <c r="AG165" s="1287"/>
      <c r="AI165" s="1356" t="s">
        <v>585</v>
      </c>
      <c r="AJ165" s="1287" t="str">
        <f t="shared" si="276"/>
        <v>-</v>
      </c>
      <c r="AK165" s="1287"/>
      <c r="AM165" s="1356" t="s">
        <v>585</v>
      </c>
      <c r="AN165" s="1287" t="str">
        <f t="shared" si="277"/>
        <v>-</v>
      </c>
      <c r="AO165" s="1287"/>
      <c r="AQ165" s="1356" t="s">
        <v>585</v>
      </c>
      <c r="AR165" s="1287" t="str">
        <f t="shared" si="278"/>
        <v>-</v>
      </c>
      <c r="AS165" s="1287"/>
      <c r="AT165" s="1370"/>
      <c r="AU165" s="1356">
        <f>AU155/AU175</f>
        <v>-9.6230701444539823E-2</v>
      </c>
      <c r="AV165" s="1287" t="str">
        <f t="shared" si="279"/>
        <v>-</v>
      </c>
      <c r="AW165" s="1287"/>
      <c r="AY165" s="1356">
        <f>AY155/AY175</f>
        <v>-0.21782743846523459</v>
      </c>
      <c r="AZ165" s="1287">
        <f t="shared" si="280"/>
        <v>126.35960789579616</v>
      </c>
      <c r="BC165" s="1356">
        <f>BC155/BC175</f>
        <v>-0.46099329003745909</v>
      </c>
      <c r="BD165" s="1287">
        <f t="shared" si="281"/>
        <v>111.63233304560664</v>
      </c>
      <c r="BG165" s="1356">
        <f>BG155/BG175</f>
        <v>0.20395331579302489</v>
      </c>
      <c r="BH165" s="1287">
        <f t="shared" si="282"/>
        <v>-144.24214412675121</v>
      </c>
      <c r="BI165" s="1355"/>
      <c r="BK165" s="1356">
        <f>BK155/BK175</f>
        <v>0.45013683026101892</v>
      </c>
      <c r="BL165" s="1287">
        <f t="shared" si="283"/>
        <v>120.70581618679101</v>
      </c>
      <c r="BM165" s="1355"/>
      <c r="BO165" s="1356">
        <f>BO155/BO175</f>
        <v>0.64536029105132153</v>
      </c>
      <c r="BP165" s="1287">
        <f t="shared" si="284"/>
        <v>43.369803949856589</v>
      </c>
      <c r="BQ165" s="1355"/>
      <c r="BS165" s="1356">
        <f>BS155/BS175</f>
        <v>0.93630921498305364</v>
      </c>
      <c r="BT165" s="1287">
        <f t="shared" si="285"/>
        <v>45.08317725247133</v>
      </c>
      <c r="BU165" s="1355"/>
    </row>
    <row r="166" spans="1:76" s="1282" customFormat="1">
      <c r="A166" s="1254" t="s">
        <v>82</v>
      </c>
      <c r="C166" s="1343">
        <f>C156/C176</f>
        <v>0.20160648140251639</v>
      </c>
      <c r="D166" s="1287" t="str">
        <f>IFERROR(((B166/#REF!-1)*100),"-")</f>
        <v>-</v>
      </c>
      <c r="E166" s="1322"/>
      <c r="G166" s="1343">
        <f>G156/G176</f>
        <v>0.11955550677042287</v>
      </c>
      <c r="H166" s="1287">
        <f>IFERROR(((F166/C166-1)*100),"-")</f>
        <v>-100</v>
      </c>
      <c r="I166" s="1322"/>
      <c r="K166" s="1343">
        <f>K156/K176</f>
        <v>0.54267890017851306</v>
      </c>
      <c r="L166" s="1287">
        <f>IFERROR(((J166/G166-1)*100),"-")</f>
        <v>-100</v>
      </c>
      <c r="M166" s="1322"/>
      <c r="O166" s="1343">
        <f>O156/O176</f>
        <v>0.39340941090477644</v>
      </c>
      <c r="P166" s="1287">
        <f>IFERROR(((N166/K166-1)*100),"-")</f>
        <v>-100</v>
      </c>
      <c r="Q166" s="1322"/>
      <c r="S166" s="1343">
        <f>S156/S176</f>
        <v>2.1486565381330633</v>
      </c>
      <c r="T166" s="1287">
        <f>IFERROR(((R166/O166-1)*100),"-")</f>
        <v>-100</v>
      </c>
      <c r="U166" s="1322"/>
      <c r="W166" s="1359" t="s">
        <v>585</v>
      </c>
      <c r="X166" s="1287">
        <f>IFERROR(((V166/S166-1)*100),"-")</f>
        <v>-100</v>
      </c>
      <c r="Y166" s="1287"/>
      <c r="AA166" s="1359" t="s">
        <v>585</v>
      </c>
      <c r="AB166" s="1287" t="str">
        <f>IFERROR(((Z166/W166-1)*100),"-")</f>
        <v>-</v>
      </c>
      <c r="AC166" s="1287"/>
      <c r="AE166" s="1359" t="s">
        <v>585</v>
      </c>
      <c r="AF166" s="1287" t="str">
        <f>IFERROR(((AD166/AA166-1)*100),"-")</f>
        <v>-</v>
      </c>
      <c r="AG166" s="1287"/>
      <c r="AI166" s="1359" t="s">
        <v>585</v>
      </c>
      <c r="AJ166" s="1287" t="str">
        <f t="shared" si="276"/>
        <v>-</v>
      </c>
      <c r="AK166" s="1287"/>
      <c r="AM166" s="1359" t="s">
        <v>585</v>
      </c>
      <c r="AN166" s="1287" t="str">
        <f t="shared" si="277"/>
        <v>-</v>
      </c>
      <c r="AO166" s="1287"/>
      <c r="AQ166" s="1359" t="s">
        <v>585</v>
      </c>
      <c r="AR166" s="1287" t="str">
        <f t="shared" si="278"/>
        <v>-</v>
      </c>
      <c r="AS166" s="1287"/>
      <c r="AT166" s="1370"/>
      <c r="AU166" s="1359">
        <f>AU156/AU176</f>
        <v>0.91942781683648089</v>
      </c>
      <c r="AV166" s="1287" t="str">
        <f t="shared" si="279"/>
        <v>-</v>
      </c>
      <c r="AW166" s="1287"/>
      <c r="AY166" s="1359">
        <f>AY156/AY176</f>
        <v>0.82163729295684329</v>
      </c>
      <c r="AZ166" s="1287">
        <f t="shared" si="280"/>
        <v>-10.636019716709255</v>
      </c>
      <c r="BC166" s="1359">
        <f>BC156/BC176</f>
        <v>1.3652988987939181</v>
      </c>
      <c r="BD166" s="1287">
        <f t="shared" si="281"/>
        <v>66.168078116389822</v>
      </c>
      <c r="BG166" s="1503">
        <f>BG156/BG176</f>
        <v>1.3326721986102685</v>
      </c>
      <c r="BH166" s="1287">
        <f t="shared" si="282"/>
        <v>-2.3897111623301992</v>
      </c>
      <c r="BI166" s="1355"/>
      <c r="BK166" s="1359">
        <f>BK156/BK176</f>
        <v>1.7442177059746888</v>
      </c>
      <c r="BL166" s="1287">
        <f t="shared" si="283"/>
        <v>30.881225540203094</v>
      </c>
      <c r="BM166" s="1355"/>
      <c r="BO166" s="1359">
        <f>BO156/BO176</f>
        <v>2.1284964432580624</v>
      </c>
      <c r="BP166" s="1287">
        <f t="shared" si="284"/>
        <v>22.031581032978576</v>
      </c>
      <c r="BQ166" s="1355"/>
      <c r="BS166" s="1359">
        <f>BS156/BS176</f>
        <v>2.6888794285524256</v>
      </c>
      <c r="BT166" s="1287">
        <f t="shared" si="285"/>
        <v>26.327644900199697</v>
      </c>
      <c r="BU166" s="1355"/>
      <c r="BV166" s="1306"/>
    </row>
    <row r="167" spans="1:76" s="1282" customFormat="1">
      <c r="A167" s="1254" t="s">
        <v>85</v>
      </c>
      <c r="C167" s="1339">
        <f>C157/C177</f>
        <v>2.8239142163474509</v>
      </c>
      <c r="D167" s="1287" t="str">
        <f>IFERROR(((B167/#REF!-1)*100),"-")</f>
        <v>-</v>
      </c>
      <c r="E167" s="1322"/>
      <c r="G167" s="1339">
        <f>G157/G177</f>
        <v>3.0618081045587799</v>
      </c>
      <c r="H167" s="1287">
        <f>IFERROR(((F167/C167-1)*100),"-")</f>
        <v>-100</v>
      </c>
      <c r="I167" s="1322"/>
      <c r="K167" s="1339">
        <f>K157/K177</f>
        <v>3.3979815923970396</v>
      </c>
      <c r="L167" s="1287">
        <f>IFERROR(((J167/G167-1)*100),"-")</f>
        <v>-100</v>
      </c>
      <c r="M167" s="1322"/>
      <c r="O167" s="1339">
        <f>O157/O177</f>
        <v>4.2139936529509017</v>
      </c>
      <c r="P167" s="1287">
        <f>IFERROR(((N167/K167-1)*100),"-")</f>
        <v>-100</v>
      </c>
      <c r="Q167" s="1322"/>
      <c r="S167" s="1339"/>
      <c r="T167" s="1287">
        <f>IFERROR(((R167/O167-1)*100),"-")</f>
        <v>-100</v>
      </c>
      <c r="U167" s="1322"/>
      <c r="W167" s="1339"/>
      <c r="X167" s="1287" t="str">
        <f>IFERROR(((V167/S167-1)*100),"-")</f>
        <v>-</v>
      </c>
      <c r="Y167" s="1287"/>
      <c r="AA167" s="1339"/>
      <c r="AB167" s="1287" t="str">
        <f>IFERROR(((Z167/W167-1)*100),"-")</f>
        <v>-</v>
      </c>
      <c r="AC167" s="1287"/>
      <c r="AE167" s="1339"/>
      <c r="AF167" s="1287" t="str">
        <f>IFERROR(((AD167/AA167-1)*100),"-")</f>
        <v>-</v>
      </c>
      <c r="AG167" s="1287"/>
      <c r="AI167" s="1354" t="s">
        <v>585</v>
      </c>
      <c r="AJ167" s="1287" t="str">
        <f t="shared" si="276"/>
        <v>-</v>
      </c>
      <c r="AK167" s="1287"/>
      <c r="AM167" s="1354" t="s">
        <v>585</v>
      </c>
      <c r="AN167" s="1287" t="str">
        <f t="shared" si="277"/>
        <v>-</v>
      </c>
      <c r="AO167" s="1287"/>
      <c r="AQ167" s="1354" t="s">
        <v>585</v>
      </c>
      <c r="AR167" s="1287" t="str">
        <f t="shared" si="278"/>
        <v>-</v>
      </c>
      <c r="AS167" s="1287"/>
      <c r="AT167" s="1370"/>
      <c r="AU167" s="1354">
        <f>AU157/AU177</f>
        <v>0.36117521182668127</v>
      </c>
      <c r="AV167" s="1287" t="str">
        <f t="shared" si="279"/>
        <v>-</v>
      </c>
      <c r="AW167" s="1287"/>
      <c r="AY167" s="1354">
        <f>AY157/AY177</f>
        <v>0.20870445266963053</v>
      </c>
      <c r="AZ167" s="1287">
        <f t="shared" si="280"/>
        <v>-42.215178164058933</v>
      </c>
      <c r="BC167" s="1354">
        <f>BC157/BC177</f>
        <v>0.99123847167325141</v>
      </c>
      <c r="BD167" s="1287">
        <f t="shared" si="281"/>
        <v>374.94840622415273</v>
      </c>
      <c r="BG167" s="1354">
        <f>BG157/BG177</f>
        <v>1.9981543078322415</v>
      </c>
      <c r="BH167" s="1287">
        <f t="shared" si="282"/>
        <v>101.58159362592882</v>
      </c>
      <c r="BI167" s="1355"/>
      <c r="BK167" s="1354">
        <f>BK157/BK177</f>
        <v>2.9942437860630204</v>
      </c>
      <c r="BL167" s="1287">
        <f t="shared" si="283"/>
        <v>49.850478230153158</v>
      </c>
      <c r="BM167" s="1355"/>
      <c r="BO167" s="1354">
        <f>BO157/BO177</f>
        <v>4.1495624573184591</v>
      </c>
      <c r="BP167" s="1287">
        <f t="shared" si="284"/>
        <v>38.58465622047791</v>
      </c>
      <c r="BQ167" s="1355"/>
      <c r="BS167" s="1354">
        <f>BS157/BS177</f>
        <v>5.5609786541066137</v>
      </c>
      <c r="BT167" s="1287">
        <f t="shared" si="285"/>
        <v>34.013614960750438</v>
      </c>
      <c r="BU167" s="1355"/>
    </row>
    <row r="168" spans="1:76" s="1282" customFormat="1">
      <c r="A168" s="1254" t="s">
        <v>87</v>
      </c>
      <c r="C168" s="1339"/>
      <c r="D168" s="1287"/>
      <c r="E168" s="1322"/>
      <c r="G168" s="1339"/>
      <c r="H168" s="1287"/>
      <c r="I168" s="1322"/>
      <c r="K168" s="1339"/>
      <c r="L168" s="1287"/>
      <c r="M168" s="1322"/>
      <c r="O168" s="1339"/>
      <c r="P168" s="1287"/>
      <c r="Q168" s="1322"/>
      <c r="S168" s="1339"/>
      <c r="T168" s="1287"/>
      <c r="U168" s="1322"/>
      <c r="W168" s="1339"/>
      <c r="X168" s="1287"/>
      <c r="Y168" s="1287"/>
      <c r="AA168" s="1339"/>
      <c r="AB168" s="1287"/>
      <c r="AC168" s="1287"/>
      <c r="AE168" s="1339"/>
      <c r="AF168" s="1287"/>
      <c r="AG168" s="1287"/>
      <c r="AI168" s="1354" t="s">
        <v>585</v>
      </c>
      <c r="AJ168" s="1287" t="str">
        <f t="shared" si="276"/>
        <v>-</v>
      </c>
      <c r="AK168" s="1287"/>
      <c r="AM168" s="1354" t="s">
        <v>585</v>
      </c>
      <c r="AN168" s="1287" t="str">
        <f t="shared" si="277"/>
        <v>-</v>
      </c>
      <c r="AO168" s="1287"/>
      <c r="AQ168" s="1354" t="s">
        <v>585</v>
      </c>
      <c r="AR168" s="1287" t="str">
        <f t="shared" si="278"/>
        <v>-</v>
      </c>
      <c r="AS168" s="1287"/>
      <c r="AT168" s="1370"/>
      <c r="AU168" s="1354">
        <f>SUM(AU163:AU164)</f>
        <v>-0.46202190356525846</v>
      </c>
      <c r="AV168" s="1287" t="str">
        <f t="shared" si="279"/>
        <v>-</v>
      </c>
      <c r="AW168" s="1287"/>
      <c r="AY168" s="1354">
        <f>SUM(AY163:AY164)</f>
        <v>-0.39511832389817358</v>
      </c>
      <c r="AZ168" s="1287">
        <f t="shared" si="280"/>
        <v>-14.480607770067566</v>
      </c>
      <c r="BC168" s="1354">
        <f>SUM(BC163:BC164)</f>
        <v>6.8538692152789127E-2</v>
      </c>
      <c r="BD168" s="1287">
        <f t="shared" si="281"/>
        <v>-117.34637145566865</v>
      </c>
      <c r="BG168" s="1354">
        <f>SUM(BG163:BG164)</f>
        <v>0.47834113760928454</v>
      </c>
      <c r="BH168" s="1287">
        <f t="shared" si="282"/>
        <v>597.91401409140951</v>
      </c>
      <c r="BI168" s="1355"/>
      <c r="BK168" s="1354">
        <f>SUM(BK163:BK164)</f>
        <v>0.80128576974298815</v>
      </c>
      <c r="BL168" s="1287">
        <f t="shared" si="283"/>
        <v>67.513455720693031</v>
      </c>
      <c r="BM168" s="1355"/>
      <c r="BO168" s="1354">
        <f>SUM(BO163:BO164)</f>
        <v>1.3948166363531964</v>
      </c>
      <c r="BP168" s="1287">
        <f t="shared" si="284"/>
        <v>74.072308410092319</v>
      </c>
      <c r="BQ168" s="1355"/>
      <c r="BS168" s="1354">
        <f>SUM(BS163:BS164)</f>
        <v>1.9503886581336611</v>
      </c>
      <c r="BT168" s="1287">
        <f t="shared" si="285"/>
        <v>39.831186931712395</v>
      </c>
      <c r="BU168" s="1355"/>
      <c r="BX168" s="1306"/>
    </row>
    <row r="169" spans="1:76" s="1282" customFormat="1">
      <c r="A169" s="1254" t="s">
        <v>88</v>
      </c>
      <c r="C169" s="1339"/>
      <c r="D169" s="1287"/>
      <c r="E169" s="1322"/>
      <c r="G169" s="1339"/>
      <c r="H169" s="1287"/>
      <c r="I169" s="1322"/>
      <c r="K169" s="1339"/>
      <c r="L169" s="1287"/>
      <c r="M169" s="1322"/>
      <c r="O169" s="1339"/>
      <c r="P169" s="1287"/>
      <c r="Q169" s="1322"/>
      <c r="S169" s="1339"/>
      <c r="T169" s="1287"/>
      <c r="U169" s="1322"/>
      <c r="W169" s="1339"/>
      <c r="X169" s="1287"/>
      <c r="Y169" s="1287"/>
      <c r="AA169" s="1339"/>
      <c r="AB169" s="1287"/>
      <c r="AC169" s="1287"/>
      <c r="AE169" s="1339"/>
      <c r="AF169" s="1287"/>
      <c r="AG169" s="1287"/>
      <c r="AI169" s="1354" t="s">
        <v>585</v>
      </c>
      <c r="AJ169" s="1287" t="str">
        <f t="shared" si="276"/>
        <v>-</v>
      </c>
      <c r="AK169" s="1287"/>
      <c r="AM169" s="1354" t="s">
        <v>585</v>
      </c>
      <c r="AN169" s="1287" t="str">
        <f t="shared" si="277"/>
        <v>-</v>
      </c>
      <c r="AO169" s="1287"/>
      <c r="AQ169" s="1354" t="s">
        <v>585</v>
      </c>
      <c r="AR169" s="1287" t="str">
        <f t="shared" si="278"/>
        <v>-</v>
      </c>
      <c r="AS169" s="1287"/>
      <c r="AT169" s="1370"/>
      <c r="AU169" s="1354">
        <f>SUM(AU163:AU165)</f>
        <v>-0.55825260500979823</v>
      </c>
      <c r="AV169" s="1287" t="str">
        <f t="shared" si="279"/>
        <v>-</v>
      </c>
      <c r="AW169" s="1287"/>
      <c r="AY169" s="1354">
        <f>SUM(AY163:AY165)</f>
        <v>-0.61294576236340814</v>
      </c>
      <c r="AZ169" s="1287">
        <f t="shared" si="280"/>
        <v>9.7972059355907462</v>
      </c>
      <c r="BC169" s="1354">
        <f>SUM(BC163:BC165)</f>
        <v>-0.39245459788466996</v>
      </c>
      <c r="BD169" s="1287">
        <f t="shared" si="281"/>
        <v>-35.972377658434908</v>
      </c>
      <c r="BG169" s="1354">
        <f>SUM(BG163:BG165)</f>
        <v>0.68229445340230943</v>
      </c>
      <c r="BH169" s="1287">
        <f t="shared" si="282"/>
        <v>-273.85309207227436</v>
      </c>
      <c r="BI169" s="1355"/>
      <c r="BK169" s="1354">
        <f>SUM(BK163:BK165)</f>
        <v>1.2514226000040072</v>
      </c>
      <c r="BL169" s="1287">
        <f t="shared" si="283"/>
        <v>83.413860945769102</v>
      </c>
      <c r="BM169" s="1355"/>
      <c r="BO169" s="1354">
        <f>SUM(BO163:BO165)</f>
        <v>2.0401769274045178</v>
      </c>
      <c r="BP169" s="1287">
        <f t="shared" si="284"/>
        <v>63.028614586150589</v>
      </c>
      <c r="BQ169" s="1355"/>
      <c r="BS169" s="1354">
        <f>SUM(BS163:BS165)</f>
        <v>2.8866978731167148</v>
      </c>
      <c r="BT169" s="1287">
        <f t="shared" si="285"/>
        <v>41.49252617953718</v>
      </c>
      <c r="BU169" s="1355"/>
    </row>
    <row r="170" spans="1:76" s="1282" customFormat="1">
      <c r="A170" s="1254"/>
      <c r="C170" s="1339"/>
      <c r="D170" s="1287"/>
      <c r="E170" s="1322"/>
      <c r="G170" s="1339"/>
      <c r="H170" s="1287"/>
      <c r="I170" s="1322"/>
      <c r="K170" s="1339"/>
      <c r="L170" s="1287"/>
      <c r="M170" s="1322"/>
      <c r="O170" s="1339"/>
      <c r="P170" s="1287"/>
      <c r="Q170" s="1322"/>
      <c r="S170" s="1339"/>
      <c r="T170" s="1287"/>
      <c r="U170" s="1322"/>
      <c r="W170" s="1339"/>
      <c r="X170" s="1287"/>
      <c r="Y170" s="1287"/>
      <c r="AA170" s="1339"/>
      <c r="AB170" s="1287"/>
      <c r="AC170" s="1287"/>
      <c r="AE170" s="1339"/>
      <c r="AF170" s="1287"/>
      <c r="AG170" s="1287"/>
      <c r="AI170" s="1354"/>
      <c r="AJ170" s="1287"/>
      <c r="AK170" s="1287"/>
      <c r="AM170" s="1354"/>
      <c r="AN170" s="1287"/>
      <c r="AO170" s="1287"/>
      <c r="AQ170" s="1354"/>
      <c r="AR170" s="1287"/>
      <c r="AS170" s="1287"/>
      <c r="AT170" s="1370"/>
      <c r="AU170" s="1354"/>
      <c r="AV170" s="1287"/>
      <c r="AW170" s="1287"/>
      <c r="AY170" s="1354"/>
      <c r="AZ170" s="1287"/>
      <c r="BC170" s="1354"/>
      <c r="BD170" s="1287"/>
      <c r="BG170" s="1354"/>
      <c r="BH170" s="1287"/>
      <c r="BI170" s="1355"/>
      <c r="BK170" s="1354"/>
      <c r="BL170" s="1287"/>
      <c r="BM170" s="1355"/>
      <c r="BO170" s="1354"/>
      <c r="BP170" s="1287"/>
      <c r="BQ170" s="1355"/>
      <c r="BS170" s="1354"/>
      <c r="BT170" s="1287"/>
      <c r="BU170" s="1355"/>
    </row>
    <row r="171" spans="1:76" outlineLevel="1">
      <c r="A171" s="1251" t="s">
        <v>377</v>
      </c>
      <c r="B171" s="1281"/>
      <c r="C171" s="1281"/>
      <c r="D171" s="1281"/>
      <c r="E171" s="1281"/>
      <c r="F171" s="1281"/>
      <c r="G171" s="1281"/>
      <c r="H171" s="1281"/>
      <c r="I171" s="1281"/>
      <c r="J171" s="1281"/>
      <c r="K171" s="1281"/>
      <c r="L171" s="1281"/>
      <c r="M171" s="1281"/>
      <c r="N171" s="1281"/>
      <c r="O171" s="1281"/>
      <c r="P171" s="1281"/>
      <c r="Q171" s="1281"/>
      <c r="R171" s="1281"/>
      <c r="S171" s="1281"/>
      <c r="T171" s="1281"/>
      <c r="U171" s="1281"/>
      <c r="V171" s="1281"/>
      <c r="W171" s="1281"/>
      <c r="X171" s="1281"/>
      <c r="Y171" s="1281"/>
      <c r="Z171" s="1281"/>
      <c r="AA171" s="1281"/>
      <c r="AB171" s="1281"/>
      <c r="AC171" s="1281"/>
      <c r="AD171" s="1281"/>
      <c r="AE171" s="1281"/>
      <c r="AF171" s="1281"/>
      <c r="AG171" s="1281"/>
      <c r="AH171" s="1281"/>
      <c r="AI171" s="1281"/>
      <c r="AJ171" s="1281"/>
      <c r="AK171" s="1281"/>
      <c r="AL171" s="1281"/>
      <c r="AM171" s="1281"/>
      <c r="AN171" s="1281"/>
      <c r="AO171" s="1281"/>
      <c r="AP171" s="1281"/>
      <c r="AQ171" s="1281"/>
      <c r="AR171" s="1281"/>
      <c r="AS171" s="1281"/>
      <c r="AT171" s="1281"/>
      <c r="AU171" s="1281"/>
      <c r="AV171" s="1281"/>
      <c r="AW171" s="1281"/>
      <c r="AX171" s="1281"/>
      <c r="AY171" s="1281"/>
      <c r="AZ171" s="1281"/>
      <c r="BA171" s="1282"/>
      <c r="BB171" s="1282"/>
      <c r="BC171" s="1281"/>
      <c r="BD171" s="1251"/>
      <c r="BE171" s="1282"/>
      <c r="BF171" s="1282"/>
      <c r="BG171" s="2264" t="str">
        <f>A171</f>
        <v>17. Shares Outstanding - Fully Diluted</v>
      </c>
      <c r="BH171" s="2264"/>
      <c r="BI171" s="2264"/>
      <c r="BJ171" s="2264"/>
      <c r="BK171" s="2264"/>
      <c r="BL171" s="2264"/>
      <c r="BM171" s="2264"/>
      <c r="BN171" s="1663"/>
      <c r="BO171" s="1663"/>
      <c r="BP171" s="1663"/>
      <c r="BQ171" s="1663"/>
      <c r="BR171" s="2149"/>
      <c r="BS171" s="2149"/>
      <c r="BT171" s="2149"/>
      <c r="BU171" s="2149"/>
    </row>
    <row r="172" spans="1:76" outlineLevel="1">
      <c r="A172" s="1282"/>
      <c r="B172" s="1282"/>
      <c r="C172" s="1282"/>
      <c r="D172" s="1282"/>
      <c r="E172" s="1282"/>
      <c r="F172" s="1282"/>
      <c r="G172" s="1282"/>
      <c r="H172" s="1282"/>
      <c r="I172" s="1282"/>
      <c r="J172" s="1282"/>
      <c r="K172" s="1282"/>
      <c r="L172" s="1282"/>
      <c r="M172" s="1282"/>
      <c r="N172" s="1282"/>
      <c r="O172" s="1282"/>
      <c r="P172" s="1282"/>
      <c r="Q172" s="1282"/>
      <c r="R172" s="1282"/>
      <c r="S172" s="1282"/>
      <c r="T172" s="1282"/>
      <c r="U172" s="1282"/>
      <c r="V172" s="1282"/>
      <c r="W172" s="1282"/>
      <c r="X172" s="1282"/>
      <c r="Y172" s="1282"/>
      <c r="Z172" s="1282"/>
      <c r="AA172" s="1282"/>
      <c r="AB172" s="1282"/>
      <c r="AC172" s="1282"/>
      <c r="AD172" s="1282"/>
      <c r="AE172" s="1282"/>
      <c r="AF172" s="1282"/>
      <c r="AG172" s="1282"/>
      <c r="AH172" s="1282"/>
      <c r="AI172" s="1282"/>
      <c r="AJ172" s="1282"/>
      <c r="AK172" s="1282"/>
      <c r="AL172" s="1282"/>
      <c r="AM172" s="1282"/>
      <c r="AN172" s="1282"/>
      <c r="AO172" s="1282"/>
      <c r="AP172" s="1282"/>
      <c r="AQ172" s="1282"/>
      <c r="AR172" s="1282"/>
      <c r="AS172" s="1282"/>
      <c r="AT172" s="1282"/>
      <c r="AU172" s="1282"/>
      <c r="AV172" s="1282"/>
      <c r="AW172" s="1282"/>
      <c r="AX172" s="1282"/>
      <c r="AY172" s="1282"/>
      <c r="AZ172" s="1282"/>
      <c r="BA172" s="1282"/>
      <c r="BB172" s="1282"/>
      <c r="BC172" s="1306"/>
      <c r="BD172" s="1282"/>
      <c r="BE172" s="1282"/>
      <c r="BF172" s="1282"/>
      <c r="BG172" s="1282"/>
      <c r="BH172" s="1282"/>
      <c r="BI172" s="1282"/>
      <c r="BJ172" s="1282"/>
      <c r="BK172" s="1282"/>
      <c r="BL172" s="1282"/>
      <c r="BM172" s="1282"/>
      <c r="BN172" s="1282"/>
      <c r="BO172" s="1282"/>
      <c r="BP172" s="1282"/>
      <c r="BQ172" s="1282"/>
      <c r="BR172" s="1282"/>
      <c r="BS172" s="1282"/>
      <c r="BT172" s="1282"/>
      <c r="BU172" s="1282"/>
    </row>
    <row r="173" spans="1:76" outlineLevel="1">
      <c r="A173" s="1254" t="s">
        <v>79</v>
      </c>
      <c r="B173" s="1282"/>
      <c r="C173" s="1338">
        <v>44.454000000000001</v>
      </c>
      <c r="D173" s="1285"/>
      <c r="E173" s="1286"/>
      <c r="F173" s="1282"/>
      <c r="G173" s="1338">
        <v>44.482686999999999</v>
      </c>
      <c r="H173" s="1285"/>
      <c r="I173" s="1286"/>
      <c r="J173" s="1282"/>
      <c r="K173" s="1338">
        <v>44.547424999999997</v>
      </c>
      <c r="L173" s="1285"/>
      <c r="M173" s="1286"/>
      <c r="N173" s="1282"/>
      <c r="O173" s="1338">
        <v>44.635846999999998</v>
      </c>
      <c r="P173" s="1363"/>
      <c r="Q173" s="1286"/>
      <c r="R173" s="1282"/>
      <c r="S173" s="1338">
        <v>44.772804999999998</v>
      </c>
      <c r="T173" s="1363"/>
      <c r="U173" s="1286"/>
      <c r="V173" s="1282"/>
      <c r="W173" s="1338" t="s">
        <v>90</v>
      </c>
      <c r="X173" s="1287"/>
      <c r="Y173" s="1287"/>
      <c r="Z173" s="1282"/>
      <c r="AA173" s="1338" t="s">
        <v>90</v>
      </c>
      <c r="AB173" s="1287"/>
      <c r="AC173" s="1287"/>
      <c r="AD173" s="1282"/>
      <c r="AE173" s="1339" t="s">
        <v>90</v>
      </c>
      <c r="AF173" s="1287"/>
      <c r="AG173" s="1287"/>
      <c r="AH173" s="1282"/>
      <c r="AI173" s="1339" t="s">
        <v>90</v>
      </c>
      <c r="AJ173" s="1287"/>
      <c r="AK173" s="1287"/>
      <c r="AL173" s="1282"/>
      <c r="AM173" s="1339" t="s">
        <v>90</v>
      </c>
      <c r="AN173" s="1287"/>
      <c r="AO173" s="1287"/>
      <c r="AP173" s="1282"/>
      <c r="AQ173" s="1339" t="s">
        <v>90</v>
      </c>
      <c r="AR173" s="1287"/>
      <c r="AS173" s="1287"/>
      <c r="AT173" s="1282"/>
      <c r="AU173" s="1340">
        <v>77.386944999999997</v>
      </c>
      <c r="AV173" s="1287"/>
      <c r="AW173" s="1287"/>
      <c r="AX173" s="1282"/>
      <c r="AY173" s="1340">
        <v>77.386944999999997</v>
      </c>
      <c r="AZ173" s="1287"/>
      <c r="BA173" s="1282"/>
      <c r="BB173" s="1282"/>
      <c r="BC173" s="1340">
        <v>77.386944999999997</v>
      </c>
      <c r="BD173" s="1287"/>
      <c r="BE173" s="1282"/>
      <c r="BF173" s="1282"/>
      <c r="BG173" s="1340">
        <v>76.501000000000005</v>
      </c>
      <c r="BH173" s="1340"/>
      <c r="BI173" s="1287"/>
      <c r="BJ173" s="1306"/>
      <c r="BK173" s="1340">
        <f>BK193</f>
        <v>72.423000000000002</v>
      </c>
      <c r="BL173" s="1340"/>
      <c r="BM173" s="1287"/>
      <c r="BN173" s="1306"/>
      <c r="BO173" s="1339">
        <f>BO193</f>
        <v>71.504999999999995</v>
      </c>
      <c r="BP173" s="1340"/>
      <c r="BQ173" s="1287"/>
      <c r="BR173" s="1306"/>
      <c r="BS173" s="1339">
        <f>BS193</f>
        <v>68.905000000000001</v>
      </c>
      <c r="BT173" s="1340"/>
      <c r="BU173" s="1287"/>
    </row>
    <row r="174" spans="1:76" outlineLevel="1">
      <c r="A174" s="1254" t="s">
        <v>80</v>
      </c>
      <c r="B174" s="1282"/>
      <c r="C174" s="1338">
        <v>44.402000000000001</v>
      </c>
      <c r="D174" s="1285"/>
      <c r="E174" s="1286"/>
      <c r="F174" s="1282"/>
      <c r="G174" s="1338">
        <v>44.573452000000003</v>
      </c>
      <c r="H174" s="1285"/>
      <c r="I174" s="1286"/>
      <c r="J174" s="1282"/>
      <c r="K174" s="1338">
        <v>44.662796</v>
      </c>
      <c r="L174" s="1285"/>
      <c r="M174" s="1286"/>
      <c r="N174" s="1282"/>
      <c r="O174" s="1338">
        <v>44.645789999999998</v>
      </c>
      <c r="P174" s="1363"/>
      <c r="Q174" s="1286"/>
      <c r="R174" s="1282"/>
      <c r="S174" s="1338">
        <v>44.773412</v>
      </c>
      <c r="T174" s="1363"/>
      <c r="U174" s="1286"/>
      <c r="V174" s="1282"/>
      <c r="W174" s="1338" t="s">
        <v>90</v>
      </c>
      <c r="X174" s="1287"/>
      <c r="Y174" s="1287"/>
      <c r="Z174" s="1282"/>
      <c r="AA174" s="1338" t="s">
        <v>90</v>
      </c>
      <c r="AB174" s="1287"/>
      <c r="AC174" s="1287"/>
      <c r="AD174" s="1282"/>
      <c r="AE174" s="1339" t="s">
        <v>90</v>
      </c>
      <c r="AF174" s="1287"/>
      <c r="AG174" s="1287"/>
      <c r="AH174" s="1282"/>
      <c r="AI174" s="1339" t="s">
        <v>90</v>
      </c>
      <c r="AJ174" s="1287"/>
      <c r="AK174" s="1287"/>
      <c r="AL174" s="1282"/>
      <c r="AM174" s="1339" t="s">
        <v>90</v>
      </c>
      <c r="AN174" s="1287"/>
      <c r="AO174" s="1287"/>
      <c r="AP174" s="1282"/>
      <c r="AQ174" s="1339" t="s">
        <v>90</v>
      </c>
      <c r="AR174" s="1287"/>
      <c r="AS174" s="1287"/>
      <c r="AT174" s="1282"/>
      <c r="AU174" s="1340">
        <v>77.386944999999997</v>
      </c>
      <c r="AV174" s="1287"/>
      <c r="AW174" s="1287"/>
      <c r="AX174" s="1282"/>
      <c r="AY174" s="1340">
        <v>77.386944999999997</v>
      </c>
      <c r="AZ174" s="1287"/>
      <c r="BA174" s="1282"/>
      <c r="BB174" s="1282"/>
      <c r="BC174" s="1340">
        <v>77.386944999999997</v>
      </c>
      <c r="BD174" s="1287"/>
      <c r="BE174" s="1282"/>
      <c r="BF174" s="1282"/>
      <c r="BG174" s="1340">
        <v>76.510999999999996</v>
      </c>
      <c r="BH174" s="1340"/>
      <c r="BI174" s="1287"/>
      <c r="BJ174" s="1306"/>
      <c r="BK174" s="1340">
        <v>71.986999999999995</v>
      </c>
      <c r="BL174" s="1340"/>
      <c r="BM174" s="1287"/>
      <c r="BN174" s="1306"/>
      <c r="BO174" s="1339">
        <f>BO194</f>
        <v>70.801000000000002</v>
      </c>
      <c r="BP174" s="1340"/>
      <c r="BQ174" s="1287"/>
      <c r="BR174" s="1306"/>
      <c r="BS174" s="1339">
        <f>BS194</f>
        <v>68.504999999999995</v>
      </c>
      <c r="BT174" s="1340"/>
      <c r="BU174" s="1287"/>
    </row>
    <row r="175" spans="1:76" outlineLevel="1">
      <c r="A175" s="1254"/>
      <c r="B175" s="1282"/>
      <c r="C175" s="1338">
        <v>44.463999999999999</v>
      </c>
      <c r="D175" s="1285"/>
      <c r="E175" s="1286"/>
      <c r="F175" s="1282"/>
      <c r="G175" s="1338">
        <v>44.553818999999997</v>
      </c>
      <c r="H175" s="1285"/>
      <c r="I175" s="1286"/>
      <c r="J175" s="1282"/>
      <c r="K175" s="1338">
        <v>44.669939999999997</v>
      </c>
      <c r="L175" s="1285"/>
      <c r="M175" s="1286"/>
      <c r="N175" s="1282"/>
      <c r="O175" s="1338">
        <v>44.787990999999998</v>
      </c>
      <c r="P175" s="1363"/>
      <c r="Q175" s="1286"/>
      <c r="R175" s="1282"/>
      <c r="S175" s="1338">
        <v>44.965772000000001</v>
      </c>
      <c r="T175" s="1363"/>
      <c r="U175" s="1286"/>
      <c r="V175" s="1282"/>
      <c r="W175" s="1338" t="s">
        <v>90</v>
      </c>
      <c r="X175" s="1287"/>
      <c r="Y175" s="1287"/>
      <c r="Z175" s="1282"/>
      <c r="AA175" s="1338" t="s">
        <v>90</v>
      </c>
      <c r="AB175" s="1287"/>
      <c r="AC175" s="1287"/>
      <c r="AD175" s="1282"/>
      <c r="AE175" s="1339" t="s">
        <v>90</v>
      </c>
      <c r="AF175" s="1287"/>
      <c r="AG175" s="1287"/>
      <c r="AH175" s="1282"/>
      <c r="AI175" s="1339" t="s">
        <v>90</v>
      </c>
      <c r="AJ175" s="1287"/>
      <c r="AK175" s="1287"/>
      <c r="AL175" s="1282"/>
      <c r="AM175" s="1339" t="s">
        <v>90</v>
      </c>
      <c r="AN175" s="1287"/>
      <c r="AO175" s="1287"/>
      <c r="AP175" s="1282"/>
      <c r="AQ175" s="1339" t="s">
        <v>90</v>
      </c>
      <c r="AR175" s="1287"/>
      <c r="AS175" s="1287"/>
      <c r="AT175" s="1282"/>
      <c r="AU175" s="1340">
        <v>77.386944999999997</v>
      </c>
      <c r="AV175" s="1287"/>
      <c r="AW175" s="1287"/>
      <c r="AX175" s="1282"/>
      <c r="AY175" s="1340">
        <v>77.386944999999997</v>
      </c>
      <c r="AZ175" s="1287"/>
      <c r="BA175" s="1282"/>
      <c r="BB175" s="1282"/>
      <c r="BC175" s="1340">
        <v>74.218000000000004</v>
      </c>
      <c r="BD175" s="1287"/>
      <c r="BE175" s="1282"/>
      <c r="BF175" s="1282"/>
      <c r="BG175" s="1340">
        <v>74.114999999999995</v>
      </c>
      <c r="BH175" s="1340"/>
      <c r="BI175" s="1287"/>
      <c r="BJ175" s="1306"/>
      <c r="BK175" s="693">
        <f>+BK174</f>
        <v>71.986999999999995</v>
      </c>
      <c r="BL175" s="1340"/>
      <c r="BM175" s="1287"/>
      <c r="BN175" s="1306"/>
      <c r="BO175" s="693">
        <f>BO195</f>
        <v>69.540999999999997</v>
      </c>
      <c r="BP175" s="1340"/>
      <c r="BQ175" s="1287"/>
      <c r="BR175" s="1306"/>
      <c r="BS175" s="693">
        <f>BS195</f>
        <v>68.10499999999999</v>
      </c>
      <c r="BT175" s="1340"/>
      <c r="BU175" s="1287"/>
    </row>
    <row r="176" spans="1:76" outlineLevel="1">
      <c r="A176" s="1254" t="s">
        <v>82</v>
      </c>
      <c r="B176" s="1282"/>
      <c r="C176" s="1341">
        <f>C196+1.1</f>
        <v>45.554091</v>
      </c>
      <c r="D176" s="1285"/>
      <c r="E176" s="1286"/>
      <c r="F176" s="1282"/>
      <c r="G176" s="1342">
        <v>44.539980999999997</v>
      </c>
      <c r="H176" s="1285"/>
      <c r="I176" s="1286"/>
      <c r="J176" s="1282"/>
      <c r="K176" s="1342">
        <v>44.735478000000001</v>
      </c>
      <c r="L176" s="1285"/>
      <c r="M176" s="1286"/>
      <c r="N176" s="1282"/>
      <c r="O176" s="1342">
        <v>44.881996999999998</v>
      </c>
      <c r="P176" s="1338"/>
      <c r="Q176" s="1286"/>
      <c r="R176" s="1282"/>
      <c r="S176" s="1342">
        <f>S175</f>
        <v>44.965772000000001</v>
      </c>
      <c r="T176" s="1338"/>
      <c r="U176" s="1286"/>
      <c r="V176" s="1282"/>
      <c r="W176" s="1342" t="s">
        <v>90</v>
      </c>
      <c r="X176" s="1287"/>
      <c r="Y176" s="1287"/>
      <c r="Z176" s="1282"/>
      <c r="AA176" s="1342" t="s">
        <v>90</v>
      </c>
      <c r="AB176" s="1287"/>
      <c r="AC176" s="1287"/>
      <c r="AD176" s="1282"/>
      <c r="AE176" s="1343" t="s">
        <v>90</v>
      </c>
      <c r="AF176" s="1287"/>
      <c r="AG176" s="1287"/>
      <c r="AH176" s="1282"/>
      <c r="AI176" s="1343" t="s">
        <v>90</v>
      </c>
      <c r="AJ176" s="1287"/>
      <c r="AK176" s="1287"/>
      <c r="AL176" s="1282"/>
      <c r="AM176" s="1343" t="s">
        <v>90</v>
      </c>
      <c r="AN176" s="1287"/>
      <c r="AO176" s="1287"/>
      <c r="AP176" s="1282"/>
      <c r="AQ176" s="1343" t="s">
        <v>90</v>
      </c>
      <c r="AR176" s="1287"/>
      <c r="AS176" s="1287"/>
      <c r="AT176" s="1282"/>
      <c r="AU176" s="1344">
        <v>77.386944999999997</v>
      </c>
      <c r="AV176" s="1287"/>
      <c r="AW176" s="1287"/>
      <c r="AX176" s="1282"/>
      <c r="AY176" s="1344">
        <v>77.386944999999997</v>
      </c>
      <c r="AZ176" s="1287"/>
      <c r="BA176" s="1282"/>
      <c r="BB176" s="1282"/>
      <c r="BC176" s="1344">
        <v>76.28</v>
      </c>
      <c r="BD176" s="1287"/>
      <c r="BE176" s="1282"/>
      <c r="BF176" s="1282"/>
      <c r="BG176" s="1343">
        <f>BG175</f>
        <v>74.114999999999995</v>
      </c>
      <c r="BH176" s="1345"/>
      <c r="BI176" s="1287"/>
      <c r="BJ176" s="1282"/>
      <c r="BK176" s="1343">
        <f>+BK175</f>
        <v>71.986999999999995</v>
      </c>
      <c r="BL176" s="1345"/>
      <c r="BM176" s="1287"/>
      <c r="BN176" s="1282"/>
      <c r="BO176" s="1343">
        <f>BO196</f>
        <v>69.305000000000007</v>
      </c>
      <c r="BP176" s="1345"/>
      <c r="BQ176" s="1287"/>
      <c r="BR176" s="1282"/>
      <c r="BS176" s="1343">
        <f>BS196</f>
        <v>67.704999999999984</v>
      </c>
      <c r="BT176" s="1345"/>
      <c r="BU176" s="1287"/>
    </row>
    <row r="177" spans="1:80" outlineLevel="1">
      <c r="A177" s="1254" t="s">
        <v>85</v>
      </c>
      <c r="B177" s="1282"/>
      <c r="C177" s="1346">
        <v>44.484000000000002</v>
      </c>
      <c r="D177" s="1285"/>
      <c r="E177" s="1286"/>
      <c r="F177" s="1282"/>
      <c r="G177" s="1346">
        <v>44.548186999999999</v>
      </c>
      <c r="H177" s="1285"/>
      <c r="I177" s="1286"/>
      <c r="J177" s="1282"/>
      <c r="K177" s="1346">
        <v>44.668281999999998</v>
      </c>
      <c r="L177" s="1285"/>
      <c r="M177" s="1286"/>
      <c r="N177" s="1282"/>
      <c r="O177" s="1346">
        <v>44.783645999999997</v>
      </c>
      <c r="P177" s="1338"/>
      <c r="Q177" s="1286"/>
      <c r="R177" s="1282"/>
      <c r="S177" s="1347" t="s">
        <v>90</v>
      </c>
      <c r="T177" s="1338"/>
      <c r="U177" s="1286"/>
      <c r="V177" s="1282"/>
      <c r="W177" s="1347" t="s">
        <v>90</v>
      </c>
      <c r="X177" s="1287"/>
      <c r="Y177" s="1287"/>
      <c r="Z177" s="1282"/>
      <c r="AA177" s="1347" t="s">
        <v>90</v>
      </c>
      <c r="AB177" s="1287"/>
      <c r="AC177" s="1287"/>
      <c r="AD177" s="1282"/>
      <c r="AE177" s="1339" t="s">
        <v>90</v>
      </c>
      <c r="AF177" s="1287"/>
      <c r="AG177" s="1287"/>
      <c r="AH177" s="1282"/>
      <c r="AI177" s="1339" t="s">
        <v>90</v>
      </c>
      <c r="AJ177" s="1287"/>
      <c r="AK177" s="1287"/>
      <c r="AL177" s="1282"/>
      <c r="AM177" s="1339" t="s">
        <v>90</v>
      </c>
      <c r="AN177" s="1287"/>
      <c r="AO177" s="1287"/>
      <c r="AP177" s="1282"/>
      <c r="AQ177" s="1339" t="s">
        <v>90</v>
      </c>
      <c r="AR177" s="1287"/>
      <c r="AS177" s="1287"/>
      <c r="AT177" s="1282"/>
      <c r="AU177" s="1340">
        <v>77.386944999999997</v>
      </c>
      <c r="AV177" s="1287"/>
      <c r="AW177" s="1287"/>
      <c r="AX177" s="1282"/>
      <c r="AY177" s="1340">
        <v>77.386944999999997</v>
      </c>
      <c r="AZ177" s="1287"/>
      <c r="BA177" s="1282"/>
      <c r="BB177" s="1282"/>
      <c r="BC177" s="1340">
        <v>75.900000000000006</v>
      </c>
      <c r="BD177" s="1287"/>
      <c r="BE177" s="1282"/>
      <c r="BF177" s="1282"/>
      <c r="BG177" s="1339">
        <f>AVERAGE(BG173:BG176)</f>
        <v>75.310500000000005</v>
      </c>
      <c r="BH177" s="1340"/>
      <c r="BI177" s="1287"/>
      <c r="BJ177" s="1282"/>
      <c r="BK177" s="1339">
        <f>AVERAGE(BK173:BK176)</f>
        <v>72.096000000000004</v>
      </c>
      <c r="BL177" s="1340"/>
      <c r="BM177" s="1287"/>
      <c r="BN177" s="1282"/>
      <c r="BO177" s="1339">
        <f>AVERAGE(BO173:BO176)</f>
        <v>70.287999999999997</v>
      </c>
      <c r="BP177" s="1340"/>
      <c r="BQ177" s="1287"/>
      <c r="BR177" s="1282"/>
      <c r="BS177" s="1339">
        <f>AVERAGE(BS173:BS176)</f>
        <v>68.304999999999993</v>
      </c>
      <c r="BT177" s="1340"/>
      <c r="BU177" s="1287"/>
    </row>
    <row r="178" spans="1:80" outlineLevel="1">
      <c r="A178" s="1254" t="s">
        <v>87</v>
      </c>
      <c r="B178" s="1282"/>
      <c r="C178" s="1348"/>
      <c r="D178" s="1285"/>
      <c r="E178" s="1286"/>
      <c r="F178" s="1282"/>
      <c r="G178" s="1348"/>
      <c r="H178" s="1285"/>
      <c r="I178" s="1286"/>
      <c r="J178" s="1282"/>
      <c r="K178" s="1348"/>
      <c r="L178" s="1285"/>
      <c r="M178" s="1286"/>
      <c r="N178" s="1282"/>
      <c r="O178" s="1348"/>
      <c r="P178" s="1287"/>
      <c r="Q178" s="1286"/>
      <c r="R178" s="1282"/>
      <c r="S178" s="1348"/>
      <c r="T178" s="1287"/>
      <c r="U178" s="1286"/>
      <c r="V178" s="1282"/>
      <c r="W178" s="1348"/>
      <c r="X178" s="1287"/>
      <c r="Y178" s="1287"/>
      <c r="Z178" s="1282"/>
      <c r="AA178" s="1348"/>
      <c r="AB178" s="1287"/>
      <c r="AC178" s="1287"/>
      <c r="AD178" s="1282"/>
      <c r="AE178" s="1339"/>
      <c r="AF178" s="1287"/>
      <c r="AG178" s="1287"/>
      <c r="AH178" s="1282"/>
      <c r="AI178" s="1339" t="s">
        <v>585</v>
      </c>
      <c r="AJ178" s="1287"/>
      <c r="AK178" s="1287"/>
      <c r="AL178" s="1282"/>
      <c r="AM178" s="1339" t="s">
        <v>585</v>
      </c>
      <c r="AN178" s="1287"/>
      <c r="AO178" s="1287"/>
      <c r="AP178" s="1282"/>
      <c r="AQ178" s="1339" t="s">
        <v>585</v>
      </c>
      <c r="AR178" s="1287"/>
      <c r="AS178" s="1287"/>
      <c r="AT178" s="1282"/>
      <c r="AU178" s="1339">
        <f>AVERAGE(AU173:AU174)</f>
        <v>77.386944999999997</v>
      </c>
      <c r="AV178" s="1287"/>
      <c r="AW178" s="1287"/>
      <c r="AX178" s="1282"/>
      <c r="AY178" s="1339">
        <f>AVERAGE(AY173:AY174)</f>
        <v>77.386944999999997</v>
      </c>
      <c r="AZ178" s="1287"/>
      <c r="BA178" s="1282"/>
      <c r="BB178" s="1282"/>
      <c r="BC178" s="1339">
        <f>AVERAGE(BC173:BC174)</f>
        <v>77.386944999999997</v>
      </c>
      <c r="BD178" s="1287"/>
      <c r="BE178" s="1282"/>
      <c r="BF178" s="1282"/>
      <c r="BG178" s="1339">
        <f>AVERAGE(BG173:BG174)</f>
        <v>76.506</v>
      </c>
      <c r="BH178" s="1340"/>
      <c r="BI178" s="1287"/>
      <c r="BJ178" s="1282"/>
      <c r="BK178" s="1339">
        <f>AVERAGE(BK173:BK174)</f>
        <v>72.204999999999998</v>
      </c>
      <c r="BL178" s="1340"/>
      <c r="BM178" s="1287"/>
      <c r="BN178" s="1282"/>
      <c r="BO178" s="1339">
        <f>AVERAGE(BO173:BO174)</f>
        <v>71.152999999999992</v>
      </c>
      <c r="BP178" s="1340"/>
      <c r="BQ178" s="1287"/>
      <c r="BR178" s="1282"/>
      <c r="BS178" s="1339">
        <f>AVERAGE(BS173:BS174)</f>
        <v>68.704999999999998</v>
      </c>
      <c r="BT178" s="1340"/>
      <c r="BU178" s="1287"/>
    </row>
    <row r="179" spans="1:80" outlineLevel="1">
      <c r="A179" s="1254" t="s">
        <v>88</v>
      </c>
      <c r="B179" s="1282"/>
      <c r="C179" s="1348"/>
      <c r="D179" s="1285"/>
      <c r="E179" s="1286"/>
      <c r="F179" s="1282"/>
      <c r="G179" s="1348"/>
      <c r="H179" s="1285"/>
      <c r="I179" s="1286"/>
      <c r="J179" s="1282"/>
      <c r="K179" s="1348"/>
      <c r="L179" s="1285"/>
      <c r="M179" s="1286"/>
      <c r="N179" s="1282"/>
      <c r="O179" s="1348"/>
      <c r="P179" s="1287"/>
      <c r="Q179" s="1286"/>
      <c r="R179" s="1282"/>
      <c r="S179" s="1348"/>
      <c r="T179" s="1287"/>
      <c r="U179" s="1286"/>
      <c r="V179" s="1282"/>
      <c r="W179" s="1348"/>
      <c r="X179" s="1287"/>
      <c r="Y179" s="1287"/>
      <c r="Z179" s="1282"/>
      <c r="AA179" s="1348"/>
      <c r="AB179" s="1287"/>
      <c r="AC179" s="1287"/>
      <c r="AD179" s="1282"/>
      <c r="AE179" s="1339"/>
      <c r="AF179" s="1287"/>
      <c r="AG179" s="1287"/>
      <c r="AH179" s="1282"/>
      <c r="AI179" s="1339" t="s">
        <v>585</v>
      </c>
      <c r="AJ179" s="1287"/>
      <c r="AK179" s="1287"/>
      <c r="AL179" s="1282"/>
      <c r="AM179" s="1339" t="s">
        <v>585</v>
      </c>
      <c r="AN179" s="1287"/>
      <c r="AO179" s="1287"/>
      <c r="AP179" s="1282"/>
      <c r="AQ179" s="1339" t="s">
        <v>585</v>
      </c>
      <c r="AR179" s="1287"/>
      <c r="AS179" s="1287"/>
      <c r="AT179" s="1282"/>
      <c r="AU179" s="1339">
        <f>AVERAGE(AU173:AU175)</f>
        <v>77.386944999999997</v>
      </c>
      <c r="AV179" s="1287"/>
      <c r="AW179" s="1287"/>
      <c r="AX179" s="1282"/>
      <c r="AY179" s="1339">
        <f>AVERAGE(AY173:AY175)</f>
        <v>77.386944999999997</v>
      </c>
      <c r="AZ179" s="1287"/>
      <c r="BA179" s="1282"/>
      <c r="BB179" s="1282"/>
      <c r="BC179" s="1339">
        <f>AVERAGE(BC173:BC175)</f>
        <v>76.330629999999999</v>
      </c>
      <c r="BD179" s="1287"/>
      <c r="BE179" s="1282"/>
      <c r="BF179" s="1282"/>
      <c r="BG179" s="1339">
        <f>AVERAGE(BG173:BG175)</f>
        <v>75.709000000000003</v>
      </c>
      <c r="BH179" s="1340"/>
      <c r="BI179" s="1287"/>
      <c r="BJ179" s="1282"/>
      <c r="BK179" s="1339">
        <f>AVERAGE(BK173:BK175)</f>
        <v>72.132333333333335</v>
      </c>
      <c r="BL179" s="1340"/>
      <c r="BM179" s="1287"/>
      <c r="BN179" s="1282"/>
      <c r="BO179" s="1339">
        <f>AVERAGE(BO173:BO175)</f>
        <v>70.615666666666655</v>
      </c>
      <c r="BP179" s="1340"/>
      <c r="BQ179" s="1287"/>
      <c r="BR179" s="1282"/>
      <c r="BS179" s="1339">
        <f>AVERAGE(BS173:BS175)</f>
        <v>68.504999999999995</v>
      </c>
      <c r="BT179" s="1340"/>
      <c r="BU179" s="1287"/>
    </row>
    <row r="180" spans="1:80" outlineLevel="1">
      <c r="A180" s="1282"/>
      <c r="B180" s="1282"/>
      <c r="C180" s="1282"/>
      <c r="D180" s="1282"/>
      <c r="E180" s="1282"/>
      <c r="F180" s="1282"/>
      <c r="G180" s="1282"/>
      <c r="H180" s="1282"/>
      <c r="I180" s="1282"/>
      <c r="J180" s="1282"/>
      <c r="K180" s="1282"/>
      <c r="L180" s="1282"/>
      <c r="M180" s="1282"/>
      <c r="N180" s="1282"/>
      <c r="O180" s="1282"/>
      <c r="P180" s="1282"/>
      <c r="Q180" s="1282"/>
      <c r="R180" s="1282"/>
      <c r="S180" s="1282"/>
      <c r="T180" s="1282"/>
      <c r="U180" s="1282"/>
      <c r="V180" s="1282"/>
      <c r="W180" s="1282"/>
      <c r="X180" s="1282"/>
      <c r="Y180" s="1282"/>
      <c r="Z180" s="1282"/>
      <c r="AA180" s="1282"/>
      <c r="AB180" s="1282"/>
      <c r="AC180" s="1282"/>
      <c r="AD180" s="1282"/>
      <c r="AE180" s="1282"/>
      <c r="AF180" s="1282"/>
      <c r="AG180" s="1282"/>
      <c r="AH180" s="1282"/>
      <c r="AI180" s="1282"/>
      <c r="AJ180" s="1282"/>
      <c r="AK180" s="1282"/>
      <c r="AL180" s="1282"/>
      <c r="AM180" s="1282"/>
      <c r="AN180" s="1282"/>
      <c r="AO180" s="1282"/>
      <c r="AP180" s="1282"/>
      <c r="AQ180" s="1282"/>
      <c r="AR180" s="1282"/>
      <c r="AS180" s="1282"/>
      <c r="AT180" s="1282"/>
      <c r="AU180" s="1282"/>
      <c r="AV180" s="1282"/>
      <c r="AW180" s="1282"/>
      <c r="AX180" s="1282"/>
      <c r="AY180" s="1282"/>
      <c r="AZ180" s="1282"/>
      <c r="BA180" s="1282"/>
      <c r="BB180" s="1282"/>
      <c r="BC180" s="1282"/>
      <c r="BD180" s="1282"/>
      <c r="BE180" s="1282"/>
      <c r="BF180" s="1282"/>
      <c r="BG180" s="1282"/>
      <c r="BH180" s="1282"/>
      <c r="BI180" s="1282"/>
      <c r="BJ180" s="1282"/>
      <c r="BK180" s="1282"/>
      <c r="BL180" s="1282"/>
      <c r="BM180" s="1282"/>
      <c r="BN180" s="1282"/>
      <c r="BO180" s="1282"/>
      <c r="BP180" s="1282"/>
      <c r="BQ180" s="1282"/>
      <c r="BR180" s="1282"/>
      <c r="BS180" s="1282"/>
      <c r="BT180" s="1282"/>
      <c r="BU180" s="1282"/>
    </row>
    <row r="181" spans="1:80" outlineLevel="1">
      <c r="A181" s="1251" t="s">
        <v>378</v>
      </c>
      <c r="B181" s="1281"/>
      <c r="C181" s="1281"/>
      <c r="D181" s="1281"/>
      <c r="E181" s="1281"/>
      <c r="F181" s="1281"/>
      <c r="G181" s="1281"/>
      <c r="H181" s="1281"/>
      <c r="I181" s="1281"/>
      <c r="J181" s="1281"/>
      <c r="K181" s="1281"/>
      <c r="L181" s="1281"/>
      <c r="M181" s="1281"/>
      <c r="N181" s="1281"/>
      <c r="O181" s="1281"/>
      <c r="P181" s="1281"/>
      <c r="Q181" s="1281"/>
      <c r="R181" s="1281"/>
      <c r="S181" s="1281"/>
      <c r="T181" s="1281"/>
      <c r="U181" s="1281"/>
      <c r="V181" s="1281"/>
      <c r="W181" s="1281"/>
      <c r="X181" s="1281"/>
      <c r="Y181" s="1281"/>
      <c r="Z181" s="1281"/>
      <c r="AA181" s="1281"/>
      <c r="AB181" s="1281"/>
      <c r="AC181" s="1281"/>
      <c r="AD181" s="1281"/>
      <c r="AE181" s="1281"/>
      <c r="AF181" s="1281"/>
      <c r="AG181" s="1281"/>
      <c r="AH181" s="1281"/>
      <c r="AI181" s="1281"/>
      <c r="AJ181" s="1281"/>
      <c r="AK181" s="1281"/>
      <c r="AL181" s="1281"/>
      <c r="AM181" s="1281"/>
      <c r="AN181" s="1281"/>
      <c r="AO181" s="1281"/>
      <c r="AP181" s="1281"/>
      <c r="AQ181" s="1281"/>
      <c r="AR181" s="1281"/>
      <c r="AS181" s="1281"/>
      <c r="AT181" s="1281"/>
      <c r="AU181" s="1281"/>
      <c r="AV181" s="1281"/>
      <c r="AW181" s="1281"/>
      <c r="AX181" s="1281"/>
      <c r="AY181" s="1281"/>
      <c r="AZ181" s="1281"/>
      <c r="BA181" s="1281"/>
      <c r="BB181" s="1282"/>
      <c r="BC181" s="1281"/>
      <c r="BD181" s="1281"/>
      <c r="BE181" s="1251"/>
      <c r="BF181" s="1282"/>
      <c r="BG181" s="2264" t="str">
        <f>A181</f>
        <v>18. Basic Shares Outstanding</v>
      </c>
      <c r="BH181" s="2264"/>
      <c r="BI181" s="2264"/>
      <c r="BJ181" s="2264"/>
      <c r="BK181" s="2264"/>
      <c r="BL181" s="2264"/>
      <c r="BM181" s="2264"/>
      <c r="BN181" s="1663"/>
      <c r="BO181" s="1663"/>
      <c r="BP181" s="1663"/>
      <c r="BQ181" s="1663"/>
      <c r="BR181" s="2149"/>
      <c r="BS181" s="2149"/>
      <c r="BT181" s="2149"/>
      <c r="BU181" s="2149"/>
    </row>
    <row r="182" spans="1:80" outlineLevel="1">
      <c r="A182" s="1282"/>
      <c r="B182" s="1282"/>
      <c r="C182" s="1282"/>
      <c r="D182" s="1282"/>
      <c r="E182" s="1282"/>
      <c r="F182" s="1282"/>
      <c r="G182" s="1282"/>
      <c r="H182" s="1282"/>
      <c r="I182" s="1282"/>
      <c r="J182" s="1282"/>
      <c r="K182" s="1282"/>
      <c r="L182" s="1282"/>
      <c r="M182" s="1282"/>
      <c r="N182" s="1282"/>
      <c r="O182" s="1282"/>
      <c r="P182" s="1282"/>
      <c r="Q182" s="1282"/>
      <c r="R182" s="1282"/>
      <c r="S182" s="1282"/>
      <c r="T182" s="1282"/>
      <c r="U182" s="1282"/>
      <c r="V182" s="1282"/>
      <c r="W182" s="1282"/>
      <c r="X182" s="1282"/>
      <c r="Y182" s="1282"/>
      <c r="Z182" s="1282"/>
      <c r="AA182" s="1282"/>
      <c r="AB182" s="1282"/>
      <c r="AC182" s="1282"/>
      <c r="AD182" s="1282"/>
      <c r="AE182" s="1282"/>
      <c r="AF182" s="1282"/>
      <c r="AG182" s="1282"/>
      <c r="AH182" s="1282"/>
      <c r="AI182" s="1282"/>
      <c r="AJ182" s="1282"/>
      <c r="AK182" s="1282"/>
      <c r="AL182" s="1282"/>
      <c r="AM182" s="1282"/>
      <c r="AN182" s="1282"/>
      <c r="AO182" s="1282"/>
      <c r="AP182" s="1282"/>
      <c r="AQ182" s="1282"/>
      <c r="AR182" s="1282"/>
      <c r="AS182" s="1282"/>
      <c r="AT182" s="1282"/>
      <c r="AU182" s="1282"/>
      <c r="AV182" s="1282"/>
      <c r="AW182" s="1282"/>
      <c r="AX182" s="1282"/>
      <c r="AY182" s="1282"/>
      <c r="AZ182" s="1282"/>
      <c r="BA182" s="1282"/>
      <c r="BB182" s="1282"/>
      <c r="BC182" s="1282"/>
      <c r="BD182" s="1282"/>
      <c r="BE182" s="1282"/>
      <c r="BF182" s="1282"/>
      <c r="BG182" s="1282"/>
      <c r="BH182" s="1282"/>
      <c r="BI182" s="1282"/>
      <c r="BJ182" s="1282"/>
      <c r="BK182" s="1282"/>
      <c r="BL182" s="1282"/>
      <c r="BM182" s="1282"/>
      <c r="BN182" s="1282"/>
      <c r="BO182" s="1282"/>
      <c r="BP182" s="1282"/>
      <c r="BQ182" s="1282"/>
      <c r="BR182" s="1282"/>
      <c r="BS182" s="1282"/>
      <c r="BT182" s="1282"/>
      <c r="BU182" s="1282"/>
    </row>
    <row r="183" spans="1:80" outlineLevel="1">
      <c r="A183" s="1254" t="s">
        <v>79</v>
      </c>
      <c r="B183" s="1282"/>
      <c r="C183" s="1338"/>
      <c r="D183" s="1285"/>
      <c r="E183" s="1286"/>
      <c r="F183" s="1282"/>
      <c r="G183" s="1338" t="s">
        <v>90</v>
      </c>
      <c r="H183" s="1338"/>
      <c r="I183" s="1286"/>
      <c r="J183" s="1282"/>
      <c r="K183" s="1338" t="s">
        <v>90</v>
      </c>
      <c r="L183" s="1338"/>
      <c r="M183" s="1286"/>
      <c r="N183" s="1282"/>
      <c r="O183" s="1338" t="s">
        <v>90</v>
      </c>
      <c r="P183" s="1338"/>
      <c r="Q183" s="1286"/>
      <c r="R183" s="1282"/>
      <c r="S183" s="1338" t="s">
        <v>90</v>
      </c>
      <c r="T183" s="1338"/>
      <c r="U183" s="1286"/>
      <c r="V183" s="1282"/>
      <c r="W183" s="1338" t="s">
        <v>90</v>
      </c>
      <c r="X183" s="1338"/>
      <c r="Y183" s="1287"/>
      <c r="Z183" s="1282"/>
      <c r="AA183" s="1338" t="s">
        <v>90</v>
      </c>
      <c r="AB183" s="1338"/>
      <c r="AC183" s="1287"/>
      <c r="AD183" s="1282"/>
      <c r="AE183" s="1339" t="s">
        <v>90</v>
      </c>
      <c r="AF183" s="1338"/>
      <c r="AG183" s="1287"/>
      <c r="AH183" s="1282"/>
      <c r="AI183" s="1339" t="s">
        <v>90</v>
      </c>
      <c r="AJ183" s="1287"/>
      <c r="AK183" s="1287"/>
      <c r="AL183" s="1282"/>
      <c r="AM183" s="1339" t="s">
        <v>90</v>
      </c>
      <c r="AN183" s="1287"/>
      <c r="AO183" s="1287"/>
      <c r="AP183" s="1282"/>
      <c r="AQ183" s="1339" t="s">
        <v>90</v>
      </c>
      <c r="AR183" s="1287"/>
      <c r="AS183" s="1287"/>
      <c r="AT183" s="1282"/>
      <c r="AU183" s="1340">
        <v>73.632530000000003</v>
      </c>
      <c r="AV183" s="1338"/>
      <c r="AW183" s="1287"/>
      <c r="AX183" s="1282"/>
      <c r="AY183" s="1340">
        <v>73.632530000000003</v>
      </c>
      <c r="AZ183" s="1338"/>
      <c r="BA183" s="1282"/>
      <c r="BB183" s="1282"/>
      <c r="BC183" s="1340">
        <v>73.632530000000003</v>
      </c>
      <c r="BD183" s="1338"/>
      <c r="BE183" s="1282"/>
      <c r="BF183" s="1282"/>
      <c r="BG183" s="1340">
        <v>74.981999999999999</v>
      </c>
      <c r="BH183" s="1340"/>
      <c r="BI183" s="1338"/>
      <c r="BJ183" s="1282"/>
      <c r="BK183" s="1340">
        <v>71.665999999999997</v>
      </c>
      <c r="BL183" s="1340"/>
      <c r="BM183" s="1338"/>
      <c r="BN183" s="1282"/>
      <c r="BO183" s="1340">
        <v>71.665999999999997</v>
      </c>
      <c r="BP183" s="1340"/>
      <c r="BQ183" s="1338"/>
      <c r="BR183" s="1282"/>
      <c r="BS183" s="1340">
        <f>BO186</f>
        <v>70.757000000000005</v>
      </c>
      <c r="BT183" s="1340"/>
      <c r="BU183" s="1338"/>
    </row>
    <row r="184" spans="1:80" outlineLevel="1">
      <c r="A184" s="1254" t="s">
        <v>80</v>
      </c>
      <c r="B184" s="1282"/>
      <c r="C184" s="1338"/>
      <c r="D184" s="1285"/>
      <c r="E184" s="1286"/>
      <c r="F184" s="1282"/>
      <c r="G184" s="1338" t="s">
        <v>90</v>
      </c>
      <c r="H184" s="1338"/>
      <c r="I184" s="1286"/>
      <c r="J184" s="1282"/>
      <c r="K184" s="1338" t="s">
        <v>90</v>
      </c>
      <c r="L184" s="1338"/>
      <c r="M184" s="1286"/>
      <c r="N184" s="1282"/>
      <c r="O184" s="1338" t="s">
        <v>90</v>
      </c>
      <c r="P184" s="1338"/>
      <c r="Q184" s="1286"/>
      <c r="R184" s="1282"/>
      <c r="S184" s="1338" t="s">
        <v>90</v>
      </c>
      <c r="T184" s="1338"/>
      <c r="U184" s="1286"/>
      <c r="V184" s="1282"/>
      <c r="W184" s="1338" t="s">
        <v>90</v>
      </c>
      <c r="X184" s="1338"/>
      <c r="Y184" s="1287"/>
      <c r="Z184" s="1282"/>
      <c r="AA184" s="1338" t="s">
        <v>90</v>
      </c>
      <c r="AB184" s="1338"/>
      <c r="AC184" s="1287"/>
      <c r="AD184" s="1282"/>
      <c r="AE184" s="1339" t="s">
        <v>90</v>
      </c>
      <c r="AF184" s="1338"/>
      <c r="AG184" s="1287"/>
      <c r="AH184" s="1282"/>
      <c r="AI184" s="1339" t="s">
        <v>90</v>
      </c>
      <c r="AJ184" s="1287"/>
      <c r="AK184" s="1287"/>
      <c r="AL184" s="1282"/>
      <c r="AM184" s="1339" t="s">
        <v>90</v>
      </c>
      <c r="AN184" s="1287"/>
      <c r="AO184" s="1287"/>
      <c r="AP184" s="1282"/>
      <c r="AQ184" s="1339" t="s">
        <v>90</v>
      </c>
      <c r="AR184" s="1287"/>
      <c r="AS184" s="1287"/>
      <c r="AT184" s="1282"/>
      <c r="AU184" s="1340">
        <v>73.632530000000003</v>
      </c>
      <c r="AV184" s="1338"/>
      <c r="AW184" s="1287"/>
      <c r="AX184" s="1282"/>
      <c r="AY184" s="1340">
        <v>72.900000000000006</v>
      </c>
      <c r="AZ184" s="1338"/>
      <c r="BA184" s="1282"/>
      <c r="BB184" s="1282"/>
      <c r="BC184" s="1340">
        <v>74</v>
      </c>
      <c r="BD184" s="1338"/>
      <c r="BE184" s="1282"/>
      <c r="BF184" s="1282"/>
      <c r="BG184" s="1340">
        <v>75.180999999999997</v>
      </c>
      <c r="BH184" s="1340"/>
      <c r="BI184" s="1338"/>
      <c r="BJ184" s="1282"/>
      <c r="BK184" s="1340">
        <v>70.757000000000005</v>
      </c>
      <c r="BL184" s="1340"/>
      <c r="BM184" s="1338"/>
      <c r="BN184" s="1282"/>
      <c r="BO184" s="1340">
        <v>70.757000000000005</v>
      </c>
      <c r="BP184" s="1340"/>
      <c r="BQ184" s="1338"/>
      <c r="BR184" s="1282"/>
      <c r="BS184" s="1340">
        <f t="shared" ref="BS184:BS189" si="286">BS183</f>
        <v>70.757000000000005</v>
      </c>
      <c r="BT184" s="1340"/>
      <c r="BU184" s="1338"/>
    </row>
    <row r="185" spans="1:80" outlineLevel="1">
      <c r="A185" s="1254" t="s">
        <v>81</v>
      </c>
      <c r="B185" s="1282"/>
      <c r="C185" s="1338"/>
      <c r="D185" s="1285"/>
      <c r="E185" s="1286"/>
      <c r="F185" s="1282"/>
      <c r="G185" s="1338" t="s">
        <v>90</v>
      </c>
      <c r="H185" s="1338"/>
      <c r="I185" s="1286"/>
      <c r="J185" s="1282"/>
      <c r="K185" s="1338" t="s">
        <v>90</v>
      </c>
      <c r="L185" s="1338"/>
      <c r="M185" s="1286"/>
      <c r="N185" s="1282"/>
      <c r="O185" s="1338" t="s">
        <v>90</v>
      </c>
      <c r="P185" s="1338"/>
      <c r="Q185" s="1286"/>
      <c r="R185" s="1282"/>
      <c r="S185" s="1338" t="s">
        <v>90</v>
      </c>
      <c r="T185" s="1338"/>
      <c r="U185" s="1286"/>
      <c r="V185" s="1282"/>
      <c r="W185" s="1338" t="s">
        <v>90</v>
      </c>
      <c r="X185" s="1338"/>
      <c r="Y185" s="1287"/>
      <c r="Z185" s="1282"/>
      <c r="AA185" s="1338" t="s">
        <v>90</v>
      </c>
      <c r="AB185" s="1338"/>
      <c r="AC185" s="1287"/>
      <c r="AD185" s="1282"/>
      <c r="AE185" s="1339" t="s">
        <v>90</v>
      </c>
      <c r="AF185" s="1338"/>
      <c r="AG185" s="1287"/>
      <c r="AH185" s="1282"/>
      <c r="AI185" s="1339" t="s">
        <v>90</v>
      </c>
      <c r="AJ185" s="1287"/>
      <c r="AK185" s="1287"/>
      <c r="AL185" s="1282"/>
      <c r="AM185" s="1339" t="s">
        <v>90</v>
      </c>
      <c r="AN185" s="1287"/>
      <c r="AO185" s="1287"/>
      <c r="AP185" s="1282"/>
      <c r="AQ185" s="1339" t="s">
        <v>90</v>
      </c>
      <c r="AR185" s="1287"/>
      <c r="AS185" s="1287"/>
      <c r="AT185" s="1282"/>
      <c r="AU185" s="1340">
        <v>73.632530000000003</v>
      </c>
      <c r="AV185" s="1338"/>
      <c r="AW185" s="1287"/>
      <c r="AX185" s="1282"/>
      <c r="AY185" s="1340">
        <v>73.632530000000003</v>
      </c>
      <c r="AZ185" s="1338"/>
      <c r="BA185" s="1282"/>
      <c r="BB185" s="1282"/>
      <c r="BC185" s="1340">
        <v>74.589657000000003</v>
      </c>
      <c r="BD185" s="1338"/>
      <c r="BE185" s="1282"/>
      <c r="BF185" s="1282"/>
      <c r="BG185" s="1340">
        <v>75.394000000000005</v>
      </c>
      <c r="BH185" s="1340"/>
      <c r="BI185" s="1338"/>
      <c r="BJ185" s="1282"/>
      <c r="BK185" s="1340">
        <f>BK184</f>
        <v>70.757000000000005</v>
      </c>
      <c r="BL185" s="1340"/>
      <c r="BM185" s="1338"/>
      <c r="BN185" s="1282"/>
      <c r="BO185" s="1340">
        <f>BO184</f>
        <v>70.757000000000005</v>
      </c>
      <c r="BP185" s="1340"/>
      <c r="BQ185" s="1338"/>
      <c r="BR185" s="1282"/>
      <c r="BS185" s="1340">
        <f t="shared" si="286"/>
        <v>70.757000000000005</v>
      </c>
      <c r="BT185" s="1340"/>
      <c r="BU185" s="1338"/>
    </row>
    <row r="186" spans="1:80" outlineLevel="1">
      <c r="A186" s="1254" t="s">
        <v>82</v>
      </c>
      <c r="B186" s="1282"/>
      <c r="C186" s="1342"/>
      <c r="D186" s="1285"/>
      <c r="E186" s="1286"/>
      <c r="F186" s="1282"/>
      <c r="G186" s="1342" t="s">
        <v>90</v>
      </c>
      <c r="H186" s="1338"/>
      <c r="I186" s="1286"/>
      <c r="J186" s="1282"/>
      <c r="K186" s="1342" t="s">
        <v>90</v>
      </c>
      <c r="L186" s="1338"/>
      <c r="M186" s="1286"/>
      <c r="N186" s="1282"/>
      <c r="O186" s="1342" t="s">
        <v>90</v>
      </c>
      <c r="P186" s="1338"/>
      <c r="Q186" s="1286"/>
      <c r="R186" s="1282"/>
      <c r="S186" s="1342" t="s">
        <v>90</v>
      </c>
      <c r="T186" s="1338"/>
      <c r="U186" s="1286"/>
      <c r="V186" s="1282"/>
      <c r="W186" s="1342" t="s">
        <v>90</v>
      </c>
      <c r="X186" s="1338"/>
      <c r="Y186" s="1287"/>
      <c r="Z186" s="1282"/>
      <c r="AA186" s="1342" t="s">
        <v>90</v>
      </c>
      <c r="AB186" s="1338"/>
      <c r="AC186" s="1287"/>
      <c r="AD186" s="1282"/>
      <c r="AE186" s="1343" t="s">
        <v>90</v>
      </c>
      <c r="AF186" s="1338"/>
      <c r="AG186" s="1287"/>
      <c r="AH186" s="1282"/>
      <c r="AI186" s="1343" t="s">
        <v>90</v>
      </c>
      <c r="AJ186" s="1287"/>
      <c r="AK186" s="1287"/>
      <c r="AL186" s="1282"/>
      <c r="AM186" s="1343" t="s">
        <v>90</v>
      </c>
      <c r="AN186" s="1287"/>
      <c r="AO186" s="1287"/>
      <c r="AP186" s="1282"/>
      <c r="AQ186" s="1343" t="s">
        <v>90</v>
      </c>
      <c r="AR186" s="1287"/>
      <c r="AS186" s="1287"/>
      <c r="AT186" s="1282"/>
      <c r="AU186" s="1344">
        <v>73.632530000000003</v>
      </c>
      <c r="AV186" s="1338"/>
      <c r="AW186" s="1287"/>
      <c r="AX186" s="1282"/>
      <c r="AY186" s="1344">
        <v>73.632530000000003</v>
      </c>
      <c r="AZ186" s="1338"/>
      <c r="BA186" s="1282"/>
      <c r="BB186" s="1282"/>
      <c r="BC186" s="1344">
        <v>74.589657000000003</v>
      </c>
      <c r="BD186" s="1338"/>
      <c r="BE186" s="1282"/>
      <c r="BF186" s="1282"/>
      <c r="BG186" s="1344">
        <f>BC186+1</f>
        <v>75.589657000000003</v>
      </c>
      <c r="BH186" s="1345"/>
      <c r="BI186" s="1338"/>
      <c r="BJ186" s="1282"/>
      <c r="BK186" s="1344">
        <f>BK185</f>
        <v>70.757000000000005</v>
      </c>
      <c r="BL186" s="1345"/>
      <c r="BM186" s="1338"/>
      <c r="BN186" s="1282"/>
      <c r="BO186" s="1344">
        <f>BO185</f>
        <v>70.757000000000005</v>
      </c>
      <c r="BP186" s="1345"/>
      <c r="BQ186" s="1338"/>
      <c r="BR186" s="1282"/>
      <c r="BS186" s="1344">
        <f t="shared" si="286"/>
        <v>70.757000000000005</v>
      </c>
      <c r="BT186" s="1345"/>
      <c r="BU186" s="1338"/>
    </row>
    <row r="187" spans="1:80" outlineLevel="1">
      <c r="A187" s="1254" t="s">
        <v>85</v>
      </c>
      <c r="B187" s="1282"/>
      <c r="C187" s="1346"/>
      <c r="D187" s="1285"/>
      <c r="E187" s="1286"/>
      <c r="F187" s="1282"/>
      <c r="G187" s="1347" t="s">
        <v>90</v>
      </c>
      <c r="H187" s="1338"/>
      <c r="I187" s="1286"/>
      <c r="J187" s="1282"/>
      <c r="K187" s="1347" t="s">
        <v>90</v>
      </c>
      <c r="L187" s="1338"/>
      <c r="M187" s="1286"/>
      <c r="N187" s="1282"/>
      <c r="O187" s="1347" t="s">
        <v>90</v>
      </c>
      <c r="P187" s="1338"/>
      <c r="Q187" s="1286"/>
      <c r="R187" s="1282"/>
      <c r="S187" s="1347" t="s">
        <v>90</v>
      </c>
      <c r="T187" s="1338"/>
      <c r="U187" s="1286"/>
      <c r="V187" s="1282"/>
      <c r="W187" s="1347" t="s">
        <v>90</v>
      </c>
      <c r="X187" s="1338"/>
      <c r="Y187" s="1287"/>
      <c r="Z187" s="1282"/>
      <c r="AA187" s="1347" t="s">
        <v>90</v>
      </c>
      <c r="AB187" s="1338"/>
      <c r="AC187" s="1287"/>
      <c r="AD187" s="1282"/>
      <c r="AE187" s="1339" t="s">
        <v>90</v>
      </c>
      <c r="AF187" s="1338"/>
      <c r="AG187" s="1287"/>
      <c r="AH187" s="1282"/>
      <c r="AI187" s="1339" t="s">
        <v>90</v>
      </c>
      <c r="AJ187" s="1287"/>
      <c r="AK187" s="1287"/>
      <c r="AL187" s="1282"/>
      <c r="AM187" s="1339" t="s">
        <v>90</v>
      </c>
      <c r="AN187" s="1287"/>
      <c r="AO187" s="1287"/>
      <c r="AP187" s="1282"/>
      <c r="AQ187" s="1339" t="s">
        <v>90</v>
      </c>
      <c r="AR187" s="1287"/>
      <c r="AS187" s="1287"/>
      <c r="AT187" s="1282"/>
      <c r="AU187" s="1340">
        <v>73.632530000000003</v>
      </c>
      <c r="AV187" s="1338"/>
      <c r="AW187" s="1287"/>
      <c r="AX187" s="1282"/>
      <c r="AY187" s="1340">
        <v>73.632530000000003</v>
      </c>
      <c r="AZ187" s="1338"/>
      <c r="BA187" s="1282"/>
      <c r="BB187" s="1282"/>
      <c r="BC187" s="1340">
        <v>74.589657000000003</v>
      </c>
      <c r="BD187" s="1338"/>
      <c r="BE187" s="1282"/>
      <c r="BF187" s="1282"/>
      <c r="BG187" s="1340">
        <v>74.111000000000004</v>
      </c>
      <c r="BH187" s="1340"/>
      <c r="BI187" s="1338"/>
      <c r="BJ187" s="1282"/>
      <c r="BK187" s="1340">
        <f>BK186</f>
        <v>70.757000000000005</v>
      </c>
      <c r="BL187" s="1340"/>
      <c r="BM187" s="1338"/>
      <c r="BN187" s="1282"/>
      <c r="BO187" s="1340">
        <f>BO186</f>
        <v>70.757000000000005</v>
      </c>
      <c r="BP187" s="1340"/>
      <c r="BQ187" s="1338"/>
      <c r="BR187" s="1282"/>
      <c r="BS187" s="1340">
        <f t="shared" si="286"/>
        <v>70.757000000000005</v>
      </c>
      <c r="BT187" s="1340"/>
      <c r="BU187" s="1338"/>
    </row>
    <row r="188" spans="1:80" outlineLevel="1">
      <c r="A188" s="1254" t="s">
        <v>87</v>
      </c>
      <c r="B188" s="1282"/>
      <c r="C188" s="1348"/>
      <c r="D188" s="1285"/>
      <c r="E188" s="1286"/>
      <c r="F188" s="1282"/>
      <c r="G188" s="1348"/>
      <c r="H188" s="1285"/>
      <c r="I188" s="1286"/>
      <c r="J188" s="1282"/>
      <c r="K188" s="1348"/>
      <c r="L188" s="1285"/>
      <c r="M188" s="1286"/>
      <c r="N188" s="1282"/>
      <c r="O188" s="1348"/>
      <c r="P188" s="1285"/>
      <c r="Q188" s="1286"/>
      <c r="R188" s="1282"/>
      <c r="S188" s="1348"/>
      <c r="T188" s="1285"/>
      <c r="U188" s="1286"/>
      <c r="V188" s="1282"/>
      <c r="W188" s="1348"/>
      <c r="X188" s="1287"/>
      <c r="Y188" s="1287"/>
      <c r="Z188" s="1282"/>
      <c r="AA188" s="1348"/>
      <c r="AB188" s="1287"/>
      <c r="AC188" s="1287"/>
      <c r="AD188" s="1282"/>
      <c r="AE188" s="1339"/>
      <c r="AF188" s="1287"/>
      <c r="AG188" s="1287"/>
      <c r="AH188" s="1282"/>
      <c r="AI188" s="1339" t="s">
        <v>90</v>
      </c>
      <c r="AJ188" s="1287"/>
      <c r="AK188" s="1287"/>
      <c r="AL188" s="1282"/>
      <c r="AM188" s="1339" t="s">
        <v>90</v>
      </c>
      <c r="AN188" s="1287"/>
      <c r="AO188" s="1287"/>
      <c r="AP188" s="1282"/>
      <c r="AQ188" s="1339" t="s">
        <v>90</v>
      </c>
      <c r="AR188" s="1287"/>
      <c r="AS188" s="1287"/>
      <c r="AT188" s="1282"/>
      <c r="AU188" s="1339">
        <f>AVERAGE(AU183:AU184)</f>
        <v>73.632530000000003</v>
      </c>
      <c r="AV188" s="1287"/>
      <c r="AW188" s="1287"/>
      <c r="AX188" s="1282"/>
      <c r="AY188" s="1339">
        <f>AVERAGE(AY183:AY184)</f>
        <v>73.266265000000004</v>
      </c>
      <c r="AZ188" s="1287"/>
      <c r="BA188" s="1282"/>
      <c r="BB188" s="1282"/>
      <c r="BC188" s="1339">
        <f>AVERAGE(BC183:BC184)</f>
        <v>73.816265000000001</v>
      </c>
      <c r="BD188" s="1287"/>
      <c r="BE188" s="1282"/>
      <c r="BF188" s="1282"/>
      <c r="BG188" s="1339">
        <f>AVERAGE(BG183:BG184)</f>
        <v>75.081500000000005</v>
      </c>
      <c r="BH188" s="1340"/>
      <c r="BI188" s="1287"/>
      <c r="BJ188" s="1282"/>
      <c r="BK188" s="1340">
        <f>BK187</f>
        <v>70.757000000000005</v>
      </c>
      <c r="BL188" s="1340"/>
      <c r="BM188" s="1287"/>
      <c r="BN188" s="1282"/>
      <c r="BO188" s="1340">
        <f>BO187</f>
        <v>70.757000000000005</v>
      </c>
      <c r="BP188" s="1340"/>
      <c r="BQ188" s="1287"/>
      <c r="BR188" s="1282"/>
      <c r="BS188" s="1340">
        <f t="shared" si="286"/>
        <v>70.757000000000005</v>
      </c>
      <c r="BT188" s="1340"/>
      <c r="BU188" s="1287"/>
    </row>
    <row r="189" spans="1:80" outlineLevel="1">
      <c r="A189" s="1254" t="s">
        <v>88</v>
      </c>
      <c r="B189" s="1282"/>
      <c r="C189" s="1348"/>
      <c r="D189" s="1285"/>
      <c r="E189" s="1286"/>
      <c r="F189" s="1282"/>
      <c r="G189" s="1348"/>
      <c r="H189" s="1285"/>
      <c r="I189" s="1286"/>
      <c r="J189" s="1282"/>
      <c r="K189" s="1348"/>
      <c r="L189" s="1285"/>
      <c r="M189" s="1286"/>
      <c r="N189" s="1282"/>
      <c r="O189" s="1348"/>
      <c r="P189" s="1285"/>
      <c r="Q189" s="1286"/>
      <c r="R189" s="1282"/>
      <c r="S189" s="1348"/>
      <c r="T189" s="1285"/>
      <c r="U189" s="1286"/>
      <c r="V189" s="1282"/>
      <c r="W189" s="1348"/>
      <c r="X189" s="1287"/>
      <c r="Y189" s="1287"/>
      <c r="Z189" s="1282"/>
      <c r="AA189" s="1348"/>
      <c r="AB189" s="1287"/>
      <c r="AC189" s="1287"/>
      <c r="AD189" s="1282"/>
      <c r="AE189" s="1339"/>
      <c r="AF189" s="1287"/>
      <c r="AG189" s="1287"/>
      <c r="AH189" s="1282"/>
      <c r="AI189" s="1339" t="s">
        <v>90</v>
      </c>
      <c r="AJ189" s="1287"/>
      <c r="AK189" s="1287"/>
      <c r="AL189" s="1282"/>
      <c r="AM189" s="1339" t="s">
        <v>90</v>
      </c>
      <c r="AN189" s="1287"/>
      <c r="AO189" s="1287"/>
      <c r="AP189" s="1282"/>
      <c r="AQ189" s="1339" t="s">
        <v>90</v>
      </c>
      <c r="AR189" s="1287"/>
      <c r="AS189" s="1287"/>
      <c r="AT189" s="1282"/>
      <c r="AU189" s="1339">
        <f>AVERAGE(AU183:AU185)</f>
        <v>73.632530000000003</v>
      </c>
      <c r="AV189" s="1287"/>
      <c r="AW189" s="1287"/>
      <c r="AX189" s="1282"/>
      <c r="AY189" s="1339">
        <f>AVERAGE(AY183:AY185)</f>
        <v>73.388353333333342</v>
      </c>
      <c r="AZ189" s="1287"/>
      <c r="BA189" s="1282"/>
      <c r="BB189" s="1282"/>
      <c r="BC189" s="1339">
        <f>AVERAGE(BC183:BC185)</f>
        <v>74.074062333333345</v>
      </c>
      <c r="BD189" s="1287"/>
      <c r="BE189" s="1282"/>
      <c r="BF189" s="1282"/>
      <c r="BG189" s="1339">
        <f>AVERAGE(BG183:BG185)</f>
        <v>75.185666666666677</v>
      </c>
      <c r="BH189" s="1340"/>
      <c r="BI189" s="1287"/>
      <c r="BJ189" s="1282"/>
      <c r="BK189" s="1340">
        <f>BK188</f>
        <v>70.757000000000005</v>
      </c>
      <c r="BL189" s="1340"/>
      <c r="BM189" s="1287"/>
      <c r="BN189" s="1282"/>
      <c r="BO189" s="1340">
        <f>BO188</f>
        <v>70.757000000000005</v>
      </c>
      <c r="BP189" s="1340"/>
      <c r="BQ189" s="1287"/>
      <c r="BR189" s="1282"/>
      <c r="BS189" s="1340">
        <f t="shared" si="286"/>
        <v>70.757000000000005</v>
      </c>
      <c r="BT189" s="1340"/>
      <c r="BU189" s="1287"/>
    </row>
    <row r="190" spans="1:80" outlineLevel="1">
      <c r="A190" s="1282"/>
      <c r="B190" s="1282"/>
      <c r="C190" s="1282"/>
      <c r="D190" s="1282"/>
      <c r="E190" s="1282"/>
      <c r="F190" s="1282"/>
      <c r="G190" s="1282"/>
      <c r="H190" s="1282"/>
      <c r="I190" s="1282"/>
      <c r="J190" s="1282"/>
      <c r="K190" s="1282"/>
      <c r="L190" s="1282"/>
      <c r="M190" s="1282"/>
      <c r="N190" s="1282"/>
      <c r="O190" s="1282"/>
      <c r="P190" s="1282"/>
      <c r="Q190" s="1282"/>
      <c r="R190" s="1282"/>
      <c r="S190" s="1282"/>
      <c r="T190" s="1282"/>
      <c r="U190" s="1282"/>
      <c r="V190" s="1282"/>
      <c r="W190" s="1282"/>
      <c r="X190" s="1282"/>
      <c r="Y190" s="1282"/>
      <c r="Z190" s="1282"/>
      <c r="AA190" s="1282"/>
      <c r="AB190" s="1282"/>
      <c r="AC190" s="1282"/>
      <c r="AD190" s="1282"/>
      <c r="AE190" s="1282"/>
      <c r="AF190" s="1282"/>
      <c r="AG190" s="1282"/>
      <c r="AH190" s="1282"/>
      <c r="AI190" s="1282"/>
      <c r="AJ190" s="1282"/>
      <c r="AK190" s="1282"/>
      <c r="AL190" s="1282"/>
      <c r="AM190" s="1282"/>
      <c r="AN190" s="1282"/>
      <c r="AO190" s="1282"/>
      <c r="AP190" s="1282"/>
      <c r="AQ190" s="1282"/>
      <c r="AR190" s="1282"/>
      <c r="AS190" s="1282"/>
      <c r="AT190" s="1282"/>
      <c r="AU190" s="1282"/>
      <c r="AV190" s="1282"/>
      <c r="AW190" s="1282"/>
      <c r="AX190" s="1282"/>
      <c r="AY190" s="1282"/>
      <c r="AZ190" s="1282"/>
      <c r="BA190" s="1282"/>
      <c r="BB190" s="1282"/>
      <c r="BC190" s="1282"/>
      <c r="BD190" s="1282"/>
      <c r="BE190" s="1282"/>
      <c r="BF190" s="1282"/>
      <c r="BG190" s="1282"/>
      <c r="BH190" s="1282"/>
      <c r="BI190" s="1282"/>
      <c r="BJ190" s="1282"/>
      <c r="BK190" s="1282"/>
      <c r="BL190" s="1282"/>
      <c r="BM190" s="1282"/>
      <c r="BN190" s="1282"/>
      <c r="BO190" s="1282"/>
      <c r="BP190" s="1282"/>
      <c r="BQ190" s="1282"/>
      <c r="BR190" s="1282"/>
      <c r="BS190" s="1282"/>
      <c r="BT190" s="1282"/>
      <c r="BU190" s="1282"/>
    </row>
    <row r="191" spans="1:80">
      <c r="A191" s="1251" t="s">
        <v>890</v>
      </c>
      <c r="B191" s="1281"/>
      <c r="C191" s="1281"/>
      <c r="D191" s="1281"/>
      <c r="E191" s="1281"/>
      <c r="F191" s="1281"/>
      <c r="G191" s="1281"/>
      <c r="H191" s="1281"/>
      <c r="I191" s="1281"/>
      <c r="J191" s="1281"/>
      <c r="K191" s="1281"/>
      <c r="L191" s="1281"/>
      <c r="M191" s="1281"/>
      <c r="N191" s="1281"/>
      <c r="O191" s="1281"/>
      <c r="P191" s="1281"/>
      <c r="Q191" s="1281"/>
      <c r="R191" s="1281"/>
      <c r="S191" s="1281"/>
      <c r="T191" s="1281"/>
      <c r="U191" s="1281"/>
      <c r="V191" s="1281"/>
      <c r="W191" s="1281"/>
      <c r="X191" s="1281"/>
      <c r="Y191" s="1281"/>
      <c r="Z191" s="1281"/>
      <c r="AA191" s="1281"/>
      <c r="AB191" s="1281"/>
      <c r="AC191" s="1281"/>
      <c r="AD191" s="1281"/>
      <c r="AE191" s="1281"/>
      <c r="AF191" s="1281"/>
      <c r="AG191" s="1281"/>
      <c r="AH191" s="1281"/>
      <c r="AI191" s="1281"/>
      <c r="AJ191" s="1281"/>
      <c r="AK191" s="1281"/>
      <c r="AL191" s="1281"/>
      <c r="AM191" s="1281"/>
      <c r="AN191" s="1281"/>
      <c r="AO191" s="1281"/>
      <c r="AP191" s="1281"/>
      <c r="AQ191" s="1281"/>
      <c r="AR191" s="1281"/>
      <c r="AS191" s="1281"/>
      <c r="AT191" s="1281"/>
      <c r="AU191" s="1281"/>
      <c r="AV191" s="1281"/>
      <c r="AW191" s="1281"/>
      <c r="AX191" s="1281"/>
      <c r="AY191" s="1281"/>
      <c r="AZ191" s="1281"/>
      <c r="BA191" s="1281"/>
      <c r="BB191" s="1282"/>
      <c r="BC191" s="1281"/>
      <c r="BD191" s="1281"/>
      <c r="BE191" s="1251"/>
      <c r="BF191" s="1282"/>
      <c r="BG191" s="2264" t="str">
        <f>A191</f>
        <v>19. Pro Forma Weighted Average Shares Outstanding</v>
      </c>
      <c r="BH191" s="2264"/>
      <c r="BI191" s="2264"/>
      <c r="BJ191" s="2264"/>
      <c r="BK191" s="2264"/>
      <c r="BL191" s="2264"/>
      <c r="BM191" s="2264"/>
      <c r="BN191" s="1663"/>
      <c r="BO191" s="1663"/>
      <c r="BP191" s="1663"/>
      <c r="BQ191" s="1663"/>
      <c r="BR191" s="2149"/>
      <c r="BS191" s="2149"/>
      <c r="BT191" s="2149"/>
      <c r="BU191" s="2149"/>
    </row>
    <row r="192" spans="1:80">
      <c r="A192" s="1282"/>
      <c r="B192" s="1282"/>
      <c r="C192" s="1282"/>
      <c r="D192" s="1282"/>
      <c r="E192" s="1282"/>
      <c r="F192" s="1282"/>
      <c r="G192" s="1282"/>
      <c r="H192" s="1282"/>
      <c r="I192" s="1282"/>
      <c r="J192" s="1282"/>
      <c r="K192" s="1282"/>
      <c r="L192" s="1282"/>
      <c r="M192" s="1282"/>
      <c r="N192" s="1282"/>
      <c r="O192" s="1282"/>
      <c r="P192" s="1282"/>
      <c r="Q192" s="1282"/>
      <c r="R192" s="1282"/>
      <c r="S192" s="1282"/>
      <c r="T192" s="1282"/>
      <c r="U192" s="1282"/>
      <c r="V192" s="1282"/>
      <c r="W192" s="1282"/>
      <c r="X192" s="1282"/>
      <c r="Y192" s="1282"/>
      <c r="Z192" s="1282"/>
      <c r="AA192" s="1282"/>
      <c r="AB192" s="1282"/>
      <c r="AC192" s="1282"/>
      <c r="AD192" s="1282"/>
      <c r="AE192" s="1282"/>
      <c r="AF192" s="1282"/>
      <c r="AG192" s="1282"/>
      <c r="AH192" s="1282"/>
      <c r="AI192" s="1282"/>
      <c r="AJ192" s="1282"/>
      <c r="AK192" s="1282"/>
      <c r="AL192" s="1282"/>
      <c r="AM192" s="1282"/>
      <c r="AN192" s="1282"/>
      <c r="AO192" s="1282"/>
      <c r="AP192" s="1282"/>
      <c r="AQ192" s="1282"/>
      <c r="AR192" s="1282"/>
      <c r="AS192" s="1282"/>
      <c r="AT192" s="1282"/>
      <c r="AU192" s="1282"/>
      <c r="AV192" s="1282"/>
      <c r="AW192" s="1282"/>
      <c r="AX192" s="1282"/>
      <c r="AY192" s="1282"/>
      <c r="AZ192" s="1282"/>
      <c r="BA192" s="1282"/>
      <c r="BB192" s="1282"/>
      <c r="BC192" s="1282"/>
      <c r="BD192" s="1282"/>
      <c r="BE192" s="1282"/>
      <c r="BF192" s="1282"/>
      <c r="BG192" s="2264"/>
      <c r="BH192" s="2264"/>
      <c r="BI192" s="2264"/>
      <c r="BJ192" s="2264"/>
      <c r="BK192" s="2264"/>
      <c r="BL192" s="2264"/>
      <c r="BM192" s="2264"/>
      <c r="BN192" s="1663"/>
      <c r="BO192" s="1663"/>
      <c r="BP192" s="1663"/>
      <c r="BQ192" s="1663"/>
      <c r="BR192" s="2149"/>
      <c r="BS192" s="2149"/>
      <c r="BT192" s="2149"/>
      <c r="BU192" s="2149"/>
      <c r="BX192" s="1244" t="s">
        <v>992</v>
      </c>
      <c r="CB192" s="2178" t="s">
        <v>1071</v>
      </c>
    </row>
    <row r="193" spans="1:82">
      <c r="A193" s="1254" t="s">
        <v>79</v>
      </c>
      <c r="B193" s="1282"/>
      <c r="C193" s="1338">
        <v>44.406056999999997</v>
      </c>
      <c r="D193" s="1285"/>
      <c r="E193" s="1286"/>
      <c r="F193" s="1282"/>
      <c r="G193" s="1338">
        <f>44.482687</f>
        <v>44.482686999999999</v>
      </c>
      <c r="H193" s="1285"/>
      <c r="I193" s="1286"/>
      <c r="J193" s="1282"/>
      <c r="K193" s="1338">
        <v>44.547424999999997</v>
      </c>
      <c r="L193" s="1285"/>
      <c r="M193" s="1286"/>
      <c r="N193" s="1282"/>
      <c r="O193" s="1338">
        <v>44.635846999999998</v>
      </c>
      <c r="P193" s="1285"/>
      <c r="Q193" s="1286"/>
      <c r="R193" s="1282"/>
      <c r="S193" s="1338">
        <v>44.772804999999998</v>
      </c>
      <c r="T193" s="1287"/>
      <c r="U193" s="1286"/>
      <c r="V193" s="1282"/>
      <c r="W193" s="1338" t="s">
        <v>90</v>
      </c>
      <c r="X193" s="1338"/>
      <c r="Y193" s="1287"/>
      <c r="Z193" s="1282"/>
      <c r="AA193" s="1338" t="s">
        <v>90</v>
      </c>
      <c r="AB193" s="1338"/>
      <c r="AC193" s="1287"/>
      <c r="AD193" s="1282"/>
      <c r="AE193" s="1339" t="s">
        <v>90</v>
      </c>
      <c r="AF193" s="1338"/>
      <c r="AG193" s="1287"/>
      <c r="AH193" s="1282"/>
      <c r="AI193" s="1339" t="s">
        <v>90</v>
      </c>
      <c r="AJ193" s="1338"/>
      <c r="AK193" s="1287"/>
      <c r="AL193" s="1282"/>
      <c r="AM193" s="1339" t="s">
        <v>90</v>
      </c>
      <c r="AN193" s="1338"/>
      <c r="AO193" s="1287"/>
      <c r="AP193" s="1282"/>
      <c r="AQ193" s="1339" t="s">
        <v>90</v>
      </c>
      <c r="AR193" s="1338"/>
      <c r="AS193" s="1287"/>
      <c r="AT193" s="1282"/>
      <c r="AU193" s="1340">
        <v>70.633025000000004</v>
      </c>
      <c r="AV193" s="1338"/>
      <c r="AW193" s="1287"/>
      <c r="AX193" s="1282"/>
      <c r="AY193" s="1340">
        <v>72.400000000000006</v>
      </c>
      <c r="AZ193" s="1338"/>
      <c r="BA193" s="1282"/>
      <c r="BB193" s="1282"/>
      <c r="BC193" s="1340">
        <v>75.5</v>
      </c>
      <c r="BD193" s="1338"/>
      <c r="BE193" s="1282"/>
      <c r="BF193" s="1282"/>
      <c r="BG193" s="1340">
        <v>76.5</v>
      </c>
      <c r="BH193" s="1345"/>
      <c r="BK193" s="1340">
        <v>72.423000000000002</v>
      </c>
      <c r="BL193" s="1345"/>
      <c r="BO193" s="1340">
        <v>71.504999999999995</v>
      </c>
      <c r="BP193" s="1345"/>
      <c r="BS193" s="1339">
        <f>BO196+(CB194/CD194)</f>
        <v>68.905000000000001</v>
      </c>
      <c r="BT193" s="1345"/>
      <c r="BX193" s="1574" t="s">
        <v>916</v>
      </c>
      <c r="BY193" s="1575" t="s">
        <v>917</v>
      </c>
      <c r="BZ193" s="1576" t="s">
        <v>841</v>
      </c>
      <c r="CB193" s="1574" t="s">
        <v>916</v>
      </c>
      <c r="CC193" s="1575" t="s">
        <v>917</v>
      </c>
      <c r="CD193" s="1576" t="s">
        <v>841</v>
      </c>
    </row>
    <row r="194" spans="1:82">
      <c r="A194" s="1254" t="s">
        <v>80</v>
      </c>
      <c r="B194" s="1282"/>
      <c r="C194" s="1338">
        <v>44.401770999999997</v>
      </c>
      <c r="D194" s="1285"/>
      <c r="E194" s="1286"/>
      <c r="F194" s="1282"/>
      <c r="G194" s="1338">
        <v>44.487465</v>
      </c>
      <c r="H194" s="1285"/>
      <c r="I194" s="1286"/>
      <c r="J194" s="1282"/>
      <c r="K194" s="1338">
        <v>44.562907000000003</v>
      </c>
      <c r="L194" s="1285"/>
      <c r="M194" s="1286"/>
      <c r="N194" s="1282"/>
      <c r="O194" s="1338">
        <v>44.752651999999998</v>
      </c>
      <c r="P194" s="1285"/>
      <c r="Q194" s="1286"/>
      <c r="R194" s="1282"/>
      <c r="S194" s="1338">
        <v>44.950161000000001</v>
      </c>
      <c r="T194" s="1287"/>
      <c r="U194" s="1286"/>
      <c r="V194" s="1282"/>
      <c r="W194" s="1338" t="s">
        <v>90</v>
      </c>
      <c r="X194" s="1338"/>
      <c r="Y194" s="1287"/>
      <c r="Z194" s="1282"/>
      <c r="AA194" s="1338" t="s">
        <v>90</v>
      </c>
      <c r="AB194" s="1338"/>
      <c r="AC194" s="1287"/>
      <c r="AD194" s="1282"/>
      <c r="AE194" s="1339" t="s">
        <v>90</v>
      </c>
      <c r="AF194" s="1338"/>
      <c r="AG194" s="1287"/>
      <c r="AH194" s="1282"/>
      <c r="AI194" s="1339" t="s">
        <v>90</v>
      </c>
      <c r="AJ194" s="1338"/>
      <c r="AK194" s="1287"/>
      <c r="AL194" s="1282"/>
      <c r="AM194" s="1339" t="s">
        <v>90</v>
      </c>
      <c r="AN194" s="1338"/>
      <c r="AO194" s="1287"/>
      <c r="AP194" s="1282"/>
      <c r="AQ194" s="1339" t="s">
        <v>90</v>
      </c>
      <c r="AR194" s="1338"/>
      <c r="AS194" s="1287"/>
      <c r="AT194" s="1282"/>
      <c r="AU194" s="1340">
        <v>71.133025000000004</v>
      </c>
      <c r="AV194" s="1338"/>
      <c r="AW194" s="1287"/>
      <c r="AX194" s="1282"/>
      <c r="AY194" s="1340">
        <v>73.7</v>
      </c>
      <c r="AZ194" s="1338"/>
      <c r="BA194" s="1282"/>
      <c r="BB194" s="1282"/>
      <c r="BC194" s="1340">
        <v>73.965999999999994</v>
      </c>
      <c r="BD194" s="1338"/>
      <c r="BE194" s="1282"/>
      <c r="BF194" s="1282"/>
      <c r="BG194" s="1340">
        <v>76.510999999999996</v>
      </c>
      <c r="BH194" s="1351"/>
      <c r="BK194" s="1340">
        <v>71.986999999999995</v>
      </c>
      <c r="BL194" s="1351"/>
      <c r="BO194" s="1340">
        <v>70.801000000000002</v>
      </c>
      <c r="BP194" s="1351"/>
      <c r="BS194" s="1339">
        <f t="shared" ref="BS194" si="287">BS193+(CB195/CD195)</f>
        <v>68.504999999999995</v>
      </c>
      <c r="BT194" s="1351"/>
      <c r="BX194" s="1584">
        <v>-48.9</v>
      </c>
      <c r="BY194" s="1582">
        <v>0.51816499999999999</v>
      </c>
      <c r="BZ194" s="1580">
        <f>-BX194/BY194</f>
        <v>94.371483986760978</v>
      </c>
      <c r="CB194" s="1584">
        <v>-50</v>
      </c>
      <c r="CC194" s="1582">
        <f t="shared" ref="CC194:CC195" si="288">CB194/-CD194</f>
        <v>0.4</v>
      </c>
      <c r="CD194" s="2179">
        <v>125</v>
      </c>
    </row>
    <row r="195" spans="1:82">
      <c r="A195" s="1254" t="s">
        <v>81</v>
      </c>
      <c r="B195" s="1282"/>
      <c r="C195" s="1338">
        <v>44.405824000000003</v>
      </c>
      <c r="D195" s="1285"/>
      <c r="E195" s="1286"/>
      <c r="F195" s="1282"/>
      <c r="G195" s="1338">
        <v>44.495421</v>
      </c>
      <c r="H195" s="1285"/>
      <c r="I195" s="1286"/>
      <c r="J195" s="1282"/>
      <c r="K195" s="1338">
        <v>44.586444999999998</v>
      </c>
      <c r="L195" s="1285"/>
      <c r="M195" s="1286"/>
      <c r="N195" s="1282"/>
      <c r="O195" s="1338">
        <v>44.679698999999999</v>
      </c>
      <c r="P195" s="1285"/>
      <c r="Q195" s="1286"/>
      <c r="R195" s="1282"/>
      <c r="S195" s="1338">
        <v>44.774850000000001</v>
      </c>
      <c r="T195" s="1287"/>
      <c r="U195" s="1286"/>
      <c r="V195" s="1282"/>
      <c r="W195" s="1338" t="s">
        <v>90</v>
      </c>
      <c r="X195" s="1338"/>
      <c r="Y195" s="1287"/>
      <c r="Z195" s="1282"/>
      <c r="AA195" s="1338" t="s">
        <v>90</v>
      </c>
      <c r="AB195" s="1338"/>
      <c r="AC195" s="1287"/>
      <c r="AD195" s="1282"/>
      <c r="AE195" s="1339" t="s">
        <v>90</v>
      </c>
      <c r="AF195" s="1338"/>
      <c r="AG195" s="1287"/>
      <c r="AH195" s="1282"/>
      <c r="AI195" s="1339" t="s">
        <v>90</v>
      </c>
      <c r="AJ195" s="1338"/>
      <c r="AK195" s="1287"/>
      <c r="AL195" s="1282"/>
      <c r="AM195" s="1339" t="s">
        <v>90</v>
      </c>
      <c r="AN195" s="1338"/>
      <c r="AO195" s="1287"/>
      <c r="AP195" s="1282"/>
      <c r="AQ195" s="1339" t="s">
        <v>90</v>
      </c>
      <c r="AR195" s="1338"/>
      <c r="AS195" s="1287"/>
      <c r="AT195" s="1282"/>
      <c r="AU195" s="1340">
        <v>71.633025000000004</v>
      </c>
      <c r="AV195" s="1338"/>
      <c r="AW195" s="1287"/>
      <c r="AX195" s="1282"/>
      <c r="AY195" s="1340">
        <v>73.565011999999996</v>
      </c>
      <c r="AZ195" s="1338"/>
      <c r="BA195" s="1282"/>
      <c r="BB195" s="1282"/>
      <c r="BC195" s="1340">
        <v>76.012</v>
      </c>
      <c r="BD195" s="1338"/>
      <c r="BE195" s="1282"/>
      <c r="BF195" s="1282"/>
      <c r="BG195" s="1340">
        <v>75.394000000000005</v>
      </c>
      <c r="BH195" s="1351"/>
      <c r="BK195" s="1340">
        <v>71.596999999999994</v>
      </c>
      <c r="BL195" s="1351"/>
      <c r="BO195" s="2221">
        <v>69.540999999999997</v>
      </c>
      <c r="BP195" s="1351"/>
      <c r="BS195" s="1339">
        <f>BS194+(CB196/CD196)</f>
        <v>68.10499999999999</v>
      </c>
      <c r="BT195" s="1351"/>
      <c r="BX195" s="1584">
        <v>-112</v>
      </c>
      <c r="BY195" s="1583">
        <v>1.22645</v>
      </c>
      <c r="BZ195" s="1580">
        <f>-BX195/BY195</f>
        <v>91.320477801785643</v>
      </c>
      <c r="CB195" s="1584">
        <v>-50</v>
      </c>
      <c r="CC195" s="1582">
        <f t="shared" si="288"/>
        <v>0.4</v>
      </c>
      <c r="CD195" s="2179">
        <v>125</v>
      </c>
    </row>
    <row r="196" spans="1:82">
      <c r="A196" s="1254" t="s">
        <v>82</v>
      </c>
      <c r="B196" s="1282"/>
      <c r="C196" s="1342">
        <v>44.454090999999998</v>
      </c>
      <c r="D196" s="1285"/>
      <c r="E196" s="1286"/>
      <c r="F196" s="1282"/>
      <c r="G196" s="1342">
        <v>44.485075999999999</v>
      </c>
      <c r="H196" s="1285"/>
      <c r="I196" s="1286"/>
      <c r="J196" s="1282"/>
      <c r="K196" s="1342">
        <v>44.635589000000003</v>
      </c>
      <c r="L196" s="1285"/>
      <c r="M196" s="1286"/>
      <c r="N196" s="1282"/>
      <c r="O196" s="1342">
        <v>44.752792999999997</v>
      </c>
      <c r="P196" s="1285"/>
      <c r="Q196" s="1286"/>
      <c r="R196" s="1282"/>
      <c r="S196" s="1342" t="s">
        <v>90</v>
      </c>
      <c r="T196" s="1342"/>
      <c r="U196" s="1286"/>
      <c r="V196" s="1282"/>
      <c r="W196" s="1342" t="s">
        <v>90</v>
      </c>
      <c r="X196" s="1338"/>
      <c r="Y196" s="1287"/>
      <c r="Z196" s="1282"/>
      <c r="AA196" s="1342" t="s">
        <v>90</v>
      </c>
      <c r="AB196" s="1338"/>
      <c r="AC196" s="1287"/>
      <c r="AD196" s="1282"/>
      <c r="AE196" s="1343" t="s">
        <v>90</v>
      </c>
      <c r="AF196" s="1338"/>
      <c r="AG196" s="1287"/>
      <c r="AH196" s="1282"/>
      <c r="AI196" s="1343" t="s">
        <v>90</v>
      </c>
      <c r="AJ196" s="1338"/>
      <c r="AK196" s="1287"/>
      <c r="AL196" s="1282"/>
      <c r="AM196" s="1343" t="s">
        <v>90</v>
      </c>
      <c r="AN196" s="1338"/>
      <c r="AO196" s="1287"/>
      <c r="AP196" s="1282"/>
      <c r="AQ196" s="1343" t="s">
        <v>90</v>
      </c>
      <c r="AR196" s="1338"/>
      <c r="AS196" s="1287"/>
      <c r="AT196" s="1282"/>
      <c r="AU196" s="1344">
        <v>72.633025000000004</v>
      </c>
      <c r="AV196" s="1338"/>
      <c r="AW196" s="1287"/>
      <c r="AX196" s="1282"/>
      <c r="AY196" s="1344">
        <v>75.448762000000002</v>
      </c>
      <c r="AZ196" s="1338"/>
      <c r="BA196" s="1282"/>
      <c r="BB196" s="1282"/>
      <c r="BC196" s="1344">
        <v>76.28</v>
      </c>
      <c r="BD196" s="1338"/>
      <c r="BE196" s="1282"/>
      <c r="BF196" s="1282"/>
      <c r="BG196" s="1344">
        <v>73.367000000000004</v>
      </c>
      <c r="BH196" s="1351"/>
      <c r="BK196" s="1344">
        <v>70.878</v>
      </c>
      <c r="BL196" s="1351"/>
      <c r="BO196" s="1344">
        <v>69.305000000000007</v>
      </c>
      <c r="BP196" s="1351"/>
      <c r="BS196" s="1343">
        <f>BS195+(CB197/CD197)</f>
        <v>67.704999999999984</v>
      </c>
      <c r="BT196" s="1351"/>
      <c r="BX196" s="1584">
        <v>-70</v>
      </c>
      <c r="BY196" s="1583">
        <v>0.80457699999999999</v>
      </c>
      <c r="BZ196" s="1580">
        <f>-BX196/BY196</f>
        <v>87.00223844330624</v>
      </c>
      <c r="CB196" s="1584">
        <v>-50</v>
      </c>
      <c r="CC196" s="1582">
        <f>CB196/-CD196</f>
        <v>0.4</v>
      </c>
      <c r="CD196" s="2179">
        <v>125</v>
      </c>
    </row>
    <row r="197" spans="1:82">
      <c r="A197" s="1254" t="s">
        <v>85</v>
      </c>
      <c r="B197" s="1282"/>
      <c r="C197" s="1346">
        <v>44.418289999999999</v>
      </c>
      <c r="D197" s="1285"/>
      <c r="E197" s="1286"/>
      <c r="F197" s="1282"/>
      <c r="G197" s="1347">
        <v>44.476084999999998</v>
      </c>
      <c r="H197" s="1285"/>
      <c r="I197" s="1286"/>
      <c r="J197" s="1282"/>
      <c r="K197" s="1347">
        <v>44.583092000000001</v>
      </c>
      <c r="L197" s="1285"/>
      <c r="M197" s="1286"/>
      <c r="N197" s="1282"/>
      <c r="O197" s="1347">
        <v>44.678787999999997</v>
      </c>
      <c r="P197" s="1285"/>
      <c r="Q197" s="1286"/>
      <c r="R197" s="1282"/>
      <c r="S197" s="1347" t="s">
        <v>90</v>
      </c>
      <c r="T197" s="1347"/>
      <c r="U197" s="1286"/>
      <c r="V197" s="1282"/>
      <c r="W197" s="1347" t="s">
        <v>90</v>
      </c>
      <c r="X197" s="1338"/>
      <c r="Y197" s="1287"/>
      <c r="Z197" s="1282"/>
      <c r="AA197" s="1347" t="s">
        <v>90</v>
      </c>
      <c r="AB197" s="1338"/>
      <c r="AC197" s="1287"/>
      <c r="AD197" s="1282"/>
      <c r="AE197" s="1339" t="s">
        <v>90</v>
      </c>
      <c r="AF197" s="1338"/>
      <c r="AG197" s="1287"/>
      <c r="AH197" s="1282"/>
      <c r="AI197" s="1339" t="s">
        <v>90</v>
      </c>
      <c r="AJ197" s="1338"/>
      <c r="AK197" s="1287"/>
      <c r="AL197" s="1282"/>
      <c r="AM197" s="1339" t="s">
        <v>90</v>
      </c>
      <c r="AN197" s="1338"/>
      <c r="AO197" s="1287"/>
      <c r="AP197" s="1282"/>
      <c r="AQ197" s="1339" t="s">
        <v>90</v>
      </c>
      <c r="AR197" s="1338"/>
      <c r="AS197" s="1287"/>
      <c r="AT197" s="1282"/>
      <c r="AU197" s="1340">
        <v>71.508025000000004</v>
      </c>
      <c r="AV197" s="1338"/>
      <c r="AW197" s="1287"/>
      <c r="AX197" s="1282"/>
      <c r="AY197" s="1340">
        <v>74.258713999999998</v>
      </c>
      <c r="AZ197" s="1338"/>
      <c r="BA197" s="1282"/>
      <c r="BB197" s="1282"/>
      <c r="BC197" s="1340">
        <v>75.864999999999995</v>
      </c>
      <c r="BD197" s="1338"/>
      <c r="BE197" s="1282"/>
      <c r="BF197" s="1282"/>
      <c r="BG197" s="1340">
        <v>75.442999999999998</v>
      </c>
      <c r="BH197" s="1351"/>
      <c r="BK197" s="1594">
        <v>71.721000000000004</v>
      </c>
      <c r="BL197" s="1351"/>
      <c r="BO197" s="1594">
        <f>BO177</f>
        <v>70.287999999999997</v>
      </c>
      <c r="BP197" s="1351"/>
      <c r="BS197" s="1594">
        <f>BS177-0.42</f>
        <v>67.884999999999991</v>
      </c>
      <c r="BT197" s="1351"/>
      <c r="BX197" s="1585">
        <v>-52</v>
      </c>
      <c r="BY197" s="1583">
        <v>0.45752799999999999</v>
      </c>
      <c r="BZ197" s="1581">
        <f>-BX197/BY197</f>
        <v>113.65424629749437</v>
      </c>
      <c r="CB197" s="1585">
        <v>-50</v>
      </c>
      <c r="CC197" s="1583">
        <f>CB197/-CD197</f>
        <v>0.4</v>
      </c>
      <c r="CD197" s="2180">
        <v>125</v>
      </c>
    </row>
    <row r="198" spans="1:82">
      <c r="A198" s="1254" t="s">
        <v>87</v>
      </c>
      <c r="B198" s="1282"/>
      <c r="C198" s="1346"/>
      <c r="D198" s="1285"/>
      <c r="E198" s="1286"/>
      <c r="F198" s="1282"/>
      <c r="G198" s="1347"/>
      <c r="H198" s="1285"/>
      <c r="I198" s="1286"/>
      <c r="J198" s="1282"/>
      <c r="K198" s="1347"/>
      <c r="L198" s="1285"/>
      <c r="M198" s="1286"/>
      <c r="N198" s="1282"/>
      <c r="O198" s="1347"/>
      <c r="P198" s="1285"/>
      <c r="Q198" s="1286"/>
      <c r="R198" s="1282"/>
      <c r="S198" s="1347"/>
      <c r="T198" s="1347"/>
      <c r="U198" s="1286"/>
      <c r="V198" s="1282"/>
      <c r="W198" s="1347"/>
      <c r="X198" s="1338"/>
      <c r="Y198" s="1287"/>
      <c r="Z198" s="1282"/>
      <c r="AA198" s="1347"/>
      <c r="AB198" s="1338"/>
      <c r="AC198" s="1287"/>
      <c r="AD198" s="1282"/>
      <c r="AE198" s="1339"/>
      <c r="AF198" s="1338"/>
      <c r="AG198" s="1287"/>
      <c r="AH198" s="1282"/>
      <c r="AI198" s="1339" t="s">
        <v>90</v>
      </c>
      <c r="AJ198" s="1338"/>
      <c r="AK198" s="1287"/>
      <c r="AL198" s="1282"/>
      <c r="AM198" s="1339" t="s">
        <v>90</v>
      </c>
      <c r="AN198" s="1338"/>
      <c r="AO198" s="1287"/>
      <c r="AP198" s="1282"/>
      <c r="AQ198" s="1339" t="s">
        <v>90</v>
      </c>
      <c r="AR198" s="1338"/>
      <c r="AS198" s="1287"/>
      <c r="AT198" s="1282"/>
      <c r="AU198" s="1339">
        <f>AVERAGE(AU193:AU194)</f>
        <v>70.883025000000004</v>
      </c>
      <c r="AV198" s="1338"/>
      <c r="AW198" s="1287"/>
      <c r="AX198" s="1282"/>
      <c r="AY198" s="1339">
        <f>AVERAGE(AY193:AY194)</f>
        <v>73.050000000000011</v>
      </c>
      <c r="AZ198" s="1338"/>
      <c r="BA198" s="1282"/>
      <c r="BB198" s="1282"/>
      <c r="BC198" s="1339">
        <f>AVERAGE(BC193:BC194)</f>
        <v>74.733000000000004</v>
      </c>
      <c r="BD198" s="1338"/>
      <c r="BE198" s="1282"/>
      <c r="BF198" s="1282"/>
      <c r="BG198" s="1339">
        <f>AVERAGE(BG193:BG194)</f>
        <v>76.505499999999998</v>
      </c>
      <c r="BH198" s="1351"/>
      <c r="BK198" s="1339">
        <f>BK178</f>
        <v>72.204999999999998</v>
      </c>
      <c r="BL198" s="1351"/>
      <c r="BO198" s="1339">
        <f>BO178</f>
        <v>71.152999999999992</v>
      </c>
      <c r="BP198" s="1351"/>
      <c r="BS198" s="1339">
        <f>BS178</f>
        <v>68.704999999999998</v>
      </c>
      <c r="BT198" s="1351"/>
      <c r="BX198" s="1577">
        <f>flow!$AM$62</f>
        <v>-289.77699999999999</v>
      </c>
      <c r="BY198" s="1578"/>
      <c r="BZ198" s="1579"/>
      <c r="CB198" s="1244">
        <f>flow!AO62</f>
        <v>-200</v>
      </c>
    </row>
    <row r="199" spans="1:82">
      <c r="A199" s="1254" t="s">
        <v>88</v>
      </c>
      <c r="B199" s="1282"/>
      <c r="C199" s="1346"/>
      <c r="D199" s="1285"/>
      <c r="E199" s="1286"/>
      <c r="F199" s="1282"/>
      <c r="G199" s="1347"/>
      <c r="H199" s="1285"/>
      <c r="I199" s="1286"/>
      <c r="J199" s="1282"/>
      <c r="K199" s="1347"/>
      <c r="L199" s="1285"/>
      <c r="M199" s="1286"/>
      <c r="N199" s="1282"/>
      <c r="O199" s="1347"/>
      <c r="P199" s="1285"/>
      <c r="Q199" s="1286"/>
      <c r="R199" s="1282"/>
      <c r="S199" s="1347"/>
      <c r="T199" s="1347"/>
      <c r="U199" s="1286"/>
      <c r="V199" s="1282"/>
      <c r="W199" s="1347"/>
      <c r="X199" s="1338"/>
      <c r="Y199" s="1287"/>
      <c r="Z199" s="1282"/>
      <c r="AA199" s="1347"/>
      <c r="AB199" s="1338"/>
      <c r="AC199" s="1287"/>
      <c r="AD199" s="1282"/>
      <c r="AE199" s="1339"/>
      <c r="AF199" s="1338"/>
      <c r="AG199" s="1287"/>
      <c r="AH199" s="1282"/>
      <c r="AI199" s="1339" t="s">
        <v>90</v>
      </c>
      <c r="AJ199" s="1338"/>
      <c r="AK199" s="1287"/>
      <c r="AL199" s="1282"/>
      <c r="AM199" s="1339" t="s">
        <v>90</v>
      </c>
      <c r="AN199" s="1338"/>
      <c r="AO199" s="1287"/>
      <c r="AP199" s="1282"/>
      <c r="AQ199" s="1339" t="s">
        <v>90</v>
      </c>
      <c r="AR199" s="1338"/>
      <c r="AS199" s="1287"/>
      <c r="AT199" s="1282"/>
      <c r="AU199" s="1339">
        <f>AVERAGE(AU193:AU195)</f>
        <v>71.133025000000004</v>
      </c>
      <c r="AV199" s="1338"/>
      <c r="AW199" s="1287"/>
      <c r="AX199" s="1282"/>
      <c r="AY199" s="1339">
        <f>AVERAGE(AY193:AY195)</f>
        <v>73.221670666666668</v>
      </c>
      <c r="AZ199" s="1338"/>
      <c r="BA199" s="1282"/>
      <c r="BB199" s="1282"/>
      <c r="BC199" s="1339">
        <f>AVERAGE(BC193:BC195)</f>
        <v>75.159333333333336</v>
      </c>
      <c r="BD199" s="1338"/>
      <c r="BE199" s="1282"/>
      <c r="BF199" s="1282"/>
      <c r="BG199" s="1339">
        <f>AVERAGE(BG193:BG195)</f>
        <v>76.135000000000005</v>
      </c>
      <c r="BH199" s="1351"/>
      <c r="BK199" s="1339">
        <f>BK179</f>
        <v>72.132333333333335</v>
      </c>
      <c r="BL199" s="1351"/>
      <c r="BO199" s="1339">
        <f>BO179</f>
        <v>70.615666666666655</v>
      </c>
      <c r="BP199" s="1351"/>
      <c r="BS199" s="1339">
        <f>BS179</f>
        <v>68.504999999999995</v>
      </c>
      <c r="BT199" s="1351"/>
      <c r="BX199" s="1508"/>
    </row>
    <row r="200" spans="1:82">
      <c r="A200" s="1254"/>
      <c r="B200" s="1282"/>
      <c r="C200" s="1346"/>
      <c r="D200" s="1285"/>
      <c r="E200" s="1286"/>
      <c r="F200" s="1282"/>
      <c r="G200" s="1347"/>
      <c r="H200" s="1285"/>
      <c r="I200" s="1286"/>
      <c r="J200" s="1282"/>
      <c r="K200" s="1347"/>
      <c r="L200" s="1285"/>
      <c r="M200" s="1286"/>
      <c r="N200" s="1282"/>
      <c r="O200" s="1347"/>
      <c r="P200" s="1285"/>
      <c r="Q200" s="1286"/>
      <c r="R200" s="1282"/>
      <c r="S200" s="1347"/>
      <c r="T200" s="1347"/>
      <c r="U200" s="1286"/>
      <c r="V200" s="1282"/>
      <c r="W200" s="1347"/>
      <c r="X200" s="1338"/>
      <c r="Y200" s="1287"/>
      <c r="Z200" s="1282"/>
      <c r="AA200" s="1347"/>
      <c r="AB200" s="1338"/>
      <c r="AC200" s="1287"/>
      <c r="AD200" s="1282"/>
      <c r="AE200" s="1339"/>
      <c r="AF200" s="1338"/>
      <c r="AG200" s="1287"/>
      <c r="AH200" s="1282"/>
      <c r="AI200" s="1339"/>
      <c r="AJ200" s="1338"/>
      <c r="AK200" s="1287"/>
      <c r="AL200" s="1282"/>
      <c r="AM200" s="1339"/>
      <c r="AN200" s="1338"/>
      <c r="AO200" s="1287"/>
      <c r="AP200" s="1282"/>
      <c r="AQ200" s="1339"/>
      <c r="AR200" s="1338"/>
      <c r="AS200" s="1287"/>
      <c r="AT200" s="1282"/>
      <c r="AU200" s="1339"/>
      <c r="AV200" s="1338"/>
      <c r="AW200" s="1287"/>
      <c r="AX200" s="1282"/>
      <c r="AY200" s="1340"/>
      <c r="AZ200" s="1338"/>
      <c r="BA200" s="1282"/>
      <c r="BB200" s="1282"/>
      <c r="BC200" s="1339"/>
      <c r="BD200" s="1338"/>
      <c r="BE200" s="1282"/>
      <c r="BF200" s="1282"/>
      <c r="BG200" s="1339"/>
      <c r="BH200" s="1351"/>
      <c r="BK200" s="1339"/>
      <c r="BL200" s="1351"/>
      <c r="BO200" s="1339"/>
      <c r="BP200" s="1351"/>
      <c r="BS200" s="1339"/>
      <c r="BT200" s="1351"/>
      <c r="CB200" s="2178"/>
    </row>
    <row r="201" spans="1:82">
      <c r="A201" s="1254"/>
      <c r="AI201" s="1282"/>
      <c r="AT201" s="1244"/>
      <c r="AU201" s="1293"/>
      <c r="AX201" s="1244"/>
      <c r="AY201" s="1245"/>
      <c r="BB201" s="1244"/>
      <c r="BC201" s="1245"/>
      <c r="BF201" s="1244"/>
      <c r="BG201" s="1245"/>
      <c r="BJ201" s="1282"/>
      <c r="BK201" s="1245"/>
      <c r="BN201" s="1282"/>
      <c r="BO201" s="1245"/>
      <c r="BR201" s="1282"/>
      <c r="BS201" s="1245"/>
    </row>
    <row r="202" spans="1:82" s="1384" customFormat="1" ht="15.75">
      <c r="A202" s="1380" t="s">
        <v>918</v>
      </c>
      <c r="B202" s="1381"/>
      <c r="C202" s="1381"/>
      <c r="D202" s="1381"/>
      <c r="E202" s="1381"/>
      <c r="F202" s="1381"/>
      <c r="G202" s="1381"/>
      <c r="H202" s="1381"/>
      <c r="I202" s="1381"/>
      <c r="J202" s="1381"/>
      <c r="K202" s="1381"/>
      <c r="L202" s="1381"/>
      <c r="M202" s="1381"/>
      <c r="N202" s="1381"/>
      <c r="O202" s="1381"/>
      <c r="P202" s="1381"/>
      <c r="Q202" s="1381"/>
      <c r="R202" s="1381"/>
      <c r="S202" s="1381"/>
      <c r="T202" s="1381"/>
      <c r="U202" s="1381"/>
      <c r="V202" s="1381"/>
      <c r="W202" s="1381"/>
      <c r="X202" s="1381"/>
      <c r="Y202" s="1381"/>
      <c r="Z202" s="1381"/>
      <c r="AA202" s="1381"/>
      <c r="AB202" s="1381"/>
      <c r="AC202" s="1381"/>
      <c r="AD202" s="1381"/>
      <c r="AE202" s="1381"/>
      <c r="AF202" s="1381"/>
      <c r="AG202" s="1381"/>
      <c r="AH202" s="1381"/>
      <c r="AI202" s="1381"/>
      <c r="AJ202" s="1381"/>
      <c r="AK202" s="1381"/>
      <c r="AL202" s="1381"/>
      <c r="AM202" s="1381"/>
      <c r="AN202" s="1381"/>
      <c r="AO202" s="1381"/>
      <c r="AP202" s="1381"/>
      <c r="AQ202" s="1381"/>
      <c r="AR202" s="1381"/>
      <c r="AS202" s="1381"/>
      <c r="AT202" s="1382"/>
      <c r="AU202" s="1381"/>
      <c r="AV202" s="1381"/>
      <c r="AW202" s="1381"/>
      <c r="AX202" s="1383"/>
      <c r="AY202" s="1381"/>
      <c r="AZ202" s="1381"/>
      <c r="BA202" s="1381"/>
      <c r="BB202" s="1383"/>
      <c r="BC202" s="1381"/>
      <c r="BD202" s="1381"/>
      <c r="BE202" s="1381"/>
      <c r="BF202" s="1383"/>
      <c r="BG202" s="1381"/>
      <c r="BH202" s="1381"/>
      <c r="BI202" s="1381"/>
      <c r="BJ202" s="1381"/>
      <c r="BK202" s="1381"/>
      <c r="BL202" s="1381"/>
      <c r="BM202" s="1381"/>
      <c r="BN202" s="1381"/>
      <c r="BO202" s="1381"/>
      <c r="BP202" s="1381"/>
      <c r="BQ202" s="1381"/>
      <c r="BR202" s="1381"/>
      <c r="BS202" s="1381"/>
      <c r="BT202" s="1381"/>
      <c r="BU202" s="1381"/>
    </row>
    <row r="203" spans="1:82">
      <c r="AI203" s="1282"/>
      <c r="AT203" s="1244"/>
      <c r="AU203" s="1293"/>
      <c r="AX203" s="1244"/>
      <c r="AY203" s="1245"/>
      <c r="BB203" s="1244"/>
      <c r="BC203" s="1245"/>
      <c r="BF203" s="1244"/>
      <c r="BG203" s="1245"/>
      <c r="BJ203" s="1282"/>
      <c r="BK203" s="1245"/>
      <c r="BN203" s="1282"/>
      <c r="BO203" s="1245"/>
      <c r="BR203" s="1282"/>
      <c r="BS203" s="1245"/>
    </row>
    <row r="204" spans="1:82" s="1282" customFormat="1">
      <c r="A204" s="1251" t="s">
        <v>906</v>
      </c>
      <c r="B204" s="1281"/>
      <c r="C204" s="1281"/>
      <c r="D204" s="1281"/>
      <c r="E204" s="1281"/>
      <c r="F204" s="1281"/>
      <c r="G204" s="1281"/>
      <c r="H204" s="1281"/>
      <c r="I204" s="1281"/>
      <c r="J204" s="1281"/>
      <c r="K204" s="1281"/>
      <c r="L204" s="1281"/>
      <c r="M204" s="1281"/>
      <c r="N204" s="1281"/>
      <c r="O204" s="1281"/>
      <c r="P204" s="1281"/>
      <c r="Q204" s="1281"/>
      <c r="R204" s="1281"/>
      <c r="S204" s="1281"/>
      <c r="T204" s="1281"/>
      <c r="U204" s="1281"/>
      <c r="V204" s="1281"/>
      <c r="W204" s="1281"/>
      <c r="X204" s="1281"/>
      <c r="Y204" s="1281"/>
      <c r="Z204" s="1281"/>
      <c r="AA204" s="1281"/>
      <c r="AB204" s="1281"/>
      <c r="AC204" s="1281"/>
      <c r="AD204" s="1281"/>
      <c r="AE204" s="1281"/>
      <c r="AF204" s="1281"/>
      <c r="AG204" s="1281"/>
      <c r="AH204" s="1281"/>
      <c r="AI204" s="1281"/>
      <c r="AJ204" s="1281"/>
      <c r="AK204" s="1281"/>
      <c r="AL204" s="1281"/>
      <c r="AM204" s="1281"/>
      <c r="AN204" s="1281"/>
      <c r="AO204" s="1281"/>
      <c r="AP204" s="1281"/>
      <c r="AQ204" s="1281"/>
      <c r="AR204" s="1281"/>
      <c r="AS204" s="1281"/>
      <c r="AT204" s="1281"/>
      <c r="AU204" s="1281"/>
      <c r="AV204" s="1281"/>
      <c r="AW204" s="1281"/>
      <c r="AX204" s="1281"/>
      <c r="AY204" s="1281"/>
      <c r="AZ204" s="1281"/>
      <c r="BA204" s="1281"/>
      <c r="BC204" s="1281"/>
      <c r="BD204" s="1281"/>
      <c r="BE204" s="1281"/>
      <c r="BG204" s="2264" t="str">
        <f>A204</f>
        <v xml:space="preserve"> GAAP Net Earnings (% Net Margin)</v>
      </c>
      <c r="BH204" s="2265"/>
      <c r="BI204" s="2265"/>
      <c r="BJ204" s="2265"/>
      <c r="BK204" s="2265"/>
      <c r="BL204" s="2265"/>
      <c r="BM204" s="2265"/>
      <c r="BN204" s="1664"/>
      <c r="BO204" s="1664"/>
      <c r="BP204" s="1664"/>
      <c r="BQ204" s="1664"/>
      <c r="BR204" s="2150"/>
      <c r="BS204" s="2150"/>
      <c r="BT204" s="2150"/>
      <c r="BU204" s="2150"/>
    </row>
    <row r="205" spans="1:82" s="1282" customFormat="1">
      <c r="AI205" s="1283"/>
      <c r="AM205" s="1283"/>
      <c r="AN205" s="1283"/>
      <c r="AO205" s="1283"/>
      <c r="AP205" s="1283"/>
      <c r="AQ205" s="1283"/>
      <c r="AR205" s="1283"/>
      <c r="AS205" s="1283"/>
      <c r="AT205" s="1283"/>
      <c r="AU205" s="1283"/>
      <c r="AV205" s="1283"/>
      <c r="AW205" s="1283"/>
      <c r="BC205" s="1513"/>
    </row>
    <row r="206" spans="1:82" s="1282" customFormat="1">
      <c r="A206" s="1254" t="s">
        <v>79</v>
      </c>
      <c r="C206" s="1291"/>
      <c r="D206" s="1285"/>
      <c r="E206" s="1308"/>
      <c r="G206" s="1291"/>
      <c r="H206" s="1285"/>
      <c r="I206" s="1287"/>
      <c r="K206" s="1291"/>
      <c r="L206" s="1285"/>
      <c r="M206" s="1287"/>
      <c r="O206" s="1291"/>
      <c r="P206" s="1285"/>
      <c r="Q206" s="1287"/>
      <c r="S206" s="1291"/>
      <c r="T206" s="1285"/>
      <c r="U206" s="1287"/>
      <c r="W206" s="1291"/>
      <c r="X206" s="1285"/>
      <c r="Y206" s="1287"/>
      <c r="AA206" s="1291"/>
      <c r="AB206" s="1285"/>
      <c r="AC206" s="1287"/>
      <c r="AE206" s="1291"/>
      <c r="AF206" s="1285"/>
      <c r="AG206" s="1287"/>
      <c r="AI206" s="1510">
        <f>AI153</f>
        <v>-21.688000000000009</v>
      </c>
      <c r="AJ206" s="1287">
        <f t="shared" ref="AJ206:AJ212" si="289">(AI206/AI11)*100</f>
        <v>-2.6128766822923644</v>
      </c>
      <c r="AK206" s="1287" t="str">
        <f t="shared" ref="AK206:AK212" si="290">IFERROR(((AI206/AF206-1)*100),"-")</f>
        <v>-</v>
      </c>
      <c r="AM206" s="1510">
        <f>AM153</f>
        <v>5.2130000000000267</v>
      </c>
      <c r="AN206" s="1287">
        <f t="shared" ref="AN206:AN212" si="291">(AM206/AM11)*100</f>
        <v>0.5826677307366479</v>
      </c>
      <c r="AO206" s="1287">
        <f t="shared" ref="AO206:AO212" si="292">IFERROR(((AM206/AJ206-1)*100),"-")</f>
        <v>-299.51190331058746</v>
      </c>
      <c r="AQ206" s="1510">
        <f>AQ153</f>
        <v>-21.056999999999952</v>
      </c>
      <c r="AR206" s="1287">
        <f t="shared" ref="AR206:AR212" si="293">(AQ206/AQ11)*100</f>
        <v>-2.2664331742872745</v>
      </c>
      <c r="AS206" s="1287">
        <f>(AQ206/AM206-1)*100</f>
        <v>-503.93247650105207</v>
      </c>
      <c r="AU206" s="1510">
        <f>AU153</f>
        <v>-4.4049328399999546</v>
      </c>
      <c r="AV206" s="1287">
        <f t="shared" ref="AV206:AV212" si="294">(AU206/AU11)*100</f>
        <v>-0.44837491205342289</v>
      </c>
      <c r="AW206" s="1287">
        <f>(AU206/AQ206-1)*100</f>
        <v>-79.080909721233013</v>
      </c>
      <c r="AY206" s="1510">
        <f>AY153</f>
        <v>-5.5630000000001019</v>
      </c>
      <c r="AZ206" s="1287">
        <f t="shared" ref="AZ206:AZ212" si="295">(AY206/AY11)*100</f>
        <v>-0.52234104184644714</v>
      </c>
      <c r="BA206" s="1287">
        <f>(AY206/AU206-1)*100</f>
        <v>26.290234200259889</v>
      </c>
      <c r="BC206" s="1510">
        <f>BC153</f>
        <v>11.773999999999974</v>
      </c>
      <c r="BD206" s="1287">
        <f t="shared" ref="BD206:BD212" si="296">(BC206/BC11)*100</f>
        <v>1.0435454665509709</v>
      </c>
      <c r="BE206" s="1287">
        <f>(BC206/AY206-1)*100</f>
        <v>-311.64839115584687</v>
      </c>
      <c r="BG206" s="1510">
        <f>BG153</f>
        <v>25.69500000000005</v>
      </c>
      <c r="BH206" s="1287">
        <f t="shared" ref="BH206:BH212" si="297">(BG206/BG11)*100</f>
        <v>2.1719119671969067</v>
      </c>
      <c r="BI206" s="1287">
        <f>(BG206/BC206-1)*100</f>
        <v>118.23509427552325</v>
      </c>
      <c r="BK206" s="1291">
        <f>BK153</f>
        <v>37.514000000000038</v>
      </c>
      <c r="BL206" s="1287">
        <f t="shared" ref="BL206:BL212" si="298">(BK206/BK11)*100</f>
        <v>2.9246805491669745</v>
      </c>
      <c r="BM206" s="1287">
        <f>(BK206/BG206-1)*100</f>
        <v>45.997275734578565</v>
      </c>
      <c r="BO206" s="1291">
        <f>BO153</f>
        <v>52.368000000000109</v>
      </c>
      <c r="BP206" s="1287">
        <f t="shared" ref="BP206:BP212" si="299">(BO206/BO11)*100</f>
        <v>3.889061346586014</v>
      </c>
      <c r="BQ206" s="1287">
        <f>(BO206/BK206-1)*100</f>
        <v>39.595884203230945</v>
      </c>
      <c r="BS206" s="1291">
        <f>BS153</f>
        <v>71.204901915798033</v>
      </c>
      <c r="BT206" s="1287">
        <f t="shared" ref="BT206:BT209" si="300">(BS206/BS11)*100</f>
        <v>4.7916953324426794</v>
      </c>
      <c r="BU206" s="1287">
        <f>(BS206/BO206-1)*100</f>
        <v>35.970252665364136</v>
      </c>
    </row>
    <row r="207" spans="1:82" s="1282" customFormat="1">
      <c r="A207" s="1254" t="s">
        <v>80</v>
      </c>
      <c r="C207" s="1312"/>
      <c r="D207" s="1285"/>
      <c r="E207" s="1308"/>
      <c r="G207" s="1312"/>
      <c r="H207" s="1285"/>
      <c r="I207" s="1287"/>
      <c r="K207" s="1312"/>
      <c r="L207" s="1285"/>
      <c r="M207" s="1287"/>
      <c r="O207" s="1312"/>
      <c r="P207" s="1285"/>
      <c r="Q207" s="1287"/>
      <c r="S207" s="1312"/>
      <c r="T207" s="1285"/>
      <c r="U207" s="1287"/>
      <c r="W207" s="1312"/>
      <c r="X207" s="1285"/>
      <c r="Y207" s="1287"/>
      <c r="AA207" s="1312"/>
      <c r="AB207" s="1285"/>
      <c r="AC207" s="1287"/>
      <c r="AE207" s="1312"/>
      <c r="AF207" s="1285"/>
      <c r="AG207" s="1287"/>
      <c r="AI207" s="1511">
        <f>AI154</f>
        <v>-12.520000000000065</v>
      </c>
      <c r="AJ207" s="1287">
        <f t="shared" si="289"/>
        <v>-1.786076025210501</v>
      </c>
      <c r="AK207" s="1287" t="str">
        <f t="shared" si="290"/>
        <v>-</v>
      </c>
      <c r="AM207" s="1511">
        <f>AM154</f>
        <v>-40.478999999999971</v>
      </c>
      <c r="AN207" s="1287">
        <f t="shared" si="291"/>
        <v>-5.5545797598627749</v>
      </c>
      <c r="AO207" s="1287">
        <f t="shared" si="292"/>
        <v>2166.3648931309767</v>
      </c>
      <c r="AQ207" s="1511">
        <f>AQ154</f>
        <v>-32.763000000000048</v>
      </c>
      <c r="AR207" s="1287">
        <f t="shared" si="293"/>
        <v>-4.1297083629020834</v>
      </c>
      <c r="AS207" s="1287">
        <f>(AQ207/AM207-1)*100</f>
        <v>-19.061735714814908</v>
      </c>
      <c r="AU207" s="1511">
        <f>AU154</f>
        <v>-31.349530800000004</v>
      </c>
      <c r="AV207" s="1287">
        <f t="shared" si="294"/>
        <v>-3.6276570241291664</v>
      </c>
      <c r="AW207" s="1287">
        <f>(AU207/AQ207-1)*100</f>
        <v>-4.3142239721638447</v>
      </c>
      <c r="AY207" s="1511">
        <f>AY154</f>
        <v>-25.014000000000038</v>
      </c>
      <c r="AZ207" s="1287">
        <f t="shared" si="295"/>
        <v>-2.5955914169289382</v>
      </c>
      <c r="BA207" s="1287">
        <f>(AY207/AU207-1)*100</f>
        <v>-20.209332128185999</v>
      </c>
      <c r="BC207" s="1515">
        <f>BC154</f>
        <v>-6.4700000000001507</v>
      </c>
      <c r="BD207" s="1287">
        <f t="shared" si="296"/>
        <v>-0.61998062440770307</v>
      </c>
      <c r="BE207" s="1287">
        <f>(BC207/AY207-1)*100</f>
        <v>-74.134484688573849</v>
      </c>
      <c r="BG207" s="1511">
        <f>BG154</f>
        <v>10.900000000000126</v>
      </c>
      <c r="BH207" s="1287">
        <f t="shared" si="297"/>
        <v>0.95261567288752025</v>
      </c>
      <c r="BI207" s="1287">
        <f>(BG207/BC207-1)*100</f>
        <v>-268.46986089644315</v>
      </c>
      <c r="BK207" s="1376">
        <f>BK154</f>
        <v>20.394000000000176</v>
      </c>
      <c r="BL207" s="1287">
        <f t="shared" si="298"/>
        <v>1.6249512968775162</v>
      </c>
      <c r="BM207" s="1287">
        <f>(BK207/BG207-1)*100</f>
        <v>87.100917431192102</v>
      </c>
      <c r="BO207" s="1376">
        <f>BO154</f>
        <v>46.901999999999923</v>
      </c>
      <c r="BP207" s="1287">
        <f t="shared" si="299"/>
        <v>3.4405204133729987</v>
      </c>
      <c r="BQ207" s="1287">
        <f>(BO207/BK207-1)*100</f>
        <v>129.97940570755867</v>
      </c>
      <c r="BS207" s="1376">
        <f>BS154</f>
        <v>62.819824256391307</v>
      </c>
      <c r="BT207" s="1287">
        <f t="shared" si="300"/>
        <v>4.1907522668056805</v>
      </c>
      <c r="BU207" s="1287">
        <f>(BS207/BO207-1)*100</f>
        <v>33.938476517827397</v>
      </c>
    </row>
    <row r="208" spans="1:82" s="1282" customFormat="1">
      <c r="A208" s="1254" t="s">
        <v>81</v>
      </c>
      <c r="C208" s="1312"/>
      <c r="D208" s="1285"/>
      <c r="E208" s="1308"/>
      <c r="G208" s="1312"/>
      <c r="H208" s="1285"/>
      <c r="I208" s="1287"/>
      <c r="K208" s="1312"/>
      <c r="L208" s="1285"/>
      <c r="M208" s="1287"/>
      <c r="O208" s="1312"/>
      <c r="P208" s="1285"/>
      <c r="Q208" s="1287"/>
      <c r="S208" s="1312"/>
      <c r="T208" s="1285"/>
      <c r="U208" s="1287"/>
      <c r="W208" s="1312"/>
      <c r="X208" s="1285"/>
      <c r="Y208" s="1287"/>
      <c r="AA208" s="1312"/>
      <c r="AB208" s="1285"/>
      <c r="AC208" s="1287"/>
      <c r="AE208" s="1312"/>
      <c r="AF208" s="1285"/>
      <c r="AG208" s="1287"/>
      <c r="AI208" s="1511">
        <f>AI155</f>
        <v>7.5109999999998651</v>
      </c>
      <c r="AJ208" s="1287">
        <f t="shared" si="289"/>
        <v>0.86098393578899257</v>
      </c>
      <c r="AK208" s="1287" t="str">
        <f t="shared" si="290"/>
        <v>-</v>
      </c>
      <c r="AM208" s="1511">
        <f>AM155</f>
        <v>-2.7950000000001207</v>
      </c>
      <c r="AN208" s="1287">
        <f t="shared" si="291"/>
        <v>-0.32568697228807286</v>
      </c>
      <c r="AO208" s="1287">
        <f t="shared" si="292"/>
        <v>-424.62858873653954</v>
      </c>
      <c r="AQ208" s="1511">
        <f>AQ155</f>
        <v>-10.277000000000019</v>
      </c>
      <c r="AR208" s="1287">
        <f t="shared" si="293"/>
        <v>-1.1435877520271802</v>
      </c>
      <c r="AS208" s="1287">
        <f>(AQ208/AM208-1)*100</f>
        <v>267.6923076922925</v>
      </c>
      <c r="AU208" s="1511">
        <f>AU155</f>
        <v>-7.447000000000024</v>
      </c>
      <c r="AV208" s="1287">
        <f t="shared" si="294"/>
        <v>-0.76940243456411794</v>
      </c>
      <c r="AW208" s="1287">
        <f>(AU208/AQ208-1)*100</f>
        <v>-27.537219032791572</v>
      </c>
      <c r="AY208" s="1511">
        <f>AY155</f>
        <v>-16.856999999999992</v>
      </c>
      <c r="AZ208" s="1287">
        <f t="shared" si="295"/>
        <v>-1.583557381761612</v>
      </c>
      <c r="BA208" s="1287">
        <f>(AY208/AU208-1)*100</f>
        <v>126.35960789579612</v>
      </c>
      <c r="BC208" s="1511">
        <f>BC155</f>
        <v>-34.214000000000141</v>
      </c>
      <c r="BD208" s="1287">
        <f t="shared" si="296"/>
        <v>-2.9563843870000088</v>
      </c>
      <c r="BE208" s="1287">
        <f>(BC208/AY208-1)*100</f>
        <v>102.96612683158423</v>
      </c>
      <c r="BG208" s="1515">
        <f>BG155</f>
        <v>15.116000000000039</v>
      </c>
      <c r="BH208" s="1287">
        <f t="shared" si="297"/>
        <v>1.2280584879509588</v>
      </c>
      <c r="BI208" s="1287">
        <f>(BG208/BC208-1)*100</f>
        <v>-144.18074472438175</v>
      </c>
      <c r="BK208" s="1376">
        <f>BK155</f>
        <v>32.403999999999968</v>
      </c>
      <c r="BL208" s="1287">
        <f t="shared" si="298"/>
        <v>2.4135259943393392</v>
      </c>
      <c r="BM208" s="1287">
        <f>(BK208/BG208-1)*100</f>
        <v>114.3688806562575</v>
      </c>
      <c r="BO208" s="1379">
        <f>BO155</f>
        <v>44.878999999999948</v>
      </c>
      <c r="BP208" s="1287">
        <f t="shared" si="299"/>
        <v>3.1205694470808987</v>
      </c>
      <c r="BQ208" s="1287">
        <f>(BO208/BK208-1)*100</f>
        <v>38.498333539069222</v>
      </c>
      <c r="BS208" s="1376">
        <f>BS155</f>
        <v>63.767339086420861</v>
      </c>
      <c r="BT208" s="1287">
        <f t="shared" si="300"/>
        <v>4.0301622422102046</v>
      </c>
      <c r="BU208" s="1287">
        <f>(BS208/BO208-1)*100</f>
        <v>42.087254810537075</v>
      </c>
      <c r="BZ208" s="1282">
        <f>0.4</f>
        <v>0.4</v>
      </c>
    </row>
    <row r="209" spans="1:78" s="1282" customFormat="1">
      <c r="A209" s="1254" t="s">
        <v>82</v>
      </c>
      <c r="C209" s="1290"/>
      <c r="D209" s="1285"/>
      <c r="E209" s="1308"/>
      <c r="G209" s="1290"/>
      <c r="H209" s="1285"/>
      <c r="I209" s="1287"/>
      <c r="K209" s="1290"/>
      <c r="L209" s="1285"/>
      <c r="M209" s="1287"/>
      <c r="O209" s="1290"/>
      <c r="P209" s="1285"/>
      <c r="Q209" s="1287"/>
      <c r="S209" s="1290"/>
      <c r="T209" s="1285"/>
      <c r="U209" s="1287"/>
      <c r="W209" s="1290"/>
      <c r="X209" s="1285"/>
      <c r="Y209" s="1287"/>
      <c r="AA209" s="1290"/>
      <c r="AB209" s="1285"/>
      <c r="AC209" s="1287"/>
      <c r="AE209" s="1290"/>
      <c r="AF209" s="1285"/>
      <c r="AG209" s="1287"/>
      <c r="AI209" s="1512">
        <f>AI156</f>
        <v>11.518000000000143</v>
      </c>
      <c r="AJ209" s="1287">
        <f t="shared" si="289"/>
        <v>1.0288347049045301</v>
      </c>
      <c r="AK209" s="1287" t="str">
        <f t="shared" si="290"/>
        <v>-</v>
      </c>
      <c r="AM209" s="1512">
        <f>AM156</f>
        <v>69.059000000000111</v>
      </c>
      <c r="AN209" s="1287">
        <f t="shared" si="291"/>
        <v>5.8131058562881188</v>
      </c>
      <c r="AO209" s="1287">
        <f t="shared" si="292"/>
        <v>6612.3513301787752</v>
      </c>
      <c r="AQ209" s="1512">
        <f>AQ156</f>
        <v>57.35200000000026</v>
      </c>
      <c r="AR209" s="1287">
        <f t="shared" si="293"/>
        <v>4.6512646375911464</v>
      </c>
      <c r="AS209" s="1287">
        <f>(AQ209/AM209-1)*100</f>
        <v>-16.952171331759558</v>
      </c>
      <c r="AU209" s="1512">
        <f>AU156</f>
        <v>71.151709892994816</v>
      </c>
      <c r="AV209" s="1287">
        <f t="shared" si="294"/>
        <v>5.6356131317830593</v>
      </c>
      <c r="AW209" s="1287">
        <f>(AU209/AQ209-1)*100</f>
        <v>24.061427488133802</v>
      </c>
      <c r="AY209" s="1512">
        <f>AY156</f>
        <v>63.584000000000117</v>
      </c>
      <c r="AZ209" s="1287">
        <f t="shared" si="295"/>
        <v>4.7654272688504795</v>
      </c>
      <c r="BA209" s="1287">
        <f>(AY209/AU209-1)*100</f>
        <v>-10.636019716709255</v>
      </c>
      <c r="BC209" s="1512">
        <f>BC156</f>
        <v>104.14500000000007</v>
      </c>
      <c r="BD209" s="1287">
        <f t="shared" si="296"/>
        <v>7.0114221314400167</v>
      </c>
      <c r="BE209" s="1287">
        <f>(BC209/AY209-1)*100</f>
        <v>63.791205334675197</v>
      </c>
      <c r="BG209" s="1592">
        <f>BG156</f>
        <v>98.771000000000043</v>
      </c>
      <c r="BH209" s="1287">
        <f t="shared" si="297"/>
        <v>6.4105002112581468</v>
      </c>
      <c r="BI209" s="1287">
        <f>(BG209/BC209-1)*100</f>
        <v>-5.1601133035671598</v>
      </c>
      <c r="BK209" s="1375">
        <f>BK156</f>
        <v>125.56099999999992</v>
      </c>
      <c r="BL209" s="1287">
        <f t="shared" si="298"/>
        <v>7.4485307421479865</v>
      </c>
      <c r="BM209" s="1287">
        <f>(BK209/BG209-1)*100</f>
        <v>27.123345921373556</v>
      </c>
      <c r="BO209" s="1375">
        <f>BO156</f>
        <v>147.51544600000003</v>
      </c>
      <c r="BP209" s="1287">
        <f t="shared" si="299"/>
        <v>7.6163381485923649</v>
      </c>
      <c r="BQ209" s="1287">
        <f>(BO209/BK209-1)*100</f>
        <v>17.485083744156316</v>
      </c>
      <c r="BS209" s="1375">
        <f>BS156</f>
        <v>182.05058171014193</v>
      </c>
      <c r="BT209" s="1287">
        <f t="shared" si="300"/>
        <v>9.011902478829537</v>
      </c>
      <c r="BU209" s="1287">
        <f>(BS209/BO209-1)*100</f>
        <v>23.411199739817</v>
      </c>
    </row>
    <row r="210" spans="1:78" s="1282" customFormat="1">
      <c r="A210" s="1254" t="s">
        <v>85</v>
      </c>
      <c r="C210" s="1291"/>
      <c r="D210" s="1285"/>
      <c r="E210" s="1308"/>
      <c r="G210" s="1291"/>
      <c r="H210" s="1285"/>
      <c r="I210" s="1287"/>
      <c r="K210" s="1291"/>
      <c r="L210" s="1285"/>
      <c r="M210" s="1287"/>
      <c r="O210" s="1291"/>
      <c r="P210" s="1285"/>
      <c r="Q210" s="1287"/>
      <c r="S210" s="1291"/>
      <c r="T210" s="1285"/>
      <c r="U210" s="1287"/>
      <c r="W210" s="1291"/>
      <c r="X210" s="1285"/>
      <c r="Y210" s="1287"/>
      <c r="AA210" s="1291"/>
      <c r="AB210" s="1285"/>
      <c r="AC210" s="1287"/>
      <c r="AE210" s="1291"/>
      <c r="AF210" s="1285"/>
      <c r="AG210" s="1287"/>
      <c r="AI210" s="1510">
        <f>AI157</f>
        <v>-15.179000000000151</v>
      </c>
      <c r="AJ210" s="1287">
        <f t="shared" si="289"/>
        <v>-0.43086490331583888</v>
      </c>
      <c r="AK210" s="1287" t="str">
        <f t="shared" si="290"/>
        <v>-</v>
      </c>
      <c r="AM210" s="1510">
        <f>AM157</f>
        <v>30.997999999999845</v>
      </c>
      <c r="AN210" s="1287">
        <f t="shared" si="291"/>
        <v>0.84472376023339446</v>
      </c>
      <c r="AO210" s="1287">
        <f t="shared" si="292"/>
        <v>-7294.3664386322125</v>
      </c>
      <c r="AQ210" s="1510">
        <f>AQ157</f>
        <v>-6.7449999999998305</v>
      </c>
      <c r="AR210" s="1287">
        <f t="shared" si="293"/>
        <v>-0.17500688870703071</v>
      </c>
      <c r="AS210" s="1287">
        <f>(AQ210/AM210-1)*100</f>
        <v>-121.75946835279652</v>
      </c>
      <c r="AU210" s="1510">
        <f>AU157</f>
        <v>27.950246252994734</v>
      </c>
      <c r="AV210" s="1287">
        <f t="shared" si="294"/>
        <v>0.68555339691105111</v>
      </c>
      <c r="AW210" s="1287">
        <f>(AU210/AQ210-1)*100</f>
        <v>-514.3846738768782</v>
      </c>
      <c r="AY210" s="1510">
        <f>AY157</f>
        <v>16.150999999999801</v>
      </c>
      <c r="AZ210" s="1287">
        <f t="shared" si="295"/>
        <v>0.36478800804877604</v>
      </c>
      <c r="BA210" s="1287">
        <f>(AY210/AU210-1)*100</f>
        <v>-42.215178164058933</v>
      </c>
      <c r="BC210" s="1510">
        <f>BC157</f>
        <v>75.234999999999786</v>
      </c>
      <c r="BD210" s="1287">
        <f t="shared" si="296"/>
        <v>1.5626739535370577</v>
      </c>
      <c r="BE210" s="1287">
        <f>(BC210/AY210-1)*100</f>
        <v>365.82254968733031</v>
      </c>
      <c r="BG210" s="1510">
        <f>BG157</f>
        <v>150.48200000000003</v>
      </c>
      <c r="BH210" s="1287">
        <f t="shared" si="297"/>
        <v>2.9512454765037077</v>
      </c>
      <c r="BI210" s="1287">
        <f>(BG210/BC210-1)*100</f>
        <v>100.01595002326104</v>
      </c>
      <c r="BK210" s="1510">
        <f>BK157</f>
        <v>215.87299999999954</v>
      </c>
      <c r="BL210" s="1287">
        <f t="shared" si="298"/>
        <v>3.8783960871269576</v>
      </c>
      <c r="BM210" s="1287">
        <f>(BK210/BG210-1)*100</f>
        <v>43.454366635211848</v>
      </c>
      <c r="BO210" s="1510">
        <f>BO157</f>
        <v>291.66444599999983</v>
      </c>
      <c r="BP210" s="1287">
        <f>(BO210/BO15)*100</f>
        <v>4.7933551758604986</v>
      </c>
      <c r="BQ210" s="1287">
        <f>(BO210/BK210-1)*100</f>
        <v>35.109275360976341</v>
      </c>
      <c r="BS210" s="1510">
        <f>BS157</f>
        <v>379.84264696875221</v>
      </c>
      <c r="BT210" s="1287">
        <f>(BS210/BS15)*100</f>
        <v>5.7662154072538039</v>
      </c>
      <c r="BU210" s="1287">
        <f>(BS210/BO210-1)*100</f>
        <v>30.232756229997413</v>
      </c>
    </row>
    <row r="211" spans="1:78" s="1282" customFormat="1">
      <c r="A211" s="1254" t="s">
        <v>87</v>
      </c>
      <c r="C211" s="1291"/>
      <c r="D211" s="1285"/>
      <c r="E211" s="1308"/>
      <c r="G211" s="1291"/>
      <c r="H211" s="1285"/>
      <c r="I211" s="1287"/>
      <c r="K211" s="1291"/>
      <c r="L211" s="1285"/>
      <c r="M211" s="1287"/>
      <c r="O211" s="1291"/>
      <c r="P211" s="1285"/>
      <c r="Q211" s="1287"/>
      <c r="S211" s="1291"/>
      <c r="T211" s="1285"/>
      <c r="U211" s="1287"/>
      <c r="W211" s="1291"/>
      <c r="X211" s="1285"/>
      <c r="Y211" s="1287"/>
      <c r="AA211" s="1291"/>
      <c r="AB211" s="1285"/>
      <c r="AC211" s="1287"/>
      <c r="AE211" s="1291"/>
      <c r="AF211" s="1285"/>
      <c r="AG211" s="1287"/>
      <c r="AI211" s="1510">
        <f>SUM(AI206:AI207)</f>
        <v>-34.208000000000077</v>
      </c>
      <c r="AJ211" s="1287">
        <f t="shared" si="289"/>
        <v>-2.2343259824653008</v>
      </c>
      <c r="AK211" s="1287" t="str">
        <f t="shared" si="290"/>
        <v>-</v>
      </c>
      <c r="AM211" s="1510">
        <f>SUM(AM206:AM207)</f>
        <v>-35.265999999999941</v>
      </c>
      <c r="AN211" s="1287">
        <f t="shared" si="291"/>
        <v>-2.1723168505163115</v>
      </c>
      <c r="AO211" s="1287">
        <f t="shared" si="292"/>
        <v>1478.3730877572439</v>
      </c>
      <c r="AQ211" s="1510">
        <f>SUM(AQ206:AQ207)</f>
        <v>-53.82</v>
      </c>
      <c r="AR211" s="1287">
        <f t="shared" si="293"/>
        <v>-3.1246552835238592</v>
      </c>
      <c r="AS211" s="1287">
        <f>IFERROR(((AQ211/AN211-1)*100),"-")</f>
        <v>2377.5391300402694</v>
      </c>
      <c r="AU211" s="1510">
        <f>SUM(AU206:AU207)</f>
        <v>-35.754463639999955</v>
      </c>
      <c r="AV211" s="1287">
        <f t="shared" si="294"/>
        <v>-1.9362290321673536</v>
      </c>
      <c r="AW211" s="1287">
        <f>IFERROR(((AU211/AR211-1)*100),"-")</f>
        <v>1044.2690599673933</v>
      </c>
      <c r="AY211" s="1510">
        <f>SUM(AY206:AY207)</f>
        <v>-30.57700000000014</v>
      </c>
      <c r="AZ211" s="1287">
        <f t="shared" si="295"/>
        <v>-1.5072035427194701</v>
      </c>
      <c r="BA211" s="1287">
        <f>IFERROR(((AY211/AV211-1)*100),"-")</f>
        <v>1479.2036733264561</v>
      </c>
      <c r="BC211" s="1510">
        <f>SUM(BC206:BC207)</f>
        <v>5.3039999999998235</v>
      </c>
      <c r="BD211" s="1287">
        <f t="shared" si="296"/>
        <v>0.24421576075695026</v>
      </c>
      <c r="BE211" s="1287">
        <f>IFERROR(((BC211/AZ211-1)*100),"-")</f>
        <v>-451.91000085029901</v>
      </c>
      <c r="BG211" s="1510">
        <f>SUM(BG206:BG207)</f>
        <v>36.595000000000176</v>
      </c>
      <c r="BH211" s="1287">
        <f t="shared" si="297"/>
        <v>1.5724385193511634</v>
      </c>
      <c r="BI211" s="1287">
        <f>IFERROR(((BG211/BD211-1)*100),"-")</f>
        <v>14884.700367647627</v>
      </c>
      <c r="BK211" s="1510">
        <f>SUM(BK206:BK207)</f>
        <v>57.908000000000214</v>
      </c>
      <c r="BL211" s="1287">
        <f t="shared" si="298"/>
        <v>2.2818881335748706</v>
      </c>
      <c r="BM211" s="1287">
        <f>IFERROR(((BK211/BH211-1)*100),"-")</f>
        <v>3582.6877036753613</v>
      </c>
      <c r="BO211" s="1510">
        <f>SUM(BO206:BO207)</f>
        <v>99.270000000000039</v>
      </c>
      <c r="BP211" s="1287">
        <f t="shared" si="299"/>
        <v>3.6634105477586671</v>
      </c>
      <c r="BQ211" s="1287">
        <f>IFERROR(((BO211/BL211-1)*100),"-")</f>
        <v>4250.3447228362083</v>
      </c>
      <c r="BS211" s="1510">
        <f>SUM(BS206:BS207)</f>
        <v>134.02472617218933</v>
      </c>
      <c r="BT211" s="1287">
        <f t="shared" ref="BT211:BT212" si="301">(BS211/BS16)*100</f>
        <v>4.489914795058791</v>
      </c>
      <c r="BU211" s="1287">
        <f>IFERROR(((BS211/BP211-1)*100),"-")</f>
        <v>3558.4686434936375</v>
      </c>
    </row>
    <row r="212" spans="1:78" s="1282" customFormat="1">
      <c r="A212" s="1254" t="s">
        <v>88</v>
      </c>
      <c r="C212" s="1291"/>
      <c r="D212" s="1285"/>
      <c r="E212" s="1308"/>
      <c r="G212" s="1291"/>
      <c r="H212" s="1285"/>
      <c r="I212" s="1287"/>
      <c r="K212" s="1291"/>
      <c r="L212" s="1285"/>
      <c r="M212" s="1287"/>
      <c r="O212" s="1291"/>
      <c r="P212" s="1285"/>
      <c r="Q212" s="1287"/>
      <c r="S212" s="1291"/>
      <c r="T212" s="1285"/>
      <c r="U212" s="1287"/>
      <c r="W212" s="1291"/>
      <c r="X212" s="1285"/>
      <c r="Y212" s="1287"/>
      <c r="AA212" s="1291"/>
      <c r="AB212" s="1285"/>
      <c r="AC212" s="1287"/>
      <c r="AE212" s="1291"/>
      <c r="AF212" s="1285"/>
      <c r="AG212" s="1287"/>
      <c r="AI212" s="1510">
        <f>SUM(AI206:AI208)</f>
        <v>-26.697000000000212</v>
      </c>
      <c r="AJ212" s="1287">
        <f t="shared" si="289"/>
        <v>-1.1108036756338517</v>
      </c>
      <c r="AK212" s="1287" t="str">
        <f t="shared" si="290"/>
        <v>-</v>
      </c>
      <c r="AM212" s="1510">
        <f>SUM(AM206:AM208)</f>
        <v>-38.061000000000064</v>
      </c>
      <c r="AN212" s="1287">
        <f t="shared" si="291"/>
        <v>-1.5337195873330851</v>
      </c>
      <c r="AO212" s="1287">
        <f t="shared" si="292"/>
        <v>3326.4380677604008</v>
      </c>
      <c r="AQ212" s="1510">
        <f>SUM(AQ206:AQ208)</f>
        <v>-64.097000000000023</v>
      </c>
      <c r="AR212" s="1287">
        <f t="shared" si="293"/>
        <v>-2.4454302079323407</v>
      </c>
      <c r="AS212" s="1287">
        <f>IFERROR(((AQ212/AN212-1)*100),"-")</f>
        <v>4079.1863734005879</v>
      </c>
      <c r="AU212" s="1510">
        <f>SUM(AU206:AU208)</f>
        <v>-43.201463639999979</v>
      </c>
      <c r="AV212" s="1287">
        <f t="shared" si="294"/>
        <v>-1.5349621422823949</v>
      </c>
      <c r="AW212" s="1287">
        <f>IFERROR(((AU212/AR212-1)*100),"-")</f>
        <v>1666.6201840422862</v>
      </c>
      <c r="AY212" s="1510">
        <f>SUM(AY206:AY208)</f>
        <v>-47.434000000000133</v>
      </c>
      <c r="AZ212" s="1287">
        <f t="shared" si="295"/>
        <v>-1.5334799332476883</v>
      </c>
      <c r="BA212" s="1287">
        <f>IFERROR(((AY212/AV212-1)*100),"-")</f>
        <v>2990.2390810413522</v>
      </c>
      <c r="BC212" s="1510">
        <f>SUM(BC206:BC208)</f>
        <v>-28.910000000000316</v>
      </c>
      <c r="BD212" s="1287">
        <f t="shared" si="296"/>
        <v>-0.86839191599518195</v>
      </c>
      <c r="BE212" s="1287">
        <f>IFERROR(((BC212/AZ212-1)*100),"-")</f>
        <v>1785.25453598686</v>
      </c>
      <c r="BG212" s="1510">
        <f>SUM(BG206:BG208)</f>
        <v>51.711000000000212</v>
      </c>
      <c r="BH212" s="1287">
        <f t="shared" si="297"/>
        <v>1.4533061020532285</v>
      </c>
      <c r="BI212" s="1287">
        <f>IFERROR(((BG212/BD212-1)*100),"-")</f>
        <v>-6054.7997911448911</v>
      </c>
      <c r="BK212" s="1510">
        <f>SUM(BK206:BK208)</f>
        <v>90.312000000000182</v>
      </c>
      <c r="BL212" s="1287">
        <f t="shared" si="298"/>
        <v>2.327435113004773</v>
      </c>
      <c r="BM212" s="1287">
        <f>IFERROR(((BK212/BH212-1)*100),"-")</f>
        <v>6114.2448774148497</v>
      </c>
      <c r="BO212" s="1510">
        <f>SUM(BO206:BO208)</f>
        <v>144.149</v>
      </c>
      <c r="BP212" s="1287">
        <f t="shared" si="299"/>
        <v>3.4751974294691554</v>
      </c>
      <c r="BQ212" s="1287">
        <f>IFERROR(((BO212/BL212-1)*100),"-")</f>
        <v>6093.4701936287402</v>
      </c>
      <c r="BS212" s="1510">
        <f>SUM(BS206:BS208)</f>
        <v>197.79206525861019</v>
      </c>
      <c r="BT212" s="1287">
        <f t="shared" si="301"/>
        <v>4.3306413876063932</v>
      </c>
      <c r="BU212" s="1287">
        <f>IFERROR(((BS212/BP212-1)*100),"-")</f>
        <v>5591.534632863244</v>
      </c>
    </row>
    <row r="213" spans="1:78">
      <c r="A213" s="1254"/>
      <c r="C213" s="1252"/>
      <c r="D213" s="1264"/>
      <c r="E213" s="1256"/>
      <c r="G213" s="1252"/>
      <c r="H213" s="1264"/>
      <c r="I213" s="1265"/>
      <c r="K213" s="1252"/>
      <c r="L213" s="1264"/>
      <c r="M213" s="1265"/>
      <c r="O213" s="1252"/>
      <c r="P213" s="1264"/>
      <c r="Q213" s="1265"/>
      <c r="S213" s="1252"/>
      <c r="T213" s="1264"/>
      <c r="U213" s="1265"/>
      <c r="W213" s="1252"/>
      <c r="X213" s="1264"/>
      <c r="Y213" s="1265"/>
      <c r="AA213" s="1252"/>
      <c r="AB213" s="1264"/>
      <c r="AC213" s="1265"/>
      <c r="AD213" s="1252"/>
      <c r="AE213" s="1252"/>
      <c r="AF213" s="1264"/>
      <c r="AG213" s="1265"/>
      <c r="AI213" s="1253"/>
      <c r="AJ213" s="1266"/>
      <c r="AK213" s="1258"/>
      <c r="AM213" s="1253"/>
      <c r="AN213" s="1266"/>
      <c r="AO213" s="1258"/>
      <c r="AQ213" s="1253"/>
      <c r="AR213" s="1264"/>
      <c r="AS213" s="1265"/>
      <c r="AT213" s="1244"/>
      <c r="AU213" s="1253"/>
      <c r="AV213" s="1264"/>
      <c r="AW213" s="1265"/>
      <c r="AX213" s="1244"/>
      <c r="AY213" s="1377"/>
      <c r="AZ213" s="1264"/>
      <c r="BA213" s="1265"/>
      <c r="BB213" s="1244"/>
      <c r="BC213" s="1377"/>
      <c r="BD213" s="1264"/>
      <c r="BE213" s="1265"/>
      <c r="BF213" s="1244"/>
      <c r="BG213" s="1377"/>
      <c r="BH213" s="1265"/>
      <c r="BJ213" s="1282"/>
      <c r="BK213" s="1377"/>
      <c r="BL213" s="1265"/>
      <c r="BN213" s="1282"/>
      <c r="BO213" s="1377"/>
      <c r="BP213" s="1265"/>
      <c r="BR213" s="1282"/>
      <c r="BS213" s="1377"/>
      <c r="BT213" s="1265"/>
    </row>
    <row r="214" spans="1:78" s="1282" customFormat="1">
      <c r="A214" s="1251" t="s">
        <v>907</v>
      </c>
      <c r="B214" s="1281"/>
      <c r="C214" s="1281"/>
      <c r="D214" s="1281"/>
      <c r="E214" s="1281"/>
      <c r="F214" s="1281"/>
      <c r="G214" s="1281"/>
      <c r="H214" s="1281"/>
      <c r="I214" s="1281"/>
      <c r="J214" s="1281"/>
      <c r="K214" s="1281"/>
      <c r="L214" s="1281"/>
      <c r="M214" s="1281"/>
      <c r="N214" s="1281"/>
      <c r="O214" s="1281"/>
      <c r="P214" s="1281"/>
      <c r="Q214" s="1281"/>
      <c r="R214" s="1281"/>
      <c r="S214" s="1281"/>
      <c r="T214" s="1281"/>
      <c r="U214" s="1281"/>
      <c r="V214" s="1281"/>
      <c r="W214" s="1281"/>
      <c r="X214" s="1281"/>
      <c r="Y214" s="1281"/>
      <c r="Z214" s="1281"/>
      <c r="AA214" s="1281"/>
      <c r="AB214" s="1281"/>
      <c r="AC214" s="1281"/>
      <c r="AD214" s="1281"/>
      <c r="AE214" s="1281"/>
      <c r="AF214" s="1281"/>
      <c r="AG214" s="1281"/>
      <c r="AH214" s="1281"/>
      <c r="AI214" s="1281"/>
      <c r="AJ214" s="1281"/>
      <c r="AK214" s="1281"/>
      <c r="AL214" s="1281"/>
      <c r="AM214" s="1281"/>
      <c r="AN214" s="1281"/>
      <c r="AO214" s="1281"/>
      <c r="AP214" s="1281"/>
      <c r="AQ214" s="1281"/>
      <c r="AR214" s="1281"/>
      <c r="AS214" s="1281"/>
      <c r="AT214" s="1281"/>
      <c r="AU214" s="1281"/>
      <c r="AV214" s="1281"/>
      <c r="AW214" s="1281"/>
      <c r="AX214" s="1281"/>
      <c r="AY214" s="1281"/>
      <c r="AZ214" s="1281"/>
      <c r="BA214" s="1281"/>
      <c r="BC214" s="1318"/>
      <c r="BD214" s="1281"/>
      <c r="BE214" s="1319"/>
      <c r="BG214" s="2264" t="str">
        <f>A214</f>
        <v>Net favorable lease amortization (% Sales)</v>
      </c>
      <c r="BH214" s="2264"/>
      <c r="BI214" s="2264"/>
      <c r="BJ214" s="2264"/>
      <c r="BK214" s="2266"/>
      <c r="BL214" s="2264"/>
      <c r="BM214" s="2264"/>
      <c r="BN214" s="1663"/>
      <c r="BO214" s="1663"/>
      <c r="BP214" s="1663"/>
      <c r="BQ214" s="1663"/>
      <c r="BR214" s="2149"/>
      <c r="BS214" s="2149"/>
      <c r="BT214" s="2149"/>
      <c r="BU214" s="2149"/>
    </row>
    <row r="215" spans="1:78" s="1282" customFormat="1">
      <c r="A215" s="1251"/>
      <c r="B215" s="1281"/>
      <c r="C215" s="1281"/>
      <c r="D215" s="1281"/>
      <c r="E215" s="1281"/>
      <c r="F215" s="1281"/>
      <c r="G215" s="1281"/>
      <c r="H215" s="1281"/>
      <c r="I215" s="1281"/>
      <c r="J215" s="1281"/>
      <c r="K215" s="1281"/>
      <c r="L215" s="1281"/>
      <c r="M215" s="1281"/>
      <c r="N215" s="1281"/>
      <c r="O215" s="1281"/>
      <c r="P215" s="1281"/>
      <c r="Q215" s="1281"/>
      <c r="R215" s="1281"/>
      <c r="S215" s="1281"/>
      <c r="T215" s="1281"/>
      <c r="U215" s="1281"/>
      <c r="V215" s="1281"/>
      <c r="W215" s="1281"/>
      <c r="X215" s="1281"/>
      <c r="Y215" s="1281"/>
      <c r="Z215" s="1281"/>
      <c r="AA215" s="1281"/>
      <c r="AB215" s="1281"/>
      <c r="AC215" s="1281"/>
      <c r="AD215" s="1281"/>
      <c r="AE215" s="1281"/>
      <c r="AF215" s="1281"/>
      <c r="AG215" s="1281"/>
      <c r="AH215" s="1281"/>
      <c r="AI215" s="1281"/>
      <c r="AJ215" s="1281"/>
      <c r="AK215" s="1281"/>
      <c r="AL215" s="1281"/>
      <c r="AM215" s="1281"/>
      <c r="AN215" s="1281"/>
      <c r="AO215" s="1281"/>
      <c r="AP215" s="1281"/>
      <c r="AQ215" s="1281"/>
      <c r="AR215" s="1281"/>
      <c r="AS215" s="1281"/>
      <c r="AT215" s="1281"/>
      <c r="AU215" s="1281"/>
      <c r="AV215" s="1281"/>
      <c r="AW215" s="1281"/>
      <c r="AX215" s="1281"/>
      <c r="AY215" s="1281"/>
      <c r="AZ215" s="1281"/>
      <c r="BA215" s="1281"/>
      <c r="BC215" s="1318"/>
      <c r="BD215" s="1281"/>
      <c r="BE215" s="1319"/>
      <c r="BG215" s="1318"/>
      <c r="BH215" s="1281"/>
      <c r="BI215" s="1281"/>
      <c r="BJ215" s="1244"/>
      <c r="BK215" s="1318"/>
      <c r="BL215" s="1281"/>
      <c r="BM215" s="1281"/>
      <c r="BN215" s="1244"/>
      <c r="BO215" s="1318"/>
      <c r="BP215" s="1281"/>
      <c r="BQ215" s="1281"/>
      <c r="BR215" s="1244"/>
      <c r="BS215" s="1318"/>
      <c r="BT215" s="1281"/>
      <c r="BU215" s="1281"/>
    </row>
    <row r="216" spans="1:78">
      <c r="A216" s="1254" t="s">
        <v>79</v>
      </c>
      <c r="C216" s="1255"/>
      <c r="D216" s="1264"/>
      <c r="E216" s="1256"/>
      <c r="G216" s="1255"/>
      <c r="H216" s="1264"/>
      <c r="I216" s="1265"/>
      <c r="K216" s="1255"/>
      <c r="L216" s="1264"/>
      <c r="M216" s="1265"/>
      <c r="O216" s="1255"/>
      <c r="P216" s="1264"/>
      <c r="Q216" s="1265"/>
      <c r="S216" s="1255"/>
      <c r="T216" s="1264"/>
      <c r="U216" s="1265"/>
      <c r="W216" s="1255"/>
      <c r="X216" s="1264"/>
      <c r="Y216" s="1265"/>
      <c r="AA216" s="1255"/>
      <c r="AB216" s="1264"/>
      <c r="AC216" s="1265"/>
      <c r="AE216" s="1255"/>
      <c r="AF216" s="1264"/>
      <c r="AG216" s="1265"/>
      <c r="AI216" s="1257">
        <v>0</v>
      </c>
      <c r="AJ216" s="1287">
        <f>(AI216/AI11)*100</f>
        <v>0</v>
      </c>
      <c r="AK216" s="1287" t="str">
        <f t="shared" ref="AK216:AK222" si="302">IFERROR(((AI216/AE216-1)*100),"-")</f>
        <v>-</v>
      </c>
      <c r="AM216" s="1257">
        <v>0</v>
      </c>
      <c r="AN216" s="1287">
        <f>(AM216/AM11)*100</f>
        <v>0</v>
      </c>
      <c r="AO216" s="1287" t="str">
        <f t="shared" ref="AO216:AO222" si="303">IFERROR(((AM216/AI216-1)*100),"-")</f>
        <v>-</v>
      </c>
      <c r="AQ216" s="1257">
        <v>0</v>
      </c>
      <c r="AR216" s="1287">
        <f>(AQ216/AQ11)*100</f>
        <v>0</v>
      </c>
      <c r="AS216" s="1287" t="str">
        <f t="shared" ref="AS216:AS222" si="304">IFERROR(((AQ216/AM216-1)*100),"-")</f>
        <v>-</v>
      </c>
      <c r="AT216" s="1244"/>
      <c r="AU216" s="1296">
        <v>7.1689999999999996</v>
      </c>
      <c r="AV216" s="1287">
        <f>(AU216/AU11)*100</f>
        <v>0.7297272992046393</v>
      </c>
      <c r="AW216" s="1287" t="str">
        <f t="shared" ref="AW216:AW222" si="305">IFERROR(((AU216/AQ216-1)*100),"-")</f>
        <v>-</v>
      </c>
      <c r="AX216" s="1244"/>
      <c r="AY216" s="1267">
        <v>8.83</v>
      </c>
      <c r="AZ216" s="1287">
        <f>(AY216/AY11)*100</f>
        <v>0.82909786077728642</v>
      </c>
      <c r="BA216" s="1287">
        <f>(AY216/AU216-1)*100</f>
        <v>23.169200725345252</v>
      </c>
      <c r="BB216" s="1252"/>
      <c r="BC216" s="1267">
        <v>6.5709999999999997</v>
      </c>
      <c r="BD216" s="1287">
        <f>(BC216/BC11)*100</f>
        <v>0.58239657386669308</v>
      </c>
      <c r="BE216" s="1287">
        <f>(BC216/AY216-1)*100</f>
        <v>-25.583238958097397</v>
      </c>
      <c r="BF216" s="1252"/>
      <c r="BG216" s="1257">
        <v>6.0570000000000004</v>
      </c>
      <c r="BH216" s="1287">
        <f>(BG216/BG11)*100</f>
        <v>0.51197784725867446</v>
      </c>
      <c r="BI216" s="1287">
        <f>(BG216/BC216-1)*100</f>
        <v>-7.8222492771267582</v>
      </c>
      <c r="BK216" s="1257">
        <v>6.2220000000000004</v>
      </c>
      <c r="BL216" s="1287">
        <f>(BK216/BK11)*100</f>
        <v>0.48508189947531322</v>
      </c>
      <c r="BM216" s="1287">
        <f>(BK216/BG216-1)*100</f>
        <v>2.7241208519068749</v>
      </c>
      <c r="BO216" s="1257">
        <v>6.0090000000000003</v>
      </c>
      <c r="BP216" s="1287">
        <f>(BO216/BO11)*100</f>
        <v>0.44625285731048181</v>
      </c>
      <c r="BQ216" s="1287">
        <f>(BO216/BK216-1)*100</f>
        <v>-3.4233365477338462</v>
      </c>
      <c r="BS216" s="2181">
        <v>5.5</v>
      </c>
      <c r="BT216" s="1287">
        <f>(BS216/BS11)*100</f>
        <v>0.37011952294519734</v>
      </c>
      <c r="BU216" s="1287">
        <f>(BS216/BO216-1)*100</f>
        <v>-8.4706273922449675</v>
      </c>
    </row>
    <row r="217" spans="1:78">
      <c r="A217" s="1254" t="s">
        <v>80</v>
      </c>
      <c r="C217" s="1259"/>
      <c r="D217" s="1264"/>
      <c r="E217" s="1256"/>
      <c r="G217" s="1259"/>
      <c r="H217" s="1264"/>
      <c r="I217" s="1265"/>
      <c r="K217" s="1259"/>
      <c r="L217" s="1264"/>
      <c r="M217" s="1265"/>
      <c r="O217" s="1259"/>
      <c r="P217" s="1264"/>
      <c r="Q217" s="1265"/>
      <c r="S217" s="1259"/>
      <c r="T217" s="1264"/>
      <c r="U217" s="1265"/>
      <c r="W217" s="1259"/>
      <c r="X217" s="1264"/>
      <c r="Y217" s="1265"/>
      <c r="AA217" s="1259"/>
      <c r="AB217" s="1264"/>
      <c r="AC217" s="1265"/>
      <c r="AE217" s="1259"/>
      <c r="AF217" s="1264"/>
      <c r="AG217" s="1265"/>
      <c r="AI217" s="1260">
        <v>0</v>
      </c>
      <c r="AJ217" s="1287">
        <f t="shared" ref="AJ217:AJ222" si="306">(AI217/AI12)*100</f>
        <v>0</v>
      </c>
      <c r="AK217" s="1287" t="str">
        <f t="shared" si="302"/>
        <v>-</v>
      </c>
      <c r="AL217" s="1269"/>
      <c r="AM217" s="1260">
        <v>0</v>
      </c>
      <c r="AN217" s="1287">
        <f t="shared" ref="AN217:AN222" si="307">(AM217/AM12)*100</f>
        <v>0</v>
      </c>
      <c r="AO217" s="1287" t="str">
        <f t="shared" si="303"/>
        <v>-</v>
      </c>
      <c r="AP217" s="1269"/>
      <c r="AQ217" s="1260">
        <v>0</v>
      </c>
      <c r="AR217" s="1287">
        <f t="shared" ref="AR217:AR222" si="308">(AQ217/AQ12)*100</f>
        <v>0</v>
      </c>
      <c r="AS217" s="1287" t="str">
        <f t="shared" si="304"/>
        <v>-</v>
      </c>
      <c r="AT217" s="1244"/>
      <c r="AU217" s="1297">
        <v>7.0259999999999998</v>
      </c>
      <c r="AV217" s="1287">
        <f t="shared" ref="AV217:AV222" si="309">(AU217/AU12)*100</f>
        <v>0.81302391458858825</v>
      </c>
      <c r="AW217" s="1287" t="str">
        <f t="shared" si="305"/>
        <v>-</v>
      </c>
      <c r="AX217" s="1244"/>
      <c r="AY217" s="1279">
        <v>6.835</v>
      </c>
      <c r="AZ217" s="1287">
        <f t="shared" ref="AZ217:AZ222" si="310">(AY217/AY12)*100</f>
        <v>0.70923752037695942</v>
      </c>
      <c r="BA217" s="1287">
        <f>(AY217/AU217-1)*100</f>
        <v>-2.7184742385425564</v>
      </c>
      <c r="BB217" s="1252"/>
      <c r="BC217" s="1279">
        <v>6.5350000000000001</v>
      </c>
      <c r="BD217" s="1287">
        <f t="shared" ref="BD217:BD222" si="311">(BC217/BC12)*100</f>
        <v>0.62620917782136709</v>
      </c>
      <c r="BE217" s="1287">
        <f>(BC217/AY217-1)*100</f>
        <v>-4.3891733723482096</v>
      </c>
      <c r="BF217" s="1252"/>
      <c r="BG217" s="1279">
        <v>5.992</v>
      </c>
      <c r="BH217" s="1287">
        <f t="shared" ref="BH217:BH222" si="312">(BG217/BG12)*100</f>
        <v>0.52367643228825278</v>
      </c>
      <c r="BI217" s="1287">
        <f>(BG217/BC217-1)*100</f>
        <v>-8.3091048201989324</v>
      </c>
      <c r="BK217" s="1279">
        <v>5.8520000000000003</v>
      </c>
      <c r="BL217" s="1287">
        <f t="shared" ref="BL217:BL222" si="313">(BK217/BK12)*100</f>
        <v>0.46627512941684535</v>
      </c>
      <c r="BM217" s="1287">
        <f>(BK217/BG217-1)*100</f>
        <v>-2.3364485981308358</v>
      </c>
      <c r="BO217" s="1279">
        <v>5.9119999999999999</v>
      </c>
      <c r="BP217" s="1287">
        <f t="shared" ref="BP217:BP222" si="314">(BO217/BO12)*100</f>
        <v>0.43367781083666374</v>
      </c>
      <c r="BQ217" s="1287">
        <f>(BO217/BK217-1)*100</f>
        <v>1.0252904989747069</v>
      </c>
      <c r="BS217" s="2054">
        <v>5</v>
      </c>
      <c r="BT217" s="1287">
        <f t="shared" ref="BT217:BT219" si="315">(BS217/BS12)*100</f>
        <v>0.33355332623199058</v>
      </c>
      <c r="BU217" s="1287">
        <f>(BS217/BO217-1)*100</f>
        <v>-15.426251691474969</v>
      </c>
    </row>
    <row r="218" spans="1:78">
      <c r="A218" s="1254" t="s">
        <v>81</v>
      </c>
      <c r="C218" s="1259"/>
      <c r="D218" s="1264"/>
      <c r="E218" s="1256"/>
      <c r="G218" s="1259"/>
      <c r="H218" s="1264"/>
      <c r="I218" s="1265"/>
      <c r="K218" s="1259"/>
      <c r="L218" s="1264"/>
      <c r="M218" s="1265"/>
      <c r="O218" s="1259"/>
      <c r="P218" s="1264"/>
      <c r="Q218" s="1265"/>
      <c r="S218" s="1259"/>
      <c r="T218" s="1264"/>
      <c r="U218" s="1265"/>
      <c r="W218" s="1259"/>
      <c r="X218" s="1264"/>
      <c r="Y218" s="1265"/>
      <c r="AA218" s="1259"/>
      <c r="AB218" s="1264"/>
      <c r="AC218" s="1265"/>
      <c r="AE218" s="1259"/>
      <c r="AF218" s="1264"/>
      <c r="AG218" s="1265"/>
      <c r="AI218" s="1260">
        <v>0</v>
      </c>
      <c r="AJ218" s="1287">
        <f t="shared" si="306"/>
        <v>0</v>
      </c>
      <c r="AK218" s="1287" t="str">
        <f t="shared" si="302"/>
        <v>-</v>
      </c>
      <c r="AL218" s="1269"/>
      <c r="AM218" s="1260">
        <v>0</v>
      </c>
      <c r="AN218" s="1287">
        <f t="shared" si="307"/>
        <v>0</v>
      </c>
      <c r="AO218" s="1287" t="str">
        <f t="shared" si="303"/>
        <v>-</v>
      </c>
      <c r="AP218" s="1269"/>
      <c r="AQ218" s="1260">
        <v>0</v>
      </c>
      <c r="AR218" s="1287">
        <f t="shared" si="308"/>
        <v>0</v>
      </c>
      <c r="AS218" s="1287" t="str">
        <f t="shared" si="304"/>
        <v>-</v>
      </c>
      <c r="AT218" s="1244"/>
      <c r="AU218" s="1297">
        <v>7.0620000000000003</v>
      </c>
      <c r="AV218" s="1287">
        <f t="shared" si="309"/>
        <v>0.7296253515364286</v>
      </c>
      <c r="AW218" s="1287" t="str">
        <f t="shared" si="305"/>
        <v>-</v>
      </c>
      <c r="AX218" s="1244"/>
      <c r="AY218" s="1279">
        <v>6.835</v>
      </c>
      <c r="AZ218" s="1287">
        <f t="shared" si="310"/>
        <v>0.64208427978528926</v>
      </c>
      <c r="BA218" s="1287">
        <f>(AY218/AU218-1)*100</f>
        <v>-3.2143868592466762</v>
      </c>
      <c r="BB218" s="1252"/>
      <c r="BC218" s="1279">
        <v>6.4930000000000003</v>
      </c>
      <c r="BD218" s="1287">
        <f t="shared" si="311"/>
        <v>0.56105114353162389</v>
      </c>
      <c r="BE218" s="1287">
        <f>(BC218/AY218-1)*100</f>
        <v>-5.0036576444769558</v>
      </c>
      <c r="BF218" s="1252"/>
      <c r="BG218" s="1279">
        <v>5.992</v>
      </c>
      <c r="BH218" s="1287">
        <f t="shared" si="312"/>
        <v>0.48680381448810045</v>
      </c>
      <c r="BI218" s="1287">
        <f>(BG218/BC218-1)*100</f>
        <v>-7.7160018481441606</v>
      </c>
      <c r="BK218" s="1279">
        <v>5.8520000000000003</v>
      </c>
      <c r="BL218" s="1287">
        <f t="shared" si="313"/>
        <v>0.43587069864442129</v>
      </c>
      <c r="BM218" s="1287">
        <f>(BK218/BG218-1)*100</f>
        <v>-2.3364485981308358</v>
      </c>
      <c r="BO218" s="2222">
        <v>5.83</v>
      </c>
      <c r="BP218" s="1287">
        <f t="shared" si="314"/>
        <v>0.40537712240650775</v>
      </c>
      <c r="BQ218" s="1287">
        <f>(BO218/BK218-1)*100</f>
        <v>-0.37593984962406291</v>
      </c>
      <c r="BS218" s="2054">
        <v>5</v>
      </c>
      <c r="BT218" s="1287">
        <f t="shared" si="315"/>
        <v>0.31600520736393883</v>
      </c>
      <c r="BU218" s="1287">
        <f>(BS218/BO218-1)*100</f>
        <v>-14.236706689536883</v>
      </c>
    </row>
    <row r="219" spans="1:78">
      <c r="A219" s="1254" t="s">
        <v>82</v>
      </c>
      <c r="C219" s="1261"/>
      <c r="D219" s="1264"/>
      <c r="E219" s="1256"/>
      <c r="G219" s="1261"/>
      <c r="H219" s="1264"/>
      <c r="I219" s="1265"/>
      <c r="K219" s="1261"/>
      <c r="L219" s="1264"/>
      <c r="M219" s="1265"/>
      <c r="O219" s="1261"/>
      <c r="P219" s="1264"/>
      <c r="Q219" s="1265"/>
      <c r="S219" s="1262"/>
      <c r="T219" s="1264"/>
      <c r="U219" s="1265"/>
      <c r="W219" s="1261"/>
      <c r="X219" s="1264"/>
      <c r="Y219" s="1265"/>
      <c r="AA219" s="1261"/>
      <c r="AB219" s="1264"/>
      <c r="AC219" s="1265"/>
      <c r="AE219" s="1262"/>
      <c r="AF219" s="1264"/>
      <c r="AG219" s="1265"/>
      <c r="AI219" s="1263">
        <v>0</v>
      </c>
      <c r="AJ219" s="1287">
        <f t="shared" si="306"/>
        <v>0</v>
      </c>
      <c r="AK219" s="1287" t="str">
        <f t="shared" si="302"/>
        <v>-</v>
      </c>
      <c r="AL219" s="1269"/>
      <c r="AM219" s="1263">
        <v>0</v>
      </c>
      <c r="AN219" s="1287">
        <f t="shared" si="307"/>
        <v>0</v>
      </c>
      <c r="AO219" s="1287" t="str">
        <f t="shared" si="303"/>
        <v>-</v>
      </c>
      <c r="AP219" s="1269"/>
      <c r="AQ219" s="1263">
        <v>0</v>
      </c>
      <c r="AR219" s="1287">
        <f t="shared" si="308"/>
        <v>0</v>
      </c>
      <c r="AS219" s="1287" t="str">
        <f t="shared" si="304"/>
        <v>-</v>
      </c>
      <c r="AT219" s="1244"/>
      <c r="AU219" s="1298">
        <v>10.036</v>
      </c>
      <c r="AV219" s="1287">
        <f t="shared" si="309"/>
        <v>0.79490729703662755</v>
      </c>
      <c r="AW219" s="1287" t="str">
        <f t="shared" si="305"/>
        <v>-</v>
      </c>
      <c r="AX219" s="1244"/>
      <c r="AY219" s="1280">
        <v>6.8259999999999996</v>
      </c>
      <c r="AZ219" s="1287">
        <f t="shared" si="310"/>
        <v>0.51158792364703876</v>
      </c>
      <c r="BA219" s="1287">
        <f>(AY219/AU219-1)*100</f>
        <v>-31.984854523714624</v>
      </c>
      <c r="BB219" s="1252"/>
      <c r="BC219" s="1280">
        <v>6.3609999999999998</v>
      </c>
      <c r="BD219" s="1287">
        <f t="shared" si="311"/>
        <v>0.4282457744307448</v>
      </c>
      <c r="BE219" s="1287">
        <f>(BC219/AY219-1)*100</f>
        <v>-6.8121886903017899</v>
      </c>
      <c r="BF219" s="1252"/>
      <c r="BG219" s="1280">
        <v>6.09</v>
      </c>
      <c r="BH219" s="1287">
        <f t="shared" si="312"/>
        <v>0.39525717352828355</v>
      </c>
      <c r="BI219" s="1287">
        <f>(BG219/BC219-1)*100</f>
        <v>-4.2603364250903937</v>
      </c>
      <c r="BK219" s="1280">
        <v>5.9020000000000001</v>
      </c>
      <c r="BL219" s="1287">
        <f t="shared" si="313"/>
        <v>0.35011849571250186</v>
      </c>
      <c r="BM219" s="1287">
        <f>(BK219/BG219-1)*100</f>
        <v>-3.0870279146141155</v>
      </c>
      <c r="BO219" s="1280">
        <v>5.5739999999999998</v>
      </c>
      <c r="BP219" s="1287">
        <f t="shared" si="314"/>
        <v>0.28778999075292655</v>
      </c>
      <c r="BQ219" s="1287">
        <f>(BO219/BK219-1)*100</f>
        <v>-5.5574381565571045</v>
      </c>
      <c r="BS219" s="2233">
        <f>BS220-SUM(BS216:BS218)</f>
        <v>5.3900000000000006</v>
      </c>
      <c r="BT219" s="1287">
        <f t="shared" si="315"/>
        <v>0.26681680390469836</v>
      </c>
      <c r="BU219" s="1287">
        <f>(BS219/BO219-1)*100</f>
        <v>-3.3010405453892999</v>
      </c>
    </row>
    <row r="220" spans="1:78" s="1282" customFormat="1">
      <c r="A220" s="1254" t="s">
        <v>85</v>
      </c>
      <c r="B220" s="1244"/>
      <c r="C220" s="1252"/>
      <c r="D220" s="1264"/>
      <c r="E220" s="1256"/>
      <c r="F220" s="1244"/>
      <c r="G220" s="1252"/>
      <c r="H220" s="1264"/>
      <c r="I220" s="1265"/>
      <c r="J220" s="1244"/>
      <c r="K220" s="1252"/>
      <c r="L220" s="1264"/>
      <c r="M220" s="1265"/>
      <c r="N220" s="1244"/>
      <c r="O220" s="1252"/>
      <c r="P220" s="1264"/>
      <c r="Q220" s="1265"/>
      <c r="R220" s="1244"/>
      <c r="S220" s="1252"/>
      <c r="T220" s="1264"/>
      <c r="U220" s="1265"/>
      <c r="V220" s="1244"/>
      <c r="W220" s="1252"/>
      <c r="X220" s="1264"/>
      <c r="Y220" s="1265"/>
      <c r="Z220" s="1244"/>
      <c r="AA220" s="1252"/>
      <c r="AB220" s="1264"/>
      <c r="AC220" s="1265"/>
      <c r="AD220" s="1252"/>
      <c r="AE220" s="1252"/>
      <c r="AF220" s="1264"/>
      <c r="AG220" s="1265"/>
      <c r="AH220" s="1244"/>
      <c r="AI220" s="1253">
        <f>SUM(AI216:AI219)</f>
        <v>0</v>
      </c>
      <c r="AJ220" s="1287">
        <f t="shared" si="306"/>
        <v>0</v>
      </c>
      <c r="AK220" s="1287" t="str">
        <f t="shared" si="302"/>
        <v>-</v>
      </c>
      <c r="AL220" s="1244"/>
      <c r="AM220" s="1253">
        <f>SUM(AM216:AM219)</f>
        <v>0</v>
      </c>
      <c r="AN220" s="1287">
        <f t="shared" si="307"/>
        <v>0</v>
      </c>
      <c r="AO220" s="1287" t="str">
        <f t="shared" si="303"/>
        <v>-</v>
      </c>
      <c r="AP220" s="1244"/>
      <c r="AQ220" s="1253">
        <f>SUM(AQ216:AQ219)</f>
        <v>0</v>
      </c>
      <c r="AR220" s="1287">
        <f t="shared" si="308"/>
        <v>0</v>
      </c>
      <c r="AS220" s="1287" t="str">
        <f t="shared" si="304"/>
        <v>-</v>
      </c>
      <c r="AT220" s="1244"/>
      <c r="AU220" s="1299">
        <f>SUM(AU216:AU219)</f>
        <v>31.292999999999999</v>
      </c>
      <c r="AV220" s="1287">
        <f t="shared" si="309"/>
        <v>0.76754323576805461</v>
      </c>
      <c r="AW220" s="1287" t="str">
        <f t="shared" si="305"/>
        <v>-</v>
      </c>
      <c r="AX220" s="1244"/>
      <c r="AY220" s="1253">
        <f>SUM(AY216:AY219)</f>
        <v>29.326000000000001</v>
      </c>
      <c r="AZ220" s="1287">
        <f t="shared" si="310"/>
        <v>0.66235979964327529</v>
      </c>
      <c r="BA220" s="1287">
        <f>(AY220/AU220-1)*100</f>
        <v>-6.2857508068897117</v>
      </c>
      <c r="BB220" s="1244"/>
      <c r="BC220" s="1253">
        <f>SUM(BC216:BC219)</f>
        <v>25.96</v>
      </c>
      <c r="BD220" s="1287">
        <f t="shared" si="311"/>
        <v>0.53920403846377529</v>
      </c>
      <c r="BE220" s="1287">
        <f>(BC220/AY220-1)*100</f>
        <v>-11.47786946736684</v>
      </c>
      <c r="BF220" s="1244"/>
      <c r="BG220" s="1253">
        <f>SUM(BG216:BG219)</f>
        <v>24.131</v>
      </c>
      <c r="BH220" s="1287">
        <f t="shared" si="312"/>
        <v>0.47325596811253806</v>
      </c>
      <c r="BI220" s="1287">
        <f>(BG220/BC220-1)*100</f>
        <v>-7.0454545454545432</v>
      </c>
      <c r="BJ220" s="1244"/>
      <c r="BK220" s="1504">
        <f>SUM(BK216:BK219)</f>
        <v>23.828000000000003</v>
      </c>
      <c r="BL220" s="1287">
        <f t="shared" si="313"/>
        <v>0.42809625087000847</v>
      </c>
      <c r="BM220" s="1287">
        <f>(BK220/BG220-1)*100</f>
        <v>-1.2556462641415522</v>
      </c>
      <c r="BN220" s="1244"/>
      <c r="BO220" s="1504">
        <f>SUM(BO216:BO219)</f>
        <v>23.324999999999996</v>
      </c>
      <c r="BP220" s="1287">
        <f>(BO220/BO15)*100</f>
        <v>0.38333437966225814</v>
      </c>
      <c r="BQ220" s="1287">
        <f>(BO220/BK220-1)*100</f>
        <v>-2.1109618935706176</v>
      </c>
      <c r="BR220" s="1244"/>
      <c r="BS220" s="1253">
        <v>20.89</v>
      </c>
      <c r="BT220" s="1287">
        <f>(BS220/BS15)*100</f>
        <v>0.31712142072198996</v>
      </c>
      <c r="BU220" s="1287">
        <f>(BS220/BO220-1)*100</f>
        <v>-10.439442658092158</v>
      </c>
      <c r="BV220" s="1306">
        <f>BG76-BG220</f>
        <v>147.96800000000002</v>
      </c>
      <c r="BZ220" s="1306">
        <f>BK76-BK220</f>
        <v>159.75800000000001</v>
      </c>
    </row>
    <row r="221" spans="1:78">
      <c r="A221" s="1254" t="s">
        <v>87</v>
      </c>
      <c r="AI221" s="1371">
        <f>SUM(AI216:AI217)</f>
        <v>0</v>
      </c>
      <c r="AJ221" s="1287">
        <f t="shared" si="306"/>
        <v>0</v>
      </c>
      <c r="AK221" s="1287" t="str">
        <f t="shared" si="302"/>
        <v>-</v>
      </c>
      <c r="AM221" s="1371">
        <f>SUM(AM216:AM217)</f>
        <v>0</v>
      </c>
      <c r="AN221" s="1287">
        <f t="shared" si="307"/>
        <v>0</v>
      </c>
      <c r="AO221" s="1287" t="str">
        <f t="shared" si="303"/>
        <v>-</v>
      </c>
      <c r="AQ221" s="1371">
        <f>SUM(AQ216:AQ217)</f>
        <v>0</v>
      </c>
      <c r="AR221" s="1287">
        <f t="shared" si="308"/>
        <v>0</v>
      </c>
      <c r="AS221" s="1287" t="str">
        <f t="shared" si="304"/>
        <v>-</v>
      </c>
      <c r="AU221" s="1371">
        <f>SUM(AU216:AU217)</f>
        <v>14.195</v>
      </c>
      <c r="AV221" s="1287">
        <f t="shared" si="309"/>
        <v>0.76870880761492577</v>
      </c>
      <c r="AW221" s="1287" t="str">
        <f t="shared" si="305"/>
        <v>-</v>
      </c>
      <c r="AY221" s="1371">
        <f>SUM(AY216:AY217)</f>
        <v>15.664999999999999</v>
      </c>
      <c r="AZ221" s="1287">
        <f t="shared" si="310"/>
        <v>0.77216023470910777</v>
      </c>
      <c r="BA221" s="1287">
        <f>IFERROR(((AY221/AU221-1)*100),"-")</f>
        <v>10.355759070095093</v>
      </c>
      <c r="BC221" s="1371">
        <f>SUM(BC216:BC217)</f>
        <v>13.106</v>
      </c>
      <c r="BD221" s="1287">
        <f t="shared" si="311"/>
        <v>0.6034486727904782</v>
      </c>
      <c r="BE221" s="1287">
        <f>IFERROR(((BC221/AY221-1)*100),"-")</f>
        <v>-16.335780402170442</v>
      </c>
      <c r="BG221" s="1371">
        <f>SUM(BG216:BG217)</f>
        <v>12.048999999999999</v>
      </c>
      <c r="BH221" s="1287">
        <f t="shared" si="312"/>
        <v>0.51772951823096258</v>
      </c>
      <c r="BI221" s="1287">
        <f>IFERROR(((BG221/BC221-1)*100),"-")</f>
        <v>-8.0650083931024028</v>
      </c>
      <c r="BK221" s="1371">
        <f>SUM(BK216:BK217)</f>
        <v>12.074000000000002</v>
      </c>
      <c r="BL221" s="1287">
        <f t="shared" si="313"/>
        <v>0.4757808476338829</v>
      </c>
      <c r="BM221" s="1287">
        <f>IFERROR(((BK221/BG221-1)*100),"-")</f>
        <v>0.20748609843141974</v>
      </c>
      <c r="BO221" s="1371">
        <f>SUM(BO216:BO217)</f>
        <v>11.920999999999999</v>
      </c>
      <c r="BP221" s="1287">
        <f t="shared" si="314"/>
        <v>0.43992663583994213</v>
      </c>
      <c r="BQ221" s="1287">
        <f>IFERROR(((BO221/BK221-1)*100),"-")</f>
        <v>-1.2671856882557786</v>
      </c>
      <c r="BS221" s="1371">
        <f>SUM(BS216:BS217)</f>
        <v>10.5</v>
      </c>
      <c r="BT221" s="1287">
        <f t="shared" ref="BT221:BT222" si="316">(BS221/BS16)*100</f>
        <v>0.35175677425036145</v>
      </c>
      <c r="BU221" s="1287">
        <f>IFERROR(((BS221/BO221-1)*100),"-")</f>
        <v>-11.920140927774515</v>
      </c>
    </row>
    <row r="222" spans="1:78">
      <c r="A222" s="1254" t="s">
        <v>88</v>
      </c>
      <c r="AI222" s="1371">
        <f>SUM(AI216:AI218)</f>
        <v>0</v>
      </c>
      <c r="AJ222" s="1287">
        <f t="shared" si="306"/>
        <v>0</v>
      </c>
      <c r="AK222" s="1287" t="str">
        <f t="shared" si="302"/>
        <v>-</v>
      </c>
      <c r="AM222" s="1371">
        <f>SUM(AM216:AM218)</f>
        <v>0</v>
      </c>
      <c r="AN222" s="1287">
        <f t="shared" si="307"/>
        <v>0</v>
      </c>
      <c r="AO222" s="1287" t="str">
        <f t="shared" si="303"/>
        <v>-</v>
      </c>
      <c r="AQ222" s="1371">
        <f>SUM(AQ216:AQ218)</f>
        <v>0</v>
      </c>
      <c r="AR222" s="1287">
        <f t="shared" si="308"/>
        <v>0</v>
      </c>
      <c r="AS222" s="1287" t="str">
        <f t="shared" si="304"/>
        <v>-</v>
      </c>
      <c r="AU222" s="1371">
        <f>SUM(AU216:AU218)</f>
        <v>21.257000000000001</v>
      </c>
      <c r="AV222" s="1287">
        <f t="shared" si="309"/>
        <v>0.75526816707863031</v>
      </c>
      <c r="AW222" s="1287" t="str">
        <f t="shared" si="305"/>
        <v>-</v>
      </c>
      <c r="AY222" s="1371">
        <f>SUM(AY216:AY218)</f>
        <v>22.5</v>
      </c>
      <c r="AZ222" s="1287">
        <f t="shared" si="310"/>
        <v>0.72739592903977923</v>
      </c>
      <c r="BA222" s="1287">
        <f>IFERROR(((AY222/AU222-1)*100),"-")</f>
        <v>5.8474855341769771</v>
      </c>
      <c r="BC222" s="1371">
        <f>SUM(BC216:BC218)</f>
        <v>19.599</v>
      </c>
      <c r="BD222" s="1287">
        <f t="shared" si="311"/>
        <v>0.58871024426113394</v>
      </c>
      <c r="BE222" s="1287">
        <f>IFERROR(((BC222/AY222-1)*100),"-")</f>
        <v>-12.893333333333334</v>
      </c>
      <c r="BG222" s="1371">
        <f>SUM(BG216:BG218)</f>
        <v>18.041</v>
      </c>
      <c r="BH222" s="1287">
        <f t="shared" si="312"/>
        <v>0.50703129676746117</v>
      </c>
      <c r="BI222" s="1287">
        <f>IFERROR(((BG222/BC222-1)*100),"-")</f>
        <v>-7.9493851727128977</v>
      </c>
      <c r="BK222" s="1371">
        <f>SUM(BK216:BK218)</f>
        <v>17.926000000000002</v>
      </c>
      <c r="BL222" s="1287">
        <f t="shared" si="313"/>
        <v>0.46197185131237795</v>
      </c>
      <c r="BM222" s="1287">
        <f>IFERROR(((BK222/BG222-1)*100),"-")</f>
        <v>-0.63743694917132165</v>
      </c>
      <c r="BO222" s="1371">
        <f>SUM(BO216:BO218)</f>
        <v>17.750999999999998</v>
      </c>
      <c r="BP222" s="1287">
        <f t="shared" si="314"/>
        <v>0.42794767615805157</v>
      </c>
      <c r="BQ222" s="1287">
        <f>IFERROR(((BO222/BK222-1)*100),"-")</f>
        <v>-0.97623563538995484</v>
      </c>
      <c r="BS222" s="1371">
        <f>SUM(BS216:BS218)</f>
        <v>15.5</v>
      </c>
      <c r="BT222" s="1287">
        <f t="shared" si="316"/>
        <v>0.33937125546535057</v>
      </c>
      <c r="BU222" s="1287">
        <f>IFERROR(((BS222/BO222-1)*100),"-")</f>
        <v>-12.680975719677756</v>
      </c>
    </row>
    <row r="224" spans="1:78" s="1282" customFormat="1">
      <c r="A224" s="1251" t="s">
        <v>909</v>
      </c>
      <c r="B224" s="1281"/>
      <c r="C224" s="1281"/>
      <c r="D224" s="1281"/>
      <c r="E224" s="1281"/>
      <c r="F224" s="1281"/>
      <c r="G224" s="1281"/>
      <c r="H224" s="1281"/>
      <c r="I224" s="1281"/>
      <c r="J224" s="1281"/>
      <c r="K224" s="1281"/>
      <c r="L224" s="1281"/>
      <c r="M224" s="1281"/>
      <c r="N224" s="1281"/>
      <c r="O224" s="1281"/>
      <c r="P224" s="1281"/>
      <c r="Q224" s="1281"/>
      <c r="R224" s="1281"/>
      <c r="S224" s="1281"/>
      <c r="T224" s="1281"/>
      <c r="U224" s="1281"/>
      <c r="V224" s="1281"/>
      <c r="W224" s="1281"/>
      <c r="X224" s="1281"/>
      <c r="Y224" s="1281"/>
      <c r="Z224" s="1281"/>
      <c r="AA224" s="1281"/>
      <c r="AB224" s="1281"/>
      <c r="AC224" s="1281"/>
      <c r="AD224" s="1281"/>
      <c r="AE224" s="1281"/>
      <c r="AF224" s="1281"/>
      <c r="AG224" s="1281"/>
      <c r="AH224" s="1281"/>
      <c r="AI224" s="1281"/>
      <c r="AJ224" s="1281"/>
      <c r="AK224" s="1281"/>
      <c r="AL224" s="1281"/>
      <c r="AM224" s="1281"/>
      <c r="AN224" s="1281"/>
      <c r="AO224" s="1281"/>
      <c r="AP224" s="1281"/>
      <c r="AQ224" s="1281"/>
      <c r="AR224" s="1281"/>
      <c r="AS224" s="1281"/>
      <c r="AT224" s="1281"/>
      <c r="AU224" s="1281"/>
      <c r="AV224" s="1281"/>
      <c r="AW224" s="1281"/>
      <c r="AX224" s="1281"/>
      <c r="AY224" s="1281"/>
      <c r="AZ224" s="1281"/>
      <c r="BA224" s="1281"/>
      <c r="BC224" s="1318"/>
      <c r="BD224" s="1281"/>
      <c r="BE224" s="1319"/>
      <c r="BG224" s="2264" t="str">
        <f>A224</f>
        <v>Non GAAP Adjustments: (4,5,8,10)(% Sales)</v>
      </c>
      <c r="BH224" s="2264"/>
      <c r="BI224" s="2264"/>
      <c r="BJ224" s="2264"/>
      <c r="BK224" s="2266"/>
      <c r="BL224" s="2264"/>
      <c r="BM224" s="2264"/>
      <c r="BN224" s="1663"/>
      <c r="BO224" s="1663"/>
      <c r="BP224" s="1663"/>
      <c r="BQ224" s="1663"/>
      <c r="BR224" s="2149"/>
      <c r="BS224" s="2149"/>
      <c r="BT224" s="2149"/>
      <c r="BU224" s="2149"/>
    </row>
    <row r="225" spans="1:76" s="1282" customFormat="1">
      <c r="A225" s="1251"/>
      <c r="B225" s="1281"/>
      <c r="C225" s="1281"/>
      <c r="D225" s="1281"/>
      <c r="E225" s="1281"/>
      <c r="F225" s="1281"/>
      <c r="G225" s="1281"/>
      <c r="H225" s="1281"/>
      <c r="I225" s="1281"/>
      <c r="J225" s="1281"/>
      <c r="K225" s="1281"/>
      <c r="L225" s="1281"/>
      <c r="M225" s="1281"/>
      <c r="N225" s="1281"/>
      <c r="O225" s="1281"/>
      <c r="P225" s="1281"/>
      <c r="Q225" s="1281"/>
      <c r="R225" s="1281"/>
      <c r="S225" s="1281"/>
      <c r="T225" s="1281"/>
      <c r="U225" s="1281"/>
      <c r="V225" s="1281"/>
      <c r="W225" s="1281"/>
      <c r="X225" s="1281"/>
      <c r="Y225" s="1281"/>
      <c r="Z225" s="1281"/>
      <c r="AA225" s="1281"/>
      <c r="AB225" s="1281"/>
      <c r="AC225" s="1281"/>
      <c r="AD225" s="1281"/>
      <c r="AE225" s="1281"/>
      <c r="AF225" s="1281"/>
      <c r="AG225" s="1281"/>
      <c r="AH225" s="1281"/>
      <c r="AI225" s="1281"/>
      <c r="AJ225" s="1281"/>
      <c r="AK225" s="1281"/>
      <c r="AL225" s="1281"/>
      <c r="AM225" s="1281"/>
      <c r="AN225" s="1281"/>
      <c r="AO225" s="1281"/>
      <c r="AP225" s="1281"/>
      <c r="AQ225" s="1281"/>
      <c r="AR225" s="1281"/>
      <c r="AS225" s="1281"/>
      <c r="AT225" s="1281"/>
      <c r="AU225" s="1281"/>
      <c r="AV225" s="1281"/>
      <c r="AW225" s="1281"/>
      <c r="AX225" s="1281"/>
      <c r="AY225" s="1281"/>
      <c r="AZ225" s="1281"/>
      <c r="BA225" s="1281"/>
      <c r="BC225" s="1318"/>
      <c r="BD225" s="1281"/>
      <c r="BE225" s="1319"/>
      <c r="BG225" s="1318"/>
      <c r="BH225" s="1281"/>
      <c r="BI225" s="1281"/>
      <c r="BJ225" s="1244"/>
      <c r="BK225" s="1318"/>
      <c r="BL225" s="1281"/>
      <c r="BM225" s="1281"/>
      <c r="BN225" s="1244"/>
      <c r="BO225" s="1318"/>
      <c r="BP225" s="1281"/>
      <c r="BQ225" s="1281"/>
      <c r="BR225" s="1244"/>
      <c r="BS225" s="1318"/>
      <c r="BT225" s="1281"/>
      <c r="BU225" s="1281"/>
    </row>
    <row r="226" spans="1:76">
      <c r="A226" s="1254" t="s">
        <v>79</v>
      </c>
      <c r="C226" s="1255"/>
      <c r="D226" s="1264"/>
      <c r="E226" s="1256"/>
      <c r="G226" s="1255"/>
      <c r="H226" s="1264"/>
      <c r="I226" s="1265"/>
      <c r="K226" s="1255"/>
      <c r="L226" s="1264"/>
      <c r="M226" s="1265"/>
      <c r="O226" s="1255"/>
      <c r="P226" s="1264"/>
      <c r="Q226" s="1265"/>
      <c r="S226" s="1255"/>
      <c r="T226" s="1264"/>
      <c r="U226" s="1265"/>
      <c r="W226" s="1255"/>
      <c r="X226" s="1264"/>
      <c r="Y226" s="1265"/>
      <c r="AA226" s="1255"/>
      <c r="AB226" s="1264"/>
      <c r="AC226" s="1265"/>
      <c r="AE226" s="1255"/>
      <c r="AF226" s="1264"/>
      <c r="AG226" s="1265"/>
      <c r="AI226" s="1371">
        <f>AI41+AI51+AI83+AI103</f>
        <v>15.25</v>
      </c>
      <c r="AJ226" s="1287">
        <f>(AI226/AI11)*100</f>
        <v>1.8372542145406925</v>
      </c>
      <c r="AK226" s="1287" t="str">
        <f t="shared" ref="AK226:AK232" si="317">IFERROR(((AI226/AF226-1)*100),"-")</f>
        <v>-</v>
      </c>
      <c r="AM226" s="1371">
        <f>AM41+AM51+AM83+AM103</f>
        <v>0.185</v>
      </c>
      <c r="AN226" s="1287">
        <f>(AM226/AM11)*100</f>
        <v>2.0677830459673762E-2</v>
      </c>
      <c r="AO226" s="1287">
        <f t="shared" ref="AO226:AO232" si="318">IFERROR(((AM226/AJ226-1)*100),"-")</f>
        <v>-89.930625901639331</v>
      </c>
      <c r="AQ226" s="1371">
        <f>AQ41+AQ51+AQ83+AQ103</f>
        <v>37.773000000000003</v>
      </c>
      <c r="AR226" s="1287">
        <f>(AQ226/AQ11)*100</f>
        <v>4.0656304455693313</v>
      </c>
      <c r="AS226" s="1287">
        <f>IFERROR(((AQ226/AM226-1)*100),"-")</f>
        <v>20317.83783783784</v>
      </c>
      <c r="AT226" s="1244"/>
      <c r="AU226" s="1371">
        <f>AU41+AU51+AU83+AU103</f>
        <v>1.2999999999999999E-2</v>
      </c>
      <c r="AV226" s="1287">
        <f>(AU226/AU11)*100</f>
        <v>1.3232605509360179E-3</v>
      </c>
      <c r="AW226" s="1287">
        <f>IFERROR(((AU226/AQ226-1)*100),"-")</f>
        <v>-99.965583882667516</v>
      </c>
      <c r="AX226" s="1244"/>
      <c r="AY226" s="1371">
        <f>AY41+AY51+AY83+AY103</f>
        <v>8.9049999999999994</v>
      </c>
      <c r="AZ226" s="1287">
        <f>(AY226/AY11)*100</f>
        <v>0.83614002833768231</v>
      </c>
      <c r="BA226" s="1287">
        <f>(AY226/AU226-1)*100</f>
        <v>68400</v>
      </c>
      <c r="BB226" s="1252"/>
      <c r="BC226" s="1371">
        <f>BC103+BC41+BC51+BC83</f>
        <v>4.9520000000000008</v>
      </c>
      <c r="BD226" s="1287">
        <f>(BC226/BC11)*100</f>
        <v>0.43890242486499237</v>
      </c>
      <c r="BE226" s="1287">
        <f t="shared" ref="BE226:BE232" si="319">(BC226/AY226-1)*100</f>
        <v>-44.390791690061747</v>
      </c>
      <c r="BF226" s="1252"/>
      <c r="BG226" s="1371">
        <f>BG41+BG51+BG83+BG103</f>
        <v>3.0830000000000002</v>
      </c>
      <c r="BH226" s="1287">
        <f>(BG226/BG11)*100</f>
        <v>0.26059562540836934</v>
      </c>
      <c r="BI226" s="1287">
        <f>(BG226/BC226-1)*100</f>
        <v>-37.742326332794839</v>
      </c>
      <c r="BK226" s="1371">
        <f>BK41+BK51+BK83+BK103</f>
        <v>0.34499999999999997</v>
      </c>
      <c r="BL226" s="1287">
        <f>(BK226/BK11)*100</f>
        <v>2.689701949839007E-2</v>
      </c>
      <c r="BM226" s="1287">
        <f t="shared" ref="BM226:BM232" si="320">IFERROR(((BK226/BG226-1)*100),"-")</f>
        <v>-88.809601037950046</v>
      </c>
      <c r="BO226" s="1371">
        <f>BO41+BO51+BO83+BO103</f>
        <v>6.3E-2</v>
      </c>
      <c r="BP226" s="1287">
        <f>(BO226/BO11)*100</f>
        <v>4.6786370461907719E-3</v>
      </c>
      <c r="BQ226" s="1287">
        <f t="shared" ref="BQ226:BQ232" si="321">IFERROR(((BO226/BK226-1)*100),"-")</f>
        <v>-81.739130434782609</v>
      </c>
      <c r="BS226" s="1371">
        <f>BS41+BS51+BS83+BS103</f>
        <v>0</v>
      </c>
      <c r="BT226" s="1287">
        <f>(BS226/BS11)*100</f>
        <v>0</v>
      </c>
      <c r="BU226" s="1287">
        <f t="shared" ref="BU226:BU232" si="322">IFERROR(((BS226/BO226-1)*100),"-")</f>
        <v>-100</v>
      </c>
    </row>
    <row r="227" spans="1:76">
      <c r="A227" s="1254" t="s">
        <v>80</v>
      </c>
      <c r="C227" s="1259"/>
      <c r="D227" s="1264"/>
      <c r="E227" s="1256"/>
      <c r="G227" s="1259"/>
      <c r="H227" s="1264"/>
      <c r="I227" s="1265"/>
      <c r="K227" s="1259"/>
      <c r="L227" s="1264"/>
      <c r="M227" s="1265"/>
      <c r="O227" s="1259"/>
      <c r="P227" s="1264"/>
      <c r="Q227" s="1265"/>
      <c r="S227" s="1259"/>
      <c r="T227" s="1264"/>
      <c r="U227" s="1265"/>
      <c r="W227" s="1259"/>
      <c r="X227" s="1264"/>
      <c r="Y227" s="1265"/>
      <c r="AA227" s="1259"/>
      <c r="AB227" s="1264"/>
      <c r="AC227" s="1265"/>
      <c r="AE227" s="1259"/>
      <c r="AF227" s="1264"/>
      <c r="AG227" s="1265"/>
      <c r="AI227" s="1361">
        <f>AI42+AI52+AI84+AI104</f>
        <v>4.2000000000000003E-2</v>
      </c>
      <c r="AJ227" s="1287">
        <f t="shared" ref="AJ227:AJ232" si="323">(AI227/AI12)*100</f>
        <v>5.9916288385655474E-3</v>
      </c>
      <c r="AK227" s="1287" t="str">
        <f t="shared" si="317"/>
        <v>-</v>
      </c>
      <c r="AL227" s="1269"/>
      <c r="AM227" s="1361">
        <f>AM42+AM52+AM84+AM104</f>
        <v>7.2999999999999995E-2</v>
      </c>
      <c r="AN227" s="1287">
        <f t="shared" ref="AN227:AN232" si="324">(AM227/AM12)*100</f>
        <v>1.0017152658662092E-2</v>
      </c>
      <c r="AO227" s="1287">
        <f t="shared" si="318"/>
        <v>1118.3665238095236</v>
      </c>
      <c r="AP227" s="1269"/>
      <c r="AQ227" s="1361">
        <f>AQ42+AQ52+AQ84+AQ104</f>
        <v>2.5000000000000001E-2</v>
      </c>
      <c r="AR227" s="1287">
        <f t="shared" ref="AR227:AR232" si="325">(AQ227/AQ12)*100</f>
        <v>3.1511982746559209E-3</v>
      </c>
      <c r="AS227" s="1287">
        <f>IFERROR(((AQ227/AM227-1)*100),"-")</f>
        <v>-65.753424657534239</v>
      </c>
      <c r="AT227" s="1244"/>
      <c r="AU227" s="1361">
        <f>AU42+AU52+AU84+AU104</f>
        <v>7.3829999999999991</v>
      </c>
      <c r="AV227" s="1287">
        <f t="shared" ref="AV227:AV232" si="326">(AU227/AU12)*100</f>
        <v>0.85433469419407149</v>
      </c>
      <c r="AW227" s="1287">
        <f>IFERROR(((AU227/AQ227-1)*100),"-")</f>
        <v>29431.999999999993</v>
      </c>
      <c r="AX227" s="1244"/>
      <c r="AY227" s="1361">
        <f>AY42+AY52+AY84+AY104</f>
        <v>10.570999999999998</v>
      </c>
      <c r="AZ227" s="1287">
        <f t="shared" ref="AZ227:AZ232" si="327">(AY227/AY12)*100</f>
        <v>1.0969056075939776</v>
      </c>
      <c r="BA227" s="1287">
        <f>(AY227/AU227-1)*100</f>
        <v>43.180279019368804</v>
      </c>
      <c r="BB227" s="1252"/>
      <c r="BC227" s="1361">
        <f>BC42+BC52+BC84+BC104</f>
        <v>2.7089999999999996</v>
      </c>
      <c r="BD227" s="1287">
        <f t="shared" ref="BD227:BD232" si="328">(BC227/BC12)*100</f>
        <v>0.25958694150238459</v>
      </c>
      <c r="BE227" s="1287">
        <f t="shared" si="319"/>
        <v>-74.373285403462305</v>
      </c>
      <c r="BF227" s="1252"/>
      <c r="BG227" s="1361">
        <f>BG42+BG52+BG84+BG104</f>
        <v>0.51100000000000001</v>
      </c>
      <c r="BH227" s="1287">
        <f t="shared" ref="BH227:BH232" si="329">(BG227/BG12)*100</f>
        <v>4.465932191243277E-2</v>
      </c>
      <c r="BI227" s="1287">
        <f>(BG227/BC227-1)*100</f>
        <v>-81.136950904392762</v>
      </c>
      <c r="BK227" s="1361">
        <f>BK42+BK52+BK84+BK104</f>
        <v>5.3290000000000006</v>
      </c>
      <c r="BL227" s="1287">
        <f t="shared" ref="BL227:BL232" si="330">(BK227/BK12)*100</f>
        <v>0.42460358247819019</v>
      </c>
      <c r="BM227" s="1287">
        <f t="shared" si="320"/>
        <v>942.85714285714289</v>
      </c>
      <c r="BO227" s="1361">
        <f>BO42+BO52+BO84+BO104</f>
        <v>1.03</v>
      </c>
      <c r="BP227" s="1287">
        <f t="shared" ref="BP227:BP232" si="331">(BO227/BO12)*100</f>
        <v>7.5556181522625776E-2</v>
      </c>
      <c r="BQ227" s="1287">
        <f t="shared" si="321"/>
        <v>-80.67179583411523</v>
      </c>
      <c r="BS227" s="1361">
        <f>BS42+BS52+BS84+BS104</f>
        <v>0</v>
      </c>
      <c r="BT227" s="1287">
        <f t="shared" ref="BT227:BT229" si="332">(BS227/BS12)*100</f>
        <v>0</v>
      </c>
      <c r="BU227" s="1287">
        <f t="shared" si="322"/>
        <v>-100</v>
      </c>
    </row>
    <row r="228" spans="1:76">
      <c r="A228" s="1254" t="s">
        <v>81</v>
      </c>
      <c r="C228" s="1259"/>
      <c r="D228" s="1264"/>
      <c r="E228" s="1256"/>
      <c r="G228" s="1259"/>
      <c r="H228" s="1264"/>
      <c r="I228" s="1265"/>
      <c r="K228" s="1259"/>
      <c r="L228" s="1264"/>
      <c r="M228" s="1265"/>
      <c r="O228" s="1259"/>
      <c r="P228" s="1264"/>
      <c r="Q228" s="1265"/>
      <c r="S228" s="1259"/>
      <c r="T228" s="1264"/>
      <c r="U228" s="1265"/>
      <c r="W228" s="1259"/>
      <c r="X228" s="1264"/>
      <c r="Y228" s="1265"/>
      <c r="AA228" s="1259"/>
      <c r="AB228" s="1264"/>
      <c r="AC228" s="1265"/>
      <c r="AE228" s="1259"/>
      <c r="AF228" s="1264"/>
      <c r="AG228" s="1265"/>
      <c r="AI228" s="1361">
        <f>AI43+AI53+AI85+AI105</f>
        <v>6.4370000000000003</v>
      </c>
      <c r="AJ228" s="1287">
        <f t="shared" si="323"/>
        <v>0.73787160094179793</v>
      </c>
      <c r="AK228" s="1287" t="str">
        <f t="shared" si="317"/>
        <v>-</v>
      </c>
      <c r="AL228" s="1269"/>
      <c r="AM228" s="1361">
        <f>AM43+AM53+AM85+AM105</f>
        <v>0.252</v>
      </c>
      <c r="AN228" s="1287">
        <f t="shared" si="324"/>
        <v>2.9364263691087949E-2</v>
      </c>
      <c r="AO228" s="1287">
        <f t="shared" si="318"/>
        <v>-65.847716638185489</v>
      </c>
      <c r="AP228" s="1269"/>
      <c r="AQ228" s="1361">
        <f>AQ43+AQ53+AQ85+AQ105</f>
        <v>0</v>
      </c>
      <c r="AR228" s="1287">
        <f t="shared" si="325"/>
        <v>0</v>
      </c>
      <c r="AS228" s="1287">
        <f>IFERROR(((AQ228/AM228-1)*100),"-")</f>
        <v>-100</v>
      </c>
      <c r="AT228" s="1244"/>
      <c r="AU228" s="1361">
        <f>AU43+AU53+AU85+AU105</f>
        <v>1.1519999999999999</v>
      </c>
      <c r="AV228" s="1287">
        <f t="shared" si="326"/>
        <v>0.11902129778674109</v>
      </c>
      <c r="AW228" s="1287" t="str">
        <f>IFERROR(((AU228/AQ228-1)*100),"-")</f>
        <v>-</v>
      </c>
      <c r="AX228" s="1244"/>
      <c r="AY228" s="1361">
        <f>AY43+AY53+AY85+AY105</f>
        <v>12.517000000000001</v>
      </c>
      <c r="AZ228" s="1287">
        <f t="shared" si="327"/>
        <v>1.1758550007421313</v>
      </c>
      <c r="BA228" s="1287">
        <f>(AY228/AU228-1)*100</f>
        <v>986.54513888888914</v>
      </c>
      <c r="BB228" s="1252"/>
      <c r="BC228" s="1361">
        <f>BC43+BC53+BC85+BC105</f>
        <v>71.525000000000006</v>
      </c>
      <c r="BD228" s="1287">
        <f t="shared" si="328"/>
        <v>6.1803762576774064</v>
      </c>
      <c r="BE228" s="1287">
        <f t="shared" si="319"/>
        <v>471.42286490373095</v>
      </c>
      <c r="BF228" s="1252"/>
      <c r="BG228" s="1361">
        <f>BG43+BG53+BG85+BG105</f>
        <v>0.32400000000000001</v>
      </c>
      <c r="BH228" s="1287">
        <f t="shared" si="329"/>
        <v>2.632250265256084E-2</v>
      </c>
      <c r="BI228" s="1287">
        <f>(BG228/BC228-1)*100</f>
        <v>-99.54701153442852</v>
      </c>
      <c r="BK228" s="1361">
        <f>BK43+BK53+BK85+BK105</f>
        <v>0.106</v>
      </c>
      <c r="BL228" s="1287">
        <f t="shared" si="330"/>
        <v>7.8951288544614924E-3</v>
      </c>
      <c r="BM228" s="1287">
        <f t="shared" si="320"/>
        <v>-67.283950617283963</v>
      </c>
      <c r="BO228" s="1361">
        <f>BO43+BO53+BO85+BO105</f>
        <v>2.5999999999999999E-2</v>
      </c>
      <c r="BP228" s="1287">
        <f t="shared" si="331"/>
        <v>1.8078568066156432E-3</v>
      </c>
      <c r="BQ228" s="1287">
        <f t="shared" si="321"/>
        <v>-75.471698113207552</v>
      </c>
      <c r="BS228" s="1361">
        <f>BS43+BS53+BS85+BS105</f>
        <v>0</v>
      </c>
      <c r="BT228" s="1287">
        <f t="shared" si="332"/>
        <v>0</v>
      </c>
      <c r="BU228" s="1287">
        <f t="shared" si="322"/>
        <v>-100</v>
      </c>
      <c r="BX228" s="1508"/>
    </row>
    <row r="229" spans="1:76">
      <c r="A229" s="1254" t="s">
        <v>82</v>
      </c>
      <c r="C229" s="1261"/>
      <c r="D229" s="1264"/>
      <c r="E229" s="1256"/>
      <c r="G229" s="1261"/>
      <c r="H229" s="1264"/>
      <c r="I229" s="1265"/>
      <c r="K229" s="1261"/>
      <c r="L229" s="1264"/>
      <c r="M229" s="1265"/>
      <c r="O229" s="1261"/>
      <c r="P229" s="1264"/>
      <c r="Q229" s="1265"/>
      <c r="S229" s="1262"/>
      <c r="T229" s="1264"/>
      <c r="U229" s="1265"/>
      <c r="W229" s="1261"/>
      <c r="X229" s="1264"/>
      <c r="Y229" s="1265"/>
      <c r="AA229" s="1261"/>
      <c r="AB229" s="1264"/>
      <c r="AC229" s="1265"/>
      <c r="AE229" s="1262"/>
      <c r="AF229" s="1264"/>
      <c r="AG229" s="1265"/>
      <c r="AI229" s="1329">
        <f>AI44+AI54+AI86+AI106</f>
        <v>49.661999999999992</v>
      </c>
      <c r="AJ229" s="1287">
        <f t="shared" si="323"/>
        <v>4.4360122516902347</v>
      </c>
      <c r="AK229" s="1287" t="str">
        <f t="shared" si="317"/>
        <v>-</v>
      </c>
      <c r="AL229" s="1269"/>
      <c r="AM229" s="1329">
        <f>AM44+AM54+AM86+AM106</f>
        <v>1.57</v>
      </c>
      <c r="AN229" s="1287">
        <f t="shared" si="324"/>
        <v>0.13215621706616562</v>
      </c>
      <c r="AO229" s="1287">
        <f t="shared" si="318"/>
        <v>-64.607852482783628</v>
      </c>
      <c r="AP229" s="1269"/>
      <c r="AQ229" s="1329">
        <f>AQ44+AQ54+AQ86+AQ106</f>
        <v>1.7010000000000001</v>
      </c>
      <c r="AR229" s="1287">
        <f t="shared" si="325"/>
        <v>0.1379516171806128</v>
      </c>
      <c r="AS229" s="1287">
        <f>IFERROR(((AQ229/AM229-1)*100),"-")</f>
        <v>8.3439490445859974</v>
      </c>
      <c r="AT229" s="1244"/>
      <c r="AU229" s="1329">
        <f>AU44+AU54+AU86+AU106</f>
        <v>10.197999999999999</v>
      </c>
      <c r="AV229" s="1287">
        <f t="shared" si="326"/>
        <v>0.80773860254877705</v>
      </c>
      <c r="AW229" s="1287">
        <f>IFERROR(((AU229/AQ229-1)*100),"-")</f>
        <v>499.52968841857722</v>
      </c>
      <c r="AX229" s="1244"/>
      <c r="AY229" s="1329">
        <f>AY44+AY54+AY86+AY106</f>
        <v>20.724</v>
      </c>
      <c r="AZ229" s="1287">
        <f t="shared" si="327"/>
        <v>1.5532007221888708</v>
      </c>
      <c r="BA229" s="1287">
        <f>(AY229/AU229-1)*100</f>
        <v>103.21631692488724</v>
      </c>
      <c r="BB229" s="1252"/>
      <c r="BC229" s="1329">
        <f>BC44+BC54+BC86+BC106</f>
        <v>3.093</v>
      </c>
      <c r="BD229" s="1287">
        <f t="shared" si="328"/>
        <v>0.20823206733442756</v>
      </c>
      <c r="BE229" s="1287">
        <f t="shared" si="319"/>
        <v>-85.075275043427908</v>
      </c>
      <c r="BF229" s="1252"/>
      <c r="BG229" s="1329">
        <f>BG44+BG54+BG86+BG106</f>
        <v>4.4550000000000001</v>
      </c>
      <c r="BH229" s="1287">
        <f t="shared" si="329"/>
        <v>0.2891413313741385</v>
      </c>
      <c r="BI229" s="1287">
        <f>(BG229/BC229-1)*100</f>
        <v>44.034917555771088</v>
      </c>
      <c r="BK229" s="1329">
        <f>BK44+BK54+BK86+BK106</f>
        <v>2.4220000000000002</v>
      </c>
      <c r="BL229" s="1287">
        <f t="shared" si="330"/>
        <v>0.14367790522122662</v>
      </c>
      <c r="BM229" s="1287">
        <f t="shared" si="320"/>
        <v>-45.634118967452295</v>
      </c>
      <c r="BO229" s="1329">
        <f>BO44+BO54+BO86+BO106</f>
        <v>6.2929999999999993</v>
      </c>
      <c r="BP229" s="1287">
        <f t="shared" si="331"/>
        <v>0.32491252454398395</v>
      </c>
      <c r="BQ229" s="1287">
        <f t="shared" si="321"/>
        <v>159.82658959537565</v>
      </c>
      <c r="BS229" s="1329">
        <f>BS44+BS54+BS86+BS106</f>
        <v>0</v>
      </c>
      <c r="BT229" s="1287">
        <f t="shared" si="332"/>
        <v>0</v>
      </c>
      <c r="BU229" s="1287">
        <f t="shared" si="322"/>
        <v>-100</v>
      </c>
    </row>
    <row r="230" spans="1:76" s="1282" customFormat="1">
      <c r="A230" s="1254" t="s">
        <v>85</v>
      </c>
      <c r="B230" s="1244"/>
      <c r="C230" s="1252"/>
      <c r="D230" s="1264"/>
      <c r="E230" s="1256"/>
      <c r="F230" s="1244"/>
      <c r="G230" s="1252"/>
      <c r="H230" s="1264"/>
      <c r="I230" s="1265"/>
      <c r="J230" s="1244"/>
      <c r="K230" s="1252"/>
      <c r="L230" s="1264"/>
      <c r="M230" s="1265"/>
      <c r="N230" s="1244"/>
      <c r="O230" s="1252"/>
      <c r="P230" s="1264"/>
      <c r="Q230" s="1265"/>
      <c r="R230" s="1244"/>
      <c r="S230" s="1252"/>
      <c r="T230" s="1264"/>
      <c r="U230" s="1265"/>
      <c r="V230" s="1244"/>
      <c r="W230" s="1252"/>
      <c r="X230" s="1264"/>
      <c r="Y230" s="1265"/>
      <c r="Z230" s="1244"/>
      <c r="AA230" s="1252"/>
      <c r="AB230" s="1264"/>
      <c r="AC230" s="1265"/>
      <c r="AD230" s="1252"/>
      <c r="AE230" s="1252"/>
      <c r="AF230" s="1264"/>
      <c r="AG230" s="1265"/>
      <c r="AH230" s="1244"/>
      <c r="AI230" s="1253">
        <f>SUM(AI226:AI229)</f>
        <v>71.390999999999991</v>
      </c>
      <c r="AJ230" s="1287">
        <f t="shared" si="323"/>
        <v>2.0264758095145097</v>
      </c>
      <c r="AK230" s="1287" t="str">
        <f t="shared" si="317"/>
        <v>-</v>
      </c>
      <c r="AL230" s="1244"/>
      <c r="AM230" s="1253">
        <f>SUM(AM226:AM229)</f>
        <v>2.08</v>
      </c>
      <c r="AN230" s="1287">
        <f t="shared" si="324"/>
        <v>5.6681896292840483E-2</v>
      </c>
      <c r="AO230" s="1287">
        <f t="shared" si="318"/>
        <v>2.6412449748567823</v>
      </c>
      <c r="AP230" s="1244"/>
      <c r="AQ230" s="1253">
        <f>SUM(AQ226:AQ229)</f>
        <v>39.499000000000002</v>
      </c>
      <c r="AR230" s="1287">
        <f t="shared" si="325"/>
        <v>1.0248476051948376</v>
      </c>
      <c r="AS230" s="1287">
        <f>IFERROR(((AQ230/AM230-1)*100),"-")</f>
        <v>1798.9903846153848</v>
      </c>
      <c r="AT230" s="1244"/>
      <c r="AU230" s="1253">
        <f>SUM(AU226:AU229)</f>
        <v>18.745999999999995</v>
      </c>
      <c r="AV230" s="1287">
        <f t="shared" si="326"/>
        <v>0.45979501798191125</v>
      </c>
      <c r="AW230" s="1287">
        <f>IFERROR(((AU230/AQ230-1)*100),"-")</f>
        <v>-52.540570647358173</v>
      </c>
      <c r="AX230" s="1244"/>
      <c r="AY230" s="1253">
        <f>SUM(AY226:AY229)</f>
        <v>52.716999999999999</v>
      </c>
      <c r="AZ230" s="1287">
        <f t="shared" si="327"/>
        <v>1.1906711299800361</v>
      </c>
      <c r="BA230" s="1287">
        <f>(AY230/AU230-1)*100</f>
        <v>181.21732636295752</v>
      </c>
      <c r="BB230" s="1244"/>
      <c r="BC230" s="1253">
        <f>SUM(BC226:BC229)</f>
        <v>82.279000000000011</v>
      </c>
      <c r="BD230" s="1287">
        <f t="shared" si="328"/>
        <v>1.7089818598135968</v>
      </c>
      <c r="BE230" s="1287">
        <f t="shared" si="319"/>
        <v>56.076787374091872</v>
      </c>
      <c r="BF230" s="1244"/>
      <c r="BG230" s="1253">
        <f>SUM(BG226:BG229)</f>
        <v>8.3730000000000011</v>
      </c>
      <c r="BH230" s="1287">
        <f t="shared" si="329"/>
        <v>0.16421085827385032</v>
      </c>
      <c r="BI230" s="1287">
        <f>(BG230/BC230-1)*100</f>
        <v>-89.823648804676765</v>
      </c>
      <c r="BJ230" s="1244"/>
      <c r="BK230" s="1253">
        <f>SUM(BK226:BK229)</f>
        <v>8.202</v>
      </c>
      <c r="BL230" s="1287">
        <f t="shared" si="330"/>
        <v>0.14735795910843585</v>
      </c>
      <c r="BM230" s="1287">
        <f t="shared" si="320"/>
        <v>-2.042278753135085</v>
      </c>
      <c r="BN230" s="1244"/>
      <c r="BO230" s="1253">
        <f>SUM(BO226:BO229)</f>
        <v>7.411999999999999</v>
      </c>
      <c r="BP230" s="1287">
        <f>(BO230/BO15)*100</f>
        <v>0.12181240823394029</v>
      </c>
      <c r="BQ230" s="1287">
        <f t="shared" si="321"/>
        <v>-9.631797122653019</v>
      </c>
      <c r="BR230" s="1244"/>
      <c r="BS230" s="1253">
        <f>SUM(BS226:BS229)</f>
        <v>0</v>
      </c>
      <c r="BT230" s="1287">
        <f>(BS230/BS15)*100</f>
        <v>0</v>
      </c>
      <c r="BU230" s="1287">
        <f t="shared" si="322"/>
        <v>-100</v>
      </c>
    </row>
    <row r="231" spans="1:76" s="1282" customFormat="1">
      <c r="A231" s="1254" t="s">
        <v>87</v>
      </c>
      <c r="B231" s="1244"/>
      <c r="C231" s="1252"/>
      <c r="D231" s="1264"/>
      <c r="E231" s="1256"/>
      <c r="F231" s="1244"/>
      <c r="G231" s="1252"/>
      <c r="H231" s="1264"/>
      <c r="I231" s="1265"/>
      <c r="J231" s="1244"/>
      <c r="K231" s="1252"/>
      <c r="L231" s="1264"/>
      <c r="M231" s="1265"/>
      <c r="N231" s="1244"/>
      <c r="O231" s="1252"/>
      <c r="P231" s="1264"/>
      <c r="Q231" s="1265"/>
      <c r="R231" s="1244"/>
      <c r="S231" s="1252"/>
      <c r="T231" s="1264"/>
      <c r="U231" s="1265"/>
      <c r="V231" s="1244"/>
      <c r="W231" s="1252"/>
      <c r="X231" s="1264"/>
      <c r="Y231" s="1265"/>
      <c r="Z231" s="1244"/>
      <c r="AA231" s="1252"/>
      <c r="AB231" s="1264"/>
      <c r="AC231" s="1265"/>
      <c r="AD231" s="1252"/>
      <c r="AE231" s="1252"/>
      <c r="AF231" s="1264"/>
      <c r="AG231" s="1265"/>
      <c r="AH231" s="1244"/>
      <c r="AI231" s="1253">
        <f>SUM(AI226:AI227)</f>
        <v>15.292</v>
      </c>
      <c r="AJ231" s="1287">
        <f t="shared" si="323"/>
        <v>0.99881059763386648</v>
      </c>
      <c r="AK231" s="1287" t="str">
        <f t="shared" si="317"/>
        <v>-</v>
      </c>
      <c r="AL231" s="1244"/>
      <c r="AM231" s="1253">
        <f>SUM(AM226:AM227)</f>
        <v>0.25800000000000001</v>
      </c>
      <c r="AN231" s="1287">
        <f t="shared" si="324"/>
        <v>1.5892297040583259E-2</v>
      </c>
      <c r="AO231" s="1287">
        <f t="shared" si="318"/>
        <v>-74.169276876798335</v>
      </c>
      <c r="AP231" s="1244"/>
      <c r="AQ231" s="1253">
        <f>SUM(AQ226:AQ227)</f>
        <v>37.798000000000002</v>
      </c>
      <c r="AR231" s="1287">
        <f t="shared" si="325"/>
        <v>2.1944578299263253</v>
      </c>
      <c r="AS231" s="1287">
        <f>IFERROR(((AQ231/AN231-1)*100),"-")</f>
        <v>237738.49435658916</v>
      </c>
      <c r="AT231" s="1244"/>
      <c r="AU231" s="1253">
        <f>SUM(AU226:AU227)</f>
        <v>7.395999999999999</v>
      </c>
      <c r="AV231" s="1287">
        <f t="shared" si="326"/>
        <v>0.40051922093131315</v>
      </c>
      <c r="AW231" s="1287">
        <f>IFERROR(((AU231/AR231-1)*100),"-")</f>
        <v>237.03085560082533</v>
      </c>
      <c r="AX231" s="1244"/>
      <c r="AY231" s="1253">
        <f>SUM(AY226:AY227)</f>
        <v>19.475999999999999</v>
      </c>
      <c r="AZ231" s="1287">
        <f t="shared" si="327"/>
        <v>0.96001230330000531</v>
      </c>
      <c r="BA231" s="1287">
        <f>IFERROR(((AY231/AV231-1)*100),"-")</f>
        <v>4762.6879765503254</v>
      </c>
      <c r="BB231" s="1244"/>
      <c r="BC231" s="1253">
        <f>SUM(BC226:BC227)</f>
        <v>7.6610000000000005</v>
      </c>
      <c r="BD231" s="1287">
        <f t="shared" si="328"/>
        <v>0.3527407509726731</v>
      </c>
      <c r="BE231" s="1287">
        <f t="shared" si="319"/>
        <v>-60.664407475867733</v>
      </c>
      <c r="BF231" s="1244"/>
      <c r="BG231" s="1253">
        <f>SUM(BG226:BG227)</f>
        <v>3.5940000000000003</v>
      </c>
      <c r="BH231" s="1287">
        <f t="shared" si="329"/>
        <v>0.15442940397726615</v>
      </c>
      <c r="BI231" s="1287">
        <f>IFERROR(((BG231/BD231-1)*100),"-")</f>
        <v>918.87859287299318</v>
      </c>
      <c r="BJ231" s="1244"/>
      <c r="BK231" s="1253">
        <f>SUM(BK226:BK227)</f>
        <v>5.6740000000000004</v>
      </c>
      <c r="BL231" s="1287">
        <f t="shared" si="330"/>
        <v>0.22358626217282188</v>
      </c>
      <c r="BM231" s="1287">
        <f t="shared" si="320"/>
        <v>57.874234835837512</v>
      </c>
      <c r="BN231" s="1244"/>
      <c r="BO231" s="1253">
        <f>SUM(BO226:BO227)</f>
        <v>1.093</v>
      </c>
      <c r="BP231" s="1287">
        <f t="shared" si="331"/>
        <v>4.0335526631411524E-2</v>
      </c>
      <c r="BQ231" s="1287">
        <f t="shared" si="321"/>
        <v>-80.736693690518152</v>
      </c>
      <c r="BR231" s="1244"/>
      <c r="BS231" s="1253">
        <f>SUM(BS226:BS227)</f>
        <v>0</v>
      </c>
      <c r="BT231" s="1287">
        <f t="shared" ref="BT231:BT232" si="333">(BS231/BS16)*100</f>
        <v>0</v>
      </c>
      <c r="BU231" s="1287">
        <f t="shared" si="322"/>
        <v>-100</v>
      </c>
    </row>
    <row r="232" spans="1:76" s="1282" customFormat="1" ht="13.5" customHeight="1">
      <c r="A232" s="1254" t="s">
        <v>88</v>
      </c>
      <c r="B232" s="1244"/>
      <c r="C232" s="1244"/>
      <c r="D232" s="1244"/>
      <c r="E232" s="1244"/>
      <c r="F232" s="1244"/>
      <c r="G232" s="1244"/>
      <c r="H232" s="1244"/>
      <c r="I232" s="1244"/>
      <c r="J232" s="1244"/>
      <c r="K232" s="1244"/>
      <c r="L232" s="1244"/>
      <c r="M232" s="1244"/>
      <c r="N232" s="1244"/>
      <c r="O232" s="1244"/>
      <c r="P232" s="1244"/>
      <c r="Q232" s="1244"/>
      <c r="R232" s="1244"/>
      <c r="S232" s="1244"/>
      <c r="T232" s="1244"/>
      <c r="U232" s="1244"/>
      <c r="V232" s="1244"/>
      <c r="W232" s="1244"/>
      <c r="X232" s="1244"/>
      <c r="Y232" s="1244"/>
      <c r="Z232" s="1244"/>
      <c r="AA232" s="1244"/>
      <c r="AB232" s="1244"/>
      <c r="AC232" s="1244"/>
      <c r="AD232" s="1244"/>
      <c r="AE232" s="1244"/>
      <c r="AF232" s="1244"/>
      <c r="AG232" s="1244"/>
      <c r="AH232" s="1244"/>
      <c r="AI232" s="1371">
        <f>SUM(AI226:AI228)</f>
        <v>21.728999999999999</v>
      </c>
      <c r="AJ232" s="1287">
        <f t="shared" si="323"/>
        <v>0.90409608075243553</v>
      </c>
      <c r="AK232" s="1287" t="str">
        <f t="shared" si="317"/>
        <v>-</v>
      </c>
      <c r="AL232" s="1244"/>
      <c r="AM232" s="1371">
        <f>SUM(AM226:AM228)</f>
        <v>0.51</v>
      </c>
      <c r="AN232" s="1287">
        <f t="shared" si="324"/>
        <v>2.0551141313677312E-2</v>
      </c>
      <c r="AO232" s="1287">
        <f t="shared" si="318"/>
        <v>-43.590066270882218</v>
      </c>
      <c r="AP232" s="1244"/>
      <c r="AQ232" s="1371">
        <f>SUM(AQ226:AQ228)</f>
        <v>37.798000000000002</v>
      </c>
      <c r="AR232" s="1287">
        <f t="shared" si="325"/>
        <v>1.4420701592808802</v>
      </c>
      <c r="AS232" s="1287">
        <f>IFERROR(((AQ232/AN232-1)*100),"-")</f>
        <v>183821.65876862744</v>
      </c>
      <c r="AT232" s="1244"/>
      <c r="AU232" s="1371">
        <f>SUM(AU226:AU228)</f>
        <v>8.5479999999999983</v>
      </c>
      <c r="AV232" s="1287">
        <f t="shared" si="326"/>
        <v>0.30371323762469443</v>
      </c>
      <c r="AW232" s="1287">
        <f>IFERROR(((AU232/AR232-1)*100),"-")</f>
        <v>492.7589545478595</v>
      </c>
      <c r="AX232" s="1244"/>
      <c r="AY232" s="1371">
        <f>SUM(AY226:AY228)</f>
        <v>31.993000000000002</v>
      </c>
      <c r="AZ232" s="1287">
        <f t="shared" si="327"/>
        <v>1.0342923536786515</v>
      </c>
      <c r="BA232" s="1287">
        <f>IFERROR(((AY232/AV232-1)*100),"-")</f>
        <v>10433.949804168398</v>
      </c>
      <c r="BB232" s="1244"/>
      <c r="BC232" s="1371">
        <f>SUM(BC226:BC228)</f>
        <v>79.186000000000007</v>
      </c>
      <c r="BD232" s="1287">
        <f t="shared" si="328"/>
        <v>2.3785708149427092</v>
      </c>
      <c r="BE232" s="1287">
        <f t="shared" si="319"/>
        <v>147.51039289844655</v>
      </c>
      <c r="BF232" s="1244"/>
      <c r="BG232" s="1371">
        <f>SUM(BG226:BG228)</f>
        <v>3.9180000000000001</v>
      </c>
      <c r="BH232" s="1287">
        <f t="shared" si="329"/>
        <v>0.11011299932015481</v>
      </c>
      <c r="BI232" s="1287">
        <f>IFERROR(((BG232/BD232-1)*100),"-")</f>
        <v>64.720763215719927</v>
      </c>
      <c r="BJ232" s="1244"/>
      <c r="BK232" s="1371">
        <f>SUM(BK226:BK228)</f>
        <v>5.78</v>
      </c>
      <c r="BL232" s="1287">
        <f t="shared" si="330"/>
        <v>0.14895667190592124</v>
      </c>
      <c r="BM232" s="1287">
        <f t="shared" si="320"/>
        <v>47.524247064829005</v>
      </c>
      <c r="BN232" s="1244"/>
      <c r="BO232" s="1371">
        <f>SUM(BO226:BO228)</f>
        <v>1.119</v>
      </c>
      <c r="BP232" s="1287">
        <f t="shared" si="331"/>
        <v>2.6977266048158397E-2</v>
      </c>
      <c r="BQ232" s="1287">
        <f t="shared" si="321"/>
        <v>-80.640138408304495</v>
      </c>
      <c r="BR232" s="1244"/>
      <c r="BS232" s="1371">
        <f>SUM(BS226:BS228)</f>
        <v>0</v>
      </c>
      <c r="BT232" s="1287">
        <f t="shared" si="333"/>
        <v>0</v>
      </c>
      <c r="BU232" s="1287">
        <f t="shared" si="322"/>
        <v>-100</v>
      </c>
    </row>
    <row r="233" spans="1:76" s="1282" customFormat="1" ht="13.5" customHeight="1">
      <c r="A233" s="1254"/>
      <c r="B233" s="1244"/>
      <c r="C233" s="1244"/>
      <c r="D233" s="1244"/>
      <c r="E233" s="1244"/>
      <c r="F233" s="1244"/>
      <c r="G233" s="1244"/>
      <c r="H233" s="1244"/>
      <c r="I233" s="1244"/>
      <c r="J233" s="1244"/>
      <c r="K233" s="1244"/>
      <c r="L233" s="1244"/>
      <c r="M233" s="1244"/>
      <c r="N233" s="1244"/>
      <c r="O233" s="1244"/>
      <c r="P233" s="1244"/>
      <c r="Q233" s="1244"/>
      <c r="R233" s="1244"/>
      <c r="S233" s="1244"/>
      <c r="T233" s="1244"/>
      <c r="U233" s="1244"/>
      <c r="V233" s="1244"/>
      <c r="W233" s="1244"/>
      <c r="X233" s="1244"/>
      <c r="Y233" s="1244"/>
      <c r="Z233" s="1244"/>
      <c r="AA233" s="1244"/>
      <c r="AB233" s="1244"/>
      <c r="AC233" s="1244"/>
      <c r="AD233" s="1244"/>
      <c r="AE233" s="1244"/>
      <c r="AF233" s="1244"/>
      <c r="AG233" s="1244"/>
      <c r="AH233" s="1244"/>
      <c r="AI233" s="1371"/>
      <c r="AJ233" s="1287"/>
      <c r="AK233" s="1287"/>
      <c r="AL233" s="1244"/>
      <c r="AM233" s="1244"/>
      <c r="AN233" s="1244"/>
      <c r="AO233" s="1244"/>
      <c r="AP233" s="1244"/>
      <c r="AQ233" s="1244"/>
      <c r="AR233" s="1244"/>
      <c r="AS233" s="1244"/>
      <c r="AT233" s="1244"/>
      <c r="AU233" s="1293"/>
      <c r="AV233" s="1244"/>
      <c r="AW233" s="1244"/>
      <c r="AX233" s="1244"/>
      <c r="AY233" s="1245"/>
      <c r="AZ233" s="1244"/>
      <c r="BA233" s="1244"/>
      <c r="BB233" s="1244"/>
      <c r="BC233" s="1245"/>
      <c r="BD233" s="1244"/>
      <c r="BE233" s="1244"/>
      <c r="BF233" s="1244"/>
      <c r="BG233" s="1245"/>
      <c r="BH233" s="1244"/>
      <c r="BI233" s="1244"/>
      <c r="BJ233" s="1244"/>
      <c r="BK233" s="1245"/>
      <c r="BL233" s="1244"/>
      <c r="BM233" s="1244"/>
      <c r="BN233" s="1244"/>
      <c r="BO233" s="1245"/>
      <c r="BP233" s="1244"/>
      <c r="BQ233" s="1244"/>
      <c r="BR233" s="1244"/>
      <c r="BS233" s="1245"/>
      <c r="BT233" s="1244"/>
      <c r="BU233" s="1244"/>
    </row>
    <row r="234" spans="1:76" s="1282" customFormat="1">
      <c r="A234" s="1251" t="s">
        <v>908</v>
      </c>
      <c r="B234" s="1281"/>
      <c r="C234" s="1281"/>
      <c r="D234" s="1281"/>
      <c r="E234" s="1281"/>
      <c r="F234" s="1281"/>
      <c r="G234" s="1281"/>
      <c r="H234" s="1281"/>
      <c r="I234" s="1281"/>
      <c r="J234" s="1281"/>
      <c r="K234" s="1281"/>
      <c r="L234" s="1281"/>
      <c r="M234" s="1281"/>
      <c r="N234" s="1281"/>
      <c r="O234" s="1281"/>
      <c r="P234" s="1281"/>
      <c r="Q234" s="1281"/>
      <c r="R234" s="1281"/>
      <c r="S234" s="1281"/>
      <c r="T234" s="1281"/>
      <c r="U234" s="1281"/>
      <c r="V234" s="1281"/>
      <c r="W234" s="1281"/>
      <c r="X234" s="1281"/>
      <c r="Y234" s="1281"/>
      <c r="Z234" s="1281"/>
      <c r="AA234" s="1281"/>
      <c r="AB234" s="1281"/>
      <c r="AC234" s="1281"/>
      <c r="AD234" s="1281"/>
      <c r="AE234" s="1281"/>
      <c r="AF234" s="1281"/>
      <c r="AG234" s="1281"/>
      <c r="AH234" s="1281"/>
      <c r="AI234" s="1281"/>
      <c r="AJ234" s="1281"/>
      <c r="AK234" s="1281"/>
      <c r="AL234" s="1281"/>
      <c r="AM234" s="1281"/>
      <c r="AN234" s="1281"/>
      <c r="AO234" s="1281"/>
      <c r="AP234" s="1281"/>
      <c r="AQ234" s="1281"/>
      <c r="AR234" s="1281"/>
      <c r="AS234" s="1281"/>
      <c r="AT234" s="1281"/>
      <c r="AU234" s="1281"/>
      <c r="AV234" s="1281"/>
      <c r="AW234" s="1281"/>
      <c r="AX234" s="1281"/>
      <c r="AY234" s="1281"/>
      <c r="AZ234" s="1281"/>
      <c r="BA234" s="1281"/>
      <c r="BC234" s="1318"/>
      <c r="BD234" s="1281"/>
      <c r="BE234" s="1319"/>
      <c r="BG234" s="2264" t="str">
        <f>A234</f>
        <v>Advisory fees  (% Sales)</v>
      </c>
      <c r="BH234" s="2264"/>
      <c r="BI234" s="2264"/>
      <c r="BJ234" s="2264"/>
      <c r="BK234" s="2266"/>
      <c r="BL234" s="2264"/>
      <c r="BM234" s="2264"/>
      <c r="BN234" s="1663"/>
      <c r="BO234" s="1663"/>
      <c r="BP234" s="1663"/>
      <c r="BQ234" s="1663"/>
      <c r="BR234" s="2149"/>
      <c r="BS234" s="2149"/>
      <c r="BT234" s="2149"/>
      <c r="BU234" s="2149"/>
    </row>
    <row r="235" spans="1:76">
      <c r="AT235" s="1244"/>
      <c r="AU235" s="1293"/>
      <c r="AX235" s="1244"/>
      <c r="AY235" s="1245"/>
      <c r="BB235" s="1244"/>
      <c r="BC235" s="1245"/>
      <c r="BF235" s="1244"/>
      <c r="BG235" s="1245"/>
      <c r="BK235" s="1245"/>
      <c r="BO235" s="1245"/>
      <c r="BS235" s="1245"/>
    </row>
    <row r="236" spans="1:76" s="1282" customFormat="1">
      <c r="A236" s="1254" t="s">
        <v>79</v>
      </c>
      <c r="B236" s="1244"/>
      <c r="C236" s="1255"/>
      <c r="D236" s="1264"/>
      <c r="E236" s="1256"/>
      <c r="F236" s="1244"/>
      <c r="G236" s="1255"/>
      <c r="H236" s="1264"/>
      <c r="I236" s="1265"/>
      <c r="J236" s="1244"/>
      <c r="K236" s="1255"/>
      <c r="L236" s="1264"/>
      <c r="M236" s="1265"/>
      <c r="N236" s="1244"/>
      <c r="O236" s="1255"/>
      <c r="P236" s="1264"/>
      <c r="Q236" s="1265"/>
      <c r="R236" s="1244"/>
      <c r="S236" s="1255"/>
      <c r="T236" s="1264"/>
      <c r="U236" s="1265"/>
      <c r="V236" s="1244"/>
      <c r="W236" s="1255"/>
      <c r="X236" s="1264"/>
      <c r="Y236" s="1265"/>
      <c r="Z236" s="1244"/>
      <c r="AA236" s="1255"/>
      <c r="AB236" s="1264"/>
      <c r="AC236" s="1265"/>
      <c r="AD236" s="1244"/>
      <c r="AE236" s="1255"/>
      <c r="AF236" s="1264"/>
      <c r="AG236" s="1265"/>
      <c r="AH236" s="1244"/>
      <c r="AI236" s="1257">
        <v>0.98299999999999998</v>
      </c>
      <c r="AJ236" s="1287">
        <f>(AI236/AI11)*100</f>
        <v>0.11842759953400003</v>
      </c>
      <c r="AK236" s="1287" t="str">
        <f t="shared" ref="AK236:AK242" si="334">IFERROR(((AI236/AE236-1)*100),"-")</f>
        <v>-</v>
      </c>
      <c r="AL236" s="1244"/>
      <c r="AM236" s="1257">
        <v>1.0620000000000001</v>
      </c>
      <c r="AN236" s="1287">
        <f>(AM236/AM11)*100</f>
        <v>0.11870192404418126</v>
      </c>
      <c r="AO236" s="1287">
        <f t="shared" ref="AO236:AO242" si="335">IFERROR(((AM236/AI236-1)*100),"-")</f>
        <v>8.0366225839267678</v>
      </c>
      <c r="AP236" s="1244"/>
      <c r="AQ236" s="1257">
        <v>1.1160000000000001</v>
      </c>
      <c r="AR236" s="1287">
        <f>(AQ236/AQ11)*100</f>
        <v>0.12011869793914633</v>
      </c>
      <c r="AS236" s="1287">
        <f t="shared" ref="AS236:AS242" si="336">IFERROR(((AQ236/AM236-1)*100),"-")</f>
        <v>5.0847457627118731</v>
      </c>
      <c r="AT236" s="1244"/>
      <c r="AU236" s="1296">
        <v>1.0349999999999999</v>
      </c>
      <c r="AV236" s="1287">
        <f>(AU236/AU11)*100</f>
        <v>0.10535189770913682</v>
      </c>
      <c r="AW236" s="1287">
        <f t="shared" ref="AW236:AW242" si="337">IFERROR(((AU236/AQ236-1)*100),"-")</f>
        <v>-7.258064516129048</v>
      </c>
      <c r="AX236" s="1244"/>
      <c r="AY236" s="1267">
        <v>1.0720000000000001</v>
      </c>
      <c r="AZ236" s="1287">
        <f>(AY236/AY11)*100</f>
        <v>0.1006560483299265</v>
      </c>
      <c r="BA236" s="1287">
        <f t="shared" ref="BA236:BA242" si="338">IFERROR(((AY236/AU236-1)*100),"-")</f>
        <v>3.5748792270531515</v>
      </c>
      <c r="BB236" s="1252"/>
      <c r="BC236" s="1267">
        <v>6.6000000000000003E-2</v>
      </c>
      <c r="BD236" s="1287">
        <f>(BC236/BC11)*100</f>
        <v>5.8496688289760689E-3</v>
      </c>
      <c r="BE236" s="1287">
        <f t="shared" ref="BE236:BE242" si="339">IFERROR(((BC236/AY236-1)*100),"-")</f>
        <v>-93.843283582089555</v>
      </c>
      <c r="BF236" s="1252"/>
      <c r="BG236" s="1257">
        <v>7.2999999999999995E-2</v>
      </c>
      <c r="BH236" s="1287">
        <f>(BG236/BG11)*100</f>
        <v>6.170444584758664E-3</v>
      </c>
      <c r="BI236" s="1287">
        <f t="shared" ref="BI236:BI242" si="340">IFERROR(((BG236/BC236-1)*100),"-")</f>
        <v>10.606060606060597</v>
      </c>
      <c r="BJ236" s="1244"/>
      <c r="BK236" s="1257">
        <v>0</v>
      </c>
      <c r="BL236" s="1287">
        <f>(BK236/BK11)*100</f>
        <v>0</v>
      </c>
      <c r="BM236" s="1287">
        <f t="shared" ref="BM236:BM242" si="341">IFERROR(((BK236/BG236-1)*100),"-")</f>
        <v>-100</v>
      </c>
      <c r="BN236" s="1244"/>
      <c r="BO236" s="1257">
        <v>0</v>
      </c>
      <c r="BP236" s="1287">
        <f>(BO236/BO11)*100</f>
        <v>0</v>
      </c>
      <c r="BQ236" s="1287" t="str">
        <f t="shared" ref="BQ236:BQ242" si="342">IFERROR(((BO236/BK236-1)*100),"-")</f>
        <v>-</v>
      </c>
      <c r="BR236" s="1244"/>
      <c r="BS236" s="2181">
        <v>0</v>
      </c>
      <c r="BT236" s="1287">
        <f>(BS236/BS11)*100</f>
        <v>0</v>
      </c>
      <c r="BU236" s="1287" t="str">
        <f t="shared" ref="BU236:BU242" si="343">IFERROR(((BS236/BO236-1)*100),"-")</f>
        <v>-</v>
      </c>
    </row>
    <row r="237" spans="1:76">
      <c r="A237" s="1254" t="s">
        <v>80</v>
      </c>
      <c r="C237" s="1259"/>
      <c r="D237" s="1264"/>
      <c r="E237" s="1256"/>
      <c r="G237" s="1259"/>
      <c r="H237" s="1264"/>
      <c r="I237" s="1265"/>
      <c r="K237" s="1259"/>
      <c r="L237" s="1264"/>
      <c r="M237" s="1265"/>
      <c r="O237" s="1259"/>
      <c r="P237" s="1264"/>
      <c r="Q237" s="1265"/>
      <c r="S237" s="1259"/>
      <c r="T237" s="1264"/>
      <c r="U237" s="1265"/>
      <c r="W237" s="1259"/>
      <c r="X237" s="1264"/>
      <c r="Y237" s="1265"/>
      <c r="AA237" s="1259"/>
      <c r="AB237" s="1264"/>
      <c r="AC237" s="1265"/>
      <c r="AE237" s="1259"/>
      <c r="AF237" s="1264"/>
      <c r="AG237" s="1265"/>
      <c r="AI237" s="1260">
        <v>1.0209999999999999</v>
      </c>
      <c r="AJ237" s="1287">
        <f t="shared" ref="AJ237:AJ242" si="344">(AI237/AI12)*100</f>
        <v>0.14565364390893865</v>
      </c>
      <c r="AK237" s="1287" t="str">
        <f t="shared" si="334"/>
        <v>-</v>
      </c>
      <c r="AL237" s="1269"/>
      <c r="AM237" s="1260">
        <v>1.1180000000000001</v>
      </c>
      <c r="AN237" s="1287">
        <f t="shared" ref="AN237:AN242" si="345">(AM237/AM12)*100</f>
        <v>0.15341337907375643</v>
      </c>
      <c r="AO237" s="1287">
        <f t="shared" si="335"/>
        <v>9.5004897159647541</v>
      </c>
      <c r="AP237" s="1269"/>
      <c r="AQ237" s="1260">
        <v>1.0409999999999999</v>
      </c>
      <c r="AR237" s="1287">
        <f t="shared" ref="AR237:AR242" si="346">(AQ237/AQ12)*100</f>
        <v>0.13121589615667253</v>
      </c>
      <c r="AS237" s="1287">
        <f t="shared" si="336"/>
        <v>-6.8872987477638814</v>
      </c>
      <c r="AT237" s="1244"/>
      <c r="AU237" s="1297">
        <v>1.0509999999999999</v>
      </c>
      <c r="AV237" s="1287">
        <f t="shared" ref="AV237:AV242" si="347">(AU237/AU12)*100</f>
        <v>0.12161800942678712</v>
      </c>
      <c r="AW237" s="1287">
        <f t="shared" si="337"/>
        <v>0.96061479346782885</v>
      </c>
      <c r="AX237" s="1244"/>
      <c r="AY237" s="1279">
        <v>1.103</v>
      </c>
      <c r="AZ237" s="1287">
        <f t="shared" ref="AZ237:AZ242" si="348">(AY237/AY12)*100</f>
        <v>0.11445339941123427</v>
      </c>
      <c r="BA237" s="1287">
        <f t="shared" si="338"/>
        <v>4.9476688867745144</v>
      </c>
      <c r="BB237" s="1252"/>
      <c r="BC237" s="1279">
        <v>0.06</v>
      </c>
      <c r="BD237" s="1287">
        <f t="shared" ref="BD237:BD242" si="349">(BC237/BC12)*100</f>
        <v>5.7494339203185956E-3</v>
      </c>
      <c r="BE237" s="1287">
        <f t="shared" si="339"/>
        <v>-94.560290117860376</v>
      </c>
      <c r="BF237" s="1252"/>
      <c r="BG237" s="1279">
        <v>0</v>
      </c>
      <c r="BH237" s="1287">
        <f t="shared" ref="BH237:BH242" si="350">(BG237/BG12)*100</f>
        <v>0</v>
      </c>
      <c r="BI237" s="1287">
        <f t="shared" si="340"/>
        <v>-100</v>
      </c>
      <c r="BK237" s="1279">
        <v>0</v>
      </c>
      <c r="BL237" s="1287">
        <f t="shared" ref="BL237:BL242" si="351">(BK237/BK12)*100</f>
        <v>0</v>
      </c>
      <c r="BM237" s="1287" t="str">
        <f t="shared" si="341"/>
        <v>-</v>
      </c>
      <c r="BO237" s="1279">
        <v>0</v>
      </c>
      <c r="BP237" s="1287">
        <f t="shared" ref="BP237:BP242" si="352">(BO237/BO12)*100</f>
        <v>0</v>
      </c>
      <c r="BQ237" s="1287" t="str">
        <f t="shared" si="342"/>
        <v>-</v>
      </c>
      <c r="BS237" s="2054">
        <v>0</v>
      </c>
      <c r="BT237" s="1287">
        <f t="shared" ref="BT237:BT239" si="353">(BS237/BS12)*100</f>
        <v>0</v>
      </c>
      <c r="BU237" s="1287" t="str">
        <f t="shared" si="343"/>
        <v>-</v>
      </c>
    </row>
    <row r="238" spans="1:76">
      <c r="A238" s="1254" t="s">
        <v>81</v>
      </c>
      <c r="C238" s="1259"/>
      <c r="D238" s="1264"/>
      <c r="E238" s="1256"/>
      <c r="G238" s="1259"/>
      <c r="H238" s="1264"/>
      <c r="I238" s="1265"/>
      <c r="K238" s="1259"/>
      <c r="L238" s="1264"/>
      <c r="M238" s="1265"/>
      <c r="O238" s="1259"/>
      <c r="P238" s="1264"/>
      <c r="Q238" s="1265"/>
      <c r="S238" s="1259"/>
      <c r="T238" s="1264"/>
      <c r="U238" s="1265"/>
      <c r="W238" s="1259"/>
      <c r="X238" s="1264"/>
      <c r="Y238" s="1265"/>
      <c r="AA238" s="1259"/>
      <c r="AB238" s="1264"/>
      <c r="AC238" s="1265"/>
      <c r="AE238" s="1259"/>
      <c r="AF238" s="1264"/>
      <c r="AG238" s="1265"/>
      <c r="AI238" s="1260">
        <v>1.0660000000000001</v>
      </c>
      <c r="AJ238" s="1287">
        <f t="shared" si="344"/>
        <v>0.12219529697125317</v>
      </c>
      <c r="AK238" s="1287" t="str">
        <f t="shared" si="334"/>
        <v>-</v>
      </c>
      <c r="AL238" s="1269"/>
      <c r="AM238" s="1260">
        <v>0.96399999999999997</v>
      </c>
      <c r="AN238" s="1287">
        <f t="shared" si="345"/>
        <v>0.1123299611040031</v>
      </c>
      <c r="AO238" s="1287">
        <f t="shared" si="335"/>
        <v>-9.5684803001876197</v>
      </c>
      <c r="AP238" s="1269"/>
      <c r="AQ238" s="1260">
        <v>1.0389999999999999</v>
      </c>
      <c r="AR238" s="1287">
        <f t="shared" si="346"/>
        <v>0.11561619873078116</v>
      </c>
      <c r="AS238" s="1287">
        <f t="shared" si="336"/>
        <v>7.7800829875518618</v>
      </c>
      <c r="AT238" s="1244"/>
      <c r="AU238" s="1297">
        <v>1</v>
      </c>
      <c r="AV238" s="1287">
        <f t="shared" si="347"/>
        <v>0.10331709877321278</v>
      </c>
      <c r="AW238" s="1287">
        <f t="shared" si="337"/>
        <v>-3.7536092396535103</v>
      </c>
      <c r="AX238" s="1244"/>
      <c r="AY238" s="1279">
        <v>0.7</v>
      </c>
      <c r="AZ238" s="1287">
        <f t="shared" si="348"/>
        <v>6.5758448551529264E-2</v>
      </c>
      <c r="BA238" s="1287">
        <f t="shared" si="338"/>
        <v>-30.000000000000004</v>
      </c>
      <c r="BB238" s="1252"/>
      <c r="BC238" s="1279">
        <v>2.8000000000000001E-2</v>
      </c>
      <c r="BD238" s="1287">
        <f t="shared" si="349"/>
        <v>2.4194412473256535E-3</v>
      </c>
      <c r="BE238" s="1287">
        <f t="shared" si="339"/>
        <v>-96</v>
      </c>
      <c r="BF238" s="1252"/>
      <c r="BG238" s="1279">
        <v>1.6E-2</v>
      </c>
      <c r="BH238" s="1287">
        <f t="shared" si="350"/>
        <v>1.2998766742005354E-3</v>
      </c>
      <c r="BI238" s="1287">
        <f t="shared" si="340"/>
        <v>-42.857142857142861</v>
      </c>
      <c r="BK238" s="1279">
        <v>0</v>
      </c>
      <c r="BL238" s="1287">
        <f t="shared" si="351"/>
        <v>0</v>
      </c>
      <c r="BM238" s="1287">
        <f t="shared" si="341"/>
        <v>-100</v>
      </c>
      <c r="BO238" s="2054">
        <v>0</v>
      </c>
      <c r="BP238" s="1287">
        <f t="shared" si="352"/>
        <v>0</v>
      </c>
      <c r="BQ238" s="1287" t="str">
        <f t="shared" si="342"/>
        <v>-</v>
      </c>
      <c r="BS238" s="2054">
        <v>0</v>
      </c>
      <c r="BT238" s="1287">
        <f t="shared" si="353"/>
        <v>0</v>
      </c>
      <c r="BU238" s="1287" t="str">
        <f t="shared" si="343"/>
        <v>-</v>
      </c>
    </row>
    <row r="239" spans="1:76">
      <c r="A239" s="1254" t="s">
        <v>82</v>
      </c>
      <c r="C239" s="1261"/>
      <c r="D239" s="1264"/>
      <c r="E239" s="1256"/>
      <c r="G239" s="1261"/>
      <c r="H239" s="1264"/>
      <c r="I239" s="1265"/>
      <c r="K239" s="1261"/>
      <c r="L239" s="1264"/>
      <c r="M239" s="1265"/>
      <c r="O239" s="1261"/>
      <c r="P239" s="1264"/>
      <c r="Q239" s="1265"/>
      <c r="S239" s="1262"/>
      <c r="T239" s="1264"/>
      <c r="U239" s="1265"/>
      <c r="W239" s="1261"/>
      <c r="X239" s="1264"/>
      <c r="Y239" s="1265"/>
      <c r="AA239" s="1261"/>
      <c r="AB239" s="1264"/>
      <c r="AC239" s="1265"/>
      <c r="AE239" s="1262"/>
      <c r="AF239" s="1264"/>
      <c r="AG239" s="1265"/>
      <c r="AI239" s="1507">
        <f>AI240-SUM(AI236:AI238)</f>
        <v>1.1280000000000001</v>
      </c>
      <c r="AJ239" s="1287">
        <f t="shared" si="344"/>
        <v>0.10075755748674209</v>
      </c>
      <c r="AK239" s="1287" t="str">
        <f t="shared" si="334"/>
        <v>-</v>
      </c>
      <c r="AL239" s="1269"/>
      <c r="AM239" s="1507">
        <f>AM240-SUM(AM236:AM238)</f>
        <v>1.1449999999999996</v>
      </c>
      <c r="AN239" s="1287">
        <f t="shared" si="345"/>
        <v>9.6381444930420113E-2</v>
      </c>
      <c r="AO239" s="1287">
        <f t="shared" si="335"/>
        <v>1.5070921985815167</v>
      </c>
      <c r="AP239" s="1269"/>
      <c r="AQ239" s="1507">
        <f>AQ240-SUM(AQ236:AQ238)</f>
        <v>1.0890000000000004</v>
      </c>
      <c r="AR239" s="1287">
        <f t="shared" si="346"/>
        <v>8.8318231105048439E-2</v>
      </c>
      <c r="AS239" s="1287">
        <f t="shared" si="336"/>
        <v>-4.8908296943230738</v>
      </c>
      <c r="AT239" s="1244"/>
      <c r="AU239" s="1298">
        <v>1.2050000000000001</v>
      </c>
      <c r="AV239" s="1287">
        <f t="shared" si="347"/>
        <v>9.5442735445310511E-2</v>
      </c>
      <c r="AW239" s="1287">
        <f t="shared" si="337"/>
        <v>10.651974288337884</v>
      </c>
      <c r="AX239" s="1244"/>
      <c r="AY239" s="1280">
        <v>3.5000000000000003E-2</v>
      </c>
      <c r="AZ239" s="1287">
        <f t="shared" si="348"/>
        <v>2.62314347020896E-3</v>
      </c>
      <c r="BA239" s="1287">
        <f t="shared" si="338"/>
        <v>-97.095435684647299</v>
      </c>
      <c r="BB239" s="1252"/>
      <c r="BC239" s="1280">
        <v>3.1E-2</v>
      </c>
      <c r="BD239" s="1287">
        <f t="shared" si="349"/>
        <v>2.0870333292490315E-3</v>
      </c>
      <c r="BE239" s="1287">
        <f t="shared" si="339"/>
        <v>-11.428571428571432</v>
      </c>
      <c r="BF239" s="1252"/>
      <c r="BG239" s="1280">
        <v>1.7000000000000001E-2</v>
      </c>
      <c r="BH239" s="1287">
        <f t="shared" si="350"/>
        <v>1.1033451477801021E-3</v>
      </c>
      <c r="BI239" s="1287">
        <f t="shared" si="340"/>
        <v>-45.161290322580641</v>
      </c>
      <c r="BK239" s="1280">
        <v>0</v>
      </c>
      <c r="BL239" s="1287">
        <f t="shared" si="351"/>
        <v>0</v>
      </c>
      <c r="BM239" s="1287">
        <f t="shared" si="341"/>
        <v>-100</v>
      </c>
      <c r="BO239" s="2055">
        <v>0</v>
      </c>
      <c r="BP239" s="1287">
        <f t="shared" si="352"/>
        <v>0</v>
      </c>
      <c r="BQ239" s="1287" t="str">
        <f t="shared" si="342"/>
        <v>-</v>
      </c>
      <c r="BS239" s="2055">
        <v>0</v>
      </c>
      <c r="BT239" s="1287">
        <f t="shared" si="353"/>
        <v>0</v>
      </c>
      <c r="BU239" s="1287" t="str">
        <f t="shared" si="343"/>
        <v>-</v>
      </c>
    </row>
    <row r="240" spans="1:76">
      <c r="A240" s="1254" t="s">
        <v>85</v>
      </c>
      <c r="C240" s="1252"/>
      <c r="D240" s="1264"/>
      <c r="E240" s="1256"/>
      <c r="G240" s="1252"/>
      <c r="H240" s="1264"/>
      <c r="I240" s="1265"/>
      <c r="K240" s="1252"/>
      <c r="L240" s="1264"/>
      <c r="M240" s="1265"/>
      <c r="O240" s="1252"/>
      <c r="P240" s="1264"/>
      <c r="Q240" s="1265"/>
      <c r="S240" s="1252"/>
      <c r="T240" s="1264"/>
      <c r="U240" s="1265"/>
      <c r="W240" s="1252"/>
      <c r="X240" s="1264"/>
      <c r="Y240" s="1265"/>
      <c r="AA240" s="1252"/>
      <c r="AB240" s="1264"/>
      <c r="AC240" s="1265"/>
      <c r="AD240" s="1252"/>
      <c r="AE240" s="1252"/>
      <c r="AF240" s="1264"/>
      <c r="AG240" s="1265"/>
      <c r="AI240" s="1255">
        <v>4.1980000000000004</v>
      </c>
      <c r="AJ240" s="1287">
        <f t="shared" si="344"/>
        <v>0.11916271586533196</v>
      </c>
      <c r="AK240" s="1287" t="str">
        <f t="shared" si="334"/>
        <v>-</v>
      </c>
      <c r="AM240" s="1255">
        <v>4.2889999999999997</v>
      </c>
      <c r="AN240" s="1287">
        <f t="shared" si="345"/>
        <v>0.11687916019230422</v>
      </c>
      <c r="AO240" s="1287">
        <f t="shared" si="335"/>
        <v>2.1676989042400896</v>
      </c>
      <c r="AQ240" s="1255">
        <v>4.2850000000000001</v>
      </c>
      <c r="AR240" s="1287">
        <f t="shared" si="346"/>
        <v>0.11117932069824248</v>
      </c>
      <c r="AS240" s="1287">
        <f t="shared" si="336"/>
        <v>-9.3261832595004091E-2</v>
      </c>
      <c r="AT240" s="1244"/>
      <c r="AU240" s="1300">
        <f>SUM(AU236:AU239)</f>
        <v>4.2910000000000004</v>
      </c>
      <c r="AV240" s="1287">
        <f t="shared" si="347"/>
        <v>0.10524807543798047</v>
      </c>
      <c r="AW240" s="1287">
        <f t="shared" si="337"/>
        <v>0.14002333722287208</v>
      </c>
      <c r="AX240" s="1244"/>
      <c r="AY240" s="1255">
        <f>SUM(AY236:AY239)</f>
        <v>2.91</v>
      </c>
      <c r="AZ240" s="1287">
        <f t="shared" si="348"/>
        <v>6.5725534234533561E-2</v>
      </c>
      <c r="BA240" s="1287">
        <f t="shared" si="338"/>
        <v>-32.183640177114889</v>
      </c>
      <c r="BB240" s="1244"/>
      <c r="BC240" s="1255">
        <f>SUM(BC236:BC239)</f>
        <v>0.185</v>
      </c>
      <c r="BD240" s="1287">
        <f t="shared" si="349"/>
        <v>3.8425557440600316E-3</v>
      </c>
      <c r="BE240" s="1287">
        <f t="shared" si="339"/>
        <v>-93.642611683848799</v>
      </c>
      <c r="BF240" s="1244"/>
      <c r="BG240" s="1253">
        <f>SUM(BG236:BG239)</f>
        <v>0.106</v>
      </c>
      <c r="BH240" s="1287">
        <f t="shared" si="350"/>
        <v>2.0788667116957041E-3</v>
      </c>
      <c r="BI240" s="1287">
        <f t="shared" si="340"/>
        <v>-42.702702702702702</v>
      </c>
      <c r="BK240" s="1253">
        <f>SUM(BK236:BK239)</f>
        <v>0</v>
      </c>
      <c r="BL240" s="1287">
        <f t="shared" si="351"/>
        <v>0</v>
      </c>
      <c r="BM240" s="1287">
        <f t="shared" si="341"/>
        <v>-100</v>
      </c>
      <c r="BO240" s="1253">
        <f>SUM(BO236:BO239)</f>
        <v>0</v>
      </c>
      <c r="BP240" s="1287">
        <f>(BO240/BO15)*100</f>
        <v>0</v>
      </c>
      <c r="BQ240" s="1287" t="str">
        <f t="shared" si="342"/>
        <v>-</v>
      </c>
      <c r="BS240" s="1253">
        <f>SUM(BS236:BS239)</f>
        <v>0</v>
      </c>
      <c r="BT240" s="1287">
        <f>(BS240/BS15)*100</f>
        <v>0</v>
      </c>
      <c r="BU240" s="1287" t="str">
        <f t="shared" si="343"/>
        <v>-</v>
      </c>
    </row>
    <row r="241" spans="1:73">
      <c r="A241" s="1254" t="s">
        <v>87</v>
      </c>
      <c r="C241" s="1252"/>
      <c r="D241" s="1264"/>
      <c r="E241" s="1256"/>
      <c r="G241" s="1252"/>
      <c r="H241" s="1264"/>
      <c r="I241" s="1265"/>
      <c r="K241" s="1252"/>
      <c r="L241" s="1264"/>
      <c r="M241" s="1265"/>
      <c r="O241" s="1252"/>
      <c r="P241" s="1264"/>
      <c r="Q241" s="1265"/>
      <c r="S241" s="1252"/>
      <c r="T241" s="1264"/>
      <c r="U241" s="1265"/>
      <c r="W241" s="1252"/>
      <c r="X241" s="1264"/>
      <c r="Y241" s="1265"/>
      <c r="AA241" s="1252"/>
      <c r="AB241" s="1264"/>
      <c r="AC241" s="1265"/>
      <c r="AD241" s="1252"/>
      <c r="AE241" s="1252"/>
      <c r="AF241" s="1264"/>
      <c r="AG241" s="1265"/>
      <c r="AI241" s="1253">
        <f>SUM(AI236:AI237)</f>
        <v>2.004</v>
      </c>
      <c r="AJ241" s="1287">
        <f t="shared" si="344"/>
        <v>0.13089304457613579</v>
      </c>
      <c r="AK241" s="1287" t="str">
        <f t="shared" si="334"/>
        <v>-</v>
      </c>
      <c r="AM241" s="1253">
        <f>SUM(AM236:AM237)</f>
        <v>2.1800000000000002</v>
      </c>
      <c r="AN241" s="1287">
        <f t="shared" si="345"/>
        <v>0.13428375018787408</v>
      </c>
      <c r="AO241" s="1287">
        <f t="shared" si="335"/>
        <v>8.782435129740529</v>
      </c>
      <c r="AQ241" s="1253">
        <f>SUM(AQ236:AQ237)</f>
        <v>2.157</v>
      </c>
      <c r="AR241" s="1287">
        <f t="shared" si="346"/>
        <v>0.12523005289039324</v>
      </c>
      <c r="AS241" s="1287">
        <f t="shared" si="336"/>
        <v>-1.0550458715596345</v>
      </c>
      <c r="AT241" s="1244"/>
      <c r="AU241" s="1253">
        <f>SUM(AU236:AU237)</f>
        <v>2.0859999999999999</v>
      </c>
      <c r="AV241" s="1287">
        <f t="shared" si="347"/>
        <v>0.11296418264774465</v>
      </c>
      <c r="AW241" s="1287">
        <f t="shared" si="337"/>
        <v>-3.2916087158090024</v>
      </c>
      <c r="AX241" s="1244"/>
      <c r="AY241" s="1253">
        <f>SUM(AY236:AY237)</f>
        <v>2.1749999999999998</v>
      </c>
      <c r="AZ241" s="1287">
        <f t="shared" si="348"/>
        <v>0.10721024644061981</v>
      </c>
      <c r="BA241" s="1287">
        <f t="shared" si="338"/>
        <v>4.2665388302972174</v>
      </c>
      <c r="BB241" s="1244"/>
      <c r="BC241" s="1253">
        <f>SUM(BC236:BC237)</f>
        <v>0.126</v>
      </c>
      <c r="BD241" s="1287">
        <f t="shared" si="349"/>
        <v>5.8015056288417714E-3</v>
      </c>
      <c r="BE241" s="1287">
        <f t="shared" si="339"/>
        <v>-94.206896551724142</v>
      </c>
      <c r="BF241" s="1244"/>
      <c r="BG241" s="1253">
        <f>SUM(BG236:BG237)</f>
        <v>7.2999999999999995E-2</v>
      </c>
      <c r="BH241" s="1287">
        <f t="shared" si="350"/>
        <v>3.1367129911909924E-3</v>
      </c>
      <c r="BI241" s="1287">
        <f t="shared" si="340"/>
        <v>-42.06349206349207</v>
      </c>
      <c r="BK241" s="1253">
        <f>SUM(BK236:BK237)</f>
        <v>0</v>
      </c>
      <c r="BL241" s="1287">
        <f t="shared" si="351"/>
        <v>0</v>
      </c>
      <c r="BM241" s="1287">
        <f t="shared" si="341"/>
        <v>-100</v>
      </c>
      <c r="BO241" s="1253">
        <f>SUM(BO236:BO237)</f>
        <v>0</v>
      </c>
      <c r="BP241" s="1287">
        <f t="shared" si="352"/>
        <v>0</v>
      </c>
      <c r="BQ241" s="1287" t="str">
        <f t="shared" si="342"/>
        <v>-</v>
      </c>
      <c r="BS241" s="1253">
        <f>SUM(BS236:BS237)</f>
        <v>0</v>
      </c>
      <c r="BT241" s="1287">
        <f t="shared" ref="BT241:BT242" si="354">(BS241/BS16)*100</f>
        <v>0</v>
      </c>
      <c r="BU241" s="1287" t="str">
        <f t="shared" si="343"/>
        <v>-</v>
      </c>
    </row>
    <row r="242" spans="1:73">
      <c r="A242" s="1254" t="s">
        <v>88</v>
      </c>
      <c r="C242" s="1252"/>
      <c r="D242" s="1264"/>
      <c r="E242" s="1256"/>
      <c r="G242" s="1252"/>
      <c r="H242" s="1264"/>
      <c r="I242" s="1265"/>
      <c r="K242" s="1252"/>
      <c r="L242" s="1264"/>
      <c r="M242" s="1265"/>
      <c r="O242" s="1252"/>
      <c r="P242" s="1264"/>
      <c r="Q242" s="1265"/>
      <c r="S242" s="1252"/>
      <c r="T242" s="1264"/>
      <c r="U242" s="1265"/>
      <c r="W242" s="1252"/>
      <c r="X242" s="1264"/>
      <c r="Y242" s="1265"/>
      <c r="AA242" s="1252"/>
      <c r="AB242" s="1264"/>
      <c r="AC242" s="1265"/>
      <c r="AD242" s="1252"/>
      <c r="AE242" s="1252"/>
      <c r="AF242" s="1264"/>
      <c r="AG242" s="1265"/>
      <c r="AI242" s="1371">
        <f>SUM(AI236:AI238)</f>
        <v>3.0700000000000003</v>
      </c>
      <c r="AJ242" s="1287">
        <f t="shared" si="344"/>
        <v>0.12773597348750415</v>
      </c>
      <c r="AK242" s="1287" t="str">
        <f t="shared" si="334"/>
        <v>-</v>
      </c>
      <c r="AM242" s="1371">
        <f>SUM(AM236:AM238)</f>
        <v>3.1440000000000001</v>
      </c>
      <c r="AN242" s="1287">
        <f t="shared" si="345"/>
        <v>0.12669174174549308</v>
      </c>
      <c r="AO242" s="1287">
        <f t="shared" si="335"/>
        <v>2.4104234527687174</v>
      </c>
      <c r="AQ242" s="1371">
        <f>SUM(AQ236:AQ238)</f>
        <v>3.1959999999999997</v>
      </c>
      <c r="AR242" s="1287">
        <f t="shared" si="346"/>
        <v>0.12193386499448892</v>
      </c>
      <c r="AS242" s="1287">
        <f t="shared" si="336"/>
        <v>1.6539440203562128</v>
      </c>
      <c r="AT242" s="1244"/>
      <c r="AU242" s="1371">
        <f>SUM(AU236:AU238)</f>
        <v>3.0859999999999999</v>
      </c>
      <c r="AV242" s="1287">
        <f t="shared" si="347"/>
        <v>0.10964658999880758</v>
      </c>
      <c r="AW242" s="1287">
        <f t="shared" si="337"/>
        <v>-3.4418022528160175</v>
      </c>
      <c r="AX242" s="1244"/>
      <c r="AY242" s="1371">
        <f>SUM(AY236:AY238)</f>
        <v>2.875</v>
      </c>
      <c r="AZ242" s="1287">
        <f t="shared" si="348"/>
        <v>9.2945035377305127E-2</v>
      </c>
      <c r="BA242" s="1287">
        <f t="shared" si="338"/>
        <v>-6.8373298768632518</v>
      </c>
      <c r="BB242" s="1244"/>
      <c r="BC242" s="1371">
        <f>SUM(BC236:BC238)</f>
        <v>0.154</v>
      </c>
      <c r="BD242" s="1287">
        <f t="shared" si="349"/>
        <v>4.6258165016691988E-3</v>
      </c>
      <c r="BE242" s="1287">
        <f t="shared" si="339"/>
        <v>-94.643478260869557</v>
      </c>
      <c r="BF242" s="1244"/>
      <c r="BG242" s="1371">
        <f>SUM(BG236:BG238)</f>
        <v>8.8999999999999996E-2</v>
      </c>
      <c r="BH242" s="1287">
        <f t="shared" si="350"/>
        <v>2.5012906941025465E-3</v>
      </c>
      <c r="BI242" s="1287">
        <f t="shared" si="340"/>
        <v>-42.207792207792203</v>
      </c>
      <c r="BK242" s="1371">
        <f>SUM(BK236:BK238)</f>
        <v>0</v>
      </c>
      <c r="BL242" s="1287">
        <f t="shared" si="351"/>
        <v>0</v>
      </c>
      <c r="BM242" s="1287">
        <f t="shared" si="341"/>
        <v>-100</v>
      </c>
      <c r="BO242" s="1371">
        <f>SUM(BO236:BO238)</f>
        <v>0</v>
      </c>
      <c r="BP242" s="1287">
        <f t="shared" si="352"/>
        <v>0</v>
      </c>
      <c r="BQ242" s="1287" t="str">
        <f t="shared" si="342"/>
        <v>-</v>
      </c>
      <c r="BS242" s="1371">
        <f>SUM(BS236:BS238)</f>
        <v>0</v>
      </c>
      <c r="BT242" s="1287">
        <f t="shared" si="354"/>
        <v>0</v>
      </c>
      <c r="BU242" s="1287" t="str">
        <f t="shared" si="343"/>
        <v>-</v>
      </c>
    </row>
    <row r="243" spans="1:73">
      <c r="A243" s="1254"/>
      <c r="C243" s="1252"/>
      <c r="D243" s="1264"/>
      <c r="E243" s="1256"/>
      <c r="G243" s="1252"/>
      <c r="H243" s="1264"/>
      <c r="I243" s="1265"/>
      <c r="K243" s="1252"/>
      <c r="L243" s="1264"/>
      <c r="M243" s="1265"/>
      <c r="O243" s="1252"/>
      <c r="P243" s="1264"/>
      <c r="Q243" s="1265"/>
      <c r="S243" s="1252"/>
      <c r="T243" s="1264"/>
      <c r="U243" s="1265"/>
      <c r="W243" s="1252"/>
      <c r="X243" s="1264"/>
      <c r="Y243" s="1265"/>
      <c r="AA243" s="1252"/>
      <c r="AB243" s="1264"/>
      <c r="AC243" s="1265"/>
      <c r="AD243" s="1252"/>
      <c r="AE243" s="1252"/>
      <c r="AF243" s="1264"/>
      <c r="AG243" s="1265"/>
      <c r="AI243" s="1253"/>
      <c r="AJ243" s="1266"/>
      <c r="AK243" s="1258"/>
      <c r="AM243" s="1253"/>
      <c r="AN243" s="1266"/>
      <c r="AO243" s="1258"/>
      <c r="AQ243" s="1255"/>
      <c r="AR243" s="1287"/>
      <c r="AS243" s="1287"/>
      <c r="AT243" s="1244"/>
      <c r="AU243" s="1300"/>
      <c r="AV243" s="1287"/>
      <c r="AW243" s="1287"/>
      <c r="AX243" s="1244"/>
      <c r="AY243" s="1255"/>
      <c r="AZ243" s="1287"/>
      <c r="BA243" s="1287"/>
      <c r="BB243" s="1244"/>
      <c r="BC243" s="1255"/>
      <c r="BD243" s="1287"/>
      <c r="BE243" s="1287"/>
      <c r="BF243" s="1244"/>
      <c r="BG243" s="1253"/>
      <c r="BH243" s="1287"/>
      <c r="BI243" s="1287"/>
      <c r="BK243" s="1253"/>
      <c r="BL243" s="1287"/>
      <c r="BM243" s="1287"/>
      <c r="BO243" s="1253"/>
      <c r="BP243" s="1287"/>
      <c r="BQ243" s="1287"/>
      <c r="BS243" s="1253"/>
      <c r="BT243" s="1287"/>
      <c r="BU243" s="1287"/>
    </row>
    <row r="244" spans="1:73" ht="10.5" customHeight="1" outlineLevel="1">
      <c r="A244" s="1251" t="s">
        <v>878</v>
      </c>
      <c r="B244" s="1281"/>
      <c r="C244" s="1281"/>
      <c r="D244" s="1281"/>
      <c r="E244" s="1281"/>
      <c r="F244" s="1281"/>
      <c r="G244" s="1281"/>
      <c r="H244" s="1281"/>
      <c r="I244" s="1281"/>
      <c r="J244" s="1281"/>
      <c r="K244" s="1281"/>
      <c r="L244" s="1281"/>
      <c r="M244" s="1281"/>
      <c r="N244" s="1281"/>
      <c r="O244" s="1281"/>
      <c r="P244" s="1281"/>
      <c r="Q244" s="1281"/>
      <c r="R244" s="1281"/>
      <c r="S244" s="1281"/>
      <c r="T244" s="1281"/>
      <c r="U244" s="1281"/>
      <c r="V244" s="1281"/>
      <c r="W244" s="1281"/>
      <c r="X244" s="1281"/>
      <c r="Y244" s="1281"/>
      <c r="Z244" s="1281"/>
      <c r="AA244" s="1281"/>
      <c r="AB244" s="1281"/>
      <c r="AC244" s="1281"/>
      <c r="AD244" s="1281"/>
      <c r="AE244" s="1281"/>
      <c r="AF244" s="1281"/>
      <c r="AG244" s="1281"/>
      <c r="AH244" s="1281"/>
      <c r="AI244" s="1281"/>
      <c r="AJ244" s="1281"/>
      <c r="AK244" s="1281"/>
      <c r="AL244" s="1281"/>
      <c r="AM244" s="1281"/>
      <c r="AN244" s="1281"/>
      <c r="AO244" s="1281"/>
      <c r="AP244" s="1281"/>
      <c r="AQ244" s="1281"/>
      <c r="AR244" s="1281"/>
      <c r="AS244" s="1281"/>
      <c r="AT244" s="1281"/>
      <c r="AU244" s="1281"/>
      <c r="AV244" s="1281"/>
      <c r="AW244" s="1281"/>
      <c r="AX244" s="1281"/>
      <c r="AY244" s="1281"/>
      <c r="AZ244" s="1281"/>
      <c r="BA244" s="1281"/>
      <c r="BB244" s="1282"/>
      <c r="BC244" s="1318"/>
      <c r="BD244" s="1281"/>
      <c r="BE244" s="1319"/>
      <c r="BF244" s="1282"/>
      <c r="BG244" s="2264" t="str">
        <f>A244</f>
        <v>Other Non-Recurring Items (% Sales) /  % Change</v>
      </c>
      <c r="BH244" s="2264"/>
      <c r="BI244" s="2264"/>
      <c r="BJ244" s="2264"/>
      <c r="BK244" s="2266"/>
      <c r="BL244" s="2264"/>
      <c r="BM244" s="2264"/>
      <c r="BN244" s="1663"/>
      <c r="BO244" s="1663"/>
      <c r="BP244" s="1663"/>
      <c r="BQ244" s="1663"/>
      <c r="BR244" s="2149"/>
      <c r="BS244" s="2149"/>
      <c r="BT244" s="2149"/>
      <c r="BU244" s="2149"/>
    </row>
    <row r="245" spans="1:73" outlineLevel="1">
      <c r="AT245" s="1244"/>
      <c r="AU245" s="1293"/>
      <c r="AX245" s="1244"/>
      <c r="AY245" s="1245"/>
      <c r="BB245" s="1244"/>
      <c r="BC245" s="1245"/>
      <c r="BF245" s="1244"/>
      <c r="BG245" s="1245"/>
      <c r="BK245" s="1245"/>
      <c r="BO245" s="1245"/>
      <c r="BS245" s="1245"/>
    </row>
    <row r="246" spans="1:73" outlineLevel="1">
      <c r="A246" s="1254" t="s">
        <v>79</v>
      </c>
      <c r="C246" s="1255"/>
      <c r="D246" s="1264"/>
      <c r="E246" s="1256"/>
      <c r="G246" s="1255"/>
      <c r="H246" s="1264"/>
      <c r="I246" s="1265"/>
      <c r="K246" s="1255"/>
      <c r="L246" s="1264"/>
      <c r="M246" s="1265"/>
      <c r="O246" s="1255"/>
      <c r="P246" s="1264"/>
      <c r="Q246" s="1265"/>
      <c r="S246" s="1255"/>
      <c r="T246" s="1264"/>
      <c r="U246" s="1265"/>
      <c r="W246" s="1255"/>
      <c r="X246" s="1264"/>
      <c r="Y246" s="1265"/>
      <c r="AA246" s="1255"/>
      <c r="AB246" s="1264"/>
      <c r="AC246" s="1265"/>
      <c r="AE246" s="1255"/>
      <c r="AF246" s="1264"/>
      <c r="AG246" s="1265"/>
      <c r="AI246" s="1266">
        <v>0</v>
      </c>
      <c r="AJ246" s="1266"/>
      <c r="AK246" s="1255"/>
      <c r="AM246" s="1296">
        <v>0</v>
      </c>
      <c r="AN246" s="1266"/>
      <c r="AO246" s="1255"/>
      <c r="AQ246" s="1296">
        <v>0</v>
      </c>
      <c r="AR246" s="1287">
        <f>(AQ246/AQ$11)*100</f>
        <v>0</v>
      </c>
      <c r="AS246" s="1287" t="str">
        <f>IFERROR(((AQ246/AM246-1)*100),"-")</f>
        <v>-</v>
      </c>
      <c r="AT246" s="1244"/>
      <c r="AU246" s="1296">
        <v>0</v>
      </c>
      <c r="AV246" s="1287">
        <f>(AU246/AU$11)*100</f>
        <v>0</v>
      </c>
      <c r="AW246" s="1287" t="str">
        <f>IFERROR(((AU246/AQ246-1)*100),"-")</f>
        <v>-</v>
      </c>
      <c r="AX246" s="1244"/>
      <c r="AY246" s="1267">
        <v>0</v>
      </c>
      <c r="AZ246" s="1287">
        <f>(AY246/AY$11)*100</f>
        <v>0</v>
      </c>
      <c r="BA246" s="1287" t="str">
        <f>IFERROR(((AY246/AU246-1)*100),"-")</f>
        <v>-</v>
      </c>
      <c r="BB246" s="1252"/>
      <c r="BC246" s="1267">
        <v>0</v>
      </c>
      <c r="BD246" s="1287">
        <f>(BC246/BC$11)*100</f>
        <v>0</v>
      </c>
      <c r="BE246" s="1287" t="str">
        <f>IFERROR(((BC246/AY246-1)*100),"-")</f>
        <v>-</v>
      </c>
      <c r="BF246" s="1252"/>
      <c r="BG246" s="1267">
        <v>0</v>
      </c>
      <c r="BH246" s="1287">
        <f>(BG246/BG$11)*100</f>
        <v>0</v>
      </c>
      <c r="BI246" s="1287" t="str">
        <f>IFERROR(((BG246/BC246-1)*100),"-")</f>
        <v>-</v>
      </c>
      <c r="BK246" s="1267">
        <v>0</v>
      </c>
      <c r="BL246" s="1287">
        <f>(BK246/BK$11)*100</f>
        <v>0</v>
      </c>
      <c r="BM246" s="1287" t="str">
        <f>IFERROR(((BK246/BG246-1)*100),"-")</f>
        <v>-</v>
      </c>
      <c r="BO246" s="1267">
        <v>0</v>
      </c>
      <c r="BP246" s="1287">
        <f>(BO246/BO$11)*100</f>
        <v>0</v>
      </c>
      <c r="BQ246" s="1287" t="str">
        <f>IFERROR(((BO246/BK246-1)*100),"-")</f>
        <v>-</v>
      </c>
      <c r="BS246" s="2182">
        <v>0</v>
      </c>
      <c r="BT246" s="1287">
        <f>(BS246/BS$11)*100</f>
        <v>0</v>
      </c>
      <c r="BU246" s="1287" t="str">
        <f>IFERROR(((BS246/BO246-1)*100),"-")</f>
        <v>-</v>
      </c>
    </row>
    <row r="247" spans="1:73" outlineLevel="1">
      <c r="A247" s="1254" t="s">
        <v>80</v>
      </c>
      <c r="C247" s="1259"/>
      <c r="D247" s="1264"/>
      <c r="E247" s="1256"/>
      <c r="G247" s="1259"/>
      <c r="H247" s="1264"/>
      <c r="I247" s="1265"/>
      <c r="K247" s="1259"/>
      <c r="L247" s="1264"/>
      <c r="M247" s="1265"/>
      <c r="O247" s="1259"/>
      <c r="P247" s="1264"/>
      <c r="Q247" s="1265"/>
      <c r="S247" s="1259"/>
      <c r="T247" s="1264"/>
      <c r="U247" s="1265"/>
      <c r="W247" s="1259"/>
      <c r="X247" s="1264"/>
      <c r="Y247" s="1265"/>
      <c r="AA247" s="1259"/>
      <c r="AB247" s="1264"/>
      <c r="AC247" s="1265"/>
      <c r="AE247" s="1259"/>
      <c r="AF247" s="1264"/>
      <c r="AG247" s="1265"/>
      <c r="AI247" s="1259">
        <v>0</v>
      </c>
      <c r="AJ247" s="1270"/>
      <c r="AK247" s="1271"/>
      <c r="AL247" s="1269"/>
      <c r="AM247" s="1301">
        <v>0</v>
      </c>
      <c r="AN247" s="1270"/>
      <c r="AO247" s="1271"/>
      <c r="AP247" s="1269"/>
      <c r="AQ247" s="1301">
        <v>0</v>
      </c>
      <c r="AR247" s="1287">
        <f>(AQ247/AQ$12)*100</f>
        <v>0</v>
      </c>
      <c r="AS247" s="1287" t="str">
        <f>IFERROR(((AQ247/AM247-1)*100),"-")</f>
        <v>-</v>
      </c>
      <c r="AT247" s="1244"/>
      <c r="AU247" s="1301">
        <v>0</v>
      </c>
      <c r="AV247" s="1287">
        <f>(AU247/AU$12)*100</f>
        <v>0</v>
      </c>
      <c r="AW247" s="1287" t="str">
        <f>IFERROR(((AU247/AQ247-1)*100),"-")</f>
        <v>-</v>
      </c>
      <c r="AX247" s="1244"/>
      <c r="AY247" s="1272">
        <v>0</v>
      </c>
      <c r="AZ247" s="1287">
        <f>(AY247/AY$12)*100</f>
        <v>0</v>
      </c>
      <c r="BA247" s="1287" t="str">
        <f>IFERROR(((AY247/AU247-1)*100),"-")</f>
        <v>-</v>
      </c>
      <c r="BB247" s="1252"/>
      <c r="BC247" s="1272">
        <v>0</v>
      </c>
      <c r="BD247" s="1287">
        <f>(BC247/BC$12)*100</f>
        <v>0</v>
      </c>
      <c r="BE247" s="1287" t="str">
        <f>IFERROR(((BC247/AY247-1)*100),"-")</f>
        <v>-</v>
      </c>
      <c r="BF247" s="1244"/>
      <c r="BG247" s="1272">
        <v>0</v>
      </c>
      <c r="BH247" s="1287">
        <f>(BG247/BG$12)*100</f>
        <v>0</v>
      </c>
      <c r="BI247" s="1287" t="str">
        <f>IFERROR(((BG247/BC247-1)*100),"-")</f>
        <v>-</v>
      </c>
      <c r="BK247" s="1272">
        <v>1.4</v>
      </c>
      <c r="BL247" s="1287">
        <f>(BK247/BK$12)*100</f>
        <v>0.11154907402316872</v>
      </c>
      <c r="BM247" s="1287" t="str">
        <f>IFERROR(((BK247/BG247-1)*100),"-")</f>
        <v>-</v>
      </c>
      <c r="BO247" s="2183">
        <v>0</v>
      </c>
      <c r="BP247" s="1287">
        <f>(BO247/BO$12)*100</f>
        <v>0</v>
      </c>
      <c r="BQ247" s="1287">
        <f>IFERROR(((BO247/BK247-1)*100),"-")</f>
        <v>-100</v>
      </c>
      <c r="BS247" s="2056">
        <v>0</v>
      </c>
      <c r="BT247" s="1287">
        <f>(BS247/BS$12)*100</f>
        <v>0</v>
      </c>
      <c r="BU247" s="1287" t="str">
        <f>IFERROR(((BS247/BO247-1)*100),"-")</f>
        <v>-</v>
      </c>
    </row>
    <row r="248" spans="1:73" outlineLevel="1">
      <c r="A248" s="1254" t="s">
        <v>81</v>
      </c>
      <c r="C248" s="1259"/>
      <c r="D248" s="1264"/>
      <c r="E248" s="1256"/>
      <c r="G248" s="1259"/>
      <c r="H248" s="1264"/>
      <c r="I248" s="1265"/>
      <c r="K248" s="1259"/>
      <c r="L248" s="1264"/>
      <c r="M248" s="1265"/>
      <c r="O248" s="1259"/>
      <c r="P248" s="1264"/>
      <c r="Q248" s="1265"/>
      <c r="S248" s="1259"/>
      <c r="T248" s="1264"/>
      <c r="U248" s="1265"/>
      <c r="W248" s="1259"/>
      <c r="X248" s="1264"/>
      <c r="Y248" s="1265"/>
      <c r="AA248" s="1259"/>
      <c r="AB248" s="1264"/>
      <c r="AC248" s="1265"/>
      <c r="AE248" s="1259"/>
      <c r="AF248" s="1264"/>
      <c r="AG248" s="1265"/>
      <c r="AI248" s="1255">
        <v>0</v>
      </c>
      <c r="AJ248" s="1270"/>
      <c r="AK248" s="1271"/>
      <c r="AL248" s="1269"/>
      <c r="AM248" s="1301">
        <v>0</v>
      </c>
      <c r="AN248" s="1270"/>
      <c r="AO248" s="1271"/>
      <c r="AP248" s="1269"/>
      <c r="AQ248" s="1301">
        <v>0</v>
      </c>
      <c r="AR248" s="1287">
        <f>(AQ248/AQ$13)*100</f>
        <v>0</v>
      </c>
      <c r="AS248" s="1287" t="str">
        <f>IFERROR(((AQ248/AM248-1)*100),"-")</f>
        <v>-</v>
      </c>
      <c r="AT248" s="1244"/>
      <c r="AU248" s="1301">
        <v>0</v>
      </c>
      <c r="AV248" s="1287">
        <f>(AU248/AU$13)*100</f>
        <v>0</v>
      </c>
      <c r="AW248" s="1287" t="str">
        <f>IFERROR(((AU248/AQ248-1)*100),"-")</f>
        <v>-</v>
      </c>
      <c r="AX248" s="1244"/>
      <c r="AY248" s="1272">
        <v>0</v>
      </c>
      <c r="AZ248" s="1287">
        <f>(AY248/AY$13)*100</f>
        <v>0</v>
      </c>
      <c r="BA248" s="1287" t="str">
        <f>IFERROR(((AY248/AU248-1)*100),"-")</f>
        <v>-</v>
      </c>
      <c r="BB248" s="1252"/>
      <c r="BC248" s="1272">
        <v>0</v>
      </c>
      <c r="BD248" s="1287">
        <f>(BC248/BC$13)*100</f>
        <v>0</v>
      </c>
      <c r="BE248" s="1287" t="str">
        <f>IFERROR(((BC248/AY248-1)*100),"-")</f>
        <v>-</v>
      </c>
      <c r="BF248" s="1252"/>
      <c r="BG248" s="1272">
        <v>0</v>
      </c>
      <c r="BH248" s="1287">
        <f>(BG248/BG$13)*100</f>
        <v>0</v>
      </c>
      <c r="BI248" s="1287" t="str">
        <f>IFERROR(((BG248/BC248-1)*100),"-")</f>
        <v>-</v>
      </c>
      <c r="BJ248" s="1282"/>
      <c r="BK248" s="1272">
        <v>0</v>
      </c>
      <c r="BL248" s="1287">
        <f>(BK248/BK$13)*100</f>
        <v>0</v>
      </c>
      <c r="BM248" s="1287" t="str">
        <f>IFERROR(((BK248/BG248-1)*100),"-")</f>
        <v>-</v>
      </c>
      <c r="BN248" s="1282"/>
      <c r="BO248" s="2056">
        <v>0</v>
      </c>
      <c r="BP248" s="1287">
        <f>(BO248/BO$13)*100</f>
        <v>0</v>
      </c>
      <c r="BQ248" s="1287" t="str">
        <f>IFERROR(((BO248/BK248-1)*100),"-")</f>
        <v>-</v>
      </c>
      <c r="BR248" s="1282"/>
      <c r="BS248" s="2056">
        <v>0</v>
      </c>
      <c r="BT248" s="1287">
        <f>(BS248/BS$13)*100</f>
        <v>0</v>
      </c>
      <c r="BU248" s="1287" t="str">
        <f>IFERROR(((BS248/BO248-1)*100),"-")</f>
        <v>-</v>
      </c>
    </row>
    <row r="249" spans="1:73" outlineLevel="1">
      <c r="A249" s="1254" t="s">
        <v>82</v>
      </c>
      <c r="C249" s="1261"/>
      <c r="D249" s="1264"/>
      <c r="E249" s="1256"/>
      <c r="G249" s="1261"/>
      <c r="H249" s="1264"/>
      <c r="I249" s="1265"/>
      <c r="K249" s="1261"/>
      <c r="L249" s="1264"/>
      <c r="M249" s="1265"/>
      <c r="O249" s="1261"/>
      <c r="P249" s="1264"/>
      <c r="Q249" s="1265"/>
      <c r="S249" s="1262"/>
      <c r="T249" s="1264"/>
      <c r="U249" s="1265"/>
      <c r="W249" s="1261"/>
      <c r="X249" s="1264"/>
      <c r="Y249" s="1265"/>
      <c r="AA249" s="1261"/>
      <c r="AB249" s="1264"/>
      <c r="AC249" s="1265"/>
      <c r="AE249" s="1262"/>
      <c r="AF249" s="1264"/>
      <c r="AG249" s="1265"/>
      <c r="AI249" s="1276">
        <v>0</v>
      </c>
      <c r="AJ249" s="1275"/>
      <c r="AK249" s="1271"/>
      <c r="AL249" s="1269"/>
      <c r="AM249" s="1276">
        <v>0</v>
      </c>
      <c r="AN249" s="1275"/>
      <c r="AO249" s="1271"/>
      <c r="AP249" s="1269"/>
      <c r="AQ249" s="1276">
        <v>0</v>
      </c>
      <c r="AR249" s="1287">
        <f>(AQ249/AQ$14)*100</f>
        <v>0</v>
      </c>
      <c r="AS249" s="1287" t="str">
        <f>IFERROR(((AQ249/AM249-1)*100),"-")</f>
        <v>-</v>
      </c>
      <c r="AT249" s="1244"/>
      <c r="AU249" s="1276">
        <v>0</v>
      </c>
      <c r="AV249" s="1287">
        <f>(AU249/AU$14)*100</f>
        <v>0</v>
      </c>
      <c r="AW249" s="1287" t="str">
        <f>IFERROR(((AU249/AQ249-1)*100),"-")</f>
        <v>-</v>
      </c>
      <c r="AX249" s="1244"/>
      <c r="AY249" s="1276">
        <v>0</v>
      </c>
      <c r="AZ249" s="1287">
        <f>(AY249/AY$14)*100</f>
        <v>0</v>
      </c>
      <c r="BA249" s="1287" t="str">
        <f>IFERROR(((AY249/AU249-1)*100),"-")</f>
        <v>-</v>
      </c>
      <c r="BB249" s="1252"/>
      <c r="BC249" s="1276">
        <v>0</v>
      </c>
      <c r="BD249" s="1287">
        <f>(BC249/BC$14)*100</f>
        <v>0</v>
      </c>
      <c r="BE249" s="1287" t="str">
        <f>IFERROR(((BC249/AY249-1)*100),"-")</f>
        <v>-</v>
      </c>
      <c r="BF249" s="1252"/>
      <c r="BG249" s="1276">
        <v>5.6</v>
      </c>
      <c r="BH249" s="1287">
        <f>(BG249/BG$14)*100</f>
        <v>0.3634548722099159</v>
      </c>
      <c r="BI249" s="1287" t="str">
        <f>IFERROR(((BG249/BC249-1)*100),"-")</f>
        <v>-</v>
      </c>
      <c r="BJ249" s="1282"/>
      <c r="BK249" s="1276">
        <v>2.0569999999999999</v>
      </c>
      <c r="BL249" s="1287">
        <f>(BK249/BK$14)*100</f>
        <v>0.12202537202314745</v>
      </c>
      <c r="BM249" s="1287">
        <f>IFERROR(((BK249/BG249-1)*100),"-")</f>
        <v>-63.267857142857139</v>
      </c>
      <c r="BN249" s="1282"/>
      <c r="BO249" s="2057">
        <v>0</v>
      </c>
      <c r="BP249" s="1287">
        <f>(BO249/BO$14)*100</f>
        <v>0</v>
      </c>
      <c r="BQ249" s="1287">
        <f>IFERROR(((BO249/BK249-1)*100),"-")</f>
        <v>-100</v>
      </c>
      <c r="BR249" s="1282"/>
      <c r="BS249" s="2057">
        <v>0</v>
      </c>
      <c r="BT249" s="1287">
        <f>(BS249/BS$14)*100</f>
        <v>0</v>
      </c>
      <c r="BU249" s="1287" t="str">
        <f>IFERROR(((BS249/BO249-1)*100),"-")</f>
        <v>-</v>
      </c>
    </row>
    <row r="250" spans="1:73" outlineLevel="1">
      <c r="A250" s="1254" t="s">
        <v>85</v>
      </c>
      <c r="C250" s="1252"/>
      <c r="D250" s="1264"/>
      <c r="E250" s="1256"/>
      <c r="G250" s="1252"/>
      <c r="H250" s="1264"/>
      <c r="I250" s="1265"/>
      <c r="K250" s="1252"/>
      <c r="L250" s="1264"/>
      <c r="M250" s="1265"/>
      <c r="O250" s="1252"/>
      <c r="P250" s="1264"/>
      <c r="Q250" s="1265"/>
      <c r="S250" s="1252"/>
      <c r="T250" s="1264"/>
      <c r="U250" s="1265"/>
      <c r="W250" s="1252"/>
      <c r="X250" s="1264"/>
      <c r="Y250" s="1265"/>
      <c r="AA250" s="1252"/>
      <c r="AB250" s="1264"/>
      <c r="AC250" s="1265"/>
      <c r="AD250" s="1252"/>
      <c r="AE250" s="1252"/>
      <c r="AF250" s="1264"/>
      <c r="AG250" s="1265"/>
      <c r="AI250" s="1299">
        <f>SUM(AI246:AI249)</f>
        <v>0</v>
      </c>
      <c r="AJ250" s="1266"/>
      <c r="AK250" s="1258"/>
      <c r="AM250" s="1299">
        <f>SUM(AM246:AM249)</f>
        <v>0</v>
      </c>
      <c r="AN250" s="1266"/>
      <c r="AO250" s="1258"/>
      <c r="AQ250" s="1299">
        <f>SUM(AQ246:AQ249)</f>
        <v>0</v>
      </c>
      <c r="AR250" s="1287">
        <f>(AQ250/AQ$15)*100</f>
        <v>0</v>
      </c>
      <c r="AS250" s="1287" t="str">
        <f>IFERROR(((AQ250/AM250-1)*100),"-")</f>
        <v>-</v>
      </c>
      <c r="AT250" s="1244"/>
      <c r="AU250" s="1299">
        <f>SUM(AU246:AU249)</f>
        <v>0</v>
      </c>
      <c r="AV250" s="1287">
        <f>(AU250/AU$15)*100</f>
        <v>0</v>
      </c>
      <c r="AW250" s="1287" t="str">
        <f>IFERROR(((AU250/AQ250-1)*100),"-")</f>
        <v>-</v>
      </c>
      <c r="AX250" s="1244"/>
      <c r="AY250" s="1253">
        <f>SUM(AY246:AY249)</f>
        <v>0</v>
      </c>
      <c r="AZ250" s="1287">
        <f>(AY250/AY$15)*100</f>
        <v>0</v>
      </c>
      <c r="BA250" s="1287" t="str">
        <f>IFERROR(((AY250/AU250-1)*100),"-")</f>
        <v>-</v>
      </c>
      <c r="BB250" s="1244"/>
      <c r="BC250" s="1253">
        <f>SUM(BC246:BC249)</f>
        <v>0</v>
      </c>
      <c r="BD250" s="1287">
        <f>(BC250/BC$15)*100</f>
        <v>0</v>
      </c>
      <c r="BE250" s="1287" t="str">
        <f>IFERROR(((BC250/AY250-1)*100),"-")</f>
        <v>-</v>
      </c>
      <c r="BF250" s="1244"/>
      <c r="BG250" s="1253">
        <f>SUM(BG246:BG249)</f>
        <v>5.6</v>
      </c>
      <c r="BH250" s="1287">
        <f>(BG250/BG$15)*100</f>
        <v>0.10982692061788626</v>
      </c>
      <c r="BI250" s="1287" t="str">
        <f>IFERROR(((BG250/BC250-1)*100),"-")</f>
        <v>-</v>
      </c>
      <c r="BJ250" s="1282"/>
      <c r="BK250" s="1253">
        <f>SUM(BK246:BK249)</f>
        <v>3.4569999999999999</v>
      </c>
      <c r="BL250" s="1287">
        <f>(BK250/BK$15)*100</f>
        <v>6.2108810611785255E-2</v>
      </c>
      <c r="BM250" s="1287">
        <f>IFERROR(((BK250/BG250-1)*100),"-")</f>
        <v>-38.267857142857139</v>
      </c>
      <c r="BN250" s="1282"/>
      <c r="BO250" s="1253">
        <f>SUM(BO246:BO249)</f>
        <v>0</v>
      </c>
      <c r="BP250" s="1287">
        <f>(BO250/BO$15)*100</f>
        <v>0</v>
      </c>
      <c r="BQ250" s="1287">
        <f>IFERROR(((BO250/BK250-1)*100),"-")</f>
        <v>-100</v>
      </c>
      <c r="BR250" s="1282"/>
      <c r="BS250" s="1253">
        <f>SUM(BS246:BS249)</f>
        <v>0</v>
      </c>
      <c r="BT250" s="1287">
        <f>(BS250/BS$15)*100</f>
        <v>0</v>
      </c>
      <c r="BU250" s="1287" t="str">
        <f>IFERROR(((BS250/BO250-1)*100),"-")</f>
        <v>-</v>
      </c>
    </row>
    <row r="251" spans="1:73" outlineLevel="1">
      <c r="A251" s="1254" t="s">
        <v>87</v>
      </c>
      <c r="C251" s="1252"/>
      <c r="D251" s="1264"/>
      <c r="E251" s="1256"/>
      <c r="G251" s="1252"/>
      <c r="H251" s="1264"/>
      <c r="I251" s="1265"/>
      <c r="K251" s="1252"/>
      <c r="L251" s="1264"/>
      <c r="M251" s="1265"/>
      <c r="O251" s="1252"/>
      <c r="P251" s="1264"/>
      <c r="Q251" s="1265"/>
      <c r="S251" s="1252"/>
      <c r="T251" s="1264"/>
      <c r="U251" s="1265"/>
      <c r="W251" s="1252"/>
      <c r="X251" s="1264"/>
      <c r="Y251" s="1265"/>
      <c r="AA251" s="1252"/>
      <c r="AB251" s="1264"/>
      <c r="AC251" s="1265"/>
      <c r="AD251" s="1252"/>
      <c r="AE251" s="1252"/>
      <c r="AF251" s="1264"/>
      <c r="AG251" s="1265"/>
      <c r="AI251" s="1253"/>
      <c r="AJ251" s="1266"/>
      <c r="AK251" s="1258"/>
      <c r="AM251" s="1253"/>
      <c r="AN251" s="1266"/>
      <c r="AO251" s="1258"/>
      <c r="AQ251" s="1255"/>
      <c r="AR251" s="1287"/>
      <c r="AS251" s="1287"/>
      <c r="AT251" s="1244"/>
      <c r="AU251" s="1300"/>
      <c r="AV251" s="1287"/>
      <c r="AW251" s="1287"/>
      <c r="AX251" s="1244"/>
      <c r="AY251" s="1255"/>
      <c r="AZ251" s="1287"/>
      <c r="BA251" s="1287"/>
      <c r="BB251" s="1244"/>
      <c r="BC251" s="1255"/>
      <c r="BD251" s="1287"/>
      <c r="BE251" s="1287"/>
      <c r="BF251" s="1244"/>
      <c r="BG251" s="1253"/>
      <c r="BH251" s="1287"/>
      <c r="BI251" s="1287"/>
      <c r="BK251" s="1253"/>
      <c r="BL251" s="1287"/>
      <c r="BM251" s="1287"/>
      <c r="BO251" s="1253"/>
      <c r="BP251" s="1287"/>
      <c r="BQ251" s="1287"/>
      <c r="BS251" s="1253"/>
      <c r="BT251" s="1287"/>
      <c r="BU251" s="1287"/>
    </row>
    <row r="252" spans="1:73" outlineLevel="1">
      <c r="A252" s="1254" t="s">
        <v>88</v>
      </c>
      <c r="C252" s="1252"/>
      <c r="D252" s="1264"/>
      <c r="E252" s="1256"/>
      <c r="G252" s="1252"/>
      <c r="H252" s="1264"/>
      <c r="I252" s="1265"/>
      <c r="K252" s="1252"/>
      <c r="L252" s="1264"/>
      <c r="M252" s="1265"/>
      <c r="O252" s="1252"/>
      <c r="P252" s="1264"/>
      <c r="Q252" s="1265"/>
      <c r="S252" s="1252"/>
      <c r="T252" s="1264"/>
      <c r="U252" s="1265"/>
      <c r="W252" s="1252"/>
      <c r="X252" s="1264"/>
      <c r="Y252" s="1265"/>
      <c r="AA252" s="1252"/>
      <c r="AB252" s="1264"/>
      <c r="AC252" s="1265"/>
      <c r="AD252" s="1252"/>
      <c r="AE252" s="1252"/>
      <c r="AF252" s="1264"/>
      <c r="AG252" s="1265"/>
      <c r="AI252" s="1253"/>
      <c r="AJ252" s="1266"/>
      <c r="AK252" s="1258"/>
      <c r="AM252" s="1253"/>
      <c r="AN252" s="1266"/>
      <c r="AO252" s="1258"/>
      <c r="AQ252" s="1255"/>
      <c r="AR252" s="1287"/>
      <c r="AS252" s="1287"/>
      <c r="AT252" s="1244"/>
      <c r="AU252" s="1300"/>
      <c r="AV252" s="1287"/>
      <c r="AW252" s="1287"/>
      <c r="AX252" s="1244"/>
      <c r="AY252" s="1255"/>
      <c r="AZ252" s="1287"/>
      <c r="BA252" s="1287"/>
      <c r="BB252" s="1244"/>
      <c r="BC252" s="1255"/>
      <c r="BD252" s="1287"/>
      <c r="BE252" s="1287"/>
      <c r="BF252" s="1244"/>
      <c r="BG252" s="1253"/>
      <c r="BH252" s="1287"/>
      <c r="BI252" s="1287"/>
      <c r="BK252" s="1253"/>
      <c r="BL252" s="1287"/>
      <c r="BM252" s="1287"/>
      <c r="BO252" s="1253"/>
      <c r="BP252" s="1287"/>
      <c r="BQ252" s="1287"/>
      <c r="BS252" s="1253"/>
      <c r="BT252" s="1287"/>
      <c r="BU252" s="1287"/>
    </row>
    <row r="253" spans="1:73">
      <c r="A253" s="1254"/>
      <c r="C253" s="1252"/>
      <c r="D253" s="1264"/>
      <c r="E253" s="1256"/>
      <c r="G253" s="1252"/>
      <c r="H253" s="1264"/>
      <c r="I253" s="1265"/>
      <c r="K253" s="1252"/>
      <c r="L253" s="1264"/>
      <c r="M253" s="1265"/>
      <c r="O253" s="1252"/>
      <c r="P253" s="1264"/>
      <c r="Q253" s="1265"/>
      <c r="S253" s="1252"/>
      <c r="T253" s="1264"/>
      <c r="U253" s="1265"/>
      <c r="W253" s="1252"/>
      <c r="X253" s="1264"/>
      <c r="Y253" s="1265"/>
      <c r="AA253" s="1252"/>
      <c r="AB253" s="1264"/>
      <c r="AC253" s="1265"/>
      <c r="AD253" s="1252"/>
      <c r="AE253" s="1252"/>
      <c r="AF253" s="1264"/>
      <c r="AG253" s="1265"/>
      <c r="AI253" s="1253"/>
      <c r="AJ253" s="1266"/>
      <c r="AK253" s="1258"/>
      <c r="AM253" s="1253"/>
      <c r="AN253" s="1266"/>
      <c r="AO253" s="1258"/>
      <c r="AQ253" s="1255"/>
      <c r="AR253" s="1287"/>
      <c r="AS253" s="1287"/>
      <c r="AT253" s="1244"/>
      <c r="AU253" s="1300"/>
      <c r="AV253" s="1287"/>
      <c r="AW253" s="1287"/>
      <c r="AX253" s="1244"/>
      <c r="AY253" s="1255"/>
      <c r="AZ253" s="1287"/>
      <c r="BA253" s="1287"/>
      <c r="BB253" s="1244"/>
      <c r="BC253" s="1255"/>
      <c r="BD253" s="1287"/>
      <c r="BE253" s="1287"/>
      <c r="BF253" s="1244"/>
      <c r="BG253" s="1253"/>
      <c r="BH253" s="1287"/>
      <c r="BI253" s="1287"/>
      <c r="BK253" s="1253"/>
      <c r="BL253" s="1287"/>
      <c r="BM253" s="1287"/>
      <c r="BO253" s="1253"/>
      <c r="BP253" s="1287"/>
      <c r="BQ253" s="1287"/>
      <c r="BS253" s="1253"/>
      <c r="BT253" s="1287"/>
      <c r="BU253" s="1287"/>
    </row>
    <row r="254" spans="1:73" ht="10.5" customHeight="1">
      <c r="A254" s="1251" t="s">
        <v>910</v>
      </c>
      <c r="B254" s="1281"/>
      <c r="C254" s="1281"/>
      <c r="D254" s="1281"/>
      <c r="E254" s="1281"/>
      <c r="F254" s="1281"/>
      <c r="G254" s="1281"/>
      <c r="H254" s="1281"/>
      <c r="I254" s="1281"/>
      <c r="J254" s="1281"/>
      <c r="K254" s="1281"/>
      <c r="L254" s="1281"/>
      <c r="M254" s="1281"/>
      <c r="N254" s="1281"/>
      <c r="O254" s="1281"/>
      <c r="P254" s="1281"/>
      <c r="Q254" s="1281"/>
      <c r="R254" s="1281"/>
      <c r="S254" s="1281"/>
      <c r="T254" s="1281"/>
      <c r="U254" s="1281"/>
      <c r="V254" s="1281"/>
      <c r="W254" s="1281"/>
      <c r="X254" s="1281"/>
      <c r="Y254" s="1281"/>
      <c r="Z254" s="1281"/>
      <c r="AA254" s="1281"/>
      <c r="AB254" s="1281"/>
      <c r="AC254" s="1281"/>
      <c r="AD254" s="1281"/>
      <c r="AE254" s="1281"/>
      <c r="AF254" s="1281"/>
      <c r="AG254" s="1281"/>
      <c r="AH254" s="1281"/>
      <c r="AI254" s="1281"/>
      <c r="AJ254" s="1281"/>
      <c r="AK254" s="1281"/>
      <c r="AL254" s="1281"/>
      <c r="AM254" s="1281"/>
      <c r="AN254" s="1281"/>
      <c r="AO254" s="1281"/>
      <c r="AP254" s="1281"/>
      <c r="AQ254" s="1281"/>
      <c r="AR254" s="1281"/>
      <c r="AS254" s="1281"/>
      <c r="AT254" s="1281"/>
      <c r="AU254" s="1281"/>
      <c r="AV254" s="1281"/>
      <c r="AW254" s="1281"/>
      <c r="AX254" s="1281"/>
      <c r="AY254" s="1281"/>
      <c r="AZ254" s="1281"/>
      <c r="BA254" s="1281"/>
      <c r="BB254" s="1282"/>
      <c r="BC254" s="1318"/>
      <c r="BD254" s="1281"/>
      <c r="BE254" s="1319"/>
      <c r="BF254" s="1282"/>
      <c r="BG254" s="2264" t="str">
        <f>A254</f>
        <v>Tax Adjustment (% Sales)</v>
      </c>
      <c r="BH254" s="2264"/>
      <c r="BI254" s="2264"/>
      <c r="BJ254" s="2264"/>
      <c r="BK254" s="2266"/>
      <c r="BL254" s="2264"/>
      <c r="BM254" s="2264"/>
      <c r="BN254" s="1663"/>
      <c r="BO254" s="1663"/>
      <c r="BP254" s="1663"/>
      <c r="BQ254" s="1663"/>
      <c r="BR254" s="2149"/>
      <c r="BS254" s="2149"/>
      <c r="BT254" s="2149"/>
      <c r="BU254" s="2149"/>
    </row>
    <row r="255" spans="1:73">
      <c r="AT255" s="1244"/>
      <c r="AU255" s="1293"/>
      <c r="AX255" s="1244"/>
      <c r="AY255" s="1245"/>
      <c r="BB255" s="1244"/>
      <c r="BC255" s="1245"/>
      <c r="BF255" s="1244"/>
      <c r="BG255" s="1245"/>
      <c r="BK255" s="1245"/>
      <c r="BO255" s="1245"/>
      <c r="BS255" s="1245"/>
    </row>
    <row r="256" spans="1:73">
      <c r="A256" s="1254" t="s">
        <v>79</v>
      </c>
      <c r="C256" s="1255"/>
      <c r="D256" s="1264"/>
      <c r="E256" s="1256"/>
      <c r="G256" s="1255"/>
      <c r="H256" s="1264"/>
      <c r="I256" s="1265"/>
      <c r="K256" s="1255"/>
      <c r="L256" s="1264"/>
      <c r="M256" s="1265"/>
      <c r="O256" s="1255"/>
      <c r="P256" s="1264"/>
      <c r="Q256" s="1265"/>
      <c r="S256" s="1255"/>
      <c r="T256" s="1264"/>
      <c r="U256" s="1265"/>
      <c r="W256" s="1255"/>
      <c r="X256" s="1264"/>
      <c r="Y256" s="1265"/>
      <c r="AA256" s="1255"/>
      <c r="AB256" s="1264"/>
      <c r="AC256" s="1265"/>
      <c r="AE256" s="1255"/>
      <c r="AF256" s="1264"/>
      <c r="AG256" s="1265"/>
      <c r="AI256" s="1371">
        <f>(AI236+AI226)*-0.35</f>
        <v>-5.6815499999999997</v>
      </c>
      <c r="AJ256" s="1287">
        <f>(AI256/AI11)*100</f>
        <v>-0.68448863492614231</v>
      </c>
      <c r="AK256" s="1287" t="str">
        <f>IFERROR(((AI256/AE256-1)*100),"-")</f>
        <v>-</v>
      </c>
      <c r="AM256" s="1371">
        <f>(AM236+AM226)*-0.35</f>
        <v>-0.43645</v>
      </c>
      <c r="AN256" s="1287">
        <f>(AM256/AM11)*100</f>
        <v>-4.8782914076349257E-2</v>
      </c>
      <c r="AO256" s="1287">
        <f t="shared" ref="AO256:AO262" si="355">IFERROR(((AM256/AI256-1)*100),"-")</f>
        <v>-92.318117415141998</v>
      </c>
      <c r="AQ256" s="1371">
        <f>(AQ236+AQ226)*-0.35</f>
        <v>-13.61115</v>
      </c>
      <c r="AR256" s="1287">
        <f>(AQ256/AQ11)*100</f>
        <v>-1.4650122002279673</v>
      </c>
      <c r="AS256" s="1287">
        <f t="shared" ref="AS256:AS262" si="356">IFERROR(((AQ256/AM256-1)*100),"-")</f>
        <v>3018.6046511627906</v>
      </c>
      <c r="AT256" s="1244"/>
      <c r="AU256" s="1296">
        <v>-3.3450000000000002</v>
      </c>
      <c r="AV256" s="1287">
        <f>(AU256/AU11)*100</f>
        <v>-0.34048511868315234</v>
      </c>
      <c r="AW256" s="1287">
        <f t="shared" ref="AW256:AW262" si="357">IFERROR(((AU256/AQ256-1)*100),"-")</f>
        <v>-75.424560011461196</v>
      </c>
      <c r="AX256" s="1244"/>
      <c r="AY256" s="1267">
        <v>-7.109</v>
      </c>
      <c r="AZ256" s="1287">
        <f>(AY256/AY11)*100</f>
        <v>-0.66750358915806662</v>
      </c>
      <c r="BA256" s="1287">
        <f t="shared" ref="BA256:BA262" si="358">IFERROR(((AY256/AU256-1)*100),"-")</f>
        <v>112.52615844544094</v>
      </c>
      <c r="BB256" s="1252"/>
      <c r="BC256" s="1267">
        <v>-4.7510000000000003</v>
      </c>
      <c r="BD256" s="1287">
        <f>(BC256/BC11)*100</f>
        <v>-0.42108752434038338</v>
      </c>
      <c r="BE256" s="1287">
        <f t="shared" ref="BE256:BE262" si="359">IFERROR(((BC256/AY256-1)*100),"-")</f>
        <v>-33.169222112814737</v>
      </c>
      <c r="BF256" s="1252"/>
      <c r="BG256" s="1267">
        <v>-3.5009999999999999</v>
      </c>
      <c r="BH256" s="1287">
        <f>(BG256/BG11)*100</f>
        <v>-0.29592776015397371</v>
      </c>
      <c r="BI256" s="1287">
        <f t="shared" ref="BI256:BI262" si="360">IFERROR(((BG256/BC256-1)*100),"-")</f>
        <v>-26.310250473584517</v>
      </c>
      <c r="BK256" s="1267">
        <v>-2.4710000000000001</v>
      </c>
      <c r="BL256" s="1287">
        <f>(BK256/BK11)*100</f>
        <v>-0.19264502950875909</v>
      </c>
      <c r="BM256" s="1287">
        <f t="shared" ref="BM256:BM262" si="361">IFERROR(((BK256/BG256-1)*100),"-")</f>
        <v>-29.420165666952293</v>
      </c>
      <c r="BO256" s="1267">
        <v>-1.8480000000000001</v>
      </c>
      <c r="BP256" s="1287">
        <f>(BO256/BO11)*100</f>
        <v>-0.13724002002159599</v>
      </c>
      <c r="BQ256" s="1287">
        <f t="shared" ref="BQ256:BQ262" si="362">IFERROR(((BO256/BK256-1)*100),"-")</f>
        <v>-25.212464589235129</v>
      </c>
      <c r="BS256" s="2184">
        <f>-SUM(BS246+BS236+BS226+BS216)*0.24</f>
        <v>-1.3199999999999998</v>
      </c>
      <c r="BT256" s="1287">
        <f>(BS256/BS11)*100</f>
        <v>-8.882868550684736E-2</v>
      </c>
      <c r="BU256" s="1287">
        <f t="shared" ref="BU256:BU262" si="363">IFERROR(((BS256/BO256-1)*100),"-")</f>
        <v>-28.57142857142858</v>
      </c>
    </row>
    <row r="257" spans="1:75">
      <c r="A257" s="1254" t="s">
        <v>80</v>
      </c>
      <c r="C257" s="1259"/>
      <c r="D257" s="1264"/>
      <c r="E257" s="1256"/>
      <c r="G257" s="1259"/>
      <c r="H257" s="1264"/>
      <c r="I257" s="1265"/>
      <c r="K257" s="1259"/>
      <c r="L257" s="1264"/>
      <c r="M257" s="1265"/>
      <c r="O257" s="1259"/>
      <c r="P257" s="1264"/>
      <c r="Q257" s="1265"/>
      <c r="S257" s="1259"/>
      <c r="T257" s="1264"/>
      <c r="U257" s="1265"/>
      <c r="W257" s="1259"/>
      <c r="X257" s="1264"/>
      <c r="Y257" s="1265"/>
      <c r="AA257" s="1259"/>
      <c r="AB257" s="1264"/>
      <c r="AC257" s="1265"/>
      <c r="AE257" s="1259"/>
      <c r="AF257" s="1264"/>
      <c r="AG257" s="1265"/>
      <c r="AI257" s="1371">
        <f>(AI237+AI227)*-0.35</f>
        <v>-0.37204999999999994</v>
      </c>
      <c r="AJ257" s="1287">
        <f t="shared" ref="AJ257:AJ262" si="364">(AI257/AI12)*100</f>
        <v>-5.3075845461626463E-2</v>
      </c>
      <c r="AK257" s="1287" t="str">
        <f t="shared" ref="AK257:AK262" si="365">IFERROR(((AI257/AE257-1)*100),"-")</f>
        <v>-</v>
      </c>
      <c r="AL257" s="1269"/>
      <c r="AM257" s="1371">
        <f>(AM237+AM227)*-0.35</f>
        <v>-0.41685</v>
      </c>
      <c r="AN257" s="1287">
        <f t="shared" ref="AN257:AN262" si="366">(AM257/AM12)*100</f>
        <v>-5.7200686106346481E-2</v>
      </c>
      <c r="AO257" s="1287">
        <f t="shared" si="355"/>
        <v>12.041392285983088</v>
      </c>
      <c r="AP257" s="1269"/>
      <c r="AQ257" s="1371">
        <f>(AQ237+AQ227)*-0.35</f>
        <v>-0.37309999999999993</v>
      </c>
      <c r="AR257" s="1287">
        <f t="shared" ref="AR257:AR262" si="367">(AQ257/AQ12)*100</f>
        <v>-4.7028483050964957E-2</v>
      </c>
      <c r="AS257" s="1287">
        <f t="shared" si="356"/>
        <v>-10.495382031905976</v>
      </c>
      <c r="AT257" s="1244"/>
      <c r="AU257" s="1301">
        <v>-5.2910000000000004</v>
      </c>
      <c r="AV257" s="1287">
        <f t="shared" ref="AV257:AV262" si="368">(AU257/AU12)*100</f>
        <v>-0.61225584003532885</v>
      </c>
      <c r="AW257" s="1287">
        <f t="shared" si="357"/>
        <v>1318.1184668989549</v>
      </c>
      <c r="AX257" s="1244"/>
      <c r="AY257" s="1272">
        <v>-7.0709999999999997</v>
      </c>
      <c r="AZ257" s="1287">
        <f t="shared" ref="AZ257:AZ262" si="369">(AY257/AY12)*100</f>
        <v>-0.73372618969794878</v>
      </c>
      <c r="BA257" s="1287">
        <f t="shared" si="358"/>
        <v>33.642033642033617</v>
      </c>
      <c r="BB257" s="1252"/>
      <c r="BC257" s="1272">
        <v>-3.7109999999999999</v>
      </c>
      <c r="BD257" s="1287">
        <f t="shared" ref="BD257:BD262" si="370">(BC257/BC12)*100</f>
        <v>-0.35560248797170513</v>
      </c>
      <c r="BE257" s="1287">
        <f t="shared" si="359"/>
        <v>-47.518031395842172</v>
      </c>
      <c r="BF257" s="1244"/>
      <c r="BG257" s="1272">
        <v>-2.5459999999999998</v>
      </c>
      <c r="BH257" s="1287">
        <f t="shared" ref="BH257:BH262" si="371">(BG257/BG12)*100</f>
        <v>-0.22251004616253195</v>
      </c>
      <c r="BI257" s="1287">
        <f t="shared" si="360"/>
        <v>-31.393155483697122</v>
      </c>
      <c r="BK257" s="1272">
        <v>-4.7309999999999999</v>
      </c>
      <c r="BL257" s="1287">
        <f t="shared" ref="BL257:BL262" si="372">(BK257/BK12)*100</f>
        <v>-0.37695619228829375</v>
      </c>
      <c r="BM257" s="1287">
        <f t="shared" si="361"/>
        <v>85.820895522388071</v>
      </c>
      <c r="BO257" s="1272">
        <v>-2.569</v>
      </c>
      <c r="BP257" s="1287">
        <f t="shared" ref="BP257:BP262" si="373">(BO257/BO12)*100</f>
        <v>-0.18845032071031614</v>
      </c>
      <c r="BQ257" s="1287">
        <f t="shared" si="362"/>
        <v>-45.698583808919892</v>
      </c>
      <c r="BS257" s="2185">
        <f t="shared" ref="BS257:BS259" si="374">-SUM(BS247+BS237+BS227+BS217)*0.24</f>
        <v>-1.2</v>
      </c>
      <c r="BT257" s="1287">
        <f t="shared" ref="BT257:BT259" si="375">(BS257/BS12)*100</f>
        <v>-8.0052798295677741E-2</v>
      </c>
      <c r="BU257" s="1287">
        <f t="shared" si="363"/>
        <v>-53.289217594394714</v>
      </c>
    </row>
    <row r="258" spans="1:75">
      <c r="A258" s="1254" t="s">
        <v>81</v>
      </c>
      <c r="C258" s="1259"/>
      <c r="D258" s="1264"/>
      <c r="E258" s="1256"/>
      <c r="G258" s="1259"/>
      <c r="H258" s="1264"/>
      <c r="I258" s="1265"/>
      <c r="K258" s="1259"/>
      <c r="L258" s="1264"/>
      <c r="M258" s="1265"/>
      <c r="O258" s="1259"/>
      <c r="P258" s="1264"/>
      <c r="Q258" s="1265"/>
      <c r="S258" s="1259"/>
      <c r="T258" s="1264"/>
      <c r="U258" s="1265"/>
      <c r="W258" s="1259"/>
      <c r="X258" s="1264"/>
      <c r="Y258" s="1265"/>
      <c r="AA258" s="1259"/>
      <c r="AB258" s="1264"/>
      <c r="AC258" s="1265"/>
      <c r="AE258" s="1259"/>
      <c r="AF258" s="1264"/>
      <c r="AG258" s="1265"/>
      <c r="AI258" s="1508">
        <f>(AI238+AI228)*-0.35</f>
        <v>-2.6260499999999998</v>
      </c>
      <c r="AJ258" s="1287">
        <f t="shared" si="364"/>
        <v>-0.30102341426956786</v>
      </c>
      <c r="AK258" s="1287" t="str">
        <f t="shared" si="365"/>
        <v>-</v>
      </c>
      <c r="AL258" s="1269"/>
      <c r="AM258" s="1508">
        <f>(AM238+AM228)*-0.35</f>
        <v>-0.42559999999999998</v>
      </c>
      <c r="AN258" s="1287">
        <f t="shared" si="366"/>
        <v>-4.9592978678281871E-2</v>
      </c>
      <c r="AO258" s="1287">
        <f t="shared" si="355"/>
        <v>-83.793149406903893</v>
      </c>
      <c r="AP258" s="1269"/>
      <c r="AQ258" s="1508">
        <f>(AQ238+AQ228)*-0.35</f>
        <v>-0.36364999999999997</v>
      </c>
      <c r="AR258" s="1287">
        <f t="shared" si="367"/>
        <v>-4.0465669555773409E-2</v>
      </c>
      <c r="AS258" s="1287">
        <f t="shared" si="356"/>
        <v>-14.555921052631582</v>
      </c>
      <c r="AT258" s="1244"/>
      <c r="AU258" s="1301">
        <v>-3.52</v>
      </c>
      <c r="AV258" s="1287">
        <f t="shared" si="368"/>
        <v>-0.36367618768170895</v>
      </c>
      <c r="AW258" s="1287">
        <f t="shared" si="357"/>
        <v>867.96370136119913</v>
      </c>
      <c r="AX258" s="1244"/>
      <c r="AY258" s="1272">
        <v>-6.5279999999999996</v>
      </c>
      <c r="AZ258" s="1287">
        <f t="shared" si="369"/>
        <v>-0.61324450306340428</v>
      </c>
      <c r="BA258" s="1287">
        <f t="shared" si="358"/>
        <v>85.454545454545453</v>
      </c>
      <c r="BB258" s="1252"/>
      <c r="BC258" s="1272">
        <v>-31.920999999999999</v>
      </c>
      <c r="BD258" s="1287">
        <f t="shared" si="370"/>
        <v>-2.7582494305672207</v>
      </c>
      <c r="BE258" s="1287">
        <f t="shared" si="359"/>
        <v>388.98590686274508</v>
      </c>
      <c r="BF258" s="1252"/>
      <c r="BG258" s="1272">
        <v>-2.4</v>
      </c>
      <c r="BH258" s="1287">
        <f t="shared" si="371"/>
        <v>-0.19498150113008028</v>
      </c>
      <c r="BI258" s="1287">
        <f t="shared" si="360"/>
        <v>-92.481438551423835</v>
      </c>
      <c r="BJ258" s="1282"/>
      <c r="BK258" s="1272">
        <v>-2.085</v>
      </c>
      <c r="BL258" s="1287">
        <f t="shared" si="372"/>
        <v>-0.1552956949203039</v>
      </c>
      <c r="BM258" s="1287">
        <f t="shared" si="361"/>
        <v>-13.124999999999998</v>
      </c>
      <c r="BN258" s="1282"/>
      <c r="BO258" s="2183">
        <v>-1.944</v>
      </c>
      <c r="BP258" s="1287">
        <f t="shared" si="373"/>
        <v>-0.13517206277156965</v>
      </c>
      <c r="BQ258" s="1287">
        <f t="shared" si="362"/>
        <v>-6.7625899280575492</v>
      </c>
      <c r="BR258" s="1282"/>
      <c r="BS258" s="1508">
        <f t="shared" si="374"/>
        <v>-1.2</v>
      </c>
      <c r="BT258" s="1287">
        <f t="shared" si="375"/>
        <v>-7.5841249767345326E-2</v>
      </c>
      <c r="BU258" s="1287">
        <f t="shared" si="363"/>
        <v>-38.271604938271608</v>
      </c>
    </row>
    <row r="259" spans="1:75">
      <c r="A259" s="1254" t="s">
        <v>82</v>
      </c>
      <c r="C259" s="1261"/>
      <c r="D259" s="1264"/>
      <c r="E259" s="1256"/>
      <c r="G259" s="1261"/>
      <c r="H259" s="1264"/>
      <c r="I259" s="1265"/>
      <c r="K259" s="1261"/>
      <c r="L259" s="1264"/>
      <c r="M259" s="1265"/>
      <c r="O259" s="1261"/>
      <c r="P259" s="1264"/>
      <c r="Q259" s="1265"/>
      <c r="S259" s="1262"/>
      <c r="T259" s="1264"/>
      <c r="U259" s="1265"/>
      <c r="W259" s="1261"/>
      <c r="X259" s="1264"/>
      <c r="Y259" s="1265"/>
      <c r="AA259" s="1261"/>
      <c r="AB259" s="1264"/>
      <c r="AC259" s="1265"/>
      <c r="AE259" s="1262"/>
      <c r="AF259" s="1264"/>
      <c r="AG259" s="1265"/>
      <c r="AI259" s="1509">
        <f>(AI239+AI229)*-0.35</f>
        <v>-17.776499999999995</v>
      </c>
      <c r="AJ259" s="1287">
        <f t="shared" si="364"/>
        <v>-1.5878694332119418</v>
      </c>
      <c r="AK259" s="1287" t="str">
        <f t="shared" si="365"/>
        <v>-</v>
      </c>
      <c r="AL259" s="1269"/>
      <c r="AM259" s="1509">
        <f>(AM239+AM229)*-0.35</f>
        <v>-0.95024999999999993</v>
      </c>
      <c r="AN259" s="1287">
        <f t="shared" si="366"/>
        <v>-7.9988181698805019E-2</v>
      </c>
      <c r="AO259" s="1287">
        <f t="shared" si="355"/>
        <v>-94.654459539279387</v>
      </c>
      <c r="AP259" s="1269"/>
      <c r="AQ259" s="1509">
        <f>(AQ239+AQ229)*-0.35</f>
        <v>-0.97650000000000015</v>
      </c>
      <c r="AR259" s="1287">
        <f t="shared" si="367"/>
        <v>-7.9194446899981424E-2</v>
      </c>
      <c r="AS259" s="1287">
        <f t="shared" si="356"/>
        <v>2.7624309392265456</v>
      </c>
      <c r="AT259" s="1244"/>
      <c r="AU259" s="1302">
        <v>-6.9770000000000003</v>
      </c>
      <c r="AV259" s="1287">
        <f t="shared" si="368"/>
        <v>-0.55261739850782687</v>
      </c>
      <c r="AW259" s="1287">
        <f t="shared" si="357"/>
        <v>614.49052739375304</v>
      </c>
      <c r="AX259" s="1244"/>
      <c r="AY259" s="1276">
        <v>-10.151</v>
      </c>
      <c r="AZ259" s="1287">
        <f t="shared" si="369"/>
        <v>-0.76078655331688994</v>
      </c>
      <c r="BA259" s="1287">
        <f t="shared" si="358"/>
        <v>45.492331947828582</v>
      </c>
      <c r="BB259" s="1252"/>
      <c r="BC259" s="1276">
        <v>-4.6989999999999998</v>
      </c>
      <c r="BD259" s="1287">
        <f t="shared" si="370"/>
        <v>-0.31635385852068382</v>
      </c>
      <c r="BE259" s="1287">
        <f t="shared" si="359"/>
        <v>-53.708994187764759</v>
      </c>
      <c r="BF259" s="1252"/>
      <c r="BG259" s="1276">
        <v>-5.6710000000000003</v>
      </c>
      <c r="BH259" s="1287">
        <f t="shared" si="371"/>
        <v>-0.3680629607682917</v>
      </c>
      <c r="BI259" s="1287">
        <f t="shared" si="360"/>
        <v>20.685252181315185</v>
      </c>
      <c r="BJ259" s="1282"/>
      <c r="BK259" s="1276">
        <v>-9.8070000000000004</v>
      </c>
      <c r="BL259" s="1287">
        <f t="shared" si="372"/>
        <v>-0.58177093992756779</v>
      </c>
      <c r="BM259" s="1287">
        <f t="shared" si="361"/>
        <v>72.932463410333284</v>
      </c>
      <c r="BN259" s="1282"/>
      <c r="BO259" s="1276">
        <v>-3.5609999999999999</v>
      </c>
      <c r="BP259" s="1287">
        <f t="shared" si="373"/>
        <v>-0.18385722229479215</v>
      </c>
      <c r="BQ259" s="1287">
        <f t="shared" si="362"/>
        <v>-63.689201590700527</v>
      </c>
      <c r="BR259" s="1282"/>
      <c r="BS259" s="1509">
        <f t="shared" si="374"/>
        <v>-1.2936000000000001</v>
      </c>
      <c r="BT259" s="1287">
        <f t="shared" si="375"/>
        <v>-6.4036032937127604E-2</v>
      </c>
      <c r="BU259" s="1287">
        <f t="shared" si="363"/>
        <v>-63.67312552653749</v>
      </c>
    </row>
    <row r="260" spans="1:75">
      <c r="A260" s="1254" t="s">
        <v>85</v>
      </c>
      <c r="C260" s="1252"/>
      <c r="D260" s="1264"/>
      <c r="E260" s="1256"/>
      <c r="G260" s="1252"/>
      <c r="H260" s="1264"/>
      <c r="I260" s="1265"/>
      <c r="K260" s="1252"/>
      <c r="L260" s="1264"/>
      <c r="M260" s="1265"/>
      <c r="O260" s="1252"/>
      <c r="P260" s="1264"/>
      <c r="Q260" s="1265"/>
      <c r="S260" s="1252"/>
      <c r="T260" s="1264"/>
      <c r="U260" s="1265"/>
      <c r="W260" s="1252"/>
      <c r="X260" s="1264"/>
      <c r="Y260" s="1265"/>
      <c r="AA260" s="1252"/>
      <c r="AB260" s="1264"/>
      <c r="AC260" s="1265"/>
      <c r="AD260" s="1252"/>
      <c r="AE260" s="1252"/>
      <c r="AF260" s="1264"/>
      <c r="AG260" s="1265"/>
      <c r="AI260" s="1253">
        <f>SUM(AI256:AI259)</f>
        <v>-26.456149999999994</v>
      </c>
      <c r="AJ260" s="1287">
        <f t="shared" si="364"/>
        <v>-0.75097348388294449</v>
      </c>
      <c r="AK260" s="1287" t="str">
        <f t="shared" si="365"/>
        <v>-</v>
      </c>
      <c r="AM260" s="1253">
        <f>SUM(AM256:AM259)</f>
        <v>-2.2291499999999997</v>
      </c>
      <c r="AN260" s="1287">
        <f t="shared" si="366"/>
        <v>-6.0746369769800641E-2</v>
      </c>
      <c r="AO260" s="1287">
        <f t="shared" si="355"/>
        <v>-91.574170844964215</v>
      </c>
      <c r="AQ260" s="1253">
        <f>SUM(AQ256:AQ259)</f>
        <v>-15.324399999999999</v>
      </c>
      <c r="AR260" s="1287">
        <f t="shared" si="367"/>
        <v>-0.39760942406257799</v>
      </c>
      <c r="AS260" s="1287">
        <f t="shared" si="356"/>
        <v>587.45485947558484</v>
      </c>
      <c r="AT260" s="1244"/>
      <c r="AU260" s="1299">
        <f>SUM(AU256:AU259)</f>
        <v>-19.133000000000003</v>
      </c>
      <c r="AV260" s="1287">
        <f t="shared" si="368"/>
        <v>-0.46928721215448155</v>
      </c>
      <c r="AW260" s="1287">
        <f t="shared" si="357"/>
        <v>24.853175328234745</v>
      </c>
      <c r="AX260" s="1244"/>
      <c r="AY260" s="1253">
        <f>SUM(AY256:AY259)</f>
        <v>-30.858999999999998</v>
      </c>
      <c r="AZ260" s="1287">
        <f t="shared" si="369"/>
        <v>-0.69698428211115837</v>
      </c>
      <c r="BA260" s="1287">
        <f t="shared" si="358"/>
        <v>61.286781999686383</v>
      </c>
      <c r="BB260" s="1244"/>
      <c r="BC260" s="1253">
        <f>SUM(BC256:BC259)</f>
        <v>-45.081999999999994</v>
      </c>
      <c r="BD260" s="1287">
        <f t="shared" si="370"/>
        <v>-0.93637890839845583</v>
      </c>
      <c r="BE260" s="1287">
        <f t="shared" si="359"/>
        <v>46.090281603422014</v>
      </c>
      <c r="BF260" s="1244"/>
      <c r="BG260" s="1253">
        <f>SUM(BG256:BG259)</f>
        <v>-14.117999999999999</v>
      </c>
      <c r="BH260" s="1287">
        <f t="shared" si="371"/>
        <v>-0.27688151165773539</v>
      </c>
      <c r="BI260" s="1287">
        <f t="shared" si="360"/>
        <v>-68.683731866376817</v>
      </c>
      <c r="BJ260" s="1282"/>
      <c r="BK260" s="1253">
        <f>SUM(BK256:BK259)</f>
        <v>-19.094000000000001</v>
      </c>
      <c r="BL260" s="1287">
        <f t="shared" si="372"/>
        <v>-0.34304472948262305</v>
      </c>
      <c r="BM260" s="1287">
        <f t="shared" si="361"/>
        <v>35.24578552202864</v>
      </c>
      <c r="BN260" s="1282"/>
      <c r="BO260" s="1253">
        <f>SUM(BO256:BO259)</f>
        <v>-9.9220000000000006</v>
      </c>
      <c r="BP260" s="1287">
        <f>(BO260/BO15)*100</f>
        <v>-0.16306296741731729</v>
      </c>
      <c r="BQ260" s="1287">
        <f t="shared" si="362"/>
        <v>-48.036032261443381</v>
      </c>
      <c r="BR260" s="1282"/>
      <c r="BS260" s="1253">
        <f>SUM(BS256:BS259)</f>
        <v>-5.0136000000000003</v>
      </c>
      <c r="BT260" s="1287">
        <f>(BS260/BS15)*100</f>
        <v>-7.6109140973277589E-2</v>
      </c>
      <c r="BU260" s="1287">
        <f t="shared" si="363"/>
        <v>-49.46986494658335</v>
      </c>
    </row>
    <row r="261" spans="1:75">
      <c r="A261" s="1254" t="s">
        <v>87</v>
      </c>
      <c r="C261" s="1252"/>
      <c r="D261" s="1264"/>
      <c r="E261" s="1256"/>
      <c r="G261" s="1252"/>
      <c r="H261" s="1264"/>
      <c r="I261" s="1265"/>
      <c r="K261" s="1252"/>
      <c r="L261" s="1264"/>
      <c r="M261" s="1265"/>
      <c r="O261" s="1252"/>
      <c r="P261" s="1264"/>
      <c r="Q261" s="1265"/>
      <c r="S261" s="1252"/>
      <c r="T261" s="1264"/>
      <c r="U261" s="1265"/>
      <c r="W261" s="1252"/>
      <c r="X261" s="1264"/>
      <c r="Y261" s="1265"/>
      <c r="AA261" s="1252"/>
      <c r="AB261" s="1264"/>
      <c r="AC261" s="1265"/>
      <c r="AD261" s="1252"/>
      <c r="AE261" s="1252"/>
      <c r="AF261" s="1264"/>
      <c r="AG261" s="1265"/>
      <c r="AI261" s="1253">
        <f>SUM(AI256:AI257)</f>
        <v>-6.0535999999999994</v>
      </c>
      <c r="AJ261" s="1287">
        <f t="shared" si="364"/>
        <v>-0.39539627477350076</v>
      </c>
      <c r="AK261" s="1287" t="str">
        <f t="shared" si="365"/>
        <v>-</v>
      </c>
      <c r="AM261" s="1253">
        <f>SUM(AM256:AM257)</f>
        <v>-0.85329999999999995</v>
      </c>
      <c r="AN261" s="1287">
        <f t="shared" si="366"/>
        <v>-5.256161652996006E-2</v>
      </c>
      <c r="AO261" s="1287">
        <f t="shared" si="355"/>
        <v>-85.90425531914893</v>
      </c>
      <c r="AQ261" s="1253">
        <f>SUM(AQ256:AQ257)</f>
        <v>-13.984249999999999</v>
      </c>
      <c r="AR261" s="1287">
        <f t="shared" si="367"/>
        <v>-0.81189075898585139</v>
      </c>
      <c r="AS261" s="1287">
        <f t="shared" si="356"/>
        <v>1538.8433141919606</v>
      </c>
      <c r="AT261" s="1244"/>
      <c r="AU261" s="1253">
        <f>SUM(AU256:AU257)</f>
        <v>-8.636000000000001</v>
      </c>
      <c r="AV261" s="1287">
        <f t="shared" si="368"/>
        <v>-0.46766955002201482</v>
      </c>
      <c r="AW261" s="1287">
        <f t="shared" si="357"/>
        <v>-38.244811126803356</v>
      </c>
      <c r="AX261" s="1244"/>
      <c r="AY261" s="1253">
        <f>SUM(AY256:AY257)</f>
        <v>-14.18</v>
      </c>
      <c r="AZ261" s="1287">
        <f t="shared" si="369"/>
        <v>-0.69896151472551227</v>
      </c>
      <c r="BA261" s="1287">
        <f t="shared" si="358"/>
        <v>64.196387216303833</v>
      </c>
      <c r="BB261" s="1244"/>
      <c r="BC261" s="1253">
        <f>SUM(BC256:BC257)</f>
        <v>-8.4619999999999997</v>
      </c>
      <c r="BD261" s="1287">
        <f t="shared" si="370"/>
        <v>-0.38962175104173863</v>
      </c>
      <c r="BE261" s="1287">
        <f t="shared" si="359"/>
        <v>-40.324400564174901</v>
      </c>
      <c r="BF261" s="1244"/>
      <c r="BG261" s="1253">
        <f>SUM(BG256:BG257)</f>
        <v>-6.0469999999999997</v>
      </c>
      <c r="BH261" s="1287">
        <f t="shared" si="371"/>
        <v>-0.25983155421550591</v>
      </c>
      <c r="BI261" s="1287">
        <f t="shared" si="360"/>
        <v>-28.539352398960062</v>
      </c>
      <c r="BJ261" s="1282"/>
      <c r="BK261" s="1253">
        <f>SUM(BK256:BK257)</f>
        <v>-7.202</v>
      </c>
      <c r="BL261" s="1287">
        <f t="shared" si="372"/>
        <v>-0.28379771945165017</v>
      </c>
      <c r="BM261" s="1287">
        <f t="shared" si="361"/>
        <v>19.100380353894497</v>
      </c>
      <c r="BN261" s="1282"/>
      <c r="BO261" s="1253">
        <f>SUM(BO256:BO257)</f>
        <v>-4.4169999999999998</v>
      </c>
      <c r="BP261" s="1287">
        <f t="shared" si="373"/>
        <v>-0.16300276407222752</v>
      </c>
      <c r="BQ261" s="1287">
        <f t="shared" si="362"/>
        <v>-38.669813940572062</v>
      </c>
      <c r="BR261" s="1282"/>
      <c r="BS261" s="1253">
        <f>SUM(BS256:BS257)</f>
        <v>-2.5199999999999996</v>
      </c>
      <c r="BT261" s="1287">
        <f t="shared" ref="BT261:BT262" si="376">(BS261/BS16)*100</f>
        <v>-8.4421625820086735E-2</v>
      </c>
      <c r="BU261" s="1287">
        <f t="shared" si="363"/>
        <v>-42.947702060221879</v>
      </c>
    </row>
    <row r="262" spans="1:75" ht="15" customHeight="1">
      <c r="A262" s="1254" t="s">
        <v>88</v>
      </c>
      <c r="C262" s="1252"/>
      <c r="D262" s="1264"/>
      <c r="E262" s="1256"/>
      <c r="G262" s="1252"/>
      <c r="H262" s="1264"/>
      <c r="I262" s="1265"/>
      <c r="K262" s="1252"/>
      <c r="L262" s="1264"/>
      <c r="M262" s="1265"/>
      <c r="O262" s="1252"/>
      <c r="P262" s="1264"/>
      <c r="Q262" s="1265"/>
      <c r="S262" s="1252"/>
      <c r="T262" s="1264"/>
      <c r="U262" s="1265"/>
      <c r="W262" s="1252"/>
      <c r="X262" s="1264"/>
      <c r="Y262" s="1265"/>
      <c r="AA262" s="1252"/>
      <c r="AB262" s="1264"/>
      <c r="AC262" s="1265"/>
      <c r="AD262" s="1252"/>
      <c r="AE262" s="1252"/>
      <c r="AF262" s="1264"/>
      <c r="AG262" s="1265"/>
      <c r="AI262" s="1253">
        <f>SUM(AI256:AI258)</f>
        <v>-8.6796499999999988</v>
      </c>
      <c r="AJ262" s="1287">
        <f t="shared" si="364"/>
        <v>-0.36114121898397883</v>
      </c>
      <c r="AK262" s="1287" t="str">
        <f t="shared" si="365"/>
        <v>-</v>
      </c>
      <c r="AM262" s="1253">
        <f>SUM(AM256:AM258)</f>
        <v>-1.2788999999999999</v>
      </c>
      <c r="AN262" s="1287">
        <f t="shared" si="366"/>
        <v>-5.1535009070709639E-2</v>
      </c>
      <c r="AO262" s="1287">
        <f t="shared" si="355"/>
        <v>-85.265534900600827</v>
      </c>
      <c r="AQ262" s="1253">
        <f>SUM(AQ256:AQ258)</f>
        <v>-14.347899999999999</v>
      </c>
      <c r="AR262" s="1287">
        <f t="shared" si="367"/>
        <v>-0.54740140849637919</v>
      </c>
      <c r="AS262" s="1287">
        <f t="shared" si="356"/>
        <v>1021.8938149972633</v>
      </c>
      <c r="AT262" s="1244"/>
      <c r="AU262" s="1253">
        <f>SUM(AU256:AU258)</f>
        <v>-12.156000000000001</v>
      </c>
      <c r="AV262" s="1287">
        <f t="shared" si="368"/>
        <v>-0.431906658465815</v>
      </c>
      <c r="AW262" s="1287">
        <f t="shared" si="357"/>
        <v>-15.276800089211651</v>
      </c>
      <c r="AX262" s="1244"/>
      <c r="AY262" s="1253">
        <f>SUM(AY256:AY258)</f>
        <v>-20.707999999999998</v>
      </c>
      <c r="AZ262" s="1287">
        <f t="shared" si="369"/>
        <v>-0.66946288438025547</v>
      </c>
      <c r="BA262" s="1287">
        <f t="shared" si="358"/>
        <v>70.35208950312601</v>
      </c>
      <c r="BB262" s="1244"/>
      <c r="BC262" s="1253">
        <f>SUM(BC256:BC258)</f>
        <v>-40.382999999999996</v>
      </c>
      <c r="BD262" s="1287">
        <f t="shared" si="370"/>
        <v>-1.2130152453695275</v>
      </c>
      <c r="BE262" s="1287">
        <f t="shared" si="359"/>
        <v>95.011589723778229</v>
      </c>
      <c r="BF262" s="1244"/>
      <c r="BG262" s="1253">
        <f>SUM(BG256:BG258)</f>
        <v>-8.4469999999999992</v>
      </c>
      <c r="BH262" s="1287">
        <f t="shared" si="371"/>
        <v>-0.23739778082117091</v>
      </c>
      <c r="BI262" s="1287">
        <f t="shared" si="360"/>
        <v>-79.082782358913406</v>
      </c>
      <c r="BJ262" s="1282"/>
      <c r="BK262" s="1253">
        <f>SUM(BK256:BK258)</f>
        <v>-9.286999999999999</v>
      </c>
      <c r="BL262" s="1287">
        <f t="shared" si="372"/>
        <v>-0.23933574601908139</v>
      </c>
      <c r="BM262" s="1287">
        <f t="shared" si="361"/>
        <v>9.9443589440037847</v>
      </c>
      <c r="BN262" s="1282"/>
      <c r="BO262" s="1253">
        <f>SUM(BO256:BO258)</f>
        <v>-6.3609999999999998</v>
      </c>
      <c r="BP262" s="1287">
        <f t="shared" si="373"/>
        <v>-0.15335334167322212</v>
      </c>
      <c r="BQ262" s="1287">
        <f t="shared" si="362"/>
        <v>-31.506406805211583</v>
      </c>
      <c r="BR262" s="1282"/>
      <c r="BS262" s="1253">
        <f>SUM(BS256:BS258)</f>
        <v>-3.7199999999999998</v>
      </c>
      <c r="BT262" s="1287">
        <f t="shared" si="376"/>
        <v>-8.1449101311684119E-2</v>
      </c>
      <c r="BU262" s="1287">
        <f t="shared" si="363"/>
        <v>-41.518629146360638</v>
      </c>
    </row>
    <row r="263" spans="1:75">
      <c r="AT263" s="1244"/>
      <c r="AU263" s="1293"/>
      <c r="AX263" s="1244"/>
      <c r="AY263" s="1245"/>
      <c r="BB263" s="1244"/>
      <c r="BC263" s="1245"/>
      <c r="BF263" s="1244"/>
      <c r="BG263" s="1245"/>
      <c r="BI263" s="1362"/>
      <c r="BJ263" s="1362"/>
      <c r="BK263" s="1245"/>
      <c r="BM263" s="1362"/>
      <c r="BN263" s="1362"/>
      <c r="BO263" s="1245"/>
      <c r="BQ263" s="1362"/>
      <c r="BR263" s="1362"/>
      <c r="BS263" s="1245"/>
      <c r="BU263" s="1362"/>
    </row>
    <row r="264" spans="1:75" s="1282" customFormat="1">
      <c r="A264" s="1251" t="s">
        <v>911</v>
      </c>
      <c r="B264" s="1281"/>
      <c r="C264" s="1281"/>
      <c r="D264" s="1281"/>
      <c r="E264" s="1281"/>
      <c r="F264" s="1281"/>
      <c r="G264" s="1281"/>
      <c r="H264" s="1281"/>
      <c r="I264" s="1281"/>
      <c r="J264" s="1281"/>
      <c r="K264" s="1281"/>
      <c r="L264" s="1281"/>
      <c r="M264" s="1281"/>
      <c r="N264" s="1281"/>
      <c r="O264" s="1281"/>
      <c r="P264" s="1281"/>
      <c r="Q264" s="1281"/>
      <c r="R264" s="1281"/>
      <c r="S264" s="1281"/>
      <c r="T264" s="1281"/>
      <c r="U264" s="1281"/>
      <c r="V264" s="1281"/>
      <c r="W264" s="1281"/>
      <c r="X264" s="1281"/>
      <c r="Y264" s="1281"/>
      <c r="Z264" s="1281"/>
      <c r="AA264" s="1281"/>
      <c r="AB264" s="1281"/>
      <c r="AC264" s="1281"/>
      <c r="AD264" s="1281"/>
      <c r="AE264" s="1281"/>
      <c r="AF264" s="1281"/>
      <c r="AG264" s="1281"/>
      <c r="AH264" s="1281"/>
      <c r="AI264" s="1281"/>
      <c r="AJ264" s="1281"/>
      <c r="AK264" s="1281"/>
      <c r="AL264" s="1281"/>
      <c r="AM264" s="1281"/>
      <c r="AN264" s="1281"/>
      <c r="AO264" s="1281"/>
      <c r="AP264" s="1281"/>
      <c r="AQ264" s="1281"/>
      <c r="AR264" s="1281"/>
      <c r="AS264" s="1281"/>
      <c r="AT264" s="1281"/>
      <c r="AU264" s="1281"/>
      <c r="AV264" s="1281"/>
      <c r="AW264" s="1281"/>
      <c r="AX264" s="1281"/>
      <c r="AY264" s="1281"/>
      <c r="AZ264" s="1281"/>
      <c r="BA264" s="1281"/>
      <c r="BC264" s="1281"/>
      <c r="BD264" s="1281"/>
      <c r="BE264" s="1281"/>
      <c r="BG264" s="2264" t="str">
        <f>A264</f>
        <v>Adjusted Net Earnings (% Net Margin)</v>
      </c>
      <c r="BH264" s="2265"/>
      <c r="BI264" s="2265"/>
      <c r="BJ264" s="2265"/>
      <c r="BK264" s="2265"/>
      <c r="BL264" s="2265"/>
      <c r="BM264" s="2265"/>
      <c r="BN264" s="1664"/>
      <c r="BO264" s="1664"/>
      <c r="BP264" s="1664"/>
      <c r="BQ264" s="1664"/>
      <c r="BR264" s="2150"/>
      <c r="BS264" s="2150"/>
      <c r="BT264" s="2150"/>
      <c r="BU264" s="2150"/>
    </row>
    <row r="265" spans="1:75" s="1282" customFormat="1">
      <c r="AI265" s="1283"/>
      <c r="AJ265" s="1283"/>
      <c r="AK265" s="1283"/>
      <c r="AM265" s="1283"/>
      <c r="AN265" s="1283"/>
      <c r="AO265" s="1283"/>
      <c r="AP265" s="1283"/>
      <c r="AQ265" s="1283"/>
      <c r="AR265" s="1283"/>
      <c r="AS265" s="1283"/>
      <c r="AT265" s="1283"/>
      <c r="AU265" s="1283"/>
      <c r="AV265" s="1283"/>
      <c r="AW265" s="1283"/>
    </row>
    <row r="266" spans="1:75" s="1282" customFormat="1">
      <c r="A266" s="1254" t="s">
        <v>79</v>
      </c>
      <c r="C266" s="1291"/>
      <c r="D266" s="1285"/>
      <c r="E266" s="1308"/>
      <c r="G266" s="1291"/>
      <c r="H266" s="1285"/>
      <c r="I266" s="1287"/>
      <c r="K266" s="1291"/>
      <c r="L266" s="1285"/>
      <c r="M266" s="1287"/>
      <c r="O266" s="1291"/>
      <c r="P266" s="1285"/>
      <c r="Q266" s="1287"/>
      <c r="S266" s="1291"/>
      <c r="T266" s="1285"/>
      <c r="U266" s="1287"/>
      <c r="W266" s="1291"/>
      <c r="X266" s="1285"/>
      <c r="Y266" s="1287"/>
      <c r="AA266" s="1291"/>
      <c r="AB266" s="1285"/>
      <c r="AC266" s="1287"/>
      <c r="AE266" s="1291"/>
      <c r="AF266" s="1285"/>
      <c r="AG266" s="1287"/>
      <c r="AI266" s="1330">
        <f>AI226-AI256</f>
        <v>20.931550000000001</v>
      </c>
      <c r="AJ266" s="1287">
        <f>(AI266/AI21)*100</f>
        <v>3.7768196589385634</v>
      </c>
      <c r="AK266" s="1287" t="str">
        <f t="shared" ref="AK266:AK272" si="377">IFERROR(((AI266/AE266-1)*100),"-")</f>
        <v>-</v>
      </c>
      <c r="AM266" s="1330">
        <f>AM206+AM216+AM236+AM226+AM246+AM256</f>
        <v>6.0235500000000268</v>
      </c>
      <c r="AN266" s="1287">
        <f>(AM266/AM11)*100</f>
        <v>0.67326457116415372</v>
      </c>
      <c r="AO266" s="1287">
        <f>(AM266/AI266-1)*100</f>
        <v>-71.222628042356988</v>
      </c>
      <c r="AQ266" s="1330">
        <f>AQ206+AQ216+AQ236+AQ226+AQ246+AQ256</f>
        <v>4.2208500000000502</v>
      </c>
      <c r="AR266" s="1287">
        <f>(AQ266/AQ11)*100</f>
        <v>0.45430376899323638</v>
      </c>
      <c r="AS266" s="1287">
        <f>(AQ266/AM266-1)*100</f>
        <v>-29.927534427372038</v>
      </c>
      <c r="AU266" s="1330">
        <f>AU206+AU216+AU236+AU226+AU246+AU256</f>
        <v>0.46706716000004489</v>
      </c>
      <c r="AV266" s="1287">
        <f>(AU266/AU11)*100</f>
        <v>4.7542426728136973E-2</v>
      </c>
      <c r="AW266" s="1287">
        <f>(AU266/AQ266-1)*100</f>
        <v>-88.93428669580679</v>
      </c>
      <c r="AY266" s="1330">
        <f>AY206+AY216+AY236+AY226+AY246+AY256</f>
        <v>6.1349999999998968</v>
      </c>
      <c r="AZ266" s="1287">
        <f>(AY266/AY11)*100</f>
        <v>0.57604930644038121</v>
      </c>
      <c r="BA266" s="1287">
        <f>(AY266/AU266-1)*100</f>
        <v>1213.5155980564566</v>
      </c>
      <c r="BC266" s="1330">
        <f>BC206+BC216+BC236+BC226+BC246+BC256</f>
        <v>18.611999999999973</v>
      </c>
      <c r="BD266" s="1287">
        <f>(BC266/BC11)*100</f>
        <v>1.6496066097712492</v>
      </c>
      <c r="BE266" s="1287">
        <f>(BC266/AY266-1)*100</f>
        <v>203.37408312958902</v>
      </c>
      <c r="BG266" s="1376">
        <f>BG206+BG216+BG236+BG226+BG246+BG256</f>
        <v>31.40700000000005</v>
      </c>
      <c r="BH266" s="1287">
        <f>(BG266/BG11)*100</f>
        <v>2.6547281242947354</v>
      </c>
      <c r="BI266" s="1287">
        <f>(BG266/BC266-1)*100</f>
        <v>68.74597034171552</v>
      </c>
      <c r="BK266" s="1291">
        <f>BK206+BK216+BK236+BK226+BK246+BK256</f>
        <v>41.610000000000042</v>
      </c>
      <c r="BL266" s="1287">
        <f>(BK266/BK11)*100</f>
        <v>3.2440144386319196</v>
      </c>
      <c r="BM266" s="1287">
        <f>(BK266/BG266-1)*100</f>
        <v>32.486388384754903</v>
      </c>
      <c r="BO266" s="1291">
        <f>BO206+BO216+BO236+BO226+BO246+BO256</f>
        <v>56.592000000000112</v>
      </c>
      <c r="BP266" s="1287">
        <f>(BO266/BO11)*100</f>
        <v>4.2027528209210905</v>
      </c>
      <c r="BQ266" s="1287">
        <f>(BO266/BK266-1)*100</f>
        <v>36.005767844268341</v>
      </c>
      <c r="BS266" s="1291">
        <f>BS206+BS216+BS236+BS226+BS246+BS256</f>
        <v>75.384901915798039</v>
      </c>
      <c r="BT266" s="1287">
        <f>(BS266/BS11)*100</f>
        <v>5.0729861698810295</v>
      </c>
      <c r="BU266" s="1287">
        <f>(BS266/BO266-1)*100</f>
        <v>33.20770058629823</v>
      </c>
    </row>
    <row r="267" spans="1:75" s="1282" customFormat="1">
      <c r="A267" s="1254" t="s">
        <v>80</v>
      </c>
      <c r="C267" s="1312"/>
      <c r="D267" s="1285"/>
      <c r="E267" s="1308"/>
      <c r="G267" s="1312"/>
      <c r="H267" s="1285"/>
      <c r="I267" s="1287"/>
      <c r="K267" s="1312"/>
      <c r="L267" s="1285"/>
      <c r="M267" s="1287"/>
      <c r="O267" s="1312"/>
      <c r="P267" s="1285"/>
      <c r="Q267" s="1287"/>
      <c r="S267" s="1312"/>
      <c r="T267" s="1285"/>
      <c r="U267" s="1287"/>
      <c r="W267" s="1312"/>
      <c r="X267" s="1285"/>
      <c r="Y267" s="1287"/>
      <c r="AA267" s="1312"/>
      <c r="AB267" s="1285"/>
      <c r="AC267" s="1287"/>
      <c r="AE267" s="1312"/>
      <c r="AF267" s="1285"/>
      <c r="AG267" s="1287"/>
      <c r="AI267" s="1376">
        <f>AI227-AI257</f>
        <v>0.41404999999999992</v>
      </c>
      <c r="AJ267" s="1287">
        <f t="shared" ref="AJ267:AJ272" si="378">(AI267/AI22)*100</f>
        <v>9.7595987262197412E-2</v>
      </c>
      <c r="AK267" s="1287" t="str">
        <f t="shared" si="377"/>
        <v>-</v>
      </c>
      <c r="AM267" s="1376">
        <f>AM207+AM217+AM237+AM227+AM247+AM257</f>
        <v>-39.704849999999965</v>
      </c>
      <c r="AN267" s="1287">
        <f t="shared" ref="AN267:AN272" si="379">(AM267/AM12)*100</f>
        <v>-5.4483499142367018</v>
      </c>
      <c r="AO267" s="1287">
        <f t="shared" ref="AO267:AO272" si="380">(AM267/AI267-1)*100</f>
        <v>-9689.3853399347827</v>
      </c>
      <c r="AQ267" s="1376">
        <f>AQ207+AQ217+AQ237+AQ227+AQ247+AQ257</f>
        <v>-32.070100000000046</v>
      </c>
      <c r="AR267" s="1287">
        <f t="shared" ref="AR267:AR272" si="381">(AQ267/AQ12)*100</f>
        <v>-4.0423697515217194</v>
      </c>
      <c r="AS267" s="1287">
        <f t="shared" ref="AS267:AS272" si="382">(AQ267/AM267-1)*100</f>
        <v>-19.228759206998458</v>
      </c>
      <c r="AU267" s="1376">
        <f>AU207+AU217+AU237+AU227+AU247+AU257</f>
        <v>-21.180530800000007</v>
      </c>
      <c r="AV267" s="1287">
        <f t="shared" ref="AV267:AV272" si="383">(AU267/AU12)*100</f>
        <v>-2.4509362459550483</v>
      </c>
      <c r="AW267" s="1287">
        <f t="shared" ref="AW267:AW272" si="384">(AU267/AQ267-1)*100</f>
        <v>-33.955519939133403</v>
      </c>
      <c r="AY267" s="1379">
        <f>AY207+AY217+AY237+AY227+AY247+AY257</f>
        <v>-13.576000000000038</v>
      </c>
      <c r="AZ267" s="1287">
        <f t="shared" ref="AZ267:AZ272" si="385">(AY267/AY12)*100</f>
        <v>-1.4087210792447151</v>
      </c>
      <c r="BA267" s="1287">
        <f t="shared" ref="BA267:BA272" si="386">(AY267/AU267-1)*100</f>
        <v>-35.903400494571017</v>
      </c>
      <c r="BC267" s="1379">
        <f>BC207+BC217+BC237+BC227+BC247+BC257</f>
        <v>-0.87700000000015077</v>
      </c>
      <c r="BD267" s="1287">
        <f t="shared" ref="BD267:BD272" si="387">(BC267/BC12)*100</f>
        <v>-8.4037559135337919E-2</v>
      </c>
      <c r="BE267" s="1287">
        <f t="shared" ref="BE267:BE272" si="388">(BC267/AY267-1)*100</f>
        <v>-93.54007071302189</v>
      </c>
      <c r="BG267" s="1376">
        <f>BG207+BG217+BG237+BG227+BG247+BG257</f>
        <v>14.857000000000127</v>
      </c>
      <c r="BH267" s="1287">
        <f t="shared" ref="BH267:BH272" si="389">(BG267/BG12)*100</f>
        <v>1.2984413809256738</v>
      </c>
      <c r="BI267" s="1287">
        <f t="shared" ref="BI267:BI272" si="390">(BG267/BC267-1)*100</f>
        <v>-1794.0706955527451</v>
      </c>
      <c r="BK267" s="1291">
        <f>BK207+BK217+BK237+BK227+BK247+BK257</f>
        <v>28.244000000000177</v>
      </c>
      <c r="BL267" s="1287">
        <f t="shared" ref="BL267:BL272" si="391">(BK267/BK12)*100</f>
        <v>2.2504228905074268</v>
      </c>
      <c r="BM267" s="1287">
        <f t="shared" ref="BM267:BM272" si="392">(BK267/BG267-1)*100</f>
        <v>90.105674093019687</v>
      </c>
      <c r="BO267" s="1376">
        <f>BO207+BO217+BO237+BO227+BO247+BO257</f>
        <v>51.27499999999992</v>
      </c>
      <c r="BP267" s="1287">
        <f t="shared" ref="BP267:BP272" si="393">(BO267/BO12)*100</f>
        <v>3.7613040850219717</v>
      </c>
      <c r="BQ267" s="1287">
        <f t="shared" ref="BQ267:BQ272" si="394">(BO267/BK267-1)*100</f>
        <v>81.542982580369625</v>
      </c>
      <c r="BS267" s="1376">
        <f>BS207+BS217+BS237+BS227+BS247+BS257</f>
        <v>66.619824256391311</v>
      </c>
      <c r="BT267" s="1287">
        <f t="shared" ref="BT267:BT269" si="395">(BS267/BS12)*100</f>
        <v>4.4442527947419945</v>
      </c>
      <c r="BU267" s="1287">
        <f t="shared" ref="BU267:BU272" si="396">(BS267/BO267-1)*100</f>
        <v>29.926522196765305</v>
      </c>
    </row>
    <row r="268" spans="1:75" s="1282" customFormat="1">
      <c r="A268" s="1254" t="s">
        <v>81</v>
      </c>
      <c r="C268" s="1312"/>
      <c r="D268" s="1285"/>
      <c r="E268" s="1308"/>
      <c r="G268" s="1312"/>
      <c r="H268" s="1285"/>
      <c r="I268" s="1287"/>
      <c r="K268" s="1312"/>
      <c r="L268" s="1285"/>
      <c r="M268" s="1287"/>
      <c r="O268" s="1312"/>
      <c r="P268" s="1285"/>
      <c r="Q268" s="1287"/>
      <c r="S268" s="1312"/>
      <c r="T268" s="1285"/>
      <c r="U268" s="1287"/>
      <c r="W268" s="1312"/>
      <c r="X268" s="1285"/>
      <c r="Y268" s="1287"/>
      <c r="AA268" s="1312"/>
      <c r="AB268" s="1285"/>
      <c r="AC268" s="1287"/>
      <c r="AE268" s="1312"/>
      <c r="AF268" s="1285"/>
      <c r="AG268" s="1287"/>
      <c r="AI268" s="1376">
        <f>AI228-AI258</f>
        <v>9.0630500000000005</v>
      </c>
      <c r="AJ268" s="1287">
        <f t="shared" si="378"/>
        <v>1.7313573973427068</v>
      </c>
      <c r="AK268" s="1287" t="str">
        <f t="shared" si="377"/>
        <v>-</v>
      </c>
      <c r="AM268" s="1376">
        <f>AM208+AM218+AM238+AM228+AM248+AM258</f>
        <v>-2.0046000000001207</v>
      </c>
      <c r="AN268" s="1287">
        <f t="shared" si="379"/>
        <v>-0.23358572617126366</v>
      </c>
      <c r="AO268" s="1287">
        <f t="shared" si="380"/>
        <v>-122.1183817809691</v>
      </c>
      <c r="AQ268" s="1376">
        <f>AQ208+AQ218+AQ238+AQ228+AQ248+AQ258</f>
        <v>-9.6016500000000189</v>
      </c>
      <c r="AR268" s="1287">
        <f t="shared" si="381"/>
        <v>-1.0684372228521726</v>
      </c>
      <c r="AS268" s="1287">
        <f t="shared" si="382"/>
        <v>378.98084405863716</v>
      </c>
      <c r="AU268" s="1376">
        <f>AU208+AU218+AU238+AU228+AU248+AU258</f>
        <v>-1.7530000000000239</v>
      </c>
      <c r="AV268" s="1287">
        <f t="shared" si="383"/>
        <v>-0.18111487414944444</v>
      </c>
      <c r="AW268" s="1287">
        <f t="shared" si="384"/>
        <v>-81.74272130310915</v>
      </c>
      <c r="AY268" s="1379">
        <f>AY208+AY218+AY238+AY228+AY248+AY258</f>
        <v>-3.3329999999999904</v>
      </c>
      <c r="AZ268" s="1287">
        <f t="shared" si="385"/>
        <v>-0.31310415574606631</v>
      </c>
      <c r="BA268" s="1287">
        <f t="shared" si="386"/>
        <v>90.131203650881048</v>
      </c>
      <c r="BC268" s="1379">
        <f>BC208+BC218+BC238+BC228+BC248+BC258</f>
        <v>11.910999999999866</v>
      </c>
      <c r="BD268" s="1287">
        <f t="shared" si="387"/>
        <v>1.0292130248891262</v>
      </c>
      <c r="BE268" s="1287">
        <f t="shared" si="388"/>
        <v>-457.36573657365443</v>
      </c>
      <c r="BG268" s="1376">
        <f>BG208+BG218+BG238+BG228+BG248+BG258</f>
        <v>19.048000000000041</v>
      </c>
      <c r="BH268" s="1287">
        <f t="shared" si="389"/>
        <v>1.5475031806357404</v>
      </c>
      <c r="BI268" s="1287">
        <f t="shared" si="390"/>
        <v>59.919402233231935</v>
      </c>
      <c r="BK268" s="1376">
        <f>BK208+BK218+BK238+BK228+BK248+BK258</f>
        <v>36.276999999999973</v>
      </c>
      <c r="BL268" s="1287">
        <f t="shared" si="391"/>
        <v>2.7019961269179182</v>
      </c>
      <c r="BM268" s="1287">
        <f t="shared" si="392"/>
        <v>90.450440991179619</v>
      </c>
      <c r="BO268" s="1379">
        <f>BO208+BO218+BO238+BO228+BO248+BO258</f>
        <v>48.790999999999947</v>
      </c>
      <c r="BP268" s="1287">
        <f t="shared" si="393"/>
        <v>3.3925823635224526</v>
      </c>
      <c r="BQ268" s="1287">
        <f t="shared" si="394"/>
        <v>34.495685971827839</v>
      </c>
      <c r="BS268" s="1376">
        <f>BS208+BS218+BS238+BS228+BS248+BS258</f>
        <v>67.567339086420859</v>
      </c>
      <c r="BT268" s="1287">
        <f t="shared" si="395"/>
        <v>4.2703261998067985</v>
      </c>
      <c r="BU268" s="1287">
        <f t="shared" si="396"/>
        <v>38.483201997132532</v>
      </c>
    </row>
    <row r="269" spans="1:75" s="1282" customFormat="1">
      <c r="A269" s="1254" t="s">
        <v>82</v>
      </c>
      <c r="C269" s="1290"/>
      <c r="D269" s="1285"/>
      <c r="E269" s="1308"/>
      <c r="G269" s="1290"/>
      <c r="H269" s="1285"/>
      <c r="I269" s="1287"/>
      <c r="K269" s="1290"/>
      <c r="L269" s="1285"/>
      <c r="M269" s="1287"/>
      <c r="O269" s="1290"/>
      <c r="P269" s="1285"/>
      <c r="Q269" s="1287"/>
      <c r="S269" s="1290"/>
      <c r="T269" s="1285"/>
      <c r="U269" s="1287"/>
      <c r="W269" s="1290"/>
      <c r="X269" s="1285"/>
      <c r="Y269" s="1287"/>
      <c r="AA269" s="1290"/>
      <c r="AB269" s="1285"/>
      <c r="AC269" s="1287"/>
      <c r="AE269" s="1290"/>
      <c r="AF269" s="1285"/>
      <c r="AG269" s="1287"/>
      <c r="AI269" s="1375">
        <f>AI229-AI259</f>
        <v>67.438499999999991</v>
      </c>
      <c r="AJ269" s="1287">
        <f t="shared" si="378"/>
        <v>9.920606900447499</v>
      </c>
      <c r="AK269" s="1287" t="str">
        <f t="shared" si="377"/>
        <v>-</v>
      </c>
      <c r="AM269" s="1375">
        <f>AM209+AM219+AM239+AM229+AM249+AM259</f>
        <v>70.823750000000103</v>
      </c>
      <c r="AN269" s="1287">
        <f t="shared" si="379"/>
        <v>5.9616553365858982</v>
      </c>
      <c r="AO269" s="1287">
        <f t="shared" si="380"/>
        <v>5.0197587431513258</v>
      </c>
      <c r="AQ269" s="1375">
        <f>AQ209+AQ219+AQ239+AQ229+AQ249+AQ259</f>
        <v>59.165500000000257</v>
      </c>
      <c r="AR269" s="1287">
        <f t="shared" si="381"/>
        <v>4.7983400389768258</v>
      </c>
      <c r="AS269" s="1287">
        <f t="shared" si="382"/>
        <v>-16.460932949751783</v>
      </c>
      <c r="AU269" s="1375">
        <f>AU209+AU219+AU239+AU229+AU249+AU259</f>
        <v>85.613709892994805</v>
      </c>
      <c r="AV269" s="1287">
        <f t="shared" si="383"/>
        <v>6.7810843683059465</v>
      </c>
      <c r="AW269" s="1287">
        <f t="shared" si="384"/>
        <v>44.702081268635332</v>
      </c>
      <c r="AY269" s="1386">
        <f>AY209+AY219+AY239+AY229+AY249+AY259</f>
        <v>81.018000000000114</v>
      </c>
      <c r="AZ269" s="1287">
        <f t="shared" si="385"/>
        <v>6.072052504839708</v>
      </c>
      <c r="BA269" s="1287">
        <f t="shared" si="386"/>
        <v>-5.3679602235888186</v>
      </c>
      <c r="BC269" s="1375">
        <f>BC209+BC219+BC239+BC229+BC249+BC259</f>
        <v>108.93100000000008</v>
      </c>
      <c r="BD269" s="1287">
        <f t="shared" si="387"/>
        <v>7.3336331480137558</v>
      </c>
      <c r="BE269" s="1287">
        <f t="shared" si="388"/>
        <v>34.452837641017965</v>
      </c>
      <c r="BG269" s="1375">
        <f>BG209+BG219+BG239+BG229+BG249+BG259</f>
        <v>109.26200000000003</v>
      </c>
      <c r="BH269" s="1287">
        <f t="shared" si="389"/>
        <v>7.0913939727499722</v>
      </c>
      <c r="BI269" s="1287">
        <f t="shared" si="390"/>
        <v>0.3038620778290424</v>
      </c>
      <c r="BK269" s="1375">
        <f>BK209+BK219+BK239+BK229+BK249+BK259</f>
        <v>126.13499999999989</v>
      </c>
      <c r="BL269" s="1287">
        <f t="shared" si="391"/>
        <v>7.4825815751772922</v>
      </c>
      <c r="BM269" s="1287">
        <f t="shared" si="392"/>
        <v>15.442697369625179</v>
      </c>
      <c r="BO269" s="1375">
        <f>BO209+BO219+BO239+BO229+BO249+BO259</f>
        <v>155.82144600000004</v>
      </c>
      <c r="BP269" s="1287">
        <f t="shared" si="393"/>
        <v>8.0451834415944852</v>
      </c>
      <c r="BQ269" s="1287">
        <f t="shared" si="394"/>
        <v>23.535454869782502</v>
      </c>
      <c r="BS269" s="1375">
        <f>BS209+BS219+BS239+BS229+BS249+BS259</f>
        <v>186.14698171014194</v>
      </c>
      <c r="BT269" s="1287">
        <f t="shared" si="395"/>
        <v>9.2146832497971083</v>
      </c>
      <c r="BU269" s="1287">
        <f t="shared" si="396"/>
        <v>19.46172140524347</v>
      </c>
      <c r="BW269" s="1330"/>
    </row>
    <row r="270" spans="1:75" s="1282" customFormat="1">
      <c r="A270" s="1254" t="s">
        <v>85</v>
      </c>
      <c r="C270" s="1291"/>
      <c r="D270" s="1285"/>
      <c r="E270" s="1308"/>
      <c r="G270" s="1291"/>
      <c r="H270" s="1285"/>
      <c r="I270" s="1287"/>
      <c r="K270" s="1291"/>
      <c r="L270" s="1285"/>
      <c r="M270" s="1287"/>
      <c r="O270" s="1291"/>
      <c r="P270" s="1285"/>
      <c r="Q270" s="1287"/>
      <c r="S270" s="1291"/>
      <c r="T270" s="1285"/>
      <c r="U270" s="1287"/>
      <c r="W270" s="1291"/>
      <c r="X270" s="1285"/>
      <c r="Y270" s="1287"/>
      <c r="AA270" s="1291"/>
      <c r="AB270" s="1285"/>
      <c r="AC270" s="1287"/>
      <c r="AE270" s="1291"/>
      <c r="AF270" s="1285"/>
      <c r="AG270" s="1287"/>
      <c r="AI270" s="1330">
        <f>AI230-AI260</f>
        <v>97.847149999999985</v>
      </c>
      <c r="AJ270" s="1287">
        <f t="shared" si="378"/>
        <v>4.4848895841650593</v>
      </c>
      <c r="AK270" s="1287" t="str">
        <f t="shared" si="377"/>
        <v>-</v>
      </c>
      <c r="AM270" s="1330">
        <f>AM210+AM220+AM230+AM240+AM250+AM260</f>
        <v>35.137849999999851</v>
      </c>
      <c r="AN270" s="1287">
        <f t="shared" si="379"/>
        <v>0.95753844694873858</v>
      </c>
      <c r="AO270" s="1287">
        <f t="shared" si="380"/>
        <v>-64.089040917390179</v>
      </c>
      <c r="AQ270" s="1330">
        <f>AQ210+AQ220+AQ230+AQ240+AQ250+AQ260</f>
        <v>21.714600000000175</v>
      </c>
      <c r="AR270" s="1287">
        <f t="shared" si="381"/>
        <v>0.56341061312347152</v>
      </c>
      <c r="AS270" s="1287">
        <f t="shared" si="382"/>
        <v>-38.201682800739754</v>
      </c>
      <c r="AU270" s="1378">
        <f>AU210+AU220+AU230+AU240+AU250+AU260</f>
        <v>63.147246252994726</v>
      </c>
      <c r="AV270" s="1287">
        <f t="shared" si="383"/>
        <v>1.5488525139445157</v>
      </c>
      <c r="AW270" s="1287">
        <f t="shared" si="384"/>
        <v>190.80547766477034</v>
      </c>
      <c r="AY270" s="1378">
        <f>AY210+AY220+AY230+AY240+AY250+AY260</f>
        <v>70.244999999999806</v>
      </c>
      <c r="AZ270" s="1287">
        <f t="shared" si="385"/>
        <v>1.5865601897954626</v>
      </c>
      <c r="BA270" s="1287">
        <f t="shared" si="386"/>
        <v>11.240005175472678</v>
      </c>
      <c r="BC270" s="1378">
        <f>BC210+BC220+BC230+BC240+BC250+BC260</f>
        <v>138.57699999999983</v>
      </c>
      <c r="BD270" s="1287">
        <f t="shared" si="387"/>
        <v>2.8783234991600346</v>
      </c>
      <c r="BE270" s="1287">
        <f t="shared" si="388"/>
        <v>97.276674496405732</v>
      </c>
      <c r="BG270" s="1378">
        <f>BG210+BG220+BG230+BG240+BG250+BG260</f>
        <v>174.57400000000001</v>
      </c>
      <c r="BH270" s="1287">
        <f t="shared" si="389"/>
        <v>3.4237365785619422</v>
      </c>
      <c r="BI270" s="1287">
        <f t="shared" si="390"/>
        <v>25.976172092050078</v>
      </c>
      <c r="BK270" s="1510">
        <f>BK210+BK220+BK230+BK240+BK250+BK260</f>
        <v>232.26599999999954</v>
      </c>
      <c r="BL270" s="1287">
        <f t="shared" si="391"/>
        <v>4.1729143782345632</v>
      </c>
      <c r="BM270" s="1287">
        <f t="shared" si="392"/>
        <v>33.04730372220348</v>
      </c>
      <c r="BO270" s="1510">
        <f>BO210+BO220+BO230+BO240+BO250+BO260</f>
        <v>312.47944599999977</v>
      </c>
      <c r="BP270" s="1287">
        <f>(BO270/BO15)*100</f>
        <v>5.1354389963393787</v>
      </c>
      <c r="BQ270" s="1287">
        <f t="shared" si="394"/>
        <v>34.535164854089871</v>
      </c>
      <c r="BS270" s="1510">
        <f>BS210+BS220+BS230+BS240+BS250+BS260</f>
        <v>395.7190469687522</v>
      </c>
      <c r="BT270" s="1287">
        <f>(BS270/BS15)*100</f>
        <v>6.0072276870025165</v>
      </c>
      <c r="BU270" s="1287">
        <f t="shared" si="396"/>
        <v>26.638424393760761</v>
      </c>
      <c r="BV270" s="1330"/>
    </row>
    <row r="271" spans="1:75">
      <c r="A271" s="1278" t="s">
        <v>87</v>
      </c>
      <c r="AI271" s="1253">
        <f>SUM(AI266:AI267)</f>
        <v>21.345600000000001</v>
      </c>
      <c r="AJ271" s="1287">
        <f t="shared" si="378"/>
        <v>2.181550599922327</v>
      </c>
      <c r="AK271" s="1287" t="str">
        <f t="shared" si="377"/>
        <v>-</v>
      </c>
      <c r="AM271" s="1253">
        <f>SUM(AM266:AM267)</f>
        <v>-33.681299999999936</v>
      </c>
      <c r="AN271" s="1287">
        <f t="shared" si="379"/>
        <v>-2.0747024198178141</v>
      </c>
      <c r="AO271" s="1287">
        <f t="shared" si="380"/>
        <v>-257.79036429053264</v>
      </c>
      <c r="AQ271" s="1253">
        <f>SUM(AQ266:AQ267)</f>
        <v>-27.849249999999998</v>
      </c>
      <c r="AR271" s="1287">
        <f t="shared" si="381"/>
        <v>-1.6168581596929921</v>
      </c>
      <c r="AS271" s="1287">
        <f t="shared" si="382"/>
        <v>-17.315394595814148</v>
      </c>
      <c r="AT271" s="1244"/>
      <c r="AU271" s="1253">
        <f>SUM(AU266:AU267)</f>
        <v>-20.713463639999961</v>
      </c>
      <c r="AV271" s="1287">
        <f t="shared" si="383"/>
        <v>-1.1217063709953849</v>
      </c>
      <c r="AW271" s="1287">
        <f t="shared" si="384"/>
        <v>-25.62290316615362</v>
      </c>
      <c r="AX271" s="1244"/>
      <c r="AY271" s="1253">
        <f>SUM(AY266:AY267)</f>
        <v>-7.4410000000001411</v>
      </c>
      <c r="AZ271" s="1287">
        <f t="shared" si="385"/>
        <v>-0.36678227299524929</v>
      </c>
      <c r="BA271" s="1287">
        <f t="shared" si="386"/>
        <v>-64.076505362286412</v>
      </c>
      <c r="BB271" s="1244"/>
      <c r="BC271" s="1253">
        <f>SUM(BC266:BC267)</f>
        <v>17.734999999999822</v>
      </c>
      <c r="BD271" s="1287">
        <f t="shared" si="387"/>
        <v>0.81658493910720453</v>
      </c>
      <c r="BE271" s="1287">
        <f t="shared" si="388"/>
        <v>-338.34162074989229</v>
      </c>
      <c r="BF271" s="1244"/>
      <c r="BG271" s="1504">
        <f>SUM(BG266:BG267)</f>
        <v>46.264000000000181</v>
      </c>
      <c r="BH271" s="1287">
        <f t="shared" si="389"/>
        <v>1.9879026003350775</v>
      </c>
      <c r="BI271" s="1287">
        <f t="shared" si="390"/>
        <v>160.86270087398168</v>
      </c>
      <c r="BK271" s="1253">
        <f>SUM(BK266:BK267)</f>
        <v>69.854000000000212</v>
      </c>
      <c r="BL271" s="1287">
        <f t="shared" si="391"/>
        <v>2.7526250894995323</v>
      </c>
      <c r="BM271" s="1287">
        <f t="shared" si="392"/>
        <v>50.989970603492864</v>
      </c>
      <c r="BO271" s="1253">
        <f>SUM(BO266:BO267)</f>
        <v>107.86700000000003</v>
      </c>
      <c r="BP271" s="1287">
        <f t="shared" si="393"/>
        <v>3.9806699461577928</v>
      </c>
      <c r="BQ271" s="1287">
        <f t="shared" si="394"/>
        <v>54.417785667248417</v>
      </c>
      <c r="BS271" s="1253">
        <f>SUM(BS266:BS267)</f>
        <v>142.00472617218935</v>
      </c>
      <c r="BT271" s="1287">
        <f t="shared" ref="BT271:BT272" si="397">(BS271/BS16)*100</f>
        <v>4.7572499434890672</v>
      </c>
      <c r="BU271" s="1287">
        <f t="shared" si="396"/>
        <v>31.64797961581327</v>
      </c>
    </row>
    <row r="272" spans="1:75">
      <c r="A272" s="1278" t="s">
        <v>88</v>
      </c>
      <c r="AI272" s="1253">
        <f>SUM(AI266:AI268)</f>
        <v>30.408650000000002</v>
      </c>
      <c r="AJ272" s="1287">
        <f t="shared" si="378"/>
        <v>2.0246450388667876</v>
      </c>
      <c r="AK272" s="1287" t="str">
        <f t="shared" si="377"/>
        <v>-</v>
      </c>
      <c r="AM272" s="1253">
        <f>SUM(AM266:AM268)</f>
        <v>-35.685900000000061</v>
      </c>
      <c r="AN272" s="1287">
        <f t="shared" si="379"/>
        <v>-1.4380117133446244</v>
      </c>
      <c r="AO272" s="1287">
        <f t="shared" si="380"/>
        <v>-217.35443697763648</v>
      </c>
      <c r="AQ272" s="1253">
        <f>SUM(AQ266:AQ268)</f>
        <v>-37.450900000000019</v>
      </c>
      <c r="AR272" s="1287">
        <f t="shared" si="381"/>
        <v>-1.4288275921533504</v>
      </c>
      <c r="AS272" s="1287">
        <f t="shared" si="382"/>
        <v>4.9459310259793332</v>
      </c>
      <c r="AT272" s="1244"/>
      <c r="AU272" s="1253">
        <f>SUM(AU266:AU268)</f>
        <v>-22.466463639999986</v>
      </c>
      <c r="AV272" s="1287">
        <f t="shared" si="383"/>
        <v>-0.79824080604607806</v>
      </c>
      <c r="AW272" s="1287">
        <f t="shared" si="384"/>
        <v>-40.010884544830759</v>
      </c>
      <c r="AX272" s="1244"/>
      <c r="AY272" s="1253">
        <f>SUM(AY266:AY268)</f>
        <v>-10.774000000000132</v>
      </c>
      <c r="AZ272" s="1287">
        <f t="shared" si="385"/>
        <v>-0.34830949953220791</v>
      </c>
      <c r="BA272" s="1287">
        <f t="shared" si="386"/>
        <v>-52.044077017898935</v>
      </c>
      <c r="BB272" s="1244"/>
      <c r="BC272" s="1253">
        <f>SUM(BC266:BC268)</f>
        <v>29.645999999999688</v>
      </c>
      <c r="BD272" s="1287">
        <f t="shared" si="387"/>
        <v>0.89049971434080277</v>
      </c>
      <c r="BE272" s="1287">
        <f t="shared" si="388"/>
        <v>-375.16242806756378</v>
      </c>
      <c r="BF272" s="1244"/>
      <c r="BG272" s="1504">
        <f>SUM(BG266:BG268)</f>
        <v>65.312000000000225</v>
      </c>
      <c r="BH272" s="1287">
        <f t="shared" si="389"/>
        <v>1.8355539080137766</v>
      </c>
      <c r="BI272" s="1287">
        <f t="shared" si="390"/>
        <v>120.30628077987218</v>
      </c>
      <c r="BK272" s="1253">
        <f>SUM(BK266:BK268)</f>
        <v>106.13100000000018</v>
      </c>
      <c r="BL272" s="1287">
        <f t="shared" si="391"/>
        <v>2.7351073609078469</v>
      </c>
      <c r="BM272" s="1287">
        <f t="shared" si="392"/>
        <v>62.498468887799817</v>
      </c>
      <c r="BO272" s="1253">
        <f>SUM(BO266:BO268)</f>
        <v>156.65799999999999</v>
      </c>
      <c r="BP272" s="1287">
        <f t="shared" si="393"/>
        <v>3.7767690300021433</v>
      </c>
      <c r="BQ272" s="1287">
        <f t="shared" si="394"/>
        <v>47.608144651421092</v>
      </c>
      <c r="BS272" s="1253">
        <f>SUM(BS266:BS268)</f>
        <v>209.57206525861022</v>
      </c>
      <c r="BT272" s="1287">
        <f t="shared" si="397"/>
        <v>4.5885635417600596</v>
      </c>
      <c r="BU272" s="1287">
        <f t="shared" si="396"/>
        <v>33.776803775491992</v>
      </c>
    </row>
    <row r="273" spans="1:79">
      <c r="AT273" s="1244"/>
      <c r="AU273" s="1293"/>
      <c r="AX273" s="1244"/>
      <c r="AY273" s="1245"/>
      <c r="BB273" s="1244"/>
      <c r="BC273" s="1245"/>
      <c r="BF273" s="1244"/>
      <c r="BG273" s="1245"/>
      <c r="BK273" s="1245"/>
      <c r="BO273" s="1245"/>
      <c r="BS273" s="1245"/>
    </row>
    <row r="274" spans="1:79" s="2158" customFormat="1">
      <c r="A274" s="2186" t="s">
        <v>912</v>
      </c>
      <c r="B274" s="2187"/>
      <c r="C274" s="2187"/>
      <c r="D274" s="2187"/>
      <c r="E274" s="2187"/>
      <c r="F274" s="2187"/>
      <c r="G274" s="2187"/>
      <c r="H274" s="2187"/>
      <c r="I274" s="2187"/>
      <c r="J274" s="2187"/>
      <c r="K274" s="2187"/>
      <c r="L274" s="2187"/>
      <c r="M274" s="2187"/>
      <c r="N274" s="2187"/>
      <c r="O274" s="2187"/>
      <c r="P274" s="2187"/>
      <c r="Q274" s="2187"/>
      <c r="R274" s="2187"/>
      <c r="S274" s="2187"/>
      <c r="T274" s="2187"/>
      <c r="U274" s="2187"/>
      <c r="V274" s="2187"/>
      <c r="W274" s="2187"/>
      <c r="X274" s="2187"/>
      <c r="Y274" s="2187"/>
      <c r="Z274" s="2187"/>
      <c r="AA274" s="2187"/>
      <c r="AB274" s="2187"/>
      <c r="AC274" s="2187"/>
      <c r="AD274" s="2187"/>
      <c r="AE274" s="2187"/>
      <c r="AF274" s="2187"/>
      <c r="AG274" s="2187"/>
      <c r="AH274" s="2187"/>
      <c r="AI274" s="2187"/>
      <c r="AJ274" s="2187"/>
      <c r="AK274" s="2187"/>
      <c r="AL274" s="2187"/>
      <c r="AM274" s="2187"/>
      <c r="AN274" s="2187"/>
      <c r="AO274" s="2187"/>
      <c r="AP274" s="2187"/>
      <c r="AQ274" s="2187"/>
      <c r="AR274" s="2187"/>
      <c r="AS274" s="2187"/>
      <c r="AT274" s="2187"/>
      <c r="AU274" s="2187"/>
      <c r="AV274" s="2187"/>
      <c r="AW274" s="2187"/>
      <c r="AX274" s="2187"/>
      <c r="AY274" s="2187"/>
      <c r="AZ274" s="2187"/>
      <c r="BA274" s="2187"/>
      <c r="BC274" s="2187"/>
      <c r="BD274" s="2187"/>
      <c r="BE274" s="2187"/>
      <c r="BG274" s="2267" t="str">
        <f>A274</f>
        <v xml:space="preserve"> Earnings Per Share - Adjusted - Fully Diluted % Change</v>
      </c>
      <c r="BH274" s="2268"/>
      <c r="BI274" s="2268"/>
      <c r="BJ274" s="2268"/>
      <c r="BK274" s="2268"/>
      <c r="BL274" s="2268"/>
      <c r="BM274" s="2268"/>
      <c r="BN274" s="2188"/>
      <c r="BO274" s="2188"/>
      <c r="BP274" s="2188"/>
      <c r="BQ274" s="2188"/>
      <c r="BR274" s="2188"/>
      <c r="BS274" s="2188"/>
      <c r="BT274" s="2188"/>
      <c r="BU274" s="2188"/>
    </row>
    <row r="275" spans="1:79" s="1282" customFormat="1">
      <c r="AQ275" s="1306"/>
      <c r="AU275" s="1306"/>
    </row>
    <row r="276" spans="1:79" s="1282" customFormat="1">
      <c r="A276" s="1254" t="s">
        <v>79</v>
      </c>
      <c r="C276" s="1353"/>
      <c r="D276" s="1287"/>
      <c r="E276" s="1322"/>
      <c r="G276" s="1353"/>
      <c r="H276" s="1287"/>
      <c r="I276" s="1322"/>
      <c r="K276" s="1353"/>
      <c r="L276" s="1287"/>
      <c r="M276" s="1322"/>
      <c r="O276" s="1353"/>
      <c r="P276" s="1287"/>
      <c r="Q276" s="1322"/>
      <c r="S276" s="1353"/>
      <c r="T276" s="1287"/>
      <c r="U276" s="1322"/>
      <c r="W276" s="1353"/>
      <c r="X276" s="1287"/>
      <c r="Y276" s="1287"/>
      <c r="AA276" s="1353"/>
      <c r="AB276" s="1287"/>
      <c r="AC276" s="1287"/>
      <c r="AE276" s="1339"/>
      <c r="AF276" s="1287"/>
      <c r="AG276" s="1287"/>
      <c r="AI276" s="1339" t="s">
        <v>90</v>
      </c>
      <c r="AJ276" s="1287" t="s">
        <v>90</v>
      </c>
      <c r="AK276" s="1287"/>
      <c r="AM276" s="1339" t="s">
        <v>90</v>
      </c>
      <c r="AN276" s="1287" t="s">
        <v>90</v>
      </c>
      <c r="AO276" s="1287"/>
      <c r="AQ276" s="1339" t="s">
        <v>90</v>
      </c>
      <c r="AR276" s="1287" t="str">
        <f>IFERROR((AQ276/AM276-1)*100,"-")</f>
        <v>-</v>
      </c>
      <c r="AS276" s="1287"/>
      <c r="AU276" s="1354">
        <f>AU266/AU286</f>
        <v>6.612588941221827E-3</v>
      </c>
      <c r="AV276" s="1287" t="str">
        <f>IFERROR((AU276/AQ276-1)*100,"-")</f>
        <v>-</v>
      </c>
      <c r="AW276" s="1287"/>
      <c r="AY276" s="1354">
        <f>AY266/AY286</f>
        <v>8.4747354805056185E-2</v>
      </c>
      <c r="AZ276" s="1287">
        <f>IFERROR((AY276/AU276-1)*100,"-")</f>
        <v>1181.6062749153311</v>
      </c>
      <c r="BC276" s="1354">
        <f>BC266/BC286</f>
        <v>0.24661781658694265</v>
      </c>
      <c r="BD276" s="1287">
        <f>IFERROR((BC276/AY276-1)*100,"-")</f>
        <v>191.00355657617408</v>
      </c>
      <c r="BG276" s="1354">
        <f>BG266/BG286</f>
        <v>0.41054365302414408</v>
      </c>
      <c r="BH276" s="1287">
        <f>IFERROR((BG276/BC276-1)*100,"-")</f>
        <v>66.469583871046495</v>
      </c>
      <c r="BI276" s="1591"/>
      <c r="BJ276" s="1282">
        <f>+BK276/0.46-1</f>
        <v>0.24900268891278365</v>
      </c>
      <c r="BK276" s="1354">
        <f>BK266/BK286</f>
        <v>0.57454123689988046</v>
      </c>
      <c r="BL276" s="1287">
        <f t="shared" ref="BL276:BL282" si="398">(BK276/BG276-1)*100</f>
        <v>39.946442398438855</v>
      </c>
      <c r="BM276" s="1355"/>
      <c r="BO276" s="1354">
        <f>BO266/BO286</f>
        <v>0.79144115796098335</v>
      </c>
      <c r="BP276" s="1287">
        <f t="shared" ref="BP276:BP282" si="399">(BO276/BK276-1)*100</f>
        <v>37.751845669330052</v>
      </c>
      <c r="BQ276" s="1355"/>
      <c r="BS276" s="1354">
        <f>BS266/BS286</f>
        <v>1.0940410988433065</v>
      </c>
      <c r="BT276" s="1287">
        <f t="shared" ref="BT276:BT282" si="400">(BS276/BO276-1)*100</f>
        <v>38.234041512564445</v>
      </c>
      <c r="BU276" s="1355"/>
      <c r="BV276" s="1694">
        <f>0.72/0.8-1</f>
        <v>-0.10000000000000009</v>
      </c>
    </row>
    <row r="277" spans="1:79" s="1282" customFormat="1">
      <c r="A277" s="1254" t="s">
        <v>80</v>
      </c>
      <c r="C277" s="1353"/>
      <c r="D277" s="1287"/>
      <c r="E277" s="1322"/>
      <c r="G277" s="1353"/>
      <c r="H277" s="1287"/>
      <c r="I277" s="1322"/>
      <c r="K277" s="1353"/>
      <c r="L277" s="1287"/>
      <c r="M277" s="1322"/>
      <c r="O277" s="1353"/>
      <c r="P277" s="1287"/>
      <c r="Q277" s="1322"/>
      <c r="S277" s="1353"/>
      <c r="T277" s="1287"/>
      <c r="U277" s="1322"/>
      <c r="W277" s="1353"/>
      <c r="X277" s="1287"/>
      <c r="Y277" s="1287"/>
      <c r="AA277" s="1353"/>
      <c r="AB277" s="1287"/>
      <c r="AC277" s="1287"/>
      <c r="AE277" s="1339"/>
      <c r="AF277" s="1287"/>
      <c r="AG277" s="1287"/>
      <c r="AI277" s="1339" t="s">
        <v>90</v>
      </c>
      <c r="AJ277" s="1287" t="s">
        <v>90</v>
      </c>
      <c r="AK277" s="1287"/>
      <c r="AM277" s="1339" t="s">
        <v>90</v>
      </c>
      <c r="AN277" s="1287" t="s">
        <v>90</v>
      </c>
      <c r="AO277" s="1287"/>
      <c r="AQ277" s="1339" t="s">
        <v>90</v>
      </c>
      <c r="AR277" s="1287" t="str">
        <f t="shared" ref="AR277:AR282" si="401">IFERROR((AQ277/AM277-1)*100,"-")</f>
        <v>-</v>
      </c>
      <c r="AS277" s="1287"/>
      <c r="AU277" s="1356">
        <f>AU267/AU287</f>
        <v>-0.29775945561151107</v>
      </c>
      <c r="AV277" s="1287" t="str">
        <f t="shared" ref="AV277:AV282" si="402">IFERROR((AU277/AQ277-1)*100,"-")</f>
        <v>-</v>
      </c>
      <c r="AW277" s="1287"/>
      <c r="AY277" s="1356">
        <f>AY267/AY287</f>
        <v>-0.18623792800702421</v>
      </c>
      <c r="AZ277" s="1287">
        <f t="shared" ref="AZ277:AZ282" si="403">IFERROR((AY277/AU277-1)*100,"-")</f>
        <v>-37.453563775314599</v>
      </c>
      <c r="BC277" s="1356">
        <f>BC267/BC287</f>
        <v>-1.185679906984494E-2</v>
      </c>
      <c r="BD277" s="1287">
        <f t="shared" ref="BD277:BD282" si="404">IFERROR((BC277/AY277-1)*100,"-")</f>
        <v>-93.633520735154576</v>
      </c>
      <c r="BG277" s="1356">
        <f>BG267/BG287</f>
        <v>0.19418122884291314</v>
      </c>
      <c r="BH277" s="1287">
        <f t="shared" ref="BH277:BH282" si="405">IFERROR((BG277/BC277-1)*100,"-")</f>
        <v>-1737.7204985852272</v>
      </c>
      <c r="BI277" s="1355"/>
      <c r="BJ277" s="1282">
        <f>BK277/0.29-1</f>
        <v>0.35292627069160387</v>
      </c>
      <c r="BK277" s="1356">
        <f>BK267/BK287</f>
        <v>0.39234861850056507</v>
      </c>
      <c r="BL277" s="1287">
        <f t="shared" si="398"/>
        <v>102.05280440261477</v>
      </c>
      <c r="BM277" s="1355"/>
      <c r="BO277" s="1356">
        <f>BO267/BO287</f>
        <v>0.72421293484555194</v>
      </c>
      <c r="BP277" s="1287">
        <f t="shared" si="399"/>
        <v>84.584041002430311</v>
      </c>
      <c r="BQ277" s="1355"/>
      <c r="BS277" s="1356">
        <f>BS267/BS287</f>
        <v>0.97248119489659612</v>
      </c>
      <c r="BT277" s="1287">
        <f t="shared" si="400"/>
        <v>34.281113758896154</v>
      </c>
      <c r="BU277" s="1355"/>
      <c r="BV277" s="1694">
        <f>0.65/0.67-1</f>
        <v>-2.9850746268656692E-2</v>
      </c>
    </row>
    <row r="278" spans="1:79" s="1282" customFormat="1">
      <c r="A278" s="1254" t="s">
        <v>81</v>
      </c>
      <c r="C278" s="1353"/>
      <c r="D278" s="1287"/>
      <c r="E278" s="1322"/>
      <c r="G278" s="1353"/>
      <c r="H278" s="1287"/>
      <c r="I278" s="1322"/>
      <c r="K278" s="1353"/>
      <c r="L278" s="1287"/>
      <c r="M278" s="1322"/>
      <c r="O278" s="1353"/>
      <c r="P278" s="1287"/>
      <c r="Q278" s="1322"/>
      <c r="S278" s="1353"/>
      <c r="T278" s="1287"/>
      <c r="U278" s="1322"/>
      <c r="W278" s="1353"/>
      <c r="X278" s="1287"/>
      <c r="Y278" s="1287"/>
      <c r="AA278" s="1353"/>
      <c r="AB278" s="1287"/>
      <c r="AC278" s="1287"/>
      <c r="AE278" s="1339"/>
      <c r="AF278" s="1287"/>
      <c r="AG278" s="1287"/>
      <c r="AI278" s="1339" t="s">
        <v>90</v>
      </c>
      <c r="AJ278" s="1287" t="s">
        <v>90</v>
      </c>
      <c r="AK278" s="1287"/>
      <c r="AM278" s="1339" t="s">
        <v>90</v>
      </c>
      <c r="AN278" s="1287" t="s">
        <v>90</v>
      </c>
      <c r="AO278" s="1287"/>
      <c r="AQ278" s="1339" t="s">
        <v>90</v>
      </c>
      <c r="AR278" s="1287" t="str">
        <f t="shared" si="401"/>
        <v>-</v>
      </c>
      <c r="AS278" s="1287"/>
      <c r="AU278" s="1356">
        <f>AU268/AU288</f>
        <v>-2.4471952706171821E-2</v>
      </c>
      <c r="AV278" s="1287" t="str">
        <f t="shared" si="402"/>
        <v>-</v>
      </c>
      <c r="AW278" s="1287"/>
      <c r="AY278" s="1356">
        <f>AY268/AY288</f>
        <v>-4.5306871474206353E-2</v>
      </c>
      <c r="AZ278" s="1287">
        <f t="shared" si="403"/>
        <v>85.137949628269638</v>
      </c>
      <c r="BC278" s="1356">
        <f>BC268/BC288</f>
        <v>0.15669894227227105</v>
      </c>
      <c r="BD278" s="1287">
        <f t="shared" si="404"/>
        <v>-445.86131677946759</v>
      </c>
      <c r="BG278" s="1356">
        <f>BG268/BG288</f>
        <v>0.25264609915908481</v>
      </c>
      <c r="BH278" s="1287">
        <f t="shared" si="405"/>
        <v>61.230251778025099</v>
      </c>
      <c r="BI278" s="1355"/>
      <c r="BJ278" s="1282">
        <f>BK278/0.31-1</f>
        <v>0.63446206747714573</v>
      </c>
      <c r="BK278" s="1356">
        <f>BK268/BK288</f>
        <v>0.50668324091791517</v>
      </c>
      <c r="BL278" s="1287">
        <f t="shared" si="398"/>
        <v>100.55058938347972</v>
      </c>
      <c r="BM278" s="1355"/>
      <c r="BO278" s="1356">
        <f>BO268/BO288</f>
        <v>0.70161487467824668</v>
      </c>
      <c r="BP278" s="1287">
        <f t="shared" si="399"/>
        <v>38.472090256466807</v>
      </c>
      <c r="BQ278" s="1355"/>
      <c r="BS278" s="1356">
        <f>BS268/BS288</f>
        <v>0.99210541203172853</v>
      </c>
      <c r="BT278" s="1287">
        <f t="shared" si="400"/>
        <v>41.40313266401283</v>
      </c>
      <c r="BU278" s="1355"/>
      <c r="BV278" s="1694">
        <f>0.64/0.65-1</f>
        <v>-1.5384615384615441E-2</v>
      </c>
    </row>
    <row r="279" spans="1:79" s="1282" customFormat="1">
      <c r="A279" s="1254" t="s">
        <v>82</v>
      </c>
      <c r="C279" s="1357"/>
      <c r="D279" s="1287"/>
      <c r="E279" s="1322"/>
      <c r="G279" s="1357"/>
      <c r="H279" s="1287"/>
      <c r="I279" s="1322"/>
      <c r="K279" s="1357"/>
      <c r="L279" s="1287"/>
      <c r="M279" s="1322"/>
      <c r="O279" s="1357"/>
      <c r="P279" s="1287"/>
      <c r="Q279" s="1322"/>
      <c r="S279" s="1358"/>
      <c r="T279" s="1287"/>
      <c r="U279" s="1322"/>
      <c r="W279" s="1357"/>
      <c r="X279" s="1287"/>
      <c r="Y279" s="1287"/>
      <c r="AA279" s="1357"/>
      <c r="AB279" s="1287"/>
      <c r="AC279" s="1287"/>
      <c r="AE279" s="1343"/>
      <c r="AF279" s="1287"/>
      <c r="AG279" s="1287"/>
      <c r="AI279" s="1343" t="s">
        <v>90</v>
      </c>
      <c r="AJ279" s="1287" t="s">
        <v>90</v>
      </c>
      <c r="AK279" s="1287"/>
      <c r="AM279" s="1343" t="s">
        <v>90</v>
      </c>
      <c r="AN279" s="1287" t="s">
        <v>90</v>
      </c>
      <c r="AO279" s="1287"/>
      <c r="AQ279" s="1343" t="s">
        <v>90</v>
      </c>
      <c r="AR279" s="1287" t="str">
        <f t="shared" si="401"/>
        <v>-</v>
      </c>
      <c r="AS279" s="1287"/>
      <c r="AU279" s="1359">
        <f>AU269/AU289</f>
        <v>1.1787160164814119</v>
      </c>
      <c r="AV279" s="1287" t="str">
        <f t="shared" si="402"/>
        <v>-</v>
      </c>
      <c r="AW279" s="1287"/>
      <c r="AY279" s="1359">
        <f>AY269/AY289</f>
        <v>1.0738114487932262</v>
      </c>
      <c r="AZ279" s="1287">
        <f t="shared" si="403"/>
        <v>-8.8999017762850574</v>
      </c>
      <c r="BC279" s="1359">
        <f>BC269/BC289</f>
        <v>1.4280414263240704</v>
      </c>
      <c r="BD279" s="1287">
        <f t="shared" si="404"/>
        <v>32.988098416061383</v>
      </c>
      <c r="BG279" s="1359">
        <f>BG269/BG289</f>
        <v>1.4892526612782317</v>
      </c>
      <c r="BH279" s="1287">
        <f t="shared" si="405"/>
        <v>4.28637669928984</v>
      </c>
      <c r="BI279" s="1355"/>
      <c r="BJ279" s="1282">
        <f>BK279/1.65-1</f>
        <v>7.8549825692802777E-2</v>
      </c>
      <c r="BK279" s="1359">
        <f>BK269/BK289</f>
        <v>1.7796072123931246</v>
      </c>
      <c r="BL279" s="1287">
        <f t="shared" si="398"/>
        <v>19.496661558132146</v>
      </c>
      <c r="BO279" s="1359">
        <f>BO269/BO289</f>
        <v>2.24834349614025</v>
      </c>
      <c r="BP279" s="1287">
        <f t="shared" si="399"/>
        <v>26.339311308858584</v>
      </c>
      <c r="BS279" s="1359">
        <f>BS269/BS289</f>
        <v>2.7493830841170075</v>
      </c>
      <c r="BT279" s="1287">
        <f t="shared" si="400"/>
        <v>22.284832759624873</v>
      </c>
      <c r="BV279" s="1306"/>
      <c r="BW279" s="1590"/>
      <c r="BX279" s="1282">
        <f>2.21/2.71-1</f>
        <v>-0.18450184501845024</v>
      </c>
      <c r="CA279" s="1282">
        <f>4.85/4.27-1</f>
        <v>0.13583138173302101</v>
      </c>
    </row>
    <row r="280" spans="1:79" s="1282" customFormat="1">
      <c r="A280" s="1254" t="s">
        <v>85</v>
      </c>
      <c r="C280" s="1353"/>
      <c r="D280" s="1287"/>
      <c r="E280" s="1322"/>
      <c r="G280" s="1353"/>
      <c r="H280" s="1287"/>
      <c r="I280" s="1322"/>
      <c r="K280" s="1353"/>
      <c r="L280" s="1287"/>
      <c r="M280" s="1322"/>
      <c r="O280" s="1353"/>
      <c r="P280" s="1287"/>
      <c r="Q280" s="1322"/>
      <c r="S280" s="1360" t="s">
        <v>90</v>
      </c>
      <c r="T280" s="1287" t="s">
        <v>90</v>
      </c>
      <c r="U280" s="1322"/>
      <c r="W280" s="1353" t="s">
        <v>90</v>
      </c>
      <c r="X280" s="1287" t="s">
        <v>90</v>
      </c>
      <c r="Y280" s="1287"/>
      <c r="AA280" s="1353" t="s">
        <v>90</v>
      </c>
      <c r="AB280" s="1287" t="s">
        <v>90</v>
      </c>
      <c r="AC280" s="1287"/>
      <c r="AE280" s="1339" t="s">
        <v>90</v>
      </c>
      <c r="AF280" s="1287" t="s">
        <v>90</v>
      </c>
      <c r="AG280" s="1287"/>
      <c r="AI280" s="1339" t="s">
        <v>90</v>
      </c>
      <c r="AJ280" s="1287" t="s">
        <v>90</v>
      </c>
      <c r="AK280" s="1287"/>
      <c r="AM280" s="1339" t="s">
        <v>90</v>
      </c>
      <c r="AN280" s="1287" t="s">
        <v>90</v>
      </c>
      <c r="AO280" s="1287"/>
      <c r="AQ280" s="1339" t="s">
        <v>90</v>
      </c>
      <c r="AR280" s="1287" t="str">
        <f t="shared" si="401"/>
        <v>-</v>
      </c>
      <c r="AS280" s="1287"/>
      <c r="AU280" s="1354">
        <f>AU270/AU290</f>
        <v>0.88307915444447982</v>
      </c>
      <c r="AV280" s="1287" t="str">
        <f t="shared" si="402"/>
        <v>-</v>
      </c>
      <c r="AW280" s="1287"/>
      <c r="AY280" s="1354">
        <f>AY270/AY290</f>
        <v>0.94594594594594328</v>
      </c>
      <c r="AZ280" s="1287">
        <f t="shared" si="403"/>
        <v>7.1190437669215623</v>
      </c>
      <c r="BC280" s="1354">
        <f>BC270/BC290</f>
        <v>1.8266262439860257</v>
      </c>
      <c r="BD280" s="1287">
        <f t="shared" si="404"/>
        <v>93.100488649951842</v>
      </c>
      <c r="BG280" s="1354">
        <f>BG270/BG290</f>
        <v>2.3139853929456677</v>
      </c>
      <c r="BH280" s="1287">
        <f t="shared" si="405"/>
        <v>26.680835806680257</v>
      </c>
      <c r="BI280" s="1590"/>
      <c r="BK280" s="1354">
        <f>BK270/BK290</f>
        <v>3.2384657213368402</v>
      </c>
      <c r="BL280" s="1287">
        <f t="shared" si="398"/>
        <v>39.951865349258895</v>
      </c>
      <c r="BM280" s="1355"/>
      <c r="BO280" s="1354">
        <f>BO270/BO290</f>
        <v>4.4457012007739554</v>
      </c>
      <c r="BP280" s="1287">
        <f t="shared" si="399"/>
        <v>37.278007035342895</v>
      </c>
      <c r="BQ280" s="1355"/>
      <c r="BS280" s="1354">
        <f>BS270/BS290</f>
        <v>5.8292560502136297</v>
      </c>
      <c r="BT280" s="1287">
        <f t="shared" si="400"/>
        <v>31.121183969782095</v>
      </c>
      <c r="BU280" s="1355"/>
      <c r="BV280" s="1587"/>
      <c r="BX280" s="1282">
        <f>4.27-0.24</f>
        <v>4.0299999999999994</v>
      </c>
      <c r="BY280" s="1282">
        <f>BX280*1.15</f>
        <v>4.6344999999999992</v>
      </c>
    </row>
    <row r="281" spans="1:79" s="1282" customFormat="1">
      <c r="A281" s="1254" t="s">
        <v>87</v>
      </c>
      <c r="C281" s="1353"/>
      <c r="D281" s="1287"/>
      <c r="E281" s="1322"/>
      <c r="G281" s="1353"/>
      <c r="H281" s="1287"/>
      <c r="I281" s="1322"/>
      <c r="K281" s="1353"/>
      <c r="L281" s="1287"/>
      <c r="M281" s="1322"/>
      <c r="O281" s="1353"/>
      <c r="P281" s="1287"/>
      <c r="Q281" s="1322"/>
      <c r="S281" s="1360"/>
      <c r="T281" s="1287"/>
      <c r="U281" s="1322"/>
      <c r="W281" s="1353"/>
      <c r="X281" s="1287"/>
      <c r="Y281" s="1287"/>
      <c r="AA281" s="1353"/>
      <c r="AB281" s="1287"/>
      <c r="AC281" s="1287"/>
      <c r="AE281" s="1339"/>
      <c r="AF281" s="1287"/>
      <c r="AG281" s="1287"/>
      <c r="AI281" s="1339" t="s">
        <v>585</v>
      </c>
      <c r="AJ281" s="1287" t="s">
        <v>585</v>
      </c>
      <c r="AK281" s="1287"/>
      <c r="AM281" s="1339" t="s">
        <v>585</v>
      </c>
      <c r="AN281" s="1287" t="str">
        <f>IFERROR((AM281/AI281-1)*100,"-")</f>
        <v>-</v>
      </c>
      <c r="AO281" s="1287"/>
      <c r="AQ281" s="1339" t="s">
        <v>585</v>
      </c>
      <c r="AR281" s="1287" t="str">
        <f t="shared" si="401"/>
        <v>-</v>
      </c>
      <c r="AS281" s="1287"/>
      <c r="AU281" s="1354">
        <f>SUM(AU276:AU277)</f>
        <v>-0.29114686667028922</v>
      </c>
      <c r="AV281" s="1287" t="str">
        <f t="shared" si="402"/>
        <v>-</v>
      </c>
      <c r="AW281" s="1287"/>
      <c r="AY281" s="1354">
        <f>SUM(AY276:AY277)</f>
        <v>-0.10149057320196803</v>
      </c>
      <c r="AZ281" s="1287">
        <f t="shared" si="403"/>
        <v>-65.141107523268815</v>
      </c>
      <c r="BC281" s="1354">
        <f>SUM(BC276:BC277)</f>
        <v>0.23476101751709771</v>
      </c>
      <c r="BD281" s="1287">
        <f t="shared" si="404"/>
        <v>-331.31312604759773</v>
      </c>
      <c r="BG281" s="1354">
        <f>SUM(BG276:BG277)</f>
        <v>0.6047248818670572</v>
      </c>
      <c r="BH281" s="1287">
        <f t="shared" si="405"/>
        <v>157.59169399707295</v>
      </c>
      <c r="BI281" s="1355"/>
      <c r="BK281" s="1354">
        <f>SUM(BK276:BK277)</f>
        <v>0.96688985540044547</v>
      </c>
      <c r="BL281" s="1287">
        <f t="shared" si="398"/>
        <v>59.889213160077425</v>
      </c>
      <c r="BM281" s="1589"/>
      <c r="BO281" s="1354">
        <f>SUM(BO276:BO277)</f>
        <v>1.5156540928065354</v>
      </c>
      <c r="BP281" s="1287">
        <f t="shared" si="399"/>
        <v>56.755610201206899</v>
      </c>
      <c r="BQ281" s="1589"/>
      <c r="BS281" s="1354">
        <f>SUM(BS276:BS277)</f>
        <v>2.0665222937399026</v>
      </c>
      <c r="BT281" s="1287">
        <f t="shared" si="400"/>
        <v>36.345245498154853</v>
      </c>
      <c r="BU281" s="1589"/>
    </row>
    <row r="282" spans="1:79" s="1282" customFormat="1">
      <c r="A282" s="1254" t="s">
        <v>88</v>
      </c>
      <c r="C282" s="1353"/>
      <c r="D282" s="1287"/>
      <c r="E282" s="1322"/>
      <c r="G282" s="1353"/>
      <c r="H282" s="1287"/>
      <c r="I282" s="1322"/>
      <c r="K282" s="1353"/>
      <c r="L282" s="1287"/>
      <c r="M282" s="1322"/>
      <c r="O282" s="1353"/>
      <c r="P282" s="1287"/>
      <c r="Q282" s="1322"/>
      <c r="S282" s="1360"/>
      <c r="T282" s="1287"/>
      <c r="U282" s="1322"/>
      <c r="W282" s="1353"/>
      <c r="X282" s="1287"/>
      <c r="Y282" s="1287"/>
      <c r="AA282" s="1353"/>
      <c r="AB282" s="1287"/>
      <c r="AC282" s="1287"/>
      <c r="AE282" s="1339"/>
      <c r="AF282" s="1287"/>
      <c r="AG282" s="1287"/>
      <c r="AI282" s="1339" t="s">
        <v>585</v>
      </c>
      <c r="AJ282" s="1287" t="s">
        <v>585</v>
      </c>
      <c r="AK282" s="1287"/>
      <c r="AM282" s="1339" t="s">
        <v>585</v>
      </c>
      <c r="AN282" s="1287" t="str">
        <f>IFERROR((AM282/AI282-1)*100,"-")</f>
        <v>-</v>
      </c>
      <c r="AO282" s="1287"/>
      <c r="AQ282" s="1339" t="s">
        <v>585</v>
      </c>
      <c r="AR282" s="1287" t="str">
        <f t="shared" si="401"/>
        <v>-</v>
      </c>
      <c r="AS282" s="1287"/>
      <c r="AU282" s="1354">
        <f>SUM(AU276:AU278)</f>
        <v>-0.31561881937646102</v>
      </c>
      <c r="AV282" s="1287" t="str">
        <f t="shared" si="402"/>
        <v>-</v>
      </c>
      <c r="AW282" s="1287"/>
      <c r="AY282" s="1354">
        <f>SUM(AY276:AY278)</f>
        <v>-0.14679744467617439</v>
      </c>
      <c r="AZ282" s="1287">
        <f t="shared" si="403"/>
        <v>-53.489007732115425</v>
      </c>
      <c r="BC282" s="1354">
        <f>SUM(BC276:BC278)</f>
        <v>0.39145995978936876</v>
      </c>
      <c r="BD282" s="1287">
        <f t="shared" si="404"/>
        <v>-366.6667397739136</v>
      </c>
      <c r="BG282" s="1354">
        <f>SUM(BG276:BG278)</f>
        <v>0.85737098102614206</v>
      </c>
      <c r="BH282" s="1287">
        <f t="shared" si="405"/>
        <v>119.01881906069374</v>
      </c>
      <c r="BI282" s="1355"/>
      <c r="BK282" s="1354">
        <f>SUM(BK276:BK278)</f>
        <v>1.4735730963183606</v>
      </c>
      <c r="BL282" s="1287">
        <f t="shared" si="398"/>
        <v>71.8711186789549</v>
      </c>
      <c r="BM282" s="1355"/>
      <c r="BN282" s="1282">
        <f>3.77+0.05</f>
        <v>3.82</v>
      </c>
      <c r="BO282" s="1354">
        <f>SUM(BO276:BO278)</f>
        <v>2.2172689674847819</v>
      </c>
      <c r="BP282" s="1287">
        <f t="shared" si="399"/>
        <v>50.468882271568582</v>
      </c>
      <c r="BQ282" s="1355"/>
      <c r="BS282" s="1354">
        <f>SUM(BS276:BS278)</f>
        <v>3.0586277057716309</v>
      </c>
      <c r="BT282" s="1287">
        <f t="shared" si="400"/>
        <v>37.945722897175926</v>
      </c>
      <c r="BU282" s="1355"/>
      <c r="BX282" s="1694">
        <f>5.83/4.41-1</f>
        <v>0.32199546485260777</v>
      </c>
    </row>
    <row r="283" spans="1:79" s="1282" customFormat="1">
      <c r="A283" s="1254"/>
      <c r="C283" s="1353"/>
      <c r="D283" s="1287"/>
      <c r="E283" s="1322"/>
      <c r="G283" s="1353"/>
      <c r="H283" s="1287"/>
      <c r="I283" s="1322"/>
      <c r="K283" s="1353"/>
      <c r="L283" s="1287"/>
      <c r="M283" s="1322"/>
      <c r="O283" s="1353"/>
      <c r="P283" s="1287"/>
      <c r="Q283" s="1322"/>
      <c r="S283" s="1360"/>
      <c r="T283" s="1287"/>
      <c r="U283" s="1322"/>
      <c r="W283" s="1353"/>
      <c r="X283" s="1287"/>
      <c r="Y283" s="1287"/>
      <c r="AA283" s="1353"/>
      <c r="AB283" s="1287"/>
      <c r="AC283" s="1287"/>
      <c r="AE283" s="1339"/>
      <c r="AF283" s="1287"/>
      <c r="AG283" s="1287"/>
      <c r="AI283" s="1354"/>
      <c r="AJ283" s="1287"/>
      <c r="AK283" s="1287"/>
      <c r="AM283" s="1354"/>
      <c r="AN283" s="1287"/>
      <c r="AO283" s="1287"/>
      <c r="AQ283" s="1354"/>
      <c r="AR283" s="1287"/>
      <c r="AS283" s="1287"/>
      <c r="AU283" s="1354"/>
      <c r="AV283" s="1287"/>
      <c r="AW283" s="1287"/>
      <c r="AY283" s="1354"/>
      <c r="AZ283" s="1287"/>
      <c r="BC283" s="1354"/>
      <c r="BD283" s="1287"/>
      <c r="BG283" s="1354"/>
      <c r="BH283" s="1287"/>
      <c r="BI283" s="1573"/>
      <c r="BK283" s="1354"/>
      <c r="BL283" s="1287"/>
      <c r="BM283" s="1355"/>
      <c r="BO283" s="1896"/>
      <c r="BP283" s="1287"/>
      <c r="BQ283" s="1355"/>
      <c r="BS283" s="1354"/>
      <c r="BT283" s="1287"/>
      <c r="BU283" s="1355"/>
      <c r="BV283" s="1306"/>
    </row>
    <row r="284" spans="1:79">
      <c r="A284" s="1251" t="s">
        <v>848</v>
      </c>
      <c r="B284" s="1281"/>
      <c r="C284" s="1281"/>
      <c r="D284" s="1281"/>
      <c r="E284" s="1281"/>
      <c r="F284" s="1281"/>
      <c r="G284" s="1281"/>
      <c r="H284" s="1281"/>
      <c r="I284" s="1281"/>
      <c r="J284" s="1281"/>
      <c r="K284" s="1281"/>
      <c r="L284" s="1281"/>
      <c r="M284" s="1281"/>
      <c r="N284" s="1281"/>
      <c r="O284" s="1281"/>
      <c r="P284" s="1281"/>
      <c r="Q284" s="1281"/>
      <c r="R284" s="1281"/>
      <c r="S284" s="1281"/>
      <c r="T284" s="1281"/>
      <c r="U284" s="1281"/>
      <c r="V284" s="1281"/>
      <c r="W284" s="1281"/>
      <c r="X284" s="1281"/>
      <c r="Y284" s="1281"/>
      <c r="Z284" s="1281"/>
      <c r="AA284" s="1281"/>
      <c r="AB284" s="1281"/>
      <c r="AC284" s="1281"/>
      <c r="AD284" s="1281"/>
      <c r="AE284" s="1281"/>
      <c r="AF284" s="1281"/>
      <c r="AG284" s="1281"/>
      <c r="AH284" s="1281"/>
      <c r="AI284" s="1281"/>
      <c r="AJ284" s="1281"/>
      <c r="AK284" s="1281"/>
      <c r="AL284" s="1281"/>
      <c r="AM284" s="1281"/>
      <c r="AN284" s="1281"/>
      <c r="AO284" s="1281"/>
      <c r="AP284" s="1281"/>
      <c r="AQ284" s="1281"/>
      <c r="AR284" s="1281"/>
      <c r="AS284" s="1281"/>
      <c r="AT284" s="1281"/>
      <c r="AU284" s="1281"/>
      <c r="AV284" s="1281"/>
      <c r="AW284" s="1281"/>
      <c r="AX284" s="1281"/>
      <c r="AY284" s="1281"/>
      <c r="AZ284" s="1281"/>
      <c r="BA284" s="1282"/>
      <c r="BB284" s="1282"/>
      <c r="BC284" s="1281"/>
      <c r="BD284" s="1281"/>
      <c r="BE284" s="1282"/>
      <c r="BF284" s="1282"/>
      <c r="BG284" s="2264" t="str">
        <f>A284</f>
        <v>Pro Forma Weighted Average Shares Outstanding</v>
      </c>
      <c r="BH284" s="2264"/>
      <c r="BI284" s="2264"/>
      <c r="BJ284" s="2264"/>
      <c r="BK284" s="2264"/>
      <c r="BL284" s="2264"/>
      <c r="BM284" s="2264"/>
      <c r="BN284" s="2225">
        <f>2.21/BK279-1</f>
        <v>0.24184706861695915</v>
      </c>
      <c r="BO284" s="2226">
        <f>4.45/(3.77+0.05)-1</f>
        <v>0.16492146596858648</v>
      </c>
      <c r="BP284" s="1663"/>
      <c r="BQ284" s="2225"/>
      <c r="BR284" s="2225"/>
      <c r="BS284" s="2149"/>
      <c r="BT284" s="2149"/>
      <c r="BU284" s="2149"/>
    </row>
    <row r="285" spans="1:79">
      <c r="A285" s="1282"/>
      <c r="B285" s="1282"/>
      <c r="C285" s="1282"/>
      <c r="D285" s="1282"/>
      <c r="E285" s="1282"/>
      <c r="F285" s="1282"/>
      <c r="G285" s="1282"/>
      <c r="H285" s="1282"/>
      <c r="I285" s="1282"/>
      <c r="J285" s="1282"/>
      <c r="K285" s="1282"/>
      <c r="L285" s="1282"/>
      <c r="M285" s="1282"/>
      <c r="N285" s="1282"/>
      <c r="O285" s="1282"/>
      <c r="P285" s="1282"/>
      <c r="Q285" s="1282"/>
      <c r="R285" s="1282"/>
      <c r="S285" s="1282"/>
      <c r="T285" s="1282"/>
      <c r="U285" s="1282"/>
      <c r="V285" s="1282"/>
      <c r="W285" s="1282"/>
      <c r="X285" s="1282"/>
      <c r="Y285" s="1282"/>
      <c r="Z285" s="1282"/>
      <c r="AA285" s="1282"/>
      <c r="AB285" s="1282"/>
      <c r="AC285" s="1282"/>
      <c r="AD285" s="1282"/>
      <c r="AE285" s="1282"/>
      <c r="AF285" s="1282"/>
      <c r="AG285" s="1282"/>
      <c r="AH285" s="1282"/>
      <c r="AI285" s="1282"/>
      <c r="AJ285" s="1282"/>
      <c r="AK285" s="1282"/>
      <c r="AL285" s="1282"/>
      <c r="AM285" s="1282"/>
      <c r="AN285" s="1282"/>
      <c r="AO285" s="1282"/>
      <c r="AP285" s="1282"/>
      <c r="AQ285" s="1282"/>
      <c r="AR285" s="1282"/>
      <c r="AS285" s="1282"/>
      <c r="AT285" s="1282"/>
      <c r="AU285" s="1282"/>
      <c r="AV285" s="1282"/>
      <c r="AW285" s="1282"/>
      <c r="AX285" s="1282"/>
      <c r="AY285" s="1282"/>
      <c r="AZ285" s="1282"/>
      <c r="BA285" s="1282"/>
      <c r="BB285" s="1282"/>
      <c r="BC285" s="1306"/>
      <c r="BD285" s="1282"/>
      <c r="BE285" s="1282"/>
      <c r="BF285" s="1282"/>
      <c r="BG285" s="1282"/>
      <c r="BH285" s="1282"/>
      <c r="BI285" s="1282"/>
      <c r="BJ285" s="1282"/>
      <c r="BK285" s="1282"/>
      <c r="BL285" s="1282"/>
      <c r="BM285" s="1282"/>
      <c r="BN285" s="1282"/>
      <c r="BO285" s="1282"/>
      <c r="BP285" s="1282"/>
      <c r="BQ285" s="1282"/>
      <c r="BR285" s="1282"/>
      <c r="BS285" s="1282"/>
      <c r="BT285" s="1282"/>
      <c r="BU285" s="1282"/>
    </row>
    <row r="286" spans="1:79">
      <c r="A286" s="1254" t="s">
        <v>79</v>
      </c>
      <c r="B286" s="1282"/>
      <c r="C286" s="1338">
        <v>44.454000000000001</v>
      </c>
      <c r="D286" s="1285"/>
      <c r="E286" s="1286"/>
      <c r="F286" s="1282"/>
      <c r="G286" s="1338">
        <v>44.482686999999999</v>
      </c>
      <c r="H286" s="1285"/>
      <c r="I286" s="1286"/>
      <c r="J286" s="1282"/>
      <c r="K286" s="1338">
        <v>44.547424999999997</v>
      </c>
      <c r="L286" s="1285"/>
      <c r="M286" s="1286"/>
      <c r="N286" s="1282"/>
      <c r="O286" s="1338">
        <v>44.635846999999998</v>
      </c>
      <c r="P286" s="1287">
        <f>(O286/K286-1)*100</f>
        <v>0.19848958722081811</v>
      </c>
      <c r="Q286" s="1286"/>
      <c r="R286" s="1282"/>
      <c r="S286" s="1338">
        <v>44.772804999999998</v>
      </c>
      <c r="T286" s="1287">
        <f>(S286/O286-1)*100</f>
        <v>0.30683410129979105</v>
      </c>
      <c r="U286" s="1286"/>
      <c r="V286" s="1282"/>
      <c r="W286" s="1338" t="s">
        <v>90</v>
      </c>
      <c r="X286" s="1287" t="s">
        <v>90</v>
      </c>
      <c r="Y286" s="1287"/>
      <c r="Z286" s="1282"/>
      <c r="AA286" s="1338" t="s">
        <v>90</v>
      </c>
      <c r="AB286" s="1287" t="s">
        <v>90</v>
      </c>
      <c r="AC286" s="1287"/>
      <c r="AD286" s="1282"/>
      <c r="AE286" s="1339" t="s">
        <v>90</v>
      </c>
      <c r="AF286" s="1287" t="s">
        <v>90</v>
      </c>
      <c r="AG286" s="1287"/>
      <c r="AH286" s="1282"/>
      <c r="AI286" s="1339" t="s">
        <v>90</v>
      </c>
      <c r="AJ286" s="1287" t="s">
        <v>90</v>
      </c>
      <c r="AK286" s="1287"/>
      <c r="AL286" s="1282"/>
      <c r="AM286" s="1339" t="s">
        <v>90</v>
      </c>
      <c r="AN286" s="1287" t="s">
        <v>90</v>
      </c>
      <c r="AO286" s="1287"/>
      <c r="AP286" s="1282"/>
      <c r="AQ286" s="1339" t="s">
        <v>90</v>
      </c>
      <c r="AR286" s="1287" t="s">
        <v>90</v>
      </c>
      <c r="AS286" s="1287"/>
      <c r="AT286" s="1282"/>
      <c r="AU286" s="1340">
        <v>70.633025000000004</v>
      </c>
      <c r="AV286" s="1287"/>
      <c r="AW286" s="1287"/>
      <c r="AX286" s="1282"/>
      <c r="AY286" s="1340">
        <v>72.391639999999995</v>
      </c>
      <c r="AZ286" s="1287"/>
      <c r="BA286" s="1282"/>
      <c r="BB286" s="1282"/>
      <c r="BC286" s="1340">
        <v>75.468999999999994</v>
      </c>
      <c r="BD286" s="1287"/>
      <c r="BE286" s="1282"/>
      <c r="BF286" s="1282"/>
      <c r="BG286" s="1340">
        <v>76.501000000000005</v>
      </c>
      <c r="BH286" s="1340"/>
      <c r="BI286" s="1287"/>
      <c r="BJ286" s="1306"/>
      <c r="BK286" s="1340">
        <f>BK193</f>
        <v>72.423000000000002</v>
      </c>
      <c r="BL286" s="1340"/>
      <c r="BM286" s="1287"/>
      <c r="BN286" s="1306"/>
      <c r="BO286" s="1340">
        <v>71.504999999999995</v>
      </c>
      <c r="BP286" s="1340"/>
      <c r="BQ286" s="1287"/>
      <c r="BR286" s="1306"/>
      <c r="BS286" s="1339">
        <f t="shared" ref="BS286:BS292" si="406">BS193</f>
        <v>68.905000000000001</v>
      </c>
      <c r="BT286" s="1340"/>
      <c r="BU286" s="1287"/>
    </row>
    <row r="287" spans="1:79">
      <c r="A287" s="1254" t="s">
        <v>80</v>
      </c>
      <c r="B287" s="1282"/>
      <c r="C287" s="1338">
        <v>44.402000000000001</v>
      </c>
      <c r="D287" s="1285"/>
      <c r="E287" s="1286"/>
      <c r="F287" s="1282"/>
      <c r="G287" s="1338">
        <v>44.573452000000003</v>
      </c>
      <c r="H287" s="1285"/>
      <c r="I287" s="1286"/>
      <c r="J287" s="1282"/>
      <c r="K287" s="1338">
        <v>44.662796</v>
      </c>
      <c r="L287" s="1285"/>
      <c r="M287" s="1286"/>
      <c r="N287" s="1282"/>
      <c r="O287" s="1338">
        <v>44.645789999999998</v>
      </c>
      <c r="P287" s="1287">
        <f>(O287/K287-1)*100</f>
        <v>-3.807643390709714E-2</v>
      </c>
      <c r="Q287" s="1286"/>
      <c r="R287" s="1282"/>
      <c r="S287" s="1338">
        <v>44.773412</v>
      </c>
      <c r="T287" s="1287">
        <f>(S287/O287-1)*100</f>
        <v>0.28585450050273575</v>
      </c>
      <c r="U287" s="1286"/>
      <c r="V287" s="1282"/>
      <c r="W287" s="1338" t="s">
        <v>90</v>
      </c>
      <c r="X287" s="1287" t="s">
        <v>90</v>
      </c>
      <c r="Y287" s="1287"/>
      <c r="Z287" s="1282"/>
      <c r="AA287" s="1338" t="s">
        <v>90</v>
      </c>
      <c r="AB287" s="1287" t="s">
        <v>90</v>
      </c>
      <c r="AC287" s="1287"/>
      <c r="AD287" s="1282"/>
      <c r="AE287" s="1339" t="s">
        <v>90</v>
      </c>
      <c r="AF287" s="1287" t="s">
        <v>90</v>
      </c>
      <c r="AG287" s="1287"/>
      <c r="AH287" s="1282"/>
      <c r="AI287" s="1339" t="s">
        <v>90</v>
      </c>
      <c r="AJ287" s="1287" t="s">
        <v>90</v>
      </c>
      <c r="AK287" s="1287"/>
      <c r="AL287" s="1282"/>
      <c r="AM287" s="1339" t="s">
        <v>90</v>
      </c>
      <c r="AN287" s="1287" t="s">
        <v>90</v>
      </c>
      <c r="AO287" s="1287"/>
      <c r="AP287" s="1282"/>
      <c r="AQ287" s="1339" t="s">
        <v>90</v>
      </c>
      <c r="AR287" s="1287" t="s">
        <v>90</v>
      </c>
      <c r="AS287" s="1287"/>
      <c r="AT287" s="1282"/>
      <c r="AU287" s="1340">
        <v>71.133025000000004</v>
      </c>
      <c r="AV287" s="1287"/>
      <c r="AW287" s="1287"/>
      <c r="AX287" s="1282"/>
      <c r="AY287" s="1340">
        <v>72.896000000000001</v>
      </c>
      <c r="AZ287" s="1287"/>
      <c r="BA287" s="1282"/>
      <c r="BB287" s="1282"/>
      <c r="BC287" s="1340">
        <v>73.965999999999994</v>
      </c>
      <c r="BD287" s="1287"/>
      <c r="BE287" s="1282"/>
      <c r="BF287" s="1282"/>
      <c r="BG287" s="1340">
        <v>76.510999999999996</v>
      </c>
      <c r="BH287" s="1340"/>
      <c r="BI287" s="1287"/>
      <c r="BJ287" s="1306"/>
      <c r="BK287" s="1340">
        <f t="shared" ref="BK287:BK292" si="407">BK194</f>
        <v>71.986999999999995</v>
      </c>
      <c r="BL287" s="1340"/>
      <c r="BM287" s="1287"/>
      <c r="BN287" s="1306"/>
      <c r="BO287" s="1340">
        <v>70.801000000000002</v>
      </c>
      <c r="BP287" s="1340"/>
      <c r="BQ287" s="1287"/>
      <c r="BR287" s="1306"/>
      <c r="BS287" s="1339">
        <f t="shared" si="406"/>
        <v>68.504999999999995</v>
      </c>
      <c r="BT287" s="1340"/>
      <c r="BU287" s="1287"/>
    </row>
    <row r="288" spans="1:79">
      <c r="A288" s="1254" t="s">
        <v>81</v>
      </c>
      <c r="B288" s="1282"/>
      <c r="C288" s="1338">
        <v>44.463999999999999</v>
      </c>
      <c r="D288" s="1285"/>
      <c r="E288" s="1286"/>
      <c r="F288" s="1282"/>
      <c r="G288" s="1338">
        <v>44.553818999999997</v>
      </c>
      <c r="H288" s="1285"/>
      <c r="I288" s="1286"/>
      <c r="J288" s="1282"/>
      <c r="K288" s="1338">
        <v>44.669939999999997</v>
      </c>
      <c r="L288" s="1285"/>
      <c r="M288" s="1286"/>
      <c r="N288" s="1282"/>
      <c r="O288" s="1338">
        <v>44.787990999999998</v>
      </c>
      <c r="P288" s="1287">
        <f>(O288/K288-1)*100</f>
        <v>0.26427391664283206</v>
      </c>
      <c r="Q288" s="1286"/>
      <c r="R288" s="1282"/>
      <c r="S288" s="1338">
        <v>44.965772000000001</v>
      </c>
      <c r="T288" s="1287">
        <f>(S288/O288-1)*100</f>
        <v>0.39693899197221771</v>
      </c>
      <c r="U288" s="1286"/>
      <c r="V288" s="1282"/>
      <c r="W288" s="1338" t="s">
        <v>90</v>
      </c>
      <c r="X288" s="1287" t="s">
        <v>90</v>
      </c>
      <c r="Y288" s="1287"/>
      <c r="Z288" s="1282"/>
      <c r="AA288" s="1338" t="s">
        <v>90</v>
      </c>
      <c r="AB288" s="1287" t="s">
        <v>90</v>
      </c>
      <c r="AC288" s="1287"/>
      <c r="AD288" s="1282"/>
      <c r="AE288" s="1339" t="s">
        <v>90</v>
      </c>
      <c r="AF288" s="1287" t="s">
        <v>90</v>
      </c>
      <c r="AG288" s="1287"/>
      <c r="AH288" s="1282"/>
      <c r="AI288" s="1339" t="s">
        <v>90</v>
      </c>
      <c r="AJ288" s="1287" t="s">
        <v>90</v>
      </c>
      <c r="AK288" s="1287"/>
      <c r="AL288" s="1282"/>
      <c r="AM288" s="1339" t="s">
        <v>90</v>
      </c>
      <c r="AN288" s="1287" t="s">
        <v>90</v>
      </c>
      <c r="AO288" s="1287"/>
      <c r="AP288" s="1282"/>
      <c r="AQ288" s="1339" t="s">
        <v>90</v>
      </c>
      <c r="AR288" s="1287" t="s">
        <v>90</v>
      </c>
      <c r="AS288" s="1287"/>
      <c r="AT288" s="1282"/>
      <c r="AU288" s="1340">
        <v>71.633025000000004</v>
      </c>
      <c r="AV288" s="1287"/>
      <c r="AW288" s="1287"/>
      <c r="AX288" s="1282"/>
      <c r="AY288" s="1340">
        <v>73.564999999999998</v>
      </c>
      <c r="AZ288" s="1287"/>
      <c r="BA288" s="1282"/>
      <c r="BB288" s="1282"/>
      <c r="BC288" s="1340">
        <v>76.012</v>
      </c>
      <c r="BD288" s="1287"/>
      <c r="BE288" s="1282"/>
      <c r="BF288" s="1282"/>
      <c r="BG288" s="1340">
        <v>75.394000000000005</v>
      </c>
      <c r="BH288" s="1340"/>
      <c r="BI288" s="1287"/>
      <c r="BJ288" s="1306"/>
      <c r="BK288" s="1340">
        <f t="shared" si="407"/>
        <v>71.596999999999994</v>
      </c>
      <c r="BL288" s="1340"/>
      <c r="BM288" s="1287"/>
      <c r="BN288" s="1306"/>
      <c r="BO288" s="2221">
        <f t="shared" ref="BO288:BO292" si="408">BO195</f>
        <v>69.540999999999997</v>
      </c>
      <c r="BP288" s="1340"/>
      <c r="BQ288" s="1287"/>
      <c r="BR288" s="1306"/>
      <c r="BS288" s="1339">
        <f t="shared" si="406"/>
        <v>68.10499999999999</v>
      </c>
      <c r="BT288" s="1340"/>
      <c r="BU288" s="1287"/>
    </row>
    <row r="289" spans="1:75">
      <c r="A289" s="1254" t="s">
        <v>82</v>
      </c>
      <c r="B289" s="1282"/>
      <c r="C289" s="1341">
        <f>C332+1.1</f>
        <v>1.1000000000000001</v>
      </c>
      <c r="D289" s="1285"/>
      <c r="E289" s="1286"/>
      <c r="F289" s="1282"/>
      <c r="G289" s="1342">
        <v>44.539980999999997</v>
      </c>
      <c r="H289" s="1285"/>
      <c r="I289" s="1286"/>
      <c r="J289" s="1282"/>
      <c r="K289" s="1342">
        <v>44.735478000000001</v>
      </c>
      <c r="L289" s="1285"/>
      <c r="M289" s="1286"/>
      <c r="N289" s="1282"/>
      <c r="O289" s="1342">
        <v>44.881996999999998</v>
      </c>
      <c r="P289" s="1342" t="s">
        <v>90</v>
      </c>
      <c r="Q289" s="1286"/>
      <c r="R289" s="1282"/>
      <c r="S289" s="1342" t="s">
        <v>90</v>
      </c>
      <c r="T289" s="1342" t="s">
        <v>90</v>
      </c>
      <c r="U289" s="1286"/>
      <c r="V289" s="1282"/>
      <c r="W289" s="1342" t="s">
        <v>90</v>
      </c>
      <c r="X289" s="1287" t="s">
        <v>90</v>
      </c>
      <c r="Y289" s="1287"/>
      <c r="Z289" s="1282"/>
      <c r="AA289" s="1342" t="s">
        <v>90</v>
      </c>
      <c r="AB289" s="1287" t="s">
        <v>90</v>
      </c>
      <c r="AC289" s="1287"/>
      <c r="AD289" s="1282"/>
      <c r="AE289" s="1343" t="s">
        <v>90</v>
      </c>
      <c r="AF289" s="1287" t="s">
        <v>90</v>
      </c>
      <c r="AG289" s="1287"/>
      <c r="AH289" s="1282"/>
      <c r="AI289" s="1343" t="s">
        <v>90</v>
      </c>
      <c r="AJ289" s="1287" t="s">
        <v>90</v>
      </c>
      <c r="AK289" s="1287"/>
      <c r="AL289" s="1282"/>
      <c r="AM289" s="1343" t="s">
        <v>90</v>
      </c>
      <c r="AN289" s="1287" t="s">
        <v>90</v>
      </c>
      <c r="AO289" s="1287"/>
      <c r="AP289" s="1282"/>
      <c r="AQ289" s="1343" t="s">
        <v>90</v>
      </c>
      <c r="AR289" s="1287" t="s">
        <v>90</v>
      </c>
      <c r="AS289" s="1287"/>
      <c r="AT289" s="1282"/>
      <c r="AU289" s="1344">
        <v>72.633025000000004</v>
      </c>
      <c r="AV289" s="1287"/>
      <c r="AW289" s="1287"/>
      <c r="AX289" s="1282"/>
      <c r="AY289" s="1344">
        <v>75.448999999999998</v>
      </c>
      <c r="AZ289" s="1287"/>
      <c r="BA289" s="1282"/>
      <c r="BB289" s="1282"/>
      <c r="BC289" s="1344">
        <v>76.28</v>
      </c>
      <c r="BD289" s="1287"/>
      <c r="BE289" s="1282"/>
      <c r="BF289" s="1282"/>
      <c r="BG289" s="1344">
        <v>73.367000000000004</v>
      </c>
      <c r="BH289" s="1345"/>
      <c r="BI289" s="1287"/>
      <c r="BJ289" s="1282"/>
      <c r="BK289" s="1344">
        <v>70.878</v>
      </c>
      <c r="BL289" s="1345"/>
      <c r="BM289" s="1287"/>
      <c r="BN289" s="1282"/>
      <c r="BO289" s="1344">
        <v>69.305000000000007</v>
      </c>
      <c r="BP289" s="1345"/>
      <c r="BQ289" s="1287"/>
      <c r="BR289" s="1282"/>
      <c r="BS289" s="1343">
        <f t="shared" si="406"/>
        <v>67.704999999999984</v>
      </c>
      <c r="BT289" s="1345"/>
      <c r="BU289" s="1287"/>
    </row>
    <row r="290" spans="1:75">
      <c r="A290" s="1254" t="s">
        <v>85</v>
      </c>
      <c r="B290" s="1282"/>
      <c r="C290" s="1346">
        <v>44.484000000000002</v>
      </c>
      <c r="D290" s="1285"/>
      <c r="E290" s="1286"/>
      <c r="F290" s="1282"/>
      <c r="G290" s="1346">
        <v>44.548186999999999</v>
      </c>
      <c r="H290" s="1285"/>
      <c r="I290" s="1286"/>
      <c r="J290" s="1282"/>
      <c r="K290" s="1346">
        <v>44.668281999999998</v>
      </c>
      <c r="L290" s="1285"/>
      <c r="M290" s="1286"/>
      <c r="N290" s="1282"/>
      <c r="O290" s="1346">
        <v>44.783645999999997</v>
      </c>
      <c r="P290" s="1347" t="s">
        <v>90</v>
      </c>
      <c r="Q290" s="1286"/>
      <c r="R290" s="1282"/>
      <c r="S290" s="1347" t="s">
        <v>90</v>
      </c>
      <c r="T290" s="1347" t="s">
        <v>90</v>
      </c>
      <c r="U290" s="1286"/>
      <c r="V290" s="1282"/>
      <c r="W290" s="1347" t="s">
        <v>90</v>
      </c>
      <c r="X290" s="1287" t="s">
        <v>90</v>
      </c>
      <c r="Y290" s="1287"/>
      <c r="Z290" s="1282"/>
      <c r="AA290" s="1347" t="s">
        <v>90</v>
      </c>
      <c r="AB290" s="1287" t="s">
        <v>90</v>
      </c>
      <c r="AC290" s="1287"/>
      <c r="AD290" s="1282"/>
      <c r="AE290" s="1339" t="s">
        <v>90</v>
      </c>
      <c r="AF290" s="1287" t="s">
        <v>90</v>
      </c>
      <c r="AG290" s="1287"/>
      <c r="AH290" s="1282"/>
      <c r="AI290" s="1339" t="s">
        <v>90</v>
      </c>
      <c r="AJ290" s="1287" t="s">
        <v>90</v>
      </c>
      <c r="AK290" s="1287"/>
      <c r="AL290" s="1282"/>
      <c r="AM290" s="1339" t="s">
        <v>90</v>
      </c>
      <c r="AN290" s="1287" t="s">
        <v>90</v>
      </c>
      <c r="AO290" s="1287"/>
      <c r="AP290" s="1282"/>
      <c r="AQ290" s="1339" t="s">
        <v>90</v>
      </c>
      <c r="AR290" s="1287" t="s">
        <v>90</v>
      </c>
      <c r="AS290" s="1287"/>
      <c r="AT290" s="1282"/>
      <c r="AU290" s="1340">
        <v>71.508025000000004</v>
      </c>
      <c r="AV290" s="1287"/>
      <c r="AW290" s="1287"/>
      <c r="AX290" s="1282"/>
      <c r="AY290" s="1340">
        <v>74.259</v>
      </c>
      <c r="AZ290" s="1287"/>
      <c r="BA290" s="1282"/>
      <c r="BB290" s="1282"/>
      <c r="BC290" s="1340">
        <v>75.864999999999995</v>
      </c>
      <c r="BD290" s="1287"/>
      <c r="BE290" s="1282"/>
      <c r="BF290" s="1282"/>
      <c r="BG290" s="1340">
        <v>75.442999999999998</v>
      </c>
      <c r="BH290" s="1340"/>
      <c r="BI290" s="1287"/>
      <c r="BJ290" s="1282"/>
      <c r="BK290" s="1594">
        <f t="shared" si="407"/>
        <v>71.721000000000004</v>
      </c>
      <c r="BL290" s="1340"/>
      <c r="BM290" s="1287"/>
      <c r="BN290" s="1282"/>
      <c r="BO290" s="2240">
        <v>70.287999999999997</v>
      </c>
      <c r="BP290" s="1340"/>
      <c r="BQ290" s="1287"/>
      <c r="BR290" s="1282"/>
      <c r="BS290" s="1594">
        <f t="shared" si="406"/>
        <v>67.884999999999991</v>
      </c>
      <c r="BT290" s="1340"/>
      <c r="BU290" s="1287"/>
    </row>
    <row r="291" spans="1:75">
      <c r="A291" s="1254" t="s">
        <v>87</v>
      </c>
      <c r="B291" s="1282"/>
      <c r="C291" s="1346"/>
      <c r="D291" s="1285"/>
      <c r="E291" s="1286"/>
      <c r="F291" s="1282"/>
      <c r="G291" s="1346"/>
      <c r="H291" s="1285"/>
      <c r="I291" s="1286"/>
      <c r="J291" s="1282"/>
      <c r="K291" s="1346"/>
      <c r="L291" s="1285"/>
      <c r="M291" s="1286"/>
      <c r="N291" s="1282"/>
      <c r="O291" s="1346"/>
      <c r="P291" s="1347"/>
      <c r="Q291" s="1286"/>
      <c r="R291" s="1282"/>
      <c r="S291" s="1347"/>
      <c r="T291" s="1347"/>
      <c r="U291" s="1286"/>
      <c r="V291" s="1282"/>
      <c r="W291" s="1347"/>
      <c r="X291" s="1287"/>
      <c r="Y291" s="1287"/>
      <c r="Z291" s="1282"/>
      <c r="AA291" s="1347"/>
      <c r="AB291" s="1287"/>
      <c r="AC291" s="1287"/>
      <c r="AD291" s="1282"/>
      <c r="AE291" s="1339"/>
      <c r="AF291" s="1287"/>
      <c r="AG291" s="1287"/>
      <c r="AH291" s="1282"/>
      <c r="AI291" s="1339" t="s">
        <v>585</v>
      </c>
      <c r="AJ291" s="1287" t="s">
        <v>585</v>
      </c>
      <c r="AK291" s="1287"/>
      <c r="AL291" s="1282"/>
      <c r="AM291" s="1339" t="s">
        <v>585</v>
      </c>
      <c r="AN291" s="1287" t="s">
        <v>585</v>
      </c>
      <c r="AO291" s="1287"/>
      <c r="AP291" s="1282"/>
      <c r="AQ291" s="1339" t="s">
        <v>585</v>
      </c>
      <c r="AR291" s="1287" t="s">
        <v>585</v>
      </c>
      <c r="AS291" s="1287"/>
      <c r="AT291" s="1282"/>
      <c r="AU291" s="1339">
        <f>AVERAGE(AU286:AU287)</f>
        <v>70.883025000000004</v>
      </c>
      <c r="AV291" s="1287"/>
      <c r="AW291" s="1287"/>
      <c r="AX291" s="1282"/>
      <c r="AY291" s="1339">
        <f>AVERAGE(AY286:AY287)</f>
        <v>72.643820000000005</v>
      </c>
      <c r="AZ291" s="1287"/>
      <c r="BA291" s="1282"/>
      <c r="BB291" s="1282"/>
      <c r="BC291" s="1339">
        <f>AVERAGE(BC286:BC287)</f>
        <v>74.717500000000001</v>
      </c>
      <c r="BD291" s="1287"/>
      <c r="BE291" s="1282"/>
      <c r="BF291" s="1282"/>
      <c r="BG291" s="1339">
        <f>BG198</f>
        <v>76.505499999999998</v>
      </c>
      <c r="BH291" s="1340"/>
      <c r="BI291" s="1287"/>
      <c r="BJ291" s="1282"/>
      <c r="BK291" s="1339">
        <f t="shared" si="407"/>
        <v>72.204999999999998</v>
      </c>
      <c r="BL291" s="1340"/>
      <c r="BM291" s="1287"/>
      <c r="BN291" s="1282"/>
      <c r="BO291" s="1339">
        <f t="shared" si="408"/>
        <v>71.152999999999992</v>
      </c>
      <c r="BP291" s="1340"/>
      <c r="BQ291" s="1287"/>
      <c r="BR291" s="1282"/>
      <c r="BS291" s="1339">
        <f t="shared" si="406"/>
        <v>68.704999999999998</v>
      </c>
      <c r="BT291" s="1340"/>
      <c r="BU291" s="1287"/>
      <c r="BW291" s="1244">
        <f>3.77+0.05</f>
        <v>3.82</v>
      </c>
    </row>
    <row r="292" spans="1:75">
      <c r="A292" s="1254" t="s">
        <v>88</v>
      </c>
      <c r="B292" s="1282"/>
      <c r="C292" s="1346"/>
      <c r="D292" s="1285"/>
      <c r="E292" s="1286"/>
      <c r="F292" s="1282"/>
      <c r="G292" s="1346"/>
      <c r="H292" s="1285"/>
      <c r="I292" s="1286"/>
      <c r="J292" s="1282"/>
      <c r="K292" s="1346"/>
      <c r="L292" s="1285"/>
      <c r="M292" s="1286"/>
      <c r="N292" s="1282"/>
      <c r="O292" s="1346"/>
      <c r="P292" s="1347"/>
      <c r="Q292" s="1286"/>
      <c r="R292" s="1282"/>
      <c r="S292" s="1347"/>
      <c r="T292" s="1347"/>
      <c r="U292" s="1286"/>
      <c r="V292" s="1282"/>
      <c r="W292" s="1347"/>
      <c r="X292" s="1287"/>
      <c r="Y292" s="1287"/>
      <c r="Z292" s="1282"/>
      <c r="AA292" s="1347"/>
      <c r="AB292" s="1287"/>
      <c r="AC292" s="1287"/>
      <c r="AD292" s="1282"/>
      <c r="AE292" s="1339"/>
      <c r="AF292" s="1287"/>
      <c r="AG292" s="1287"/>
      <c r="AH292" s="1282"/>
      <c r="AI292" s="1339" t="s">
        <v>585</v>
      </c>
      <c r="AJ292" s="1287" t="s">
        <v>585</v>
      </c>
      <c r="AK292" s="1287"/>
      <c r="AL292" s="1282"/>
      <c r="AM292" s="1339" t="s">
        <v>585</v>
      </c>
      <c r="AN292" s="1287" t="s">
        <v>585</v>
      </c>
      <c r="AO292" s="1287"/>
      <c r="AP292" s="1282"/>
      <c r="AQ292" s="1339" t="s">
        <v>585</v>
      </c>
      <c r="AR292" s="1287" t="s">
        <v>585</v>
      </c>
      <c r="AS292" s="1287"/>
      <c r="AT292" s="1282"/>
      <c r="AU292" s="1339">
        <f>AVERAGE(AU286:AU288)</f>
        <v>71.133025000000004</v>
      </c>
      <c r="AV292" s="1287"/>
      <c r="AW292" s="1287"/>
      <c r="AX292" s="1282"/>
      <c r="AY292" s="1339">
        <f>AVERAGE(AY286:AY288)</f>
        <v>72.950879999999998</v>
      </c>
      <c r="AZ292" s="1287"/>
      <c r="BA292" s="1282"/>
      <c r="BB292" s="1282"/>
      <c r="BC292" s="1339">
        <f>AVERAGE(BC286:BC288)</f>
        <v>75.149000000000001</v>
      </c>
      <c r="BD292" s="1287"/>
      <c r="BE292" s="1282"/>
      <c r="BF292" s="1282"/>
      <c r="BG292" s="1339">
        <f>BG199</f>
        <v>76.135000000000005</v>
      </c>
      <c r="BH292" s="1340"/>
      <c r="BI292" s="1287"/>
      <c r="BJ292" s="1282"/>
      <c r="BK292" s="1339">
        <f t="shared" si="407"/>
        <v>72.132333333333335</v>
      </c>
      <c r="BL292" s="1340"/>
      <c r="BM292" s="1287"/>
      <c r="BN292" s="1282"/>
      <c r="BO292" s="1339">
        <f t="shared" si="408"/>
        <v>70.615666666666655</v>
      </c>
      <c r="BP292" s="1340"/>
      <c r="BQ292" s="1287"/>
      <c r="BR292" s="1282"/>
      <c r="BS292" s="1339">
        <f t="shared" si="406"/>
        <v>68.504999999999995</v>
      </c>
      <c r="BT292" s="1340"/>
      <c r="BU292" s="1287"/>
      <c r="BW292" s="2178">
        <f>4.23/BW291-1</f>
        <v>0.10732984293193737</v>
      </c>
    </row>
    <row r="293" spans="1:75" outlineLevel="1">
      <c r="A293" s="1254"/>
      <c r="B293" s="1282"/>
      <c r="C293" s="1348"/>
      <c r="D293" s="1285"/>
      <c r="E293" s="1286"/>
      <c r="F293" s="1282"/>
      <c r="G293" s="1348"/>
      <c r="H293" s="1285"/>
      <c r="I293" s="1286"/>
      <c r="J293" s="1282"/>
      <c r="K293" s="1348"/>
      <c r="L293" s="1285"/>
      <c r="M293" s="1286"/>
      <c r="N293" s="1282"/>
      <c r="O293" s="1348"/>
      <c r="P293" s="1287"/>
      <c r="Q293" s="1286"/>
      <c r="R293" s="1282"/>
      <c r="S293" s="1348"/>
      <c r="T293" s="1287"/>
      <c r="U293" s="1286"/>
      <c r="V293" s="1282"/>
      <c r="W293" s="1348"/>
      <c r="X293" s="1287"/>
      <c r="Y293" s="1287"/>
      <c r="Z293" s="1282"/>
      <c r="AA293" s="1348"/>
      <c r="AB293" s="1287"/>
      <c r="AC293" s="1287"/>
      <c r="AD293" s="1282"/>
      <c r="AE293" s="1339"/>
      <c r="AF293" s="1287"/>
      <c r="AG293" s="1287"/>
      <c r="AH293" s="1282"/>
      <c r="AI293" s="1339"/>
      <c r="AJ293" s="1287"/>
      <c r="AK293" s="1287"/>
      <c r="AL293" s="1282"/>
      <c r="AM293" s="1339"/>
      <c r="AN293" s="1287"/>
      <c r="AO293" s="1287"/>
      <c r="AP293" s="1282"/>
      <c r="AQ293" s="1339"/>
      <c r="AR293" s="1287"/>
      <c r="AS293" s="1287"/>
      <c r="AT293" s="1282"/>
      <c r="AU293" s="1340"/>
      <c r="AV293" s="1287"/>
      <c r="AW293" s="1287"/>
      <c r="AX293" s="1282"/>
      <c r="AY293" s="1340"/>
      <c r="AZ293" s="1287"/>
      <c r="BA293" s="1282"/>
      <c r="BB293" s="1282"/>
      <c r="BC293" s="1340"/>
      <c r="BD293" s="1287"/>
      <c r="BE293" s="1282"/>
      <c r="BF293" s="1282"/>
      <c r="BG293" s="1340"/>
      <c r="BH293" s="1340"/>
      <c r="BI293" s="1287"/>
      <c r="BJ293" s="1282"/>
      <c r="BK293" s="1340"/>
      <c r="BL293" s="1340"/>
      <c r="BM293" s="1287"/>
      <c r="BN293" s="1282"/>
      <c r="BO293" s="1340"/>
      <c r="BP293" s="1340"/>
      <c r="BQ293" s="1287"/>
      <c r="BR293" s="1282"/>
      <c r="BS293" s="1340"/>
      <c r="BT293" s="1340"/>
      <c r="BU293" s="1287"/>
    </row>
    <row r="294" spans="1:75">
      <c r="AT294" s="1244"/>
      <c r="AU294" s="1293"/>
      <c r="AX294" s="1244"/>
      <c r="AY294" s="1245"/>
      <c r="BB294" s="1244"/>
      <c r="BC294" s="1245"/>
      <c r="BF294" s="1244"/>
      <c r="BG294" s="1245"/>
      <c r="BK294" s="1245"/>
      <c r="BO294" s="1245"/>
      <c r="BS294" s="1245"/>
    </row>
    <row r="295" spans="1:75" s="1385" customFormat="1" ht="15.75">
      <c r="A295" s="1380" t="s">
        <v>919</v>
      </c>
      <c r="B295" s="1381"/>
      <c r="C295" s="1381"/>
      <c r="D295" s="1381"/>
      <c r="E295" s="1381"/>
      <c r="F295" s="1381"/>
      <c r="G295" s="1381"/>
      <c r="H295" s="1381"/>
      <c r="I295" s="1381"/>
      <c r="J295" s="1381"/>
      <c r="K295" s="1381"/>
      <c r="L295" s="1381"/>
      <c r="M295" s="1381"/>
      <c r="N295" s="1381"/>
      <c r="O295" s="1381"/>
      <c r="P295" s="1381"/>
      <c r="Q295" s="1381"/>
      <c r="R295" s="1381"/>
      <c r="S295" s="1381"/>
      <c r="T295" s="1381"/>
      <c r="U295" s="1381"/>
      <c r="V295" s="1381"/>
      <c r="W295" s="1381"/>
      <c r="X295" s="1381"/>
      <c r="Y295" s="1381"/>
      <c r="Z295" s="1381"/>
      <c r="AA295" s="1381"/>
      <c r="AB295" s="1381"/>
      <c r="AC295" s="1381"/>
      <c r="AD295" s="1381"/>
      <c r="AE295" s="1381"/>
      <c r="AF295" s="1381"/>
      <c r="AG295" s="1381"/>
      <c r="AH295" s="1381"/>
      <c r="AI295" s="1381"/>
      <c r="AJ295" s="1381"/>
      <c r="AK295" s="1381"/>
      <c r="AL295" s="1381"/>
      <c r="AM295" s="1381"/>
      <c r="AN295" s="1381"/>
      <c r="AO295" s="1381"/>
      <c r="AP295" s="1381"/>
      <c r="AQ295" s="1381"/>
      <c r="AR295" s="1381"/>
      <c r="AS295" s="1381"/>
      <c r="AT295" s="1382"/>
      <c r="AU295" s="1381"/>
      <c r="AV295" s="1381"/>
      <c r="AW295" s="1381"/>
      <c r="AX295" s="1383"/>
      <c r="AY295" s="1381"/>
      <c r="AZ295" s="1381"/>
      <c r="BA295" s="1381"/>
      <c r="BB295" s="1383"/>
      <c r="BC295" s="1381"/>
      <c r="BD295" s="1381"/>
      <c r="BE295" s="1381"/>
      <c r="BF295" s="1383"/>
      <c r="BG295" s="1381"/>
      <c r="BH295" s="1381"/>
      <c r="BI295" s="1381"/>
      <c r="BJ295" s="1381"/>
      <c r="BK295" s="1381"/>
      <c r="BL295" s="1381"/>
      <c r="BM295" s="1381"/>
      <c r="BN295" s="1381"/>
      <c r="BO295" s="1381"/>
      <c r="BP295" s="1381"/>
      <c r="BQ295" s="1381"/>
      <c r="BR295" s="1381"/>
      <c r="BS295" s="1381"/>
      <c r="BT295" s="1381"/>
      <c r="BU295" s="1381"/>
    </row>
    <row r="296" spans="1:75" s="1282" customFormat="1">
      <c r="A296" s="1278"/>
      <c r="B296" s="1244"/>
      <c r="C296" s="1244"/>
      <c r="D296" s="1244"/>
      <c r="E296" s="1244"/>
      <c r="F296" s="1244"/>
      <c r="G296" s="1244"/>
      <c r="H296" s="1244"/>
      <c r="I296" s="1244"/>
      <c r="J296" s="1244"/>
      <c r="K296" s="1244"/>
      <c r="L296" s="1244"/>
      <c r="M296" s="1244"/>
      <c r="N296" s="1244"/>
      <c r="O296" s="1244"/>
      <c r="P296" s="1244"/>
      <c r="Q296" s="1244"/>
      <c r="R296" s="1244"/>
      <c r="S296" s="1244"/>
      <c r="T296" s="1244"/>
      <c r="U296" s="1244"/>
      <c r="V296" s="1244"/>
      <c r="W296" s="1244"/>
      <c r="X296" s="1244"/>
      <c r="Y296" s="1244"/>
      <c r="Z296" s="1244"/>
      <c r="AA296" s="1244"/>
      <c r="AB296" s="1244"/>
      <c r="AC296" s="1244"/>
      <c r="AD296" s="1244"/>
      <c r="AE296" s="1244"/>
      <c r="AF296" s="1244"/>
      <c r="AG296" s="1244"/>
      <c r="AH296" s="1244"/>
      <c r="AI296" s="1244"/>
      <c r="AJ296" s="1244"/>
      <c r="AK296" s="1244"/>
      <c r="AL296" s="1244"/>
      <c r="AM296" s="1244"/>
      <c r="AN296" s="1244"/>
      <c r="AO296" s="1244"/>
      <c r="AP296" s="1244"/>
      <c r="AQ296" s="1244"/>
      <c r="AR296" s="1244"/>
      <c r="AS296" s="1244"/>
      <c r="AT296" s="1293"/>
      <c r="AU296" s="1244"/>
      <c r="AV296" s="1244"/>
      <c r="AW296" s="1244"/>
      <c r="AX296" s="1245"/>
      <c r="AY296" s="1244"/>
      <c r="AZ296" s="1244"/>
      <c r="BA296" s="1244"/>
      <c r="BB296" s="1245"/>
      <c r="BC296" s="1244"/>
      <c r="BD296" s="1244"/>
      <c r="BE296" s="1244"/>
      <c r="BF296" s="1245"/>
      <c r="BG296" s="1244"/>
      <c r="BH296" s="1244"/>
      <c r="BI296" s="1244"/>
      <c r="BJ296" s="1244"/>
      <c r="BK296" s="1244"/>
      <c r="BL296" s="1244"/>
      <c r="BM296" s="1244"/>
      <c r="BN296" s="1244"/>
      <c r="BO296" s="1244"/>
      <c r="BP296" s="1244"/>
      <c r="BQ296" s="1244"/>
      <c r="BR296" s="1244"/>
      <c r="BS296" s="1244"/>
      <c r="BT296" s="1244"/>
      <c r="BU296" s="1244"/>
    </row>
    <row r="297" spans="1:75" outlineLevel="1">
      <c r="A297" s="1251" t="s">
        <v>846</v>
      </c>
      <c r="B297" s="1281"/>
      <c r="C297" s="1281"/>
      <c r="D297" s="1281"/>
      <c r="E297" s="1281"/>
      <c r="F297" s="1281"/>
      <c r="G297" s="1281"/>
      <c r="H297" s="1281"/>
      <c r="I297" s="1281"/>
      <c r="J297" s="1281"/>
      <c r="K297" s="1281"/>
      <c r="L297" s="1281"/>
      <c r="M297" s="1281"/>
      <c r="N297" s="1281"/>
      <c r="O297" s="1281"/>
      <c r="P297" s="1281"/>
      <c r="Q297" s="1281"/>
      <c r="R297" s="1281"/>
      <c r="S297" s="1281"/>
      <c r="T297" s="1281"/>
      <c r="U297" s="1281"/>
      <c r="V297" s="1281"/>
      <c r="W297" s="1281"/>
      <c r="X297" s="1281"/>
      <c r="Y297" s="1281"/>
      <c r="Z297" s="1281"/>
      <c r="AA297" s="1281"/>
      <c r="AB297" s="1281"/>
      <c r="AC297" s="1281"/>
      <c r="AD297" s="1281"/>
      <c r="AE297" s="1281"/>
      <c r="AF297" s="1281"/>
      <c r="AG297" s="1281"/>
      <c r="AH297" s="1281"/>
      <c r="AI297" s="1281"/>
      <c r="AJ297" s="1281"/>
      <c r="AK297" s="1281"/>
      <c r="AL297" s="1281"/>
      <c r="AM297" s="1281"/>
      <c r="AN297" s="1281"/>
      <c r="AO297" s="1281"/>
      <c r="AP297" s="1281"/>
      <c r="AQ297" s="1281"/>
      <c r="AR297" s="1281"/>
      <c r="AS297" s="1281"/>
      <c r="AT297" s="1281"/>
      <c r="AU297" s="1281"/>
      <c r="AV297" s="1281"/>
      <c r="AW297" s="1281"/>
      <c r="AX297" s="1281"/>
      <c r="AY297" s="1281"/>
      <c r="AZ297" s="1281"/>
      <c r="BA297" s="1281"/>
      <c r="BB297" s="1282"/>
      <c r="BC297" s="1318"/>
      <c r="BD297" s="1281"/>
      <c r="BE297" s="1319"/>
      <c r="BF297" s="1282"/>
      <c r="BG297" s="2264" t="str">
        <f>A297</f>
        <v xml:space="preserve">GAAP Operating Income (% Operating Margin) </v>
      </c>
      <c r="BH297" s="2264"/>
      <c r="BI297" s="2264"/>
      <c r="BJ297" s="2264"/>
      <c r="BK297" s="2266"/>
      <c r="BL297" s="2264"/>
      <c r="BM297" s="2264"/>
      <c r="BN297" s="1663"/>
      <c r="BO297" s="1663"/>
      <c r="BP297" s="1663"/>
      <c r="BQ297" s="1663"/>
      <c r="BR297" s="2149"/>
      <c r="BS297" s="2149"/>
      <c r="BT297" s="2149"/>
      <c r="BU297" s="2149"/>
    </row>
    <row r="298" spans="1:75" outlineLevel="1">
      <c r="A298" s="1251"/>
      <c r="B298" s="1281"/>
      <c r="C298" s="1281"/>
      <c r="D298" s="1281"/>
      <c r="E298" s="1281"/>
      <c r="F298" s="1281"/>
      <c r="G298" s="1281"/>
      <c r="H298" s="1281"/>
      <c r="I298" s="1281"/>
      <c r="J298" s="1281"/>
      <c r="K298" s="1281"/>
      <c r="L298" s="1281"/>
      <c r="M298" s="1281"/>
      <c r="N298" s="1281"/>
      <c r="O298" s="1281"/>
      <c r="P298" s="1281"/>
      <c r="Q298" s="1281"/>
      <c r="R298" s="1281"/>
      <c r="S298" s="1281"/>
      <c r="T298" s="1281"/>
      <c r="U298" s="1281"/>
      <c r="V298" s="1281"/>
      <c r="W298" s="1281"/>
      <c r="X298" s="1281"/>
      <c r="Y298" s="1281"/>
      <c r="Z298" s="1281"/>
      <c r="AA298" s="1281"/>
      <c r="AB298" s="1281"/>
      <c r="AC298" s="1281"/>
      <c r="AD298" s="1281"/>
      <c r="AE298" s="1281"/>
      <c r="AF298" s="1281"/>
      <c r="AG298" s="1281"/>
      <c r="AH298" s="1281"/>
      <c r="AI298" s="1281"/>
      <c r="AJ298" s="1281"/>
      <c r="AK298" s="1281"/>
      <c r="AL298" s="1281"/>
      <c r="AM298" s="1281"/>
      <c r="AN298" s="1281"/>
      <c r="AO298" s="1281"/>
      <c r="AP298" s="1281"/>
      <c r="AQ298" s="1281"/>
      <c r="AR298" s="1281"/>
      <c r="AS298" s="1281"/>
      <c r="AT298" s="1281"/>
      <c r="AU298" s="1281"/>
      <c r="AV298" s="1281"/>
      <c r="AW298" s="1281"/>
      <c r="AX298" s="1281"/>
      <c r="AY298" s="1281"/>
      <c r="AZ298" s="1281"/>
      <c r="BA298" s="1281"/>
      <c r="BB298" s="1282"/>
      <c r="BC298" s="1318"/>
      <c r="BD298" s="1281"/>
      <c r="BE298" s="1319"/>
      <c r="BF298" s="1282"/>
      <c r="BG298" s="1318"/>
      <c r="BH298" s="1281"/>
      <c r="BI298" s="1281"/>
      <c r="BK298" s="1318"/>
      <c r="BL298" s="1281"/>
      <c r="BM298" s="1281"/>
      <c r="BO298" s="1318"/>
      <c r="BP298" s="1281"/>
      <c r="BQ298" s="1281"/>
      <c r="BS298" s="1318"/>
      <c r="BT298" s="1281"/>
      <c r="BU298" s="1281"/>
    </row>
    <row r="299" spans="1:75" outlineLevel="1">
      <c r="A299" s="1254" t="s">
        <v>79</v>
      </c>
      <c r="C299" s="1255"/>
      <c r="D299" s="1264"/>
      <c r="E299" s="1256"/>
      <c r="G299" s="1255"/>
      <c r="H299" s="1264"/>
      <c r="I299" s="1265"/>
      <c r="K299" s="1255"/>
      <c r="L299" s="1264"/>
      <c r="M299" s="1265"/>
      <c r="O299" s="1255"/>
      <c r="P299" s="1264"/>
      <c r="Q299" s="1265"/>
      <c r="S299" s="1255"/>
      <c r="T299" s="1264"/>
      <c r="U299" s="1265"/>
      <c r="W299" s="1255"/>
      <c r="X299" s="1264"/>
      <c r="Y299" s="1265"/>
      <c r="AA299" s="1255"/>
      <c r="AB299" s="1264"/>
      <c r="AC299" s="1265"/>
      <c r="AE299" s="1255"/>
      <c r="AF299" s="1264"/>
      <c r="AG299" s="1265"/>
      <c r="AI299" s="1253">
        <f>AI113</f>
        <v>-36.247000000000007</v>
      </c>
      <c r="AJ299" s="1287">
        <f>(AI299/AI$11)*100</f>
        <v>-4.3668821976692778</v>
      </c>
      <c r="AK299" s="1287" t="str">
        <f t="shared" ref="AK299:AK305" si="409">IFERROR(((AI299/AE299-1)*100),"-")</f>
        <v>-</v>
      </c>
      <c r="AL299" s="1287"/>
      <c r="AM299" s="1253">
        <f>AM113</f>
        <v>36.166000000000025</v>
      </c>
      <c r="AN299" s="1287">
        <f>(AM299/AM$11)*100</f>
        <v>4.0423481967814148</v>
      </c>
      <c r="AO299" s="1287">
        <f t="shared" ref="AO299:AO305" si="410">IFERROR(((AM299/AI299-1)*100),"-")</f>
        <v>-199.77653323033636</v>
      </c>
      <c r="AQ299" s="1253">
        <f>AQ113</f>
        <v>-1.3839999999999506</v>
      </c>
      <c r="AR299" s="1287">
        <f>(AQ299/AQ$11)*100</f>
        <v>-0.14896440676323708</v>
      </c>
      <c r="AS299" s="1287">
        <f t="shared" ref="AS299:AS305" si="411">IFERROR(((AQ299/AM299-1)*100),"-")</f>
        <v>-103.82679865066623</v>
      </c>
      <c r="AT299" s="1244"/>
      <c r="AU299" s="1253">
        <f>AU113</f>
        <v>23.335830730000051</v>
      </c>
      <c r="AV299" s="1287">
        <f>(AU299/AU$11)*100</f>
        <v>2.3753372483330404</v>
      </c>
      <c r="AW299" s="1287">
        <f t="shared" ref="AW299:AW305" si="412">IFERROR(((AU299/AQ299-1)*100),"-")</f>
        <v>-1786.1149371387921</v>
      </c>
      <c r="AX299" s="1244"/>
      <c r="AY299" s="1253">
        <f>AY113</f>
        <v>25.655999999999896</v>
      </c>
      <c r="AZ299" s="1287">
        <f>(AY299/AY$11)*100</f>
        <v>2.408984679060246</v>
      </c>
      <c r="BA299" s="1287">
        <f t="shared" ref="BA299:BA305" si="413">IFERROR(((AY299/AU299-1)*100),"-")</f>
        <v>9.942518425183323</v>
      </c>
      <c r="BB299" s="1252"/>
      <c r="BC299" s="1253">
        <f>BC113</f>
        <v>46.111999999999973</v>
      </c>
      <c r="BD299" s="1287">
        <f>(BC299/BC$11)*100</f>
        <v>4.0869686218446111</v>
      </c>
      <c r="BE299" s="1287">
        <f t="shared" ref="BE299:BE305" si="414">IFERROR(((BC299/AY299-1)*100),"-")</f>
        <v>79.731836607421897</v>
      </c>
      <c r="BF299" s="1252"/>
      <c r="BG299" s="1253">
        <f>BG113</f>
        <v>56.144000000000048</v>
      </c>
      <c r="BH299" s="1287">
        <f>(BG299/BG$11)*100</f>
        <v>4.745663572146448</v>
      </c>
      <c r="BI299" s="1287">
        <f t="shared" ref="BI299:BI305" si="415">IFERROR(((BG299/BC299-1)*100),"-")</f>
        <v>21.755725190839858</v>
      </c>
      <c r="BK299" s="1253">
        <f>BK113</f>
        <v>75.097000000000037</v>
      </c>
      <c r="BL299" s="1287">
        <f>(BK299/BK$11)*100</f>
        <v>5.854740502233625</v>
      </c>
      <c r="BM299" s="1287">
        <f t="shared" ref="BM299:BM305" si="416">IFERROR(((BK299/BG299-1)*100),"-")</f>
        <v>33.757836990595557</v>
      </c>
      <c r="BO299" s="1253">
        <f>BO113</f>
        <v>88.798000000000101</v>
      </c>
      <c r="BP299" s="1287">
        <f>(BO299/BO$11)*100</f>
        <v>6.5945017845658525</v>
      </c>
      <c r="BQ299" s="1287">
        <f t="shared" ref="BQ299:BQ305" si="417">IFERROR(((BO299/BK299-1)*100),"-")</f>
        <v>18.244403904283878</v>
      </c>
      <c r="BS299" s="1253">
        <f>BS113</f>
        <v>104.00612739474754</v>
      </c>
      <c r="BT299" s="1287">
        <f>(BS299/BS$11)*100</f>
        <v>6.9990360463129786</v>
      </c>
      <c r="BU299" s="1287">
        <f t="shared" ref="BU299:BU305" si="418">IFERROR(((BS299/BO299-1)*100),"-")</f>
        <v>17.126655324159799</v>
      </c>
    </row>
    <row r="300" spans="1:75" outlineLevel="1">
      <c r="A300" s="1254" t="s">
        <v>80</v>
      </c>
      <c r="C300" s="1259"/>
      <c r="D300" s="1264"/>
      <c r="E300" s="1256"/>
      <c r="G300" s="1259"/>
      <c r="H300" s="1264"/>
      <c r="I300" s="1265"/>
      <c r="K300" s="1259"/>
      <c r="L300" s="1264"/>
      <c r="M300" s="1265"/>
      <c r="O300" s="1259"/>
      <c r="P300" s="1264"/>
      <c r="Q300" s="1265"/>
      <c r="S300" s="1259"/>
      <c r="T300" s="1264"/>
      <c r="U300" s="1265"/>
      <c r="W300" s="1259"/>
      <c r="X300" s="1264"/>
      <c r="Y300" s="1265"/>
      <c r="AA300" s="1259"/>
      <c r="AB300" s="1264"/>
      <c r="AC300" s="1265"/>
      <c r="AE300" s="1259"/>
      <c r="AF300" s="1264"/>
      <c r="AG300" s="1265"/>
      <c r="AI300" s="1361">
        <f>AI114</f>
        <v>-11.610000000000067</v>
      </c>
      <c r="AJ300" s="1287">
        <f>(AI300/AI$12)*100</f>
        <v>-1.6562574003749144</v>
      </c>
      <c r="AK300" s="1287" t="str">
        <f t="shared" si="409"/>
        <v>-</v>
      </c>
      <c r="AL300" s="1287"/>
      <c r="AM300" s="1361">
        <f>AM114</f>
        <v>-38.912999999999968</v>
      </c>
      <c r="AN300" s="1287">
        <f>(AM300/AM$12)*100</f>
        <v>-5.3396912521440774</v>
      </c>
      <c r="AO300" s="1287">
        <f t="shared" si="410"/>
        <v>235.16795865632852</v>
      </c>
      <c r="AP300" s="1269"/>
      <c r="AQ300" s="1361">
        <f>AQ114</f>
        <v>-23.585000000000043</v>
      </c>
      <c r="AR300" s="1287">
        <f>(AQ300/AQ$12)*100</f>
        <v>-2.9728404523104013</v>
      </c>
      <c r="AS300" s="1287">
        <f t="shared" si="411"/>
        <v>-39.390435073111654</v>
      </c>
      <c r="AT300" s="1244"/>
      <c r="AU300" s="1361">
        <f>AU114</f>
        <v>-19.759250599999998</v>
      </c>
      <c r="AV300" s="1287">
        <f>(AU300/AU$12)*100</f>
        <v>-2.2864707190647469</v>
      </c>
      <c r="AW300" s="1287">
        <f t="shared" si="412"/>
        <v>-16.221112571549877</v>
      </c>
      <c r="AX300" s="1244"/>
      <c r="AY300" s="1361">
        <f>AY114</f>
        <v>-5.9100000000000401</v>
      </c>
      <c r="AZ300" s="1287">
        <f>(AY300/AY$12)*100</f>
        <v>-0.61325438850444169</v>
      </c>
      <c r="BA300" s="1287">
        <f t="shared" si="413"/>
        <v>-70.089958776067945</v>
      </c>
      <c r="BB300" s="1252"/>
      <c r="BC300" s="1361">
        <f>BC114</f>
        <v>14.782999999999848</v>
      </c>
      <c r="BD300" s="1287">
        <f>(BC300/BC$12)*100</f>
        <v>1.4165646940678156</v>
      </c>
      <c r="BE300" s="1287">
        <f t="shared" si="414"/>
        <v>-350.13536379018188</v>
      </c>
      <c r="BF300" s="1252"/>
      <c r="BG300" s="1361">
        <f>BG114</f>
        <v>33.184000000000125</v>
      </c>
      <c r="BH300" s="1287">
        <f>(BG300/BG$12)*100</f>
        <v>2.9001466503760756</v>
      </c>
      <c r="BI300" s="1287">
        <f t="shared" si="415"/>
        <v>124.47405803964328</v>
      </c>
      <c r="BJ300" s="1282"/>
      <c r="BK300" s="1361">
        <f>BK114</f>
        <v>47.767000000000181</v>
      </c>
      <c r="BL300" s="1287">
        <f>(BK300/BK$12)*100</f>
        <v>3.8059747277605154</v>
      </c>
      <c r="BM300" s="1287">
        <f t="shared" si="416"/>
        <v>43.945877531340408</v>
      </c>
      <c r="BN300" s="1282"/>
      <c r="BO300" s="1361">
        <f>BO114</f>
        <v>77.607999999999919</v>
      </c>
      <c r="BP300" s="1287">
        <f>(BO300/BO$12)*100</f>
        <v>5.6929748889397436</v>
      </c>
      <c r="BQ300" s="1287">
        <f t="shared" si="417"/>
        <v>62.471999497560304</v>
      </c>
      <c r="BR300" s="1282"/>
      <c r="BS300" s="1361">
        <f>BS114</f>
        <v>91.609541776086957</v>
      </c>
      <c r="BT300" s="1287">
        <f>(BS300/BS$12)*100</f>
        <v>6.1113334748004604</v>
      </c>
      <c r="BU300" s="1287">
        <f t="shared" si="418"/>
        <v>18.041364003823123</v>
      </c>
      <c r="BV300" s="1508">
        <f>+BO300-BK300</f>
        <v>29.840999999999738</v>
      </c>
    </row>
    <row r="301" spans="1:75" outlineLevel="1">
      <c r="A301" s="1254" t="s">
        <v>81</v>
      </c>
      <c r="C301" s="1259"/>
      <c r="D301" s="1264"/>
      <c r="E301" s="1256"/>
      <c r="G301" s="1259"/>
      <c r="H301" s="1264"/>
      <c r="I301" s="1265"/>
      <c r="K301" s="1259"/>
      <c r="L301" s="1264"/>
      <c r="M301" s="1265"/>
      <c r="O301" s="1259"/>
      <c r="P301" s="1264"/>
      <c r="Q301" s="1265"/>
      <c r="S301" s="1259"/>
      <c r="T301" s="1264"/>
      <c r="U301" s="1265"/>
      <c r="W301" s="1259"/>
      <c r="X301" s="1264"/>
      <c r="Y301" s="1265"/>
      <c r="AA301" s="1259"/>
      <c r="AB301" s="1264"/>
      <c r="AC301" s="1265"/>
      <c r="AE301" s="1259"/>
      <c r="AF301" s="1264"/>
      <c r="AG301" s="1265"/>
      <c r="AI301" s="1361">
        <f>AI115</f>
        <v>34.048999999999864</v>
      </c>
      <c r="AJ301" s="1287">
        <f>(AI301/AI$13)*100</f>
        <v>3.9030278298069252</v>
      </c>
      <c r="AK301" s="1287" t="str">
        <f t="shared" si="409"/>
        <v>-</v>
      </c>
      <c r="AL301" s="1287"/>
      <c r="AM301" s="1361">
        <f>AM115</f>
        <v>19.49499999999988</v>
      </c>
      <c r="AN301" s="1287">
        <f>(AM301/AM$13)*100</f>
        <v>2.2716520661022064</v>
      </c>
      <c r="AO301" s="1287">
        <f t="shared" si="410"/>
        <v>-42.744280301917946</v>
      </c>
      <c r="AP301" s="1269"/>
      <c r="AQ301" s="1361">
        <f>AQ115</f>
        <v>11.139999999999981</v>
      </c>
      <c r="AR301" s="1287">
        <f>(AQ301/AQ$13)*100</f>
        <v>1.2396193011173244</v>
      </c>
      <c r="AS301" s="1287">
        <f t="shared" si="411"/>
        <v>-42.857142857142605</v>
      </c>
      <c r="AT301" s="1244"/>
      <c r="AU301" s="1361">
        <f>AU115</f>
        <v>5.7699999999999738</v>
      </c>
      <c r="AV301" s="1287">
        <f>(AU301/AU$13)*100</f>
        <v>0.59613965992143503</v>
      </c>
      <c r="AW301" s="1287">
        <f t="shared" si="412"/>
        <v>-48.204667863554903</v>
      </c>
      <c r="AX301" s="1244"/>
      <c r="AY301" s="1361">
        <f>AY115</f>
        <v>8.1840000000000082</v>
      </c>
      <c r="AZ301" s="1287">
        <f>(AY301/AY$13)*100</f>
        <v>0.7688102042081657</v>
      </c>
      <c r="BA301" s="1287">
        <f t="shared" si="413"/>
        <v>41.83708838821569</v>
      </c>
      <c r="BB301" s="1252"/>
      <c r="BC301" s="1361">
        <f>BC115</f>
        <v>-41.599000000000146</v>
      </c>
      <c r="BD301" s="1287">
        <f>(BC301/BC$13)*100</f>
        <v>-3.5945120159821506</v>
      </c>
      <c r="BE301" s="1287">
        <f t="shared" si="414"/>
        <v>-608.29667644183894</v>
      </c>
      <c r="BF301" s="1252"/>
      <c r="BG301" s="1361">
        <f>BG115</f>
        <v>39.05000000000004</v>
      </c>
      <c r="BH301" s="1287">
        <f>(BG301/BG$13)*100</f>
        <v>3.1725115079706843</v>
      </c>
      <c r="BI301" s="1287">
        <f t="shared" si="415"/>
        <v>-193.87244885694344</v>
      </c>
      <c r="BJ301" s="1282"/>
      <c r="BK301" s="1361">
        <f>BK115</f>
        <v>63.011999999999965</v>
      </c>
      <c r="BL301" s="1287">
        <f>(BK301/BK$13)*100</f>
        <v>4.6932816922389371</v>
      </c>
      <c r="BM301" s="1287">
        <f t="shared" si="416"/>
        <v>61.362355953905002</v>
      </c>
      <c r="BN301" s="1282"/>
      <c r="BO301" s="1361">
        <f>BO115</f>
        <v>83.149999999999949</v>
      </c>
      <c r="BP301" s="1287">
        <f>(BO301/BO$13)*100</f>
        <v>5.781665133465026</v>
      </c>
      <c r="BQ301" s="1287">
        <f t="shared" si="417"/>
        <v>31.958991938043546</v>
      </c>
      <c r="BR301" s="1282"/>
      <c r="BS301" s="1361">
        <f>BS115</f>
        <v>100.02311878189448</v>
      </c>
      <c r="BT301" s="1287">
        <f>(BS301/BS$13)*100</f>
        <v>6.3215652783720904</v>
      </c>
      <c r="BU301" s="1287">
        <f t="shared" si="418"/>
        <v>20.292385787004854</v>
      </c>
    </row>
    <row r="302" spans="1:75" outlineLevel="1">
      <c r="A302" s="1254" t="s">
        <v>82</v>
      </c>
      <c r="C302" s="1261"/>
      <c r="D302" s="1264"/>
      <c r="E302" s="1256"/>
      <c r="G302" s="1261"/>
      <c r="H302" s="1264"/>
      <c r="I302" s="1265"/>
      <c r="K302" s="1261"/>
      <c r="L302" s="1264"/>
      <c r="M302" s="1265"/>
      <c r="O302" s="1261"/>
      <c r="P302" s="1264"/>
      <c r="Q302" s="1265"/>
      <c r="S302" s="1262"/>
      <c r="T302" s="1264"/>
      <c r="U302" s="1265"/>
      <c r="W302" s="1261"/>
      <c r="X302" s="1264"/>
      <c r="Y302" s="1265"/>
      <c r="AA302" s="1261"/>
      <c r="AB302" s="1264"/>
      <c r="AC302" s="1265"/>
      <c r="AE302" s="1262"/>
      <c r="AF302" s="1264"/>
      <c r="AG302" s="1265"/>
      <c r="AI302" s="1329">
        <f>AI116</f>
        <v>53.299000000000142</v>
      </c>
      <c r="AJ302" s="1287">
        <f>(AI302/AI$14)*100</f>
        <v>4.7608839153243627</v>
      </c>
      <c r="AK302" s="1287" t="str">
        <f t="shared" si="409"/>
        <v>-</v>
      </c>
      <c r="AL302" s="1287"/>
      <c r="AM302" s="1329">
        <f>AM116</f>
        <v>135.68900000000011</v>
      </c>
      <c r="AN302" s="1287">
        <f>(AM302/AM$14)*100</f>
        <v>11.421748367828638</v>
      </c>
      <c r="AO302" s="1287">
        <f t="shared" si="410"/>
        <v>154.5807613651283</v>
      </c>
      <c r="AP302" s="1269"/>
      <c r="AQ302" s="1329">
        <f>AQ116</f>
        <v>132.05700000000027</v>
      </c>
      <c r="AR302" s="1287">
        <f>(AQ302/AQ$14)*100</f>
        <v>10.709862851275851</v>
      </c>
      <c r="AS302" s="1287">
        <f t="shared" si="411"/>
        <v>-2.6767092395108216</v>
      </c>
      <c r="AT302" s="1244"/>
      <c r="AU302" s="1329">
        <f>AU116</f>
        <v>134.23691639699481</v>
      </c>
      <c r="AV302" s="1287">
        <f>(AU302/AU$14)*100</f>
        <v>10.632314106782275</v>
      </c>
      <c r="AW302" s="1287">
        <f t="shared" si="412"/>
        <v>1.6507389967927111</v>
      </c>
      <c r="AX302" s="1244"/>
      <c r="AY302" s="1329">
        <f>AY116</f>
        <v>132.16700000000012</v>
      </c>
      <c r="AZ302" s="1287">
        <f>(AY302/AY$14)*100</f>
        <v>9.9055143722030827</v>
      </c>
      <c r="BA302" s="1287">
        <f t="shared" si="413"/>
        <v>-1.5419874447004545</v>
      </c>
      <c r="BB302" s="1252"/>
      <c r="BC302" s="1329">
        <f>BC116</f>
        <v>178.76500000000007</v>
      </c>
      <c r="BD302" s="1287">
        <f>(BC302/BC$14)*100</f>
        <v>12.035113325909782</v>
      </c>
      <c r="BE302" s="1287">
        <f t="shared" si="414"/>
        <v>35.256909818638469</v>
      </c>
      <c r="BF302" s="1252"/>
      <c r="BG302" s="1329">
        <f>BG116</f>
        <v>169.49600000000004</v>
      </c>
      <c r="BH302" s="1287">
        <f>(BG302/BG$14)*100</f>
        <v>11.00074053930213</v>
      </c>
      <c r="BI302" s="1287">
        <f t="shared" si="415"/>
        <v>-5.1850194389282178</v>
      </c>
      <c r="BJ302" s="1282"/>
      <c r="BK302" s="1329">
        <f>BK116</f>
        <v>203.49699999999993</v>
      </c>
      <c r="BL302" s="1287">
        <f>(BK302/BK$14)*100</f>
        <v>12.071850817012363</v>
      </c>
      <c r="BM302" s="1287">
        <f t="shared" si="416"/>
        <v>20.060060414405001</v>
      </c>
      <c r="BN302" s="1282"/>
      <c r="BO302" s="1329">
        <f>BO116</f>
        <v>238.20100000000005</v>
      </c>
      <c r="BP302" s="1287">
        <f>(BO302/BO$14)*100</f>
        <v>12.298504411076046</v>
      </c>
      <c r="BQ302" s="1287">
        <f t="shared" si="417"/>
        <v>17.053814061141015</v>
      </c>
      <c r="BR302" s="1282"/>
      <c r="BS302" s="1329">
        <f>BS116</f>
        <v>261.01429960829989</v>
      </c>
      <c r="BT302" s="1287">
        <f>(BS302/BS$14)*100</f>
        <v>12.920779442469374</v>
      </c>
      <c r="BU302" s="1287">
        <f t="shared" si="418"/>
        <v>9.5773315847959672</v>
      </c>
    </row>
    <row r="303" spans="1:75" outlineLevel="1">
      <c r="A303" s="1254" t="s">
        <v>85</v>
      </c>
      <c r="C303" s="1252"/>
      <c r="D303" s="1264"/>
      <c r="E303" s="1256"/>
      <c r="G303" s="1252"/>
      <c r="H303" s="1264"/>
      <c r="I303" s="1265"/>
      <c r="K303" s="1252"/>
      <c r="L303" s="1264"/>
      <c r="M303" s="1265"/>
      <c r="O303" s="1252"/>
      <c r="P303" s="1264"/>
      <c r="Q303" s="1265"/>
      <c r="S303" s="1252"/>
      <c r="T303" s="1264"/>
      <c r="U303" s="1265"/>
      <c r="W303" s="1252"/>
      <c r="X303" s="1264"/>
      <c r="Y303" s="1265"/>
      <c r="AA303" s="1252"/>
      <c r="AB303" s="1264"/>
      <c r="AC303" s="1265"/>
      <c r="AD303" s="1252"/>
      <c r="AE303" s="1252"/>
      <c r="AF303" s="1264"/>
      <c r="AG303" s="1265"/>
      <c r="AI303" s="1253">
        <f>SUM(AI299:AI302)</f>
        <v>39.490999999999936</v>
      </c>
      <c r="AJ303" s="1287">
        <f>(AI303/AI$15)*100</f>
        <v>1.1209754197803279</v>
      </c>
      <c r="AK303" s="1287" t="str">
        <f t="shared" si="409"/>
        <v>-</v>
      </c>
      <c r="AL303" s="1287"/>
      <c r="AM303" s="1253">
        <f>SUM(AM299:AM302)</f>
        <v>152.43700000000004</v>
      </c>
      <c r="AN303" s="1287">
        <f>(AM303/AM$15)*100</f>
        <v>4.1540472236498687</v>
      </c>
      <c r="AO303" s="1287">
        <f t="shared" si="410"/>
        <v>286.00440606720593</v>
      </c>
      <c r="AQ303" s="1253">
        <f>SUM(AQ299:AQ302)</f>
        <v>118.22800000000026</v>
      </c>
      <c r="AR303" s="1287">
        <f>(AQ303/AQ$15)*100</f>
        <v>3.0675632969689239</v>
      </c>
      <c r="AS303" s="1287">
        <f t="shared" si="411"/>
        <v>-22.441402021818703</v>
      </c>
      <c r="AT303" s="1244"/>
      <c r="AU303" s="1253">
        <f>SUM(AU299:AU302)</f>
        <v>143.58349652699485</v>
      </c>
      <c r="AV303" s="1287">
        <f>(AU303/AU$15)*100</f>
        <v>3.5217633824568071</v>
      </c>
      <c r="AW303" s="1287">
        <f t="shared" si="412"/>
        <v>21.446270364883556</v>
      </c>
      <c r="AX303" s="1244"/>
      <c r="AY303" s="1253">
        <f>SUM(AY299:AY302)</f>
        <v>160.09699999999998</v>
      </c>
      <c r="AZ303" s="1287">
        <f>(AY303/AY$15)*100</f>
        <v>3.6159659293285626</v>
      </c>
      <c r="BA303" s="1287">
        <f t="shared" si="413"/>
        <v>11.500975998241181</v>
      </c>
      <c r="BB303" s="1244"/>
      <c r="BC303" s="1253">
        <f>SUM(BC299:BC302)</f>
        <v>198.06099999999975</v>
      </c>
      <c r="BD303" s="1287">
        <f>(BC303/BC$15)*100</f>
        <v>4.1138401795906647</v>
      </c>
      <c r="BE303" s="1287">
        <f t="shared" si="414"/>
        <v>23.713123918624191</v>
      </c>
      <c r="BF303" s="1244"/>
      <c r="BG303" s="1253">
        <f>SUM(BG299:BG302)</f>
        <v>297.87400000000025</v>
      </c>
      <c r="BH303" s="1287">
        <f>(BG303/BG$15)*100</f>
        <v>5.8418900271664782</v>
      </c>
      <c r="BI303" s="1287">
        <f t="shared" si="415"/>
        <v>50.39508030354316</v>
      </c>
      <c r="BJ303" s="1282"/>
      <c r="BK303" s="1253">
        <f>SUM(BK299:BK302)</f>
        <v>389.3730000000001</v>
      </c>
      <c r="BL303" s="1287">
        <f>(BK303/BK$15)*100</f>
        <v>6.9955145832637182</v>
      </c>
      <c r="BM303" s="1287">
        <f t="shared" si="416"/>
        <v>30.717350289048319</v>
      </c>
      <c r="BN303" s="1282"/>
      <c r="BO303" s="1253">
        <f>SUM(BO299:BO302)</f>
        <v>487.75700000000001</v>
      </c>
      <c r="BP303" s="1287">
        <f>(BO303/BO$15)*100</f>
        <v>8.0160354564168959</v>
      </c>
      <c r="BQ303" s="1287">
        <f t="shared" si="417"/>
        <v>25.267288692333544</v>
      </c>
      <c r="BR303" s="1282"/>
      <c r="BS303" s="1253">
        <f>SUM(BS299:BS302)</f>
        <v>556.65308756102888</v>
      </c>
      <c r="BT303" s="1287">
        <f>(BS303/BS$15)*100</f>
        <v>8.4502928662822292</v>
      </c>
      <c r="BU303" s="1287">
        <f t="shared" si="418"/>
        <v>14.12508432703763</v>
      </c>
    </row>
    <row r="304" spans="1:75" outlineLevel="1">
      <c r="A304" s="1254" t="s">
        <v>87</v>
      </c>
      <c r="C304" s="1252"/>
      <c r="D304" s="1264"/>
      <c r="E304" s="1256"/>
      <c r="G304" s="1252"/>
      <c r="H304" s="1264"/>
      <c r="I304" s="1265"/>
      <c r="K304" s="1252"/>
      <c r="L304" s="1264"/>
      <c r="M304" s="1265"/>
      <c r="O304" s="1252"/>
      <c r="P304" s="1264"/>
      <c r="Q304" s="1265"/>
      <c r="S304" s="1252"/>
      <c r="T304" s="1264"/>
      <c r="U304" s="1265"/>
      <c r="W304" s="1252"/>
      <c r="X304" s="1264"/>
      <c r="Y304" s="1265"/>
      <c r="AA304" s="1252"/>
      <c r="AB304" s="1264"/>
      <c r="AC304" s="1265"/>
      <c r="AD304" s="1252"/>
      <c r="AE304" s="1252"/>
      <c r="AF304" s="1264"/>
      <c r="AG304" s="1265"/>
      <c r="AI304" s="1253">
        <f>SUM(AI299:AI300)</f>
        <v>-47.85700000000007</v>
      </c>
      <c r="AJ304" s="1287">
        <f>(AI304/AI$16)*100</f>
        <v>-3.1258225719960779</v>
      </c>
      <c r="AK304" s="1287" t="str">
        <f t="shared" si="409"/>
        <v>-</v>
      </c>
      <c r="AL304" s="1287"/>
      <c r="AM304" s="1253">
        <f>SUM(AM299:AM300)</f>
        <v>-2.746999999999943</v>
      </c>
      <c r="AN304" s="1287">
        <f>(AM304/AM$16)*100</f>
        <v>-0.1692098448468268</v>
      </c>
      <c r="AO304" s="1287">
        <f t="shared" si="410"/>
        <v>-94.259982865620614</v>
      </c>
      <c r="AQ304" s="1253">
        <f>SUM(AQ299:AQ300)</f>
        <v>-24.968999999999994</v>
      </c>
      <c r="AR304" s="1287">
        <f>(AQ304/AQ$16)*100</f>
        <v>-1.4496380114141065</v>
      </c>
      <c r="AS304" s="1287">
        <f t="shared" si="411"/>
        <v>808.95522388061568</v>
      </c>
      <c r="AT304" s="1244"/>
      <c r="AU304" s="1253">
        <f>SUM(AU299:AU300)</f>
        <v>3.5765801300000533</v>
      </c>
      <c r="AV304" s="1287">
        <f>(AU304/AU$16)*100</f>
        <v>0.19368430060384484</v>
      </c>
      <c r="AW304" s="1287">
        <f t="shared" si="412"/>
        <v>-114.32408238215407</v>
      </c>
      <c r="AX304" s="1244"/>
      <c r="AY304" s="1253">
        <f>SUM(AY299:AY300)</f>
        <v>19.745999999999857</v>
      </c>
      <c r="AZ304" s="1287">
        <f>(AY304/AY$16)*100</f>
        <v>0.97332116147883385</v>
      </c>
      <c r="BA304" s="1287">
        <f t="shared" si="413"/>
        <v>452.09164291810691</v>
      </c>
      <c r="BB304" s="1244"/>
      <c r="BC304" s="1253">
        <f>SUM(BC299:BC300)</f>
        <v>60.894999999999825</v>
      </c>
      <c r="BD304" s="1287">
        <f>(BC304/BC$16)*100</f>
        <v>2.8038308354628465</v>
      </c>
      <c r="BE304" s="1287">
        <f t="shared" si="414"/>
        <v>208.3915729768068</v>
      </c>
      <c r="BF304" s="1244"/>
      <c r="BG304" s="1253">
        <f>SUM(BG299:BG300)</f>
        <v>89.328000000000173</v>
      </c>
      <c r="BH304" s="1287">
        <f>(BG304/BG$16)*100</f>
        <v>3.8383054531110896</v>
      </c>
      <c r="BI304" s="1287">
        <f t="shared" si="415"/>
        <v>46.691846621233978</v>
      </c>
      <c r="BJ304" s="1282"/>
      <c r="BK304" s="1253">
        <f>SUM(BK299:BK300)</f>
        <v>122.86400000000022</v>
      </c>
      <c r="BL304" s="1287">
        <f>(BK304/BK$16)*100</f>
        <v>4.8415055543887267</v>
      </c>
      <c r="BM304" s="1287">
        <f t="shared" si="416"/>
        <v>37.542539853125547</v>
      </c>
      <c r="BN304" s="1282"/>
      <c r="BO304" s="1253">
        <f>SUM(BO299:BO300)</f>
        <v>166.40600000000001</v>
      </c>
      <c r="BP304" s="1287">
        <f>(BO304/BO$16)*100</f>
        <v>6.1409639932540401</v>
      </c>
      <c r="BQ304" s="1287">
        <f t="shared" si="417"/>
        <v>35.439184789685932</v>
      </c>
      <c r="BR304" s="1282"/>
      <c r="BS304" s="1253">
        <f>SUM(BS299:BS300)</f>
        <v>195.61566917083451</v>
      </c>
      <c r="BT304" s="1287">
        <f>(BS304/BS$16)*100</f>
        <v>6.5532511219389162</v>
      </c>
      <c r="BU304" s="1287">
        <f t="shared" si="418"/>
        <v>17.553254792996942</v>
      </c>
    </row>
    <row r="305" spans="1:73" outlineLevel="1">
      <c r="A305" s="1254" t="s">
        <v>88</v>
      </c>
      <c r="C305" s="1252"/>
      <c r="D305" s="1264"/>
      <c r="E305" s="1256"/>
      <c r="G305" s="1252"/>
      <c r="H305" s="1264"/>
      <c r="I305" s="1265"/>
      <c r="K305" s="1252"/>
      <c r="L305" s="1264"/>
      <c r="M305" s="1265"/>
      <c r="O305" s="1252"/>
      <c r="P305" s="1264"/>
      <c r="Q305" s="1265"/>
      <c r="S305" s="1252"/>
      <c r="T305" s="1264"/>
      <c r="U305" s="1265"/>
      <c r="W305" s="1252"/>
      <c r="X305" s="1264"/>
      <c r="Y305" s="1265"/>
      <c r="AA305" s="1252"/>
      <c r="AB305" s="1264"/>
      <c r="AC305" s="1265"/>
      <c r="AD305" s="1252"/>
      <c r="AE305" s="1252"/>
      <c r="AF305" s="1264"/>
      <c r="AG305" s="1265"/>
      <c r="AI305" s="1253">
        <f>SUM(AI299:AI301)</f>
        <v>-13.808000000000206</v>
      </c>
      <c r="AJ305" s="1287">
        <f>(AI305/AI$17)*100</f>
        <v>-0.5745206260311021</v>
      </c>
      <c r="AK305" s="1287" t="str">
        <f t="shared" si="409"/>
        <v>-</v>
      </c>
      <c r="AL305" s="1287"/>
      <c r="AM305" s="1253">
        <f>SUM(AM299:AM301)</f>
        <v>16.747999999999937</v>
      </c>
      <c r="AN305" s="1287">
        <f>(AM305/AM$17)*100</f>
        <v>0.67488336219895351</v>
      </c>
      <c r="AO305" s="1287">
        <f t="shared" si="410"/>
        <v>-221.29200463499194</v>
      </c>
      <c r="AQ305" s="1253">
        <f>SUM(AQ299:AQ301)</f>
        <v>-13.829000000000013</v>
      </c>
      <c r="AR305" s="1287">
        <f>(AQ305/AQ$17)*100</f>
        <v>-0.52760432384505296</v>
      </c>
      <c r="AS305" s="1287">
        <f t="shared" si="411"/>
        <v>-182.57105326009113</v>
      </c>
      <c r="AT305" s="1244"/>
      <c r="AU305" s="1253">
        <f>SUM(AU299:AU301)</f>
        <v>9.346580130000028</v>
      </c>
      <c r="AV305" s="1287">
        <f>(AU305/AU$17)*100</f>
        <v>0.33208705100619401</v>
      </c>
      <c r="AW305" s="1287">
        <f t="shared" si="412"/>
        <v>-167.58681126617989</v>
      </c>
      <c r="AX305" s="1244"/>
      <c r="AY305" s="1253">
        <f>SUM(AY299:AY301)</f>
        <v>27.929999999999865</v>
      </c>
      <c r="AZ305" s="1287">
        <f>(AY305/AY$17)*100</f>
        <v>0.90294081324804165</v>
      </c>
      <c r="BA305" s="1287">
        <f t="shared" si="413"/>
        <v>198.82587654014773</v>
      </c>
      <c r="BB305" s="1244"/>
      <c r="BC305" s="1253">
        <f>SUM(BC299:BC301)</f>
        <v>19.29599999999968</v>
      </c>
      <c r="BD305" s="1287">
        <f>(BC305/BC$17)*100</f>
        <v>0.57960880010524274</v>
      </c>
      <c r="BE305" s="1287">
        <f t="shared" si="414"/>
        <v>-30.912996777659242</v>
      </c>
      <c r="BF305" s="1244"/>
      <c r="BG305" s="1253">
        <f>SUM(BG299:BG301)</f>
        <v>128.37800000000021</v>
      </c>
      <c r="BH305" s="1287">
        <f>(BG305/BG$17)*100</f>
        <v>3.6079853564887334</v>
      </c>
      <c r="BI305" s="1287">
        <f t="shared" si="415"/>
        <v>565.30887230515305</v>
      </c>
      <c r="BJ305" s="1282"/>
      <c r="BK305" s="1253">
        <f>SUM(BK299:BK301)</f>
        <v>185.87600000000018</v>
      </c>
      <c r="BL305" s="1287">
        <f>(BK305/BK$17)*100</f>
        <v>4.7902197832500075</v>
      </c>
      <c r="BM305" s="1287">
        <f t="shared" si="416"/>
        <v>44.788047796351307</v>
      </c>
      <c r="BN305" s="1282"/>
      <c r="BO305" s="1253">
        <f>SUM(BO299:BO301)</f>
        <v>249.55599999999995</v>
      </c>
      <c r="BP305" s="1287">
        <f>(BO305/BO$17)*100</f>
        <v>6.0163883877696298</v>
      </c>
      <c r="BQ305" s="1287">
        <f t="shared" si="417"/>
        <v>34.2593987389441</v>
      </c>
      <c r="BR305" s="1282"/>
      <c r="BS305" s="1253">
        <f>SUM(BS299:BS301)</f>
        <v>295.63878795272899</v>
      </c>
      <c r="BT305" s="1287">
        <f>(BS305/BS$17)*100</f>
        <v>6.4729875246304633</v>
      </c>
      <c r="BU305" s="1287">
        <f t="shared" si="418"/>
        <v>18.465910638385385</v>
      </c>
    </row>
    <row r="306" spans="1:73" outlineLevel="1">
      <c r="A306" s="1254"/>
      <c r="C306" s="1252"/>
      <c r="D306" s="1264"/>
      <c r="E306" s="1256"/>
      <c r="G306" s="1252"/>
      <c r="H306" s="1264"/>
      <c r="I306" s="1265"/>
      <c r="K306" s="1252"/>
      <c r="L306" s="1264"/>
      <c r="M306" s="1265"/>
      <c r="O306" s="1252"/>
      <c r="P306" s="1264"/>
      <c r="Q306" s="1265"/>
      <c r="S306" s="1252"/>
      <c r="T306" s="1264"/>
      <c r="U306" s="1265"/>
      <c r="W306" s="1252"/>
      <c r="X306" s="1264"/>
      <c r="Y306" s="1265"/>
      <c r="AA306" s="1252"/>
      <c r="AB306" s="1264"/>
      <c r="AC306" s="1265"/>
      <c r="AD306" s="1252"/>
      <c r="AE306" s="1252"/>
      <c r="AF306" s="1264"/>
      <c r="AG306" s="1265"/>
      <c r="AI306" s="1253"/>
      <c r="AJ306" s="1287"/>
      <c r="AK306" s="1287"/>
      <c r="AL306" s="1287"/>
      <c r="AM306" s="1253"/>
      <c r="AN306" s="1287"/>
      <c r="AO306" s="1287"/>
      <c r="AQ306" s="1253"/>
      <c r="AR306" s="1287"/>
      <c r="AS306" s="1287"/>
      <c r="AT306" s="1244"/>
      <c r="AU306" s="1253"/>
      <c r="AV306" s="1287"/>
      <c r="AW306" s="1287"/>
      <c r="AX306" s="1244"/>
      <c r="AY306" s="1253"/>
      <c r="AZ306" s="1287"/>
      <c r="BA306" s="1287"/>
      <c r="BB306" s="1244"/>
      <c r="BC306" s="1253"/>
      <c r="BD306" s="1287"/>
      <c r="BE306" s="1287"/>
      <c r="BF306" s="1244"/>
      <c r="BG306" s="1253"/>
      <c r="BH306" s="1287"/>
      <c r="BI306" s="1287"/>
      <c r="BJ306" s="1282"/>
      <c r="BK306" s="1253"/>
      <c r="BL306" s="1287"/>
      <c r="BM306" s="1287"/>
      <c r="BN306" s="1282"/>
      <c r="BO306" s="1253"/>
      <c r="BP306" s="1287"/>
      <c r="BQ306" s="1287"/>
      <c r="BR306" s="1282"/>
      <c r="BS306" s="1253"/>
      <c r="BT306" s="1287"/>
      <c r="BU306" s="1287"/>
    </row>
    <row r="307" spans="1:73" s="1282" customFormat="1">
      <c r="A307" s="1251" t="s">
        <v>913</v>
      </c>
      <c r="B307" s="1281"/>
      <c r="C307" s="1281"/>
      <c r="D307" s="1281"/>
      <c r="E307" s="1281"/>
      <c r="F307" s="1281"/>
      <c r="G307" s="1281"/>
      <c r="H307" s="1281"/>
      <c r="I307" s="1281"/>
      <c r="J307" s="1281"/>
      <c r="K307" s="1281"/>
      <c r="L307" s="1281"/>
      <c r="M307" s="1281"/>
      <c r="N307" s="1281"/>
      <c r="O307" s="1281"/>
      <c r="P307" s="1281"/>
      <c r="Q307" s="1281"/>
      <c r="R307" s="1281"/>
      <c r="S307" s="1281"/>
      <c r="T307" s="1281"/>
      <c r="U307" s="1281"/>
      <c r="V307" s="1281"/>
      <c r="W307" s="1281"/>
      <c r="X307" s="1281"/>
      <c r="Y307" s="1281"/>
      <c r="Z307" s="1281"/>
      <c r="AA307" s="1281"/>
      <c r="AB307" s="1281"/>
      <c r="AC307" s="1281"/>
      <c r="AD307" s="1281"/>
      <c r="AE307" s="1281"/>
      <c r="AF307" s="1281"/>
      <c r="AG307" s="1281"/>
      <c r="AH307" s="1281"/>
      <c r="AI307" s="1281"/>
      <c r="AJ307" s="1281"/>
      <c r="AK307" s="1281"/>
      <c r="AL307" s="1281"/>
      <c r="AM307" s="1281"/>
      <c r="AN307" s="1281"/>
      <c r="AO307" s="1281"/>
      <c r="AP307" s="1281"/>
      <c r="AQ307" s="1281"/>
      <c r="AR307" s="1281"/>
      <c r="AS307" s="1281"/>
      <c r="AT307" s="1281"/>
      <c r="AU307" s="1281"/>
      <c r="AV307" s="1281"/>
      <c r="AW307" s="1281"/>
      <c r="AX307" s="1281"/>
      <c r="AY307" s="1281"/>
      <c r="AZ307" s="1281"/>
      <c r="BA307" s="1281"/>
      <c r="BC307" s="1318"/>
      <c r="BD307" s="1281"/>
      <c r="BE307" s="1319"/>
      <c r="BG307" s="2264" t="str">
        <f>A307</f>
        <v>Interest Income (% Sales)</v>
      </c>
      <c r="BH307" s="2264"/>
      <c r="BI307" s="2264"/>
      <c r="BJ307" s="2264"/>
      <c r="BK307" s="2266"/>
      <c r="BL307" s="2264"/>
      <c r="BM307" s="2264"/>
      <c r="BN307" s="1663"/>
      <c r="BO307" s="1663"/>
      <c r="BP307" s="1663"/>
      <c r="BQ307" s="1663"/>
      <c r="BR307" s="2149"/>
      <c r="BS307" s="2149"/>
      <c r="BT307" s="2149"/>
      <c r="BU307" s="2149"/>
    </row>
    <row r="308" spans="1:73">
      <c r="AT308" s="1244"/>
      <c r="AU308" s="1293"/>
      <c r="AX308" s="1244"/>
      <c r="AY308" s="1245"/>
      <c r="BB308" s="1244"/>
      <c r="BC308" s="1245"/>
      <c r="BF308" s="1244"/>
      <c r="BG308" s="1245"/>
      <c r="BK308" s="1245"/>
      <c r="BO308" s="1245"/>
      <c r="BS308" s="1245"/>
    </row>
    <row r="309" spans="1:73" s="1282" customFormat="1">
      <c r="A309" s="1254" t="s">
        <v>79</v>
      </c>
      <c r="B309" s="1244"/>
      <c r="C309" s="1255"/>
      <c r="D309" s="1264"/>
      <c r="E309" s="1256"/>
      <c r="F309" s="1244"/>
      <c r="G309" s="1255"/>
      <c r="H309" s="1264"/>
      <c r="I309" s="1265"/>
      <c r="J309" s="1244"/>
      <c r="K309" s="1255"/>
      <c r="L309" s="1264"/>
      <c r="M309" s="1265"/>
      <c r="N309" s="1244"/>
      <c r="O309" s="1255"/>
      <c r="P309" s="1264"/>
      <c r="Q309" s="1265"/>
      <c r="R309" s="1244"/>
      <c r="S309" s="1255"/>
      <c r="T309" s="1264"/>
      <c r="U309" s="1265"/>
      <c r="V309" s="1244"/>
      <c r="W309" s="1255"/>
      <c r="X309" s="1264"/>
      <c r="Y309" s="1265"/>
      <c r="Z309" s="1244"/>
      <c r="AA309" s="1255"/>
      <c r="AB309" s="1264"/>
      <c r="AC309" s="1265"/>
      <c r="AD309" s="1244"/>
      <c r="AE309" s="1255"/>
      <c r="AF309" s="1264"/>
      <c r="AG309" s="1265"/>
      <c r="AH309" s="1244"/>
      <c r="AI309" s="1257">
        <v>-8.4000000000000005E-2</v>
      </c>
      <c r="AJ309" s="1287">
        <f>(AI309/AI$11)*100</f>
        <v>-1.0119957640748732E-2</v>
      </c>
      <c r="AK309" s="1287" t="str">
        <f t="shared" ref="AK309:AK315" si="419">IFERROR(((AI309/AE309-1)*100),"-")</f>
        <v>-</v>
      </c>
      <c r="AL309" s="1244"/>
      <c r="AM309" s="1257">
        <v>-8.5000000000000006E-2</v>
      </c>
      <c r="AN309" s="1287">
        <f>(AM309/AM$11)*100</f>
        <v>-9.5006248057960523E-3</v>
      </c>
      <c r="AO309" s="1287">
        <f t="shared" ref="AO309:AO315" si="420">IFERROR(((AM309/AI309-1)*100),"-")</f>
        <v>1.1904761904761862</v>
      </c>
      <c r="AP309" s="1244"/>
      <c r="AQ309" s="1257">
        <v>0</v>
      </c>
      <c r="AR309" s="1287">
        <f>(AQ309/AQ$11)*100</f>
        <v>0</v>
      </c>
      <c r="AS309" s="1287">
        <f t="shared" ref="AS309:AS315" si="421">IFERROR(((AQ309/AM309-1)*100),"-")</f>
        <v>-100</v>
      </c>
      <c r="AT309" s="1244"/>
      <c r="AU309" s="1296">
        <v>-2.1999999999999999E-2</v>
      </c>
      <c r="AV309" s="1287">
        <f>(AU309/AU$11)*100</f>
        <v>-2.2393640092763381E-3</v>
      </c>
      <c r="AW309" s="1287" t="str">
        <f t="shared" ref="AW309:AW315" si="422">IFERROR(((AU309/AQ309-1)*100),"-")</f>
        <v>-</v>
      </c>
      <c r="AX309" s="1244"/>
      <c r="AY309" s="1267">
        <v>-7.5999999999999998E-2</v>
      </c>
      <c r="AZ309" s="1287">
        <f>(AY309/AY$11)*100</f>
        <v>-7.1360631278679226E-3</v>
      </c>
      <c r="BA309" s="1287">
        <f t="shared" ref="BA309:BA315" si="423">IFERROR(((AY309/AU309-1)*100),"-")</f>
        <v>245.45454545454547</v>
      </c>
      <c r="BB309" s="1252"/>
      <c r="BC309" s="1257">
        <v>-1.2E-2</v>
      </c>
      <c r="BD309" s="1287">
        <f>(BC309/BC$11)*100</f>
        <v>-1.0635761507229217E-3</v>
      </c>
      <c r="BE309" s="1287">
        <f t="shared" ref="BE309:BE315" si="424">IFERROR(((BC309/AY309-1)*100),"-")</f>
        <v>-84.210526315789465</v>
      </c>
      <c r="BF309" s="1252"/>
      <c r="BG309" s="1257">
        <v>-1.4999999999999999E-2</v>
      </c>
      <c r="BH309" s="1287">
        <f>(BG309/BG$11)*100</f>
        <v>-1.2678995722106843E-3</v>
      </c>
      <c r="BI309" s="1287">
        <f t="shared" ref="BI309:BI315" si="425">IFERROR(((BG309/BC309-1)*100),"-")</f>
        <v>25</v>
      </c>
      <c r="BJ309" s="1244"/>
      <c r="BK309" s="1257">
        <v>-1.4E-2</v>
      </c>
      <c r="BL309" s="1287">
        <f>(BK309/BK$11)*100</f>
        <v>-1.0914732550071336E-3</v>
      </c>
      <c r="BM309" s="1287">
        <f t="shared" ref="BM309:BM315" si="426">IFERROR(((BK309/BG309-1)*100),"-")</f>
        <v>-6.6666666666666652</v>
      </c>
      <c r="BN309" s="1244"/>
      <c r="BO309" s="1257">
        <v>-1.4E-2</v>
      </c>
      <c r="BP309" s="1287">
        <f>(BO309/BO$11)*100</f>
        <v>-1.0396971213757272E-3</v>
      </c>
      <c r="BQ309" s="1287">
        <f t="shared" ref="BQ309:BQ315" si="427">IFERROR(((BO309/BK309-1)*100),"-")</f>
        <v>0</v>
      </c>
      <c r="BR309" s="1244"/>
      <c r="BS309" s="1257">
        <f>BO309</f>
        <v>-1.4E-2</v>
      </c>
      <c r="BT309" s="1287">
        <f>(BS309/BS$11)*100</f>
        <v>-9.4212242204232057E-4</v>
      </c>
      <c r="BU309" s="1287">
        <f t="shared" ref="BU309:BU315" si="428">IFERROR(((BS309/BO309-1)*100),"-")</f>
        <v>0</v>
      </c>
    </row>
    <row r="310" spans="1:73">
      <c r="A310" s="1254" t="s">
        <v>80</v>
      </c>
      <c r="C310" s="1259"/>
      <c r="D310" s="1264"/>
      <c r="E310" s="1256"/>
      <c r="G310" s="1259"/>
      <c r="H310" s="1264"/>
      <c r="I310" s="1265"/>
      <c r="K310" s="1259"/>
      <c r="L310" s="1264"/>
      <c r="M310" s="1265"/>
      <c r="O310" s="1259"/>
      <c r="P310" s="1264"/>
      <c r="Q310" s="1265"/>
      <c r="S310" s="1259"/>
      <c r="T310" s="1264"/>
      <c r="U310" s="1265"/>
      <c r="W310" s="1259"/>
      <c r="X310" s="1264"/>
      <c r="Y310" s="1265"/>
      <c r="AA310" s="1259"/>
      <c r="AB310" s="1264"/>
      <c r="AC310" s="1265"/>
      <c r="AE310" s="1259"/>
      <c r="AF310" s="1264"/>
      <c r="AG310" s="1265"/>
      <c r="AI310" s="1260">
        <v>-5.5E-2</v>
      </c>
      <c r="AJ310" s="1287">
        <f>(AI310/AI$12)*100</f>
        <v>-7.8461806219310738E-3</v>
      </c>
      <c r="AK310" s="1287" t="str">
        <f t="shared" si="419"/>
        <v>-</v>
      </c>
      <c r="AL310" s="1269"/>
      <c r="AM310" s="1260">
        <v>-0.108</v>
      </c>
      <c r="AN310" s="1287">
        <f>(AM310/AM$12)*100</f>
        <v>-1.4819897084048027E-2</v>
      </c>
      <c r="AO310" s="1287">
        <f t="shared" si="420"/>
        <v>96.36363636363636</v>
      </c>
      <c r="AP310" s="1269"/>
      <c r="AQ310" s="1260">
        <v>-3.6999999999999998E-2</v>
      </c>
      <c r="AR310" s="1287">
        <f>(AQ310/AQ$12)*100</f>
        <v>-4.6637734464907632E-3</v>
      </c>
      <c r="AS310" s="1287">
        <f t="shared" si="421"/>
        <v>-65.740740740740748</v>
      </c>
      <c r="AT310" s="1244"/>
      <c r="AU310" s="1297">
        <v>-2.5000000000000001E-2</v>
      </c>
      <c r="AV310" s="1287">
        <f>(AU310/AU$12)*100</f>
        <v>-2.8929117370786661E-3</v>
      </c>
      <c r="AW310" s="1287">
        <f t="shared" si="422"/>
        <v>-32.432432432432421</v>
      </c>
      <c r="AX310" s="1244"/>
      <c r="AY310" s="1279">
        <v>-0.09</v>
      </c>
      <c r="AZ310" s="1287">
        <f>(AY310/AY$12)*100</f>
        <v>-9.3388993173264597E-3</v>
      </c>
      <c r="BA310" s="1287">
        <f t="shared" si="423"/>
        <v>259.99999999999994</v>
      </c>
      <c r="BB310" s="1252"/>
      <c r="BC310" s="1279">
        <v>-1.2E-2</v>
      </c>
      <c r="BD310" s="1287">
        <f>(BC310/BC$12)*100</f>
        <v>-1.1498867840637193E-3</v>
      </c>
      <c r="BE310" s="1287">
        <f t="shared" si="424"/>
        <v>-86.666666666666671</v>
      </c>
      <c r="BF310" s="1252"/>
      <c r="BG310" s="1279">
        <v>-4.8000000000000001E-2</v>
      </c>
      <c r="BH310" s="1287">
        <f>(BG310/BG$12)*100</f>
        <v>-4.1950047980367378E-3</v>
      </c>
      <c r="BI310" s="1287">
        <f t="shared" si="425"/>
        <v>300</v>
      </c>
      <c r="BK310" s="1279">
        <v>-1.4E-2</v>
      </c>
      <c r="BL310" s="1287">
        <f>(BK310/BK$12)*100</f>
        <v>-1.1154907402316874E-3</v>
      </c>
      <c r="BM310" s="1287">
        <f t="shared" si="426"/>
        <v>-70.833333333333329</v>
      </c>
      <c r="BO310" s="1279">
        <v>-3.5000000000000003E-2</v>
      </c>
      <c r="BP310" s="1287">
        <f>(BO310/BO$12)*100</f>
        <v>-2.5674430614484492E-3</v>
      </c>
      <c r="BQ310" s="1287">
        <f t="shared" si="427"/>
        <v>150</v>
      </c>
      <c r="BS310" s="1279">
        <f>BO310</f>
        <v>-3.5000000000000003E-2</v>
      </c>
      <c r="BT310" s="1287">
        <f>(BS310/BS$12)*100</f>
        <v>-2.3348732836239341E-3</v>
      </c>
      <c r="BU310" s="1287">
        <f t="shared" si="428"/>
        <v>0</v>
      </c>
    </row>
    <row r="311" spans="1:73">
      <c r="A311" s="1254" t="s">
        <v>81</v>
      </c>
      <c r="C311" s="1259"/>
      <c r="D311" s="1264"/>
      <c r="E311" s="1256"/>
      <c r="G311" s="1259"/>
      <c r="H311" s="1264"/>
      <c r="I311" s="1265"/>
      <c r="K311" s="1259"/>
      <c r="L311" s="1264"/>
      <c r="M311" s="1265"/>
      <c r="O311" s="1259"/>
      <c r="P311" s="1264"/>
      <c r="Q311" s="1265"/>
      <c r="S311" s="1259"/>
      <c r="T311" s="1264"/>
      <c r="U311" s="1265"/>
      <c r="W311" s="1259"/>
      <c r="X311" s="1264"/>
      <c r="Y311" s="1265"/>
      <c r="AA311" s="1259"/>
      <c r="AB311" s="1264"/>
      <c r="AC311" s="1265"/>
      <c r="AE311" s="1259"/>
      <c r="AF311" s="1264"/>
      <c r="AG311" s="1265"/>
      <c r="AI311" s="1260">
        <v>-6.3E-2</v>
      </c>
      <c r="AJ311" s="1287">
        <f>(AI311/AI$13)*100</f>
        <v>-7.2216732731603655E-3</v>
      </c>
      <c r="AK311" s="1287" t="str">
        <f t="shared" si="419"/>
        <v>-</v>
      </c>
      <c r="AL311" s="1269"/>
      <c r="AM311" s="1260">
        <v>-0.105</v>
      </c>
      <c r="AN311" s="1287">
        <f>(AM311/AM$13)*100</f>
        <v>-1.2235109871286644E-2</v>
      </c>
      <c r="AO311" s="1287">
        <f t="shared" si="420"/>
        <v>66.666666666666657</v>
      </c>
      <c r="AP311" s="1269"/>
      <c r="AQ311" s="1260">
        <v>-3.6999999999999998E-2</v>
      </c>
      <c r="AR311" s="1287">
        <f>(AQ311/AQ$13)*100</f>
        <v>-4.1172274812693969E-3</v>
      </c>
      <c r="AS311" s="1287">
        <f t="shared" si="421"/>
        <v>-64.761904761904759</v>
      </c>
      <c r="AT311" s="1244"/>
      <c r="AU311" s="1297">
        <v>-8.4000000000000005E-2</v>
      </c>
      <c r="AV311" s="1287">
        <f>(AU311/AU$13)*100</f>
        <v>-8.6786362969498727E-3</v>
      </c>
      <c r="AW311" s="1287">
        <f t="shared" si="422"/>
        <v>127.02702702702706</v>
      </c>
      <c r="AX311" s="1244"/>
      <c r="AY311" s="1279">
        <v>-1.9E-2</v>
      </c>
      <c r="AZ311" s="1287">
        <f>(AY311/AY$13)*100</f>
        <v>-1.7848721749700799E-3</v>
      </c>
      <c r="BA311" s="1287">
        <f t="shared" si="423"/>
        <v>-77.38095238095238</v>
      </c>
      <c r="BB311" s="1252"/>
      <c r="BC311" s="1279">
        <v>-8.0000000000000002E-3</v>
      </c>
      <c r="BD311" s="1287">
        <f>(BC311/BC$13)*100</f>
        <v>-6.9126892780732954E-4</v>
      </c>
      <c r="BE311" s="1287">
        <f t="shared" si="424"/>
        <v>-57.894736842105267</v>
      </c>
      <c r="BF311" s="1252"/>
      <c r="BG311" s="1279">
        <v>-3.1E-2</v>
      </c>
      <c r="BH311" s="1287">
        <f>(BG311/BG$13)*100</f>
        <v>-2.518511056263537E-3</v>
      </c>
      <c r="BI311" s="1287">
        <f t="shared" si="425"/>
        <v>287.5</v>
      </c>
      <c r="BK311" s="1279">
        <v>0</v>
      </c>
      <c r="BL311" s="1287">
        <f>(BK311/BK$13)*100</f>
        <v>0</v>
      </c>
      <c r="BM311" s="1287">
        <f t="shared" si="426"/>
        <v>-100</v>
      </c>
      <c r="BO311" s="1279">
        <v>0</v>
      </c>
      <c r="BP311" s="1287">
        <f>(BO311/BO$13)*100</f>
        <v>0</v>
      </c>
      <c r="BQ311" s="1287" t="str">
        <f t="shared" si="427"/>
        <v>-</v>
      </c>
      <c r="BS311" s="1279">
        <v>0</v>
      </c>
      <c r="BT311" s="1287">
        <f>(BS311/BS$13)*100</f>
        <v>0</v>
      </c>
      <c r="BU311" s="1287" t="str">
        <f t="shared" si="428"/>
        <v>-</v>
      </c>
    </row>
    <row r="312" spans="1:73">
      <c r="A312" s="1254" t="s">
        <v>82</v>
      </c>
      <c r="C312" s="1261"/>
      <c r="D312" s="1264"/>
      <c r="E312" s="1256"/>
      <c r="G312" s="1261"/>
      <c r="H312" s="1264"/>
      <c r="I312" s="1265"/>
      <c r="K312" s="1261"/>
      <c r="L312" s="1264"/>
      <c r="M312" s="1265"/>
      <c r="O312" s="1261"/>
      <c r="P312" s="1264"/>
      <c r="Q312" s="1265"/>
      <c r="S312" s="1262"/>
      <c r="T312" s="1264"/>
      <c r="U312" s="1265"/>
      <c r="W312" s="1261"/>
      <c r="X312" s="1264"/>
      <c r="Y312" s="1265"/>
      <c r="AA312" s="1261"/>
      <c r="AB312" s="1264"/>
      <c r="AC312" s="1265"/>
      <c r="AE312" s="1262"/>
      <c r="AF312" s="1264"/>
      <c r="AG312" s="1265"/>
      <c r="AI312" s="1507">
        <f>AI313-SUM(AI309:AI311)</f>
        <v>-0.10099999999999998</v>
      </c>
      <c r="AJ312" s="1287">
        <f>(AI312/AI$14)*100</f>
        <v>-9.0217316543980061E-3</v>
      </c>
      <c r="AK312" s="1287" t="str">
        <f t="shared" si="419"/>
        <v>-</v>
      </c>
      <c r="AL312" s="1269"/>
      <c r="AM312" s="1507">
        <f>AM313-SUM(AM309:AM311)</f>
        <v>-8.6000000000000021E-2</v>
      </c>
      <c r="AN312" s="1287">
        <f>(AM312/AM$14)*100</f>
        <v>-7.2391303615861437E-3</v>
      </c>
      <c r="AO312" s="1287">
        <f t="shared" si="420"/>
        <v>-14.85148514851481</v>
      </c>
      <c r="AP312" s="1269"/>
      <c r="AQ312" s="1507">
        <f>AQ313-SUM(AQ309:AQ311)</f>
        <v>-8.0000000000000071E-3</v>
      </c>
      <c r="AR312" s="1287">
        <f>(AQ312/AQ$14)*100</f>
        <v>-6.4880243236031939E-4</v>
      </c>
      <c r="AS312" s="1287">
        <f t="shared" si="421"/>
        <v>-90.697674418604649</v>
      </c>
      <c r="AT312" s="1244"/>
      <c r="AU312" s="1298">
        <v>-1.0999999999999999E-2</v>
      </c>
      <c r="AV312" s="1287">
        <f>(AU312/AU$14)*100</f>
        <v>-8.7126148539287598E-4</v>
      </c>
      <c r="AW312" s="1287">
        <f t="shared" si="422"/>
        <v>37.499999999999865</v>
      </c>
      <c r="AX312" s="1244"/>
      <c r="AY312" s="1280">
        <v>-3.6999999999999998E-2</v>
      </c>
      <c r="AZ312" s="1287">
        <f>(AY312/AY$14)*100</f>
        <v>-2.7730373827923285E-3</v>
      </c>
      <c r="BA312" s="1287">
        <f t="shared" si="423"/>
        <v>236.36363636363637</v>
      </c>
      <c r="BB312" s="1252"/>
      <c r="BC312" s="1280">
        <v>-7.0000000000000001E-3</v>
      </c>
      <c r="BD312" s="1287">
        <f>(BC312/BC$14)*100</f>
        <v>-4.7126559047558776E-4</v>
      </c>
      <c r="BE312" s="1287">
        <f t="shared" si="424"/>
        <v>-81.081081081081081</v>
      </c>
      <c r="BF312" s="1252"/>
      <c r="BG312" s="1280">
        <v>0</v>
      </c>
      <c r="BH312" s="1287">
        <f>(BG312/BG$14)*100</f>
        <v>0</v>
      </c>
      <c r="BI312" s="1287">
        <f t="shared" si="425"/>
        <v>-100</v>
      </c>
      <c r="BK312" s="1280">
        <v>1.4E-2</v>
      </c>
      <c r="BL312" s="1287">
        <f>(BK312/BK$14)*100</f>
        <v>8.3050812266604983E-4</v>
      </c>
      <c r="BM312" s="1287" t="str">
        <f t="shared" si="426"/>
        <v>-</v>
      </c>
      <c r="BO312" s="1280">
        <v>0</v>
      </c>
      <c r="BP312" s="1287">
        <f>(BO312/BO$14)*100</f>
        <v>0</v>
      </c>
      <c r="BQ312" s="1287">
        <f t="shared" si="427"/>
        <v>-100</v>
      </c>
      <c r="BS312" s="1280">
        <v>0</v>
      </c>
      <c r="BT312" s="1287">
        <f>(BS312/BS$14)*100</f>
        <v>0</v>
      </c>
      <c r="BU312" s="1287" t="str">
        <f t="shared" si="428"/>
        <v>-</v>
      </c>
    </row>
    <row r="313" spans="1:73">
      <c r="A313" s="1254" t="s">
        <v>85</v>
      </c>
      <c r="C313" s="1252"/>
      <c r="D313" s="1264"/>
      <c r="E313" s="1256"/>
      <c r="G313" s="1252"/>
      <c r="H313" s="1264"/>
      <c r="I313" s="1265"/>
      <c r="K313" s="1252"/>
      <c r="L313" s="1264"/>
      <c r="M313" s="1265"/>
      <c r="O313" s="1252"/>
      <c r="P313" s="1264"/>
      <c r="Q313" s="1265"/>
      <c r="S313" s="1252"/>
      <c r="T313" s="1264"/>
      <c r="U313" s="1265"/>
      <c r="W313" s="1252"/>
      <c r="X313" s="1264"/>
      <c r="Y313" s="1265"/>
      <c r="AA313" s="1252"/>
      <c r="AB313" s="1264"/>
      <c r="AC313" s="1265"/>
      <c r="AD313" s="1252"/>
      <c r="AE313" s="1252"/>
      <c r="AF313" s="1264"/>
      <c r="AG313" s="1265"/>
      <c r="AI313" s="1255">
        <v>-0.30299999999999999</v>
      </c>
      <c r="AJ313" s="1287">
        <f>(AI313/AI$15)*100</f>
        <v>-8.6008344228669792E-3</v>
      </c>
      <c r="AK313" s="1287" t="str">
        <f t="shared" si="419"/>
        <v>-</v>
      </c>
      <c r="AM313" s="1255">
        <v>-0.38400000000000001</v>
      </c>
      <c r="AN313" s="1287">
        <f>(AM313/AM$15)*100</f>
        <v>-1.0464350084832088E-2</v>
      </c>
      <c r="AO313" s="1287">
        <f t="shared" si="420"/>
        <v>26.732673267326735</v>
      </c>
      <c r="AQ313" s="1255">
        <v>-8.2000000000000003E-2</v>
      </c>
      <c r="AR313" s="1287">
        <f>(AQ313/AQ$15)*100</f>
        <v>-2.1275856002930882E-3</v>
      </c>
      <c r="AS313" s="1287">
        <f t="shared" si="421"/>
        <v>-78.645833333333343</v>
      </c>
      <c r="AT313" s="1244"/>
      <c r="AU313" s="1253">
        <f>SUM(AU309:AU312)</f>
        <v>-0.14200000000000002</v>
      </c>
      <c r="AV313" s="1287">
        <f>(AU313/AU$15)*100</f>
        <v>-3.4829239599611338E-3</v>
      </c>
      <c r="AW313" s="1287">
        <f t="shared" si="422"/>
        <v>73.170731707317088</v>
      </c>
      <c r="AX313" s="1244"/>
      <c r="AY313" s="1253">
        <f>SUM(AY309:AY312)</f>
        <v>-0.22199999999999998</v>
      </c>
      <c r="AZ313" s="1287">
        <f>(AY313/AY$15)*100</f>
        <v>-5.0141129209850342E-3</v>
      </c>
      <c r="BA313" s="1287">
        <f t="shared" si="423"/>
        <v>56.338028169014052</v>
      </c>
      <c r="BB313" s="1244"/>
      <c r="BC313" s="1253">
        <f>SUM(BC309:BC312)</f>
        <v>-3.9E-2</v>
      </c>
      <c r="BD313" s="1287">
        <f>(BC313/BC$15)*100</f>
        <v>-8.1005229199103369E-4</v>
      </c>
      <c r="BE313" s="1287">
        <f t="shared" si="424"/>
        <v>-82.432432432432435</v>
      </c>
      <c r="BF313" s="1244"/>
      <c r="BG313" s="1253">
        <f>SUM(BG309:BG312)</f>
        <v>-9.4E-2</v>
      </c>
      <c r="BH313" s="1287">
        <f>(BG313/BG$15)*100</f>
        <v>-1.8435233103716623E-3</v>
      </c>
      <c r="BI313" s="1287">
        <f t="shared" si="425"/>
        <v>141.02564102564102</v>
      </c>
      <c r="BK313" s="1253">
        <f>SUM(BK309:BK312)</f>
        <v>-1.4E-2</v>
      </c>
      <c r="BL313" s="1287">
        <f>(BK313/BK$15)*100</f>
        <v>-2.5152541179201439E-4</v>
      </c>
      <c r="BM313" s="1287">
        <f t="shared" si="426"/>
        <v>-85.106382978723403</v>
      </c>
      <c r="BO313" s="1253">
        <f>SUM(BO309:BO312)</f>
        <v>-4.9000000000000002E-2</v>
      </c>
      <c r="BP313" s="1287">
        <f>(BO313/BO$15)*100</f>
        <v>-8.0528980079102479E-4</v>
      </c>
      <c r="BQ313" s="1287">
        <f t="shared" si="427"/>
        <v>250</v>
      </c>
      <c r="BS313" s="1253">
        <f>SUM(BS309:BS312)</f>
        <v>-4.9000000000000002E-2</v>
      </c>
      <c r="BT313" s="1287">
        <f>(BS313/BS$15)*100</f>
        <v>-7.4384631954894725E-4</v>
      </c>
      <c r="BU313" s="1287">
        <f t="shared" si="428"/>
        <v>0</v>
      </c>
    </row>
    <row r="314" spans="1:73">
      <c r="A314" s="1254" t="s">
        <v>87</v>
      </c>
      <c r="C314" s="1252"/>
      <c r="D314" s="1264"/>
      <c r="E314" s="1256"/>
      <c r="G314" s="1252"/>
      <c r="H314" s="1264"/>
      <c r="I314" s="1265"/>
      <c r="K314" s="1252"/>
      <c r="L314" s="1264"/>
      <c r="M314" s="1265"/>
      <c r="O314" s="1252"/>
      <c r="P314" s="1264"/>
      <c r="Q314" s="1265"/>
      <c r="S314" s="1252"/>
      <c r="T314" s="1264"/>
      <c r="U314" s="1265"/>
      <c r="W314" s="1252"/>
      <c r="X314" s="1264"/>
      <c r="Y314" s="1265"/>
      <c r="AA314" s="1252"/>
      <c r="AB314" s="1264"/>
      <c r="AC314" s="1265"/>
      <c r="AD314" s="1252"/>
      <c r="AE314" s="1252"/>
      <c r="AF314" s="1264"/>
      <c r="AG314" s="1265"/>
      <c r="AI314" s="1253">
        <f>SUM(AI309:AI310)</f>
        <v>-0.13900000000000001</v>
      </c>
      <c r="AJ314" s="1287">
        <f>(AI314/AI$16)*100</f>
        <v>-9.078908780480479E-3</v>
      </c>
      <c r="AK314" s="1287" t="str">
        <f t="shared" si="419"/>
        <v>-</v>
      </c>
      <c r="AM314" s="1253">
        <f>SUM(AM309:AM310)</f>
        <v>-0.193</v>
      </c>
      <c r="AN314" s="1287">
        <f>(AM314/AM$16)*100</f>
        <v>-1.1888423755164997E-2</v>
      </c>
      <c r="AO314" s="1287">
        <f t="shared" si="420"/>
        <v>38.848920863309331</v>
      </c>
      <c r="AQ314" s="1253">
        <f>SUM(AQ309:AQ310)</f>
        <v>-3.6999999999999998E-2</v>
      </c>
      <c r="AR314" s="1287">
        <f>(AQ314/AQ$16)*100</f>
        <v>-2.148127935532939E-3</v>
      </c>
      <c r="AS314" s="1287">
        <f t="shared" si="421"/>
        <v>-80.829015544041454</v>
      </c>
      <c r="AT314" s="1244"/>
      <c r="AU314" s="1253">
        <f>SUM(AU309:AU310)</f>
        <v>-4.7E-2</v>
      </c>
      <c r="AV314" s="1287">
        <f>(AU314/AU$16)*100</f>
        <v>-2.545214086502396E-3</v>
      </c>
      <c r="AW314" s="1287">
        <f t="shared" si="422"/>
        <v>27.027027027027039</v>
      </c>
      <c r="AX314" s="1244"/>
      <c r="AY314" s="1253">
        <f>SUM(AY309:AY310)</f>
        <v>-0.16599999999999998</v>
      </c>
      <c r="AZ314" s="1287">
        <f>(AY314/AY$16)*100</f>
        <v>-8.1824831766174194E-3</v>
      </c>
      <c r="BA314" s="1287">
        <f t="shared" si="423"/>
        <v>253.19148936170208</v>
      </c>
      <c r="BB314" s="1244"/>
      <c r="BC314" s="1253">
        <f>SUM(BC309:BC310)</f>
        <v>-2.4E-2</v>
      </c>
      <c r="BD314" s="1287">
        <f>(BC314/BC$16)*100</f>
        <v>-1.1050486912079563E-3</v>
      </c>
      <c r="BE314" s="1287">
        <f t="shared" si="424"/>
        <v>-85.542168674698786</v>
      </c>
      <c r="BF314" s="1244"/>
      <c r="BG314" s="1253">
        <f>SUM(BG309:BG310)</f>
        <v>-6.3E-2</v>
      </c>
      <c r="BH314" s="1287">
        <f>(BG314/BG$16)*100</f>
        <v>-2.7070262800689389E-3</v>
      </c>
      <c r="BI314" s="1287">
        <f t="shared" si="425"/>
        <v>162.5</v>
      </c>
      <c r="BK314" s="1253">
        <f>SUM(BK309:BK310)</f>
        <v>-2.8000000000000001E-2</v>
      </c>
      <c r="BL314" s="1287">
        <f>(BK314/BK$16)*100</f>
        <v>-1.1033513113921417E-3</v>
      </c>
      <c r="BM314" s="1287">
        <f t="shared" si="426"/>
        <v>-55.555555555555557</v>
      </c>
      <c r="BO314" s="1253">
        <f>SUM(BO309:BO310)</f>
        <v>-4.9000000000000002E-2</v>
      </c>
      <c r="BP314" s="1287">
        <f>(BO314/BO$16)*100</f>
        <v>-1.8082715507220172E-3</v>
      </c>
      <c r="BQ314" s="1287">
        <f t="shared" si="427"/>
        <v>75</v>
      </c>
      <c r="BS314" s="1253">
        <f>SUM(BS309:BS310)</f>
        <v>-4.9000000000000002E-2</v>
      </c>
      <c r="BT314" s="1287">
        <f>(BS314/BS$16)*100</f>
        <v>-1.6415316131683537E-3</v>
      </c>
      <c r="BU314" s="1287">
        <f t="shared" si="428"/>
        <v>0</v>
      </c>
    </row>
    <row r="315" spans="1:73">
      <c r="A315" s="1254" t="s">
        <v>88</v>
      </c>
      <c r="C315" s="1252"/>
      <c r="D315" s="1264"/>
      <c r="E315" s="1256"/>
      <c r="G315" s="1252"/>
      <c r="H315" s="1264"/>
      <c r="I315" s="1265"/>
      <c r="K315" s="1252"/>
      <c r="L315" s="1264"/>
      <c r="M315" s="1265"/>
      <c r="O315" s="1252"/>
      <c r="P315" s="1264"/>
      <c r="Q315" s="1265"/>
      <c r="S315" s="1252"/>
      <c r="T315" s="1264"/>
      <c r="U315" s="1265"/>
      <c r="W315" s="1252"/>
      <c r="X315" s="1264"/>
      <c r="Y315" s="1265"/>
      <c r="AA315" s="1252"/>
      <c r="AB315" s="1264"/>
      <c r="AC315" s="1265"/>
      <c r="AD315" s="1252"/>
      <c r="AE315" s="1252"/>
      <c r="AF315" s="1264"/>
      <c r="AG315" s="1265"/>
      <c r="AI315" s="1253">
        <f>SUM(AI309:AI311)</f>
        <v>-0.20200000000000001</v>
      </c>
      <c r="AJ315" s="1287">
        <f>(AI315/AI$17)*100</f>
        <v>-8.4047774086240517E-3</v>
      </c>
      <c r="AK315" s="1287" t="str">
        <f t="shared" si="419"/>
        <v>-</v>
      </c>
      <c r="AM315" s="1253">
        <f>SUM(AM309:AM311)</f>
        <v>-0.29799999999999999</v>
      </c>
      <c r="AN315" s="1287">
        <f>(AM315/AM$17)*100</f>
        <v>-1.2008313944070271E-2</v>
      </c>
      <c r="AO315" s="1287">
        <f t="shared" si="420"/>
        <v>47.524752475247503</v>
      </c>
      <c r="AQ315" s="1253">
        <f>SUM(AQ309:AQ311)</f>
        <v>-7.3999999999999996E-2</v>
      </c>
      <c r="AR315" s="1287">
        <f>(AQ315/AQ$17)*100</f>
        <v>-2.8232496901101946E-3</v>
      </c>
      <c r="AS315" s="1287">
        <f t="shared" si="421"/>
        <v>-75.167785234899327</v>
      </c>
      <c r="AT315" s="1244"/>
      <c r="AU315" s="1253">
        <f>SUM(AU309:AU311)</f>
        <v>-0.13100000000000001</v>
      </c>
      <c r="AV315" s="1287">
        <f>(AU315/AU$17)*100</f>
        <v>-4.6544728742202836E-3</v>
      </c>
      <c r="AW315" s="1287">
        <f t="shared" si="422"/>
        <v>77.027027027027046</v>
      </c>
      <c r="AX315" s="1244"/>
      <c r="AY315" s="1253">
        <f>SUM(AY309:AY311)</f>
        <v>-0.18499999999999997</v>
      </c>
      <c r="AZ315" s="1287">
        <f>(AY315/AY$17)*100</f>
        <v>-5.9808109721048502E-3</v>
      </c>
      <c r="BA315" s="1287">
        <f t="shared" si="423"/>
        <v>41.221374045801504</v>
      </c>
      <c r="BB315" s="1244"/>
      <c r="BC315" s="1253">
        <f>SUM(BC309:BC311)</f>
        <v>-3.2000000000000001E-2</v>
      </c>
      <c r="BD315" s="1287">
        <f>(BC315/BC$17)*100</f>
        <v>-9.6120862372346997E-4</v>
      </c>
      <c r="BE315" s="1287">
        <f t="shared" si="424"/>
        <v>-82.702702702702709</v>
      </c>
      <c r="BF315" s="1244"/>
      <c r="BG315" s="1253">
        <f>SUM(BG309:BG311)</f>
        <v>-9.4E-2</v>
      </c>
      <c r="BH315" s="1287">
        <f>(BG315/BG$17)*100</f>
        <v>-2.6418126432094314E-3</v>
      </c>
      <c r="BI315" s="1287">
        <f t="shared" si="425"/>
        <v>193.75</v>
      </c>
      <c r="BK315" s="1253">
        <f>SUM(BK309:BK311)</f>
        <v>-2.8000000000000001E-2</v>
      </c>
      <c r="BL315" s="1287">
        <f>(BK315/BK$17)*100</f>
        <v>-7.215894140771271E-4</v>
      </c>
      <c r="BM315" s="1287">
        <f t="shared" si="426"/>
        <v>-70.212765957446805</v>
      </c>
      <c r="BO315" s="1253">
        <f>SUM(BO309:BO311)</f>
        <v>-4.9000000000000002E-2</v>
      </c>
      <c r="BP315" s="1287">
        <f>(BO315/BO$17)*100</f>
        <v>-1.18131013079514E-3</v>
      </c>
      <c r="BQ315" s="1287">
        <f t="shared" si="427"/>
        <v>75</v>
      </c>
      <c r="BS315" s="1253">
        <f>SUM(BS309:BS311)</f>
        <v>-4.9000000000000002E-2</v>
      </c>
      <c r="BT315" s="1287">
        <f>(BS315/BS$17)*100</f>
        <v>-1.0728510656646565E-3</v>
      </c>
      <c r="BU315" s="1287">
        <f t="shared" si="428"/>
        <v>0</v>
      </c>
    </row>
    <row r="316" spans="1:73">
      <c r="A316" s="1254"/>
      <c r="C316" s="1252"/>
      <c r="D316" s="1264"/>
      <c r="E316" s="1256"/>
      <c r="G316" s="1252"/>
      <c r="H316" s="1264"/>
      <c r="I316" s="1265"/>
      <c r="K316" s="1252"/>
      <c r="L316" s="1264"/>
      <c r="M316" s="1265"/>
      <c r="O316" s="1252"/>
      <c r="P316" s="1264"/>
      <c r="Q316" s="1265"/>
      <c r="S316" s="1252"/>
      <c r="T316" s="1264"/>
      <c r="U316" s="1265"/>
      <c r="W316" s="1252"/>
      <c r="X316" s="1264"/>
      <c r="Y316" s="1265"/>
      <c r="AA316" s="1252"/>
      <c r="AB316" s="1264"/>
      <c r="AC316" s="1265"/>
      <c r="AD316" s="1252"/>
      <c r="AE316" s="1252"/>
      <c r="AF316" s="1264"/>
      <c r="AG316" s="1265"/>
      <c r="AI316" s="1253"/>
      <c r="AJ316" s="1266"/>
      <c r="AK316" s="1258"/>
      <c r="AM316" s="1253"/>
      <c r="AN316" s="1266"/>
      <c r="AO316" s="1258"/>
      <c r="AQ316" s="1253"/>
      <c r="AR316" s="1287"/>
      <c r="AS316" s="1287"/>
      <c r="AT316" s="1244"/>
      <c r="AU316" s="1253"/>
      <c r="AV316" s="1287"/>
      <c r="AW316" s="1287"/>
      <c r="AX316" s="1244"/>
      <c r="AY316" s="1253"/>
      <c r="AZ316" s="1287"/>
      <c r="BA316" s="1287"/>
      <c r="BB316" s="1244"/>
      <c r="BC316" s="1253"/>
      <c r="BD316" s="1287"/>
      <c r="BE316" s="1287"/>
      <c r="BF316" s="1244"/>
      <c r="BG316" s="1253"/>
      <c r="BH316" s="1287"/>
      <c r="BI316" s="1287"/>
      <c r="BK316" s="1253"/>
      <c r="BL316" s="1287"/>
      <c r="BM316" s="1287"/>
      <c r="BO316" s="1253"/>
      <c r="BP316" s="1287"/>
      <c r="BQ316" s="1287"/>
      <c r="BS316" s="1253"/>
      <c r="BT316" s="1287"/>
      <c r="BU316" s="1287"/>
    </row>
    <row r="317" spans="1:73" outlineLevel="1">
      <c r="A317" s="1251" t="s">
        <v>914</v>
      </c>
      <c r="B317" s="1281"/>
      <c r="C317" s="1281"/>
      <c r="D317" s="1281"/>
      <c r="E317" s="1281"/>
      <c r="F317" s="1281"/>
      <c r="G317" s="1281"/>
      <c r="H317" s="1281"/>
      <c r="I317" s="1281"/>
      <c r="J317" s="1281"/>
      <c r="K317" s="1281"/>
      <c r="L317" s="1281"/>
      <c r="M317" s="1281"/>
      <c r="N317" s="1281"/>
      <c r="O317" s="1281"/>
      <c r="P317" s="1281"/>
      <c r="Q317" s="1281"/>
      <c r="R317" s="1281"/>
      <c r="S317" s="1281"/>
      <c r="T317" s="1281"/>
      <c r="U317" s="1281"/>
      <c r="V317" s="1281"/>
      <c r="W317" s="1281"/>
      <c r="X317" s="1281"/>
      <c r="Y317" s="1281"/>
      <c r="Z317" s="1281"/>
      <c r="AA317" s="1281"/>
      <c r="AB317" s="1281"/>
      <c r="AC317" s="1281"/>
      <c r="AD317" s="1281"/>
      <c r="AE317" s="1281"/>
      <c r="AF317" s="1281"/>
      <c r="AG317" s="1281"/>
      <c r="AH317" s="1281"/>
      <c r="AI317" s="1281"/>
      <c r="AJ317" s="1281"/>
      <c r="AK317" s="1281"/>
      <c r="AL317" s="1281"/>
      <c r="AM317" s="1281"/>
      <c r="AN317" s="1281"/>
      <c r="AO317" s="1281"/>
      <c r="AP317" s="1281"/>
      <c r="AQ317" s="1281"/>
      <c r="AR317" s="1281"/>
      <c r="AS317" s="1281"/>
      <c r="AT317" s="1281"/>
      <c r="AU317" s="1281"/>
      <c r="AV317" s="1281"/>
      <c r="AW317" s="1281"/>
      <c r="AX317" s="1281"/>
      <c r="AY317" s="1281"/>
      <c r="AZ317" s="1281"/>
      <c r="BA317" s="1281"/>
      <c r="BB317" s="1282"/>
      <c r="BC317" s="1318"/>
      <c r="BD317" s="1281"/>
      <c r="BE317" s="1319"/>
      <c r="BF317" s="1282"/>
      <c r="BG317" s="2264" t="str">
        <f>A317</f>
        <v>Total Adjustments (% Sales)</v>
      </c>
      <c r="BH317" s="2264"/>
      <c r="BI317" s="2264"/>
      <c r="BJ317" s="2264"/>
      <c r="BK317" s="2266"/>
      <c r="BL317" s="2264"/>
      <c r="BM317" s="2264"/>
      <c r="BN317" s="1663"/>
      <c r="BO317" s="1663"/>
      <c r="BP317" s="1663"/>
      <c r="BQ317" s="1663"/>
      <c r="BR317" s="2149"/>
      <c r="BS317" s="2149"/>
      <c r="BT317" s="2149"/>
      <c r="BU317" s="2149"/>
    </row>
    <row r="318" spans="1:73" outlineLevel="1">
      <c r="AT318" s="1244"/>
      <c r="AU318" s="1293"/>
      <c r="AX318" s="1244"/>
      <c r="AY318" s="1245"/>
      <c r="BB318" s="1244"/>
      <c r="BC318" s="1245"/>
      <c r="BF318" s="1244"/>
      <c r="BG318" s="1245"/>
      <c r="BK318" s="1245"/>
      <c r="BO318" s="1245"/>
      <c r="BS318" s="1245"/>
    </row>
    <row r="319" spans="1:73" outlineLevel="1">
      <c r="A319" s="1254" t="s">
        <v>79</v>
      </c>
      <c r="C319" s="1255"/>
      <c r="D319" s="1264"/>
      <c r="E319" s="1256"/>
      <c r="G319" s="1255"/>
      <c r="H319" s="1264"/>
      <c r="I319" s="1265"/>
      <c r="K319" s="1255"/>
      <c r="L319" s="1264"/>
      <c r="M319" s="1265"/>
      <c r="O319" s="1255"/>
      <c r="P319" s="1264"/>
      <c r="Q319" s="1265"/>
      <c r="S319" s="1255"/>
      <c r="T319" s="1264"/>
      <c r="U319" s="1265"/>
      <c r="W319" s="1255"/>
      <c r="X319" s="1264"/>
      <c r="Y319" s="1265"/>
      <c r="AA319" s="1255"/>
      <c r="AB319" s="1264"/>
      <c r="AC319" s="1265"/>
      <c r="AE319" s="1255"/>
      <c r="AF319" s="1264"/>
      <c r="AG319" s="1265"/>
      <c r="AI319" s="1253">
        <f>AI226+AI236+AI309+AI246</f>
        <v>16.149000000000001</v>
      </c>
      <c r="AJ319" s="1287">
        <f>(AI319/AI$11)*100</f>
        <v>1.9455618564339436</v>
      </c>
      <c r="AK319" s="1287" t="str">
        <f t="shared" ref="AK319:AK325" si="429">IFERROR(((AI319/AE319-1)*100),"-")</f>
        <v>-</v>
      </c>
      <c r="AM319" s="1253">
        <f>AM226+AM236+AM309+AM246</f>
        <v>1.1620000000000001</v>
      </c>
      <c r="AN319" s="1287">
        <f>(AM319/AM$11)*100</f>
        <v>0.12987912969805898</v>
      </c>
      <c r="AO319" s="1287">
        <f t="shared" ref="AO319:AO325" si="430">IFERROR(((AM319/AI319-1)*100),"-")</f>
        <v>-92.804508019072387</v>
      </c>
      <c r="AQ319" s="1253">
        <f>AQ226+AQ236+AQ309+AQ246</f>
        <v>38.889000000000003</v>
      </c>
      <c r="AR319" s="1287">
        <f>(AQ319/AQ$11)*100</f>
        <v>4.1857491435084775</v>
      </c>
      <c r="AS319" s="1287">
        <f t="shared" ref="AS319:AS325" si="431">IFERROR(((AQ319/AM319-1)*100),"-")</f>
        <v>3246.7297762478479</v>
      </c>
      <c r="AT319" s="1244"/>
      <c r="AU319" s="1253">
        <f>AU226+AU236+AU309+AU246</f>
        <v>1.0259999999999998</v>
      </c>
      <c r="AV319" s="1287">
        <f>(AU319/AU$11)*100</f>
        <v>0.10443579425079648</v>
      </c>
      <c r="AW319" s="1287">
        <f t="shared" ref="AW319:AW325" si="432">IFERROR(((AU319/AQ319-1)*100),"-")</f>
        <v>-97.361721823651934</v>
      </c>
      <c r="AX319" s="1244"/>
      <c r="AY319" s="1253">
        <f>AY226+AY236+AY309+AY246</f>
        <v>9.9009999999999998</v>
      </c>
      <c r="AZ319" s="1287">
        <f>(AY319/AY$11)*100</f>
        <v>0.92966001353974093</v>
      </c>
      <c r="BA319" s="1287">
        <f t="shared" ref="BA319:BA325" si="433">IFERROR(((AY319/AU319-1)*100),"-")</f>
        <v>865.00974658869416</v>
      </c>
      <c r="BB319" s="1252"/>
      <c r="BC319" s="1253">
        <f>BC226+BC236+BC309+BC246</f>
        <v>5.0060000000000011</v>
      </c>
      <c r="BD319" s="1287">
        <f>(BC319/BC$11)*100</f>
        <v>0.44368851754324556</v>
      </c>
      <c r="BE319" s="1287">
        <f t="shared" ref="BE319:BE325" si="434">IFERROR(((BC319/AY319-1)*100),"-")</f>
        <v>-49.439450560549425</v>
      </c>
      <c r="BF319" s="1252"/>
      <c r="BG319" s="1253">
        <f>BG226+BG236+BG309+BG246</f>
        <v>3.141</v>
      </c>
      <c r="BH319" s="1287">
        <f>(BG319/BG$11)*100</f>
        <v>0.26549817042091728</v>
      </c>
      <c r="BI319" s="1287">
        <f t="shared" ref="BI319:BI325" si="435">IFERROR(((BG319/BC319-1)*100),"-")</f>
        <v>-37.255293647622864</v>
      </c>
      <c r="BJ319" s="1252"/>
      <c r="BK319" s="1253">
        <f>BK226+BK236+BK309+BK246</f>
        <v>0.33099999999999996</v>
      </c>
      <c r="BL319" s="1287">
        <f>(BK319/BK$11)*100</f>
        <v>2.5805546243382937E-2</v>
      </c>
      <c r="BM319" s="1287">
        <f t="shared" ref="BM319:BM325" si="436">IFERROR(((BK319/BG319-1)*100),"-")</f>
        <v>-89.46195479146769</v>
      </c>
      <c r="BN319" s="1252"/>
      <c r="BO319" s="2058">
        <f>BO226+BO236+BO309+BO246</f>
        <v>4.9000000000000002E-2</v>
      </c>
      <c r="BP319" s="1287">
        <f>(BO319/BO$11)*100</f>
        <v>3.6389399248150452E-3</v>
      </c>
      <c r="BQ319" s="1287">
        <f t="shared" ref="BQ319:BQ325" si="437">IFERROR(((BO319/BK319-1)*100),"-")</f>
        <v>-85.196374622356501</v>
      </c>
      <c r="BR319" s="1252"/>
      <c r="BS319" s="2058">
        <f>BS226+BS236+BS309+BS246</f>
        <v>-1.4E-2</v>
      </c>
      <c r="BT319" s="1287">
        <f>(BS319/BS$11)*100</f>
        <v>-9.4212242204232057E-4</v>
      </c>
      <c r="BU319" s="1287">
        <f t="shared" ref="BU319:BU325" si="438">IFERROR(((BS319/BO319-1)*100),"-")</f>
        <v>-128.57142857142856</v>
      </c>
    </row>
    <row r="320" spans="1:73" outlineLevel="1">
      <c r="A320" s="1254" t="s">
        <v>80</v>
      </c>
      <c r="C320" s="1259"/>
      <c r="D320" s="1264"/>
      <c r="E320" s="1256"/>
      <c r="G320" s="1259"/>
      <c r="H320" s="1264"/>
      <c r="I320" s="1265"/>
      <c r="K320" s="1259"/>
      <c r="L320" s="1264"/>
      <c r="M320" s="1265"/>
      <c r="O320" s="1259"/>
      <c r="P320" s="1264"/>
      <c r="Q320" s="1265"/>
      <c r="S320" s="1259"/>
      <c r="T320" s="1264"/>
      <c r="U320" s="1265"/>
      <c r="W320" s="1259"/>
      <c r="X320" s="1264"/>
      <c r="Y320" s="1265"/>
      <c r="AA320" s="1259"/>
      <c r="AB320" s="1264"/>
      <c r="AC320" s="1265"/>
      <c r="AE320" s="1259"/>
      <c r="AF320" s="1264"/>
      <c r="AG320" s="1265"/>
      <c r="AI320" s="1361">
        <f>AI227+AI237+AI310+AI247</f>
        <v>1.008</v>
      </c>
      <c r="AJ320" s="1287">
        <f>(AI320/AI$12)*100</f>
        <v>0.14379909212557312</v>
      </c>
      <c r="AK320" s="1287" t="str">
        <f t="shared" si="429"/>
        <v>-</v>
      </c>
      <c r="AL320" s="1269"/>
      <c r="AM320" s="1361">
        <f>AM227+AM237+AM310+AM247</f>
        <v>1.083</v>
      </c>
      <c r="AN320" s="1287">
        <f>(AM320/AM$12)*100</f>
        <v>0.14861063464837049</v>
      </c>
      <c r="AO320" s="1287">
        <f t="shared" si="430"/>
        <v>7.4404761904761862</v>
      </c>
      <c r="AP320" s="1269"/>
      <c r="AQ320" s="1361">
        <f>AQ227+AQ237+AQ310+AQ247</f>
        <v>1.0289999999999999</v>
      </c>
      <c r="AR320" s="1287">
        <f>(AQ320/AQ$12)*100</f>
        <v>0.12970332098483769</v>
      </c>
      <c r="AS320" s="1287">
        <f t="shared" si="431"/>
        <v>-4.9861495844875421</v>
      </c>
      <c r="AT320" s="1244"/>
      <c r="AU320" s="1361">
        <f>AU227+AU237+AU310+AU247</f>
        <v>8.4089999999999989</v>
      </c>
      <c r="AV320" s="1287">
        <f>(AU320/AU$12)*100</f>
        <v>0.97305979188378</v>
      </c>
      <c r="AW320" s="1287">
        <f t="shared" si="432"/>
        <v>717.20116618075804</v>
      </c>
      <c r="AX320" s="1244"/>
      <c r="AY320" s="1361">
        <f>AY227+AY237+AY310+AY247</f>
        <v>11.583999999999998</v>
      </c>
      <c r="AZ320" s="1287">
        <f>(AY320/AY$12)*100</f>
        <v>1.2020201076878856</v>
      </c>
      <c r="BA320" s="1287">
        <f t="shared" si="433"/>
        <v>37.757164942323683</v>
      </c>
      <c r="BB320" s="1252"/>
      <c r="BC320" s="1361">
        <f>BC227+BC237+BC310+BC247</f>
        <v>2.7569999999999997</v>
      </c>
      <c r="BD320" s="1287">
        <f>(BC320/BC$12)*100</f>
        <v>0.26418648863863947</v>
      </c>
      <c r="BE320" s="1287">
        <f t="shared" si="434"/>
        <v>-76.199930939226519</v>
      </c>
      <c r="BF320" s="1252"/>
      <c r="BG320" s="1361">
        <f>BG227+BG237+BG310+BG247</f>
        <v>0.46300000000000002</v>
      </c>
      <c r="BH320" s="1287">
        <f>(BG320/BG$12)*100</f>
        <v>4.0464317114396034E-2</v>
      </c>
      <c r="BI320" s="1287">
        <f t="shared" si="435"/>
        <v>-83.206383750453398</v>
      </c>
      <c r="BJ320" s="1252"/>
      <c r="BK320" s="1361">
        <f>BK227+BK237+BK310+BK247</f>
        <v>6.7149999999999999</v>
      </c>
      <c r="BL320" s="1287">
        <f>(BK320/BK$12)*100</f>
        <v>0.53503716576112714</v>
      </c>
      <c r="BM320" s="1287">
        <f t="shared" si="436"/>
        <v>1350.3239740820734</v>
      </c>
      <c r="BN320" s="1252"/>
      <c r="BO320" s="1361">
        <f>BO227+BO237+BO310+BO247</f>
        <v>0.995</v>
      </c>
      <c r="BP320" s="1287">
        <f>(BO320/BO$12)*100</f>
        <v>7.298873846117733E-2</v>
      </c>
      <c r="BQ320" s="1287">
        <f t="shared" si="437"/>
        <v>-85.182427401340277</v>
      </c>
      <c r="BR320" s="1252"/>
      <c r="BS320" s="1361">
        <f>BS227+BS237+BS310+BS247</f>
        <v>-3.5000000000000003E-2</v>
      </c>
      <c r="BT320" s="1287">
        <f>(BS320/BS$12)*100</f>
        <v>-2.3348732836239341E-3</v>
      </c>
      <c r="BU320" s="1287">
        <f t="shared" si="438"/>
        <v>-103.5175879396985</v>
      </c>
    </row>
    <row r="321" spans="1:76" outlineLevel="1">
      <c r="A321" s="1254" t="s">
        <v>81</v>
      </c>
      <c r="C321" s="1259"/>
      <c r="D321" s="1264"/>
      <c r="E321" s="1256"/>
      <c r="G321" s="1259"/>
      <c r="H321" s="1264"/>
      <c r="I321" s="1265"/>
      <c r="K321" s="1259"/>
      <c r="L321" s="1264"/>
      <c r="M321" s="1265"/>
      <c r="O321" s="1259"/>
      <c r="P321" s="1264"/>
      <c r="Q321" s="1265"/>
      <c r="S321" s="1259"/>
      <c r="T321" s="1264"/>
      <c r="U321" s="1265"/>
      <c r="W321" s="1259"/>
      <c r="X321" s="1264"/>
      <c r="Y321" s="1265"/>
      <c r="AA321" s="1259"/>
      <c r="AB321" s="1264"/>
      <c r="AC321" s="1265"/>
      <c r="AE321" s="1259"/>
      <c r="AF321" s="1264"/>
      <c r="AG321" s="1265"/>
      <c r="AI321" s="1361">
        <f>AI228+AI238+AI311+AI248</f>
        <v>7.44</v>
      </c>
      <c r="AJ321" s="1287">
        <f>(AI321/AI$13)*100</f>
        <v>0.85284522463989088</v>
      </c>
      <c r="AK321" s="1287" t="str">
        <f t="shared" si="429"/>
        <v>-</v>
      </c>
      <c r="AL321" s="1269"/>
      <c r="AM321" s="1361">
        <f>AM228+AM238+AM311+AM248</f>
        <v>1.111</v>
      </c>
      <c r="AN321" s="1287">
        <f>(AM321/AM$13)*100</f>
        <v>0.12945911492380441</v>
      </c>
      <c r="AO321" s="1287">
        <f t="shared" si="430"/>
        <v>-85.067204301075279</v>
      </c>
      <c r="AP321" s="1269"/>
      <c r="AQ321" s="1361">
        <f>AQ228+AQ238+AQ311+AQ248</f>
        <v>1.002</v>
      </c>
      <c r="AR321" s="1287">
        <f>(AQ321/AQ$13)*100</f>
        <v>0.11149897124951176</v>
      </c>
      <c r="AS321" s="1287">
        <f t="shared" si="431"/>
        <v>-9.8109810981098065</v>
      </c>
      <c r="AT321" s="1244"/>
      <c r="AU321" s="1361">
        <f>AU228+AU238+AU311+AU248</f>
        <v>2.0680000000000001</v>
      </c>
      <c r="AV321" s="1287">
        <f>(AU321/AU$13)*100</f>
        <v>0.21365976026300401</v>
      </c>
      <c r="AW321" s="1287">
        <f t="shared" si="432"/>
        <v>106.38722554890219</v>
      </c>
      <c r="AX321" s="1244"/>
      <c r="AY321" s="1361">
        <f>AY228+AY238+AY311+AY248</f>
        <v>13.198</v>
      </c>
      <c r="AZ321" s="1287">
        <f>(AY321/AY$13)*100</f>
        <v>1.2398285771186903</v>
      </c>
      <c r="BA321" s="1287">
        <f t="shared" si="433"/>
        <v>538.20116054158609</v>
      </c>
      <c r="BB321" s="1252"/>
      <c r="BC321" s="1361">
        <f>BC228+BC238+BC311+BC248</f>
        <v>71.545000000000016</v>
      </c>
      <c r="BD321" s="1287">
        <f>(BC321/BC$13)*100</f>
        <v>6.1821044299969259</v>
      </c>
      <c r="BE321" s="1287">
        <f t="shared" si="434"/>
        <v>442.08971056220651</v>
      </c>
      <c r="BF321" s="1252"/>
      <c r="BG321" s="1361">
        <f>BG228+BG238+BG311+BG248</f>
        <v>0.30900000000000005</v>
      </c>
      <c r="BH321" s="1287">
        <f>(BG321/BG$13)*100</f>
        <v>2.5103868270497841E-2</v>
      </c>
      <c r="BI321" s="1287">
        <f t="shared" si="435"/>
        <v>-99.568103990495487</v>
      </c>
      <c r="BJ321" s="1252"/>
      <c r="BK321" s="1361">
        <f>BK228+BK238+BK311+BK248</f>
        <v>0.106</v>
      </c>
      <c r="BL321" s="1287">
        <f>(BK321/BK$13)*100</f>
        <v>7.8951288544614924E-3</v>
      </c>
      <c r="BM321" s="1287">
        <f t="shared" si="436"/>
        <v>-65.695792880258907</v>
      </c>
      <c r="BN321" s="1252"/>
      <c r="BO321" s="1361">
        <f>BO228+BO238+BO311+BO248</f>
        <v>2.5999999999999999E-2</v>
      </c>
      <c r="BP321" s="1287">
        <f>(BO321/BO$13)*100</f>
        <v>1.8078568066156432E-3</v>
      </c>
      <c r="BQ321" s="1287">
        <f t="shared" si="437"/>
        <v>-75.471698113207552</v>
      </c>
      <c r="BR321" s="1252"/>
      <c r="BS321" s="1361">
        <f>BS228+BS238+BS311+BS248</f>
        <v>0</v>
      </c>
      <c r="BT321" s="1287">
        <f>(BS321/BS$13)*100</f>
        <v>0</v>
      </c>
      <c r="BU321" s="1287">
        <f t="shared" si="438"/>
        <v>-100</v>
      </c>
    </row>
    <row r="322" spans="1:76" outlineLevel="1">
      <c r="A322" s="1254" t="s">
        <v>82</v>
      </c>
      <c r="C322" s="1261"/>
      <c r="D322" s="1264"/>
      <c r="E322" s="1256"/>
      <c r="G322" s="1261"/>
      <c r="H322" s="1264"/>
      <c r="I322" s="1265"/>
      <c r="K322" s="1261"/>
      <c r="L322" s="1264"/>
      <c r="M322" s="1265"/>
      <c r="O322" s="1261"/>
      <c r="P322" s="1264"/>
      <c r="Q322" s="1265"/>
      <c r="S322" s="1262"/>
      <c r="T322" s="1264"/>
      <c r="U322" s="1265"/>
      <c r="W322" s="1261"/>
      <c r="X322" s="1264"/>
      <c r="Y322" s="1265"/>
      <c r="AA322" s="1261"/>
      <c r="AB322" s="1264"/>
      <c r="AC322" s="1265"/>
      <c r="AE322" s="1262"/>
      <c r="AF322" s="1264"/>
      <c r="AG322" s="1265"/>
      <c r="AI322" s="1329">
        <f>AI229+AI239+AI312+AI249</f>
        <v>50.688999999999993</v>
      </c>
      <c r="AJ322" s="1287">
        <f>(AI322/AI$14)*100</f>
        <v>4.5277480775225785</v>
      </c>
      <c r="AK322" s="1287" t="str">
        <f t="shared" si="429"/>
        <v>-</v>
      </c>
      <c r="AL322" s="1269"/>
      <c r="AM322" s="1329">
        <f>AM229+AM239+AM312+AM249</f>
        <v>2.629</v>
      </c>
      <c r="AN322" s="1287">
        <f>(AM322/AM$14)*100</f>
        <v>0.22129853163499963</v>
      </c>
      <c r="AO322" s="1287">
        <f t="shared" si="430"/>
        <v>-94.813470378188555</v>
      </c>
      <c r="AP322" s="1269"/>
      <c r="AQ322" s="1329">
        <f>AQ229+AQ239+AQ312+AQ249</f>
        <v>2.7820000000000005</v>
      </c>
      <c r="AR322" s="1287">
        <f>(AQ322/AQ$14)*100</f>
        <v>0.22562104585330092</v>
      </c>
      <c r="AS322" s="1287">
        <f t="shared" si="431"/>
        <v>5.819703309243085</v>
      </c>
      <c r="AT322" s="1244"/>
      <c r="AU322" s="1329">
        <f>AU229+AU239+AU312+AU249</f>
        <v>11.391999999999999</v>
      </c>
      <c r="AV322" s="1287">
        <f>(AU322/AU$14)*100</f>
        <v>0.90231007650869477</v>
      </c>
      <c r="AW322" s="1287">
        <f t="shared" si="432"/>
        <v>309.48957584471594</v>
      </c>
      <c r="AX322" s="1244"/>
      <c r="AY322" s="1329">
        <f>AY229+AY239+AY312+AY249</f>
        <v>20.722000000000001</v>
      </c>
      <c r="AZ322" s="1287">
        <f>(AY322/AY$14)*100</f>
        <v>1.5530508282762876</v>
      </c>
      <c r="BA322" s="1287">
        <f t="shared" si="433"/>
        <v>81.899578651685417</v>
      </c>
      <c r="BB322" s="1252"/>
      <c r="BC322" s="1329">
        <f>BC229+BC239+BC312+BC249</f>
        <v>3.117</v>
      </c>
      <c r="BD322" s="1287">
        <f>(BC322/BC$14)*100</f>
        <v>0.20984783507320098</v>
      </c>
      <c r="BE322" s="1287">
        <f t="shared" si="434"/>
        <v>-84.958015635556421</v>
      </c>
      <c r="BF322" s="1252"/>
      <c r="BG322" s="1329">
        <f>BG229+BG239+BG312+BG249</f>
        <v>10.071999999999999</v>
      </c>
      <c r="BH322" s="1287">
        <f>(BG322/BG$14)*100</f>
        <v>0.65369954873183445</v>
      </c>
      <c r="BI322" s="1287">
        <f t="shared" si="435"/>
        <v>223.13121591273659</v>
      </c>
      <c r="BJ322" s="1252"/>
      <c r="BK322" s="1329">
        <f>BK229+BK239+BK312+BK249</f>
        <v>4.4930000000000003</v>
      </c>
      <c r="BL322" s="1287">
        <f>(BK322/BK$14)*100</f>
        <v>0.26653378536704009</v>
      </c>
      <c r="BM322" s="1287">
        <f t="shared" si="436"/>
        <v>-55.391183478951547</v>
      </c>
      <c r="BN322" s="1252"/>
      <c r="BO322" s="1329">
        <f>BO229+BO239+BO312+BO249</f>
        <v>6.2929999999999993</v>
      </c>
      <c r="BP322" s="1287">
        <f>(BO322/BO$14)*100</f>
        <v>0.32491252454398395</v>
      </c>
      <c r="BQ322" s="1287">
        <f t="shared" si="437"/>
        <v>40.062319163142647</v>
      </c>
      <c r="BR322" s="1252"/>
      <c r="BS322" s="1329">
        <f>BS229+BS239+BS312+BS249</f>
        <v>0</v>
      </c>
      <c r="BT322" s="1287">
        <f>(BS322/BS$14)*100</f>
        <v>0</v>
      </c>
      <c r="BU322" s="1287">
        <f t="shared" si="438"/>
        <v>-100</v>
      </c>
    </row>
    <row r="323" spans="1:76" outlineLevel="1">
      <c r="A323" s="1254" t="s">
        <v>85</v>
      </c>
      <c r="C323" s="1252"/>
      <c r="D323" s="1264"/>
      <c r="E323" s="1256"/>
      <c r="G323" s="1252"/>
      <c r="H323" s="1264"/>
      <c r="I323" s="1265"/>
      <c r="K323" s="1252"/>
      <c r="L323" s="1264"/>
      <c r="M323" s="1265"/>
      <c r="O323" s="1252"/>
      <c r="P323" s="1264"/>
      <c r="Q323" s="1265"/>
      <c r="S323" s="1252"/>
      <c r="T323" s="1264"/>
      <c r="U323" s="1265"/>
      <c r="W323" s="1252"/>
      <c r="X323" s="1264"/>
      <c r="Y323" s="1265"/>
      <c r="AA323" s="1252"/>
      <c r="AB323" s="1264"/>
      <c r="AC323" s="1265"/>
      <c r="AD323" s="1252"/>
      <c r="AE323" s="1252"/>
      <c r="AF323" s="1264"/>
      <c r="AG323" s="1265"/>
      <c r="AI323" s="1253">
        <f>AI230+AI240+AI313+AI250</f>
        <v>75.286000000000001</v>
      </c>
      <c r="AJ323" s="1287">
        <f>(AI323/AI$15)*100</f>
        <v>2.137037690956975</v>
      </c>
      <c r="AK323" s="1287" t="str">
        <f t="shared" si="429"/>
        <v>-</v>
      </c>
      <c r="AM323" s="1253">
        <f>AM230+AM240+AM313+AM250</f>
        <v>5.9849999999999994</v>
      </c>
      <c r="AN323" s="1287">
        <f>(AM323/AM$15)*100</f>
        <v>0.1630967064003126</v>
      </c>
      <c r="AO323" s="1287">
        <f t="shared" si="430"/>
        <v>-92.050314799564319</v>
      </c>
      <c r="AQ323" s="1253">
        <f>AQ230+AQ240+AQ313+AQ250</f>
        <v>43.702000000000005</v>
      </c>
      <c r="AR323" s="1287">
        <f>(AQ323/AQ$15)*100</f>
        <v>1.1338993402927871</v>
      </c>
      <c r="AS323" s="1287">
        <f t="shared" si="431"/>
        <v>630.19214703425246</v>
      </c>
      <c r="AT323" s="1244"/>
      <c r="AU323" s="1253">
        <f>AU230+AU240+AU313+AU250</f>
        <v>22.894999999999996</v>
      </c>
      <c r="AV323" s="1287">
        <f>(AU323/AU$15)*100</f>
        <v>0.56156016945993059</v>
      </c>
      <c r="AW323" s="1287">
        <f t="shared" si="432"/>
        <v>-47.61109331380716</v>
      </c>
      <c r="AX323" s="1244"/>
      <c r="AY323" s="1253">
        <f>AY230+AY240+AY313+AY250</f>
        <v>55.404999999999994</v>
      </c>
      <c r="AZ323" s="1287">
        <f>(AY323/AY$15)*100</f>
        <v>1.2513825512935846</v>
      </c>
      <c r="BA323" s="1287">
        <f t="shared" si="433"/>
        <v>141.99606901070104</v>
      </c>
      <c r="BB323" s="1244"/>
      <c r="BC323" s="1253">
        <f>BC230+BC240+BC313+BC250</f>
        <v>82.425000000000011</v>
      </c>
      <c r="BD323" s="1287">
        <f>(BC323/BC$15)*100</f>
        <v>1.7120143632656657</v>
      </c>
      <c r="BE323" s="1287">
        <f t="shared" si="434"/>
        <v>48.768161718256508</v>
      </c>
      <c r="BF323" s="1244"/>
      <c r="BG323" s="1253">
        <f>BG230+BG240+BG313+BG250</f>
        <v>13.985000000000001</v>
      </c>
      <c r="BH323" s="1287">
        <f>(BG323/BG$15)*100</f>
        <v>0.27427312229306061</v>
      </c>
      <c r="BI323" s="1287">
        <f t="shared" si="435"/>
        <v>-83.033060357901121</v>
      </c>
      <c r="BK323" s="1253">
        <f>BK230+BK240+BK313+BK250</f>
        <v>11.645</v>
      </c>
      <c r="BL323" s="1287">
        <f>(BK323/BK$15)*100</f>
        <v>0.20921524430842908</v>
      </c>
      <c r="BM323" s="1287">
        <f t="shared" si="436"/>
        <v>-16.732213085448709</v>
      </c>
      <c r="BO323" s="1253">
        <f>BO230+BO240+BO313+BO250</f>
        <v>7.3629999999999987</v>
      </c>
      <c r="BP323" s="1287">
        <f>(BO323/BO$15)*100</f>
        <v>0.12100711843314926</v>
      </c>
      <c r="BQ323" s="1287">
        <f t="shared" si="437"/>
        <v>-36.771146414770293</v>
      </c>
      <c r="BS323" s="1253">
        <f>BS230+BS240+BS313+BS250</f>
        <v>-4.9000000000000002E-2</v>
      </c>
      <c r="BT323" s="1287">
        <f>(BS323/BS$15)*100</f>
        <v>-7.4384631954894725E-4</v>
      </c>
      <c r="BU323" s="1287">
        <f t="shared" si="438"/>
        <v>-100.66548961021323</v>
      </c>
    </row>
    <row r="324" spans="1:76" outlineLevel="1">
      <c r="A324" s="1254" t="s">
        <v>87</v>
      </c>
      <c r="C324" s="1252"/>
      <c r="D324" s="1264"/>
      <c r="E324" s="1256"/>
      <c r="G324" s="1252"/>
      <c r="H324" s="1264"/>
      <c r="I324" s="1265"/>
      <c r="K324" s="1252"/>
      <c r="L324" s="1264"/>
      <c r="M324" s="1265"/>
      <c r="O324" s="1252"/>
      <c r="P324" s="1264"/>
      <c r="Q324" s="1265"/>
      <c r="S324" s="1252"/>
      <c r="T324" s="1264"/>
      <c r="U324" s="1265"/>
      <c r="W324" s="1252"/>
      <c r="X324" s="1264"/>
      <c r="Y324" s="1265"/>
      <c r="AA324" s="1252"/>
      <c r="AB324" s="1264"/>
      <c r="AC324" s="1265"/>
      <c r="AD324" s="1252"/>
      <c r="AE324" s="1252"/>
      <c r="AF324" s="1264"/>
      <c r="AG324" s="1265"/>
      <c r="AI324" s="1253">
        <f>SUM(AI319:AI320)</f>
        <v>17.157</v>
      </c>
      <c r="AJ324" s="1287">
        <f>(AI324/AI$16)*100</f>
        <v>1.1206247334295218</v>
      </c>
      <c r="AK324" s="1287" t="str">
        <f t="shared" si="429"/>
        <v>-</v>
      </c>
      <c r="AM324" s="1253">
        <f>SUM(AM319:AM320)</f>
        <v>2.2450000000000001</v>
      </c>
      <c r="AN324" s="1287">
        <f>(AM324/AM$16)*100</f>
        <v>0.13828762347329232</v>
      </c>
      <c r="AO324" s="1287">
        <f t="shared" si="430"/>
        <v>-86.914961823162557</v>
      </c>
      <c r="AQ324" s="1253">
        <f>SUM(AQ319:AQ320)</f>
        <v>39.918000000000006</v>
      </c>
      <c r="AR324" s="1287">
        <f>(AQ324/AQ$16)*100</f>
        <v>2.3175397548811856</v>
      </c>
      <c r="AS324" s="1287">
        <f t="shared" si="431"/>
        <v>1678.084632516704</v>
      </c>
      <c r="AT324" s="1244"/>
      <c r="AU324" s="1253">
        <f>SUM(AU319:AU320)</f>
        <v>9.4349999999999987</v>
      </c>
      <c r="AV324" s="1287">
        <f>(AU324/AU$16)*100</f>
        <v>0.51093818949255543</v>
      </c>
      <c r="AW324" s="1287">
        <f t="shared" si="432"/>
        <v>-76.364046294904568</v>
      </c>
      <c r="AX324" s="1244"/>
      <c r="AY324" s="1253">
        <f>SUM(AY319:AY320)</f>
        <v>21.484999999999999</v>
      </c>
      <c r="AZ324" s="1287">
        <f>(AY324/AY$16)*100</f>
        <v>1.0590400665640078</v>
      </c>
      <c r="BA324" s="1287">
        <f t="shared" si="433"/>
        <v>127.71595124536303</v>
      </c>
      <c r="BB324" s="1244"/>
      <c r="BC324" s="1253">
        <f>SUM(BC319:BC320)</f>
        <v>7.7630000000000008</v>
      </c>
      <c r="BD324" s="1287">
        <f>(BC324/BC$16)*100</f>
        <v>0.35743720791030692</v>
      </c>
      <c r="BE324" s="1287">
        <f t="shared" si="434"/>
        <v>-63.867814754479866</v>
      </c>
      <c r="BF324" s="1244"/>
      <c r="BG324" s="1253">
        <f>SUM(BG319:BG320)</f>
        <v>3.6040000000000001</v>
      </c>
      <c r="BH324" s="1287">
        <f>(BG324/BG$16)*100</f>
        <v>0.15485909068838818</v>
      </c>
      <c r="BI324" s="1287">
        <f t="shared" si="435"/>
        <v>-53.574648975911373</v>
      </c>
      <c r="BK324" s="1253">
        <f>SUM(BK319:BK320)</f>
        <v>7.0459999999999994</v>
      </c>
      <c r="BL324" s="1287">
        <f>(BK324/BK$16)*100</f>
        <v>0.2776504764310368</v>
      </c>
      <c r="BM324" s="1287">
        <f t="shared" si="436"/>
        <v>95.504994450610397</v>
      </c>
      <c r="BO324" s="1253">
        <f>SUM(BO319:BO320)</f>
        <v>1.044</v>
      </c>
      <c r="BP324" s="1287">
        <f>(BO324/BO$16)*100</f>
        <v>3.8527255080689507E-2</v>
      </c>
      <c r="BQ324" s="1287">
        <f t="shared" si="437"/>
        <v>-85.183082600056764</v>
      </c>
      <c r="BS324" s="1253">
        <f>SUM(BS319:BS320)</f>
        <v>-4.9000000000000002E-2</v>
      </c>
      <c r="BT324" s="1287">
        <f>(BS324/BS$16)*100</f>
        <v>-1.6415316131683537E-3</v>
      </c>
      <c r="BU324" s="1287">
        <f t="shared" si="438"/>
        <v>-104.69348659003832</v>
      </c>
    </row>
    <row r="325" spans="1:76" outlineLevel="1">
      <c r="A325" s="1254" t="s">
        <v>88</v>
      </c>
      <c r="C325" s="1252"/>
      <c r="D325" s="1264"/>
      <c r="E325" s="1256"/>
      <c r="G325" s="1252"/>
      <c r="H325" s="1264"/>
      <c r="I325" s="1265"/>
      <c r="K325" s="1252"/>
      <c r="L325" s="1264"/>
      <c r="M325" s="1265"/>
      <c r="O325" s="1252"/>
      <c r="P325" s="1264"/>
      <c r="Q325" s="1265"/>
      <c r="S325" s="1252"/>
      <c r="T325" s="1264"/>
      <c r="U325" s="1265"/>
      <c r="W325" s="1252"/>
      <c r="X325" s="1264"/>
      <c r="Y325" s="1265"/>
      <c r="AA325" s="1252"/>
      <c r="AB325" s="1264"/>
      <c r="AC325" s="1265"/>
      <c r="AD325" s="1252"/>
      <c r="AE325" s="1252"/>
      <c r="AF325" s="1264"/>
      <c r="AG325" s="1265"/>
      <c r="AI325" s="1253">
        <f>SUM(AI319:AI321)</f>
        <v>24.597000000000001</v>
      </c>
      <c r="AJ325" s="1287">
        <f>(AI325/AI$17)*100</f>
        <v>1.0234272768313157</v>
      </c>
      <c r="AK325" s="1287" t="str">
        <f t="shared" si="429"/>
        <v>-</v>
      </c>
      <c r="AM325" s="1253">
        <f>SUM(AM319:AM321)</f>
        <v>3.3559999999999999</v>
      </c>
      <c r="AN325" s="1287">
        <f>(AM325/AM$17)*100</f>
        <v>0.1352345691151001</v>
      </c>
      <c r="AO325" s="1287">
        <f t="shared" si="430"/>
        <v>-86.356059682075042</v>
      </c>
      <c r="AQ325" s="1253">
        <f>SUM(AQ319:AQ321)</f>
        <v>40.920000000000009</v>
      </c>
      <c r="AR325" s="1287">
        <f>(AQ325/AQ$17)*100</f>
        <v>1.5611807745852593</v>
      </c>
      <c r="AS325" s="1287">
        <f t="shared" si="431"/>
        <v>1119.3087008343268</v>
      </c>
      <c r="AT325" s="1244"/>
      <c r="AU325" s="1253">
        <f>SUM(AU319:AU321)</f>
        <v>11.502999999999998</v>
      </c>
      <c r="AV325" s="1287">
        <f>(AU325/AU$17)*100</f>
        <v>0.40870535474928177</v>
      </c>
      <c r="AW325" s="1287">
        <f t="shared" si="432"/>
        <v>-71.889051808406663</v>
      </c>
      <c r="AX325" s="1244"/>
      <c r="AY325" s="1253">
        <f>SUM(AY319:AY321)</f>
        <v>34.683</v>
      </c>
      <c r="AZ325" s="1287">
        <f>(AY325/AY$17)*100</f>
        <v>1.1212565780838517</v>
      </c>
      <c r="BA325" s="1287">
        <f t="shared" si="433"/>
        <v>201.51264887420677</v>
      </c>
      <c r="BB325" s="1244"/>
      <c r="BC325" s="1253">
        <f>SUM(BC319:BC321)</f>
        <v>79.308000000000021</v>
      </c>
      <c r="BD325" s="1287">
        <f>(BC325/BC$17)*100</f>
        <v>2.3822354228206555</v>
      </c>
      <c r="BE325" s="1287">
        <f t="shared" si="434"/>
        <v>128.66534036848032</v>
      </c>
      <c r="BF325" s="1244"/>
      <c r="BG325" s="1253">
        <f>SUM(BG319:BG321)</f>
        <v>3.9130000000000003</v>
      </c>
      <c r="BH325" s="1287">
        <f>(BG325/BG$17)*100</f>
        <v>0.10997247737104794</v>
      </c>
      <c r="BI325" s="1287">
        <f t="shared" si="435"/>
        <v>-95.066071518636207</v>
      </c>
      <c r="BK325" s="1253">
        <f>SUM(BK319:BK321)</f>
        <v>7.1519999999999992</v>
      </c>
      <c r="BL325" s="1287">
        <f>(BK325/BK$17)*100</f>
        <v>0.18431455319570045</v>
      </c>
      <c r="BM325" s="1287">
        <f t="shared" si="436"/>
        <v>82.77536417071299</v>
      </c>
      <c r="BO325" s="1253">
        <f>SUM(BO319:BO321)</f>
        <v>1.07</v>
      </c>
      <c r="BP325" s="1287">
        <f>(BO325/BO$17)*100</f>
        <v>2.5795955917363264E-2</v>
      </c>
      <c r="BQ325" s="1287">
        <f t="shared" si="437"/>
        <v>-85.039149888143172</v>
      </c>
      <c r="BS325" s="1253">
        <f>SUM(BS319:BS321)</f>
        <v>-4.9000000000000002E-2</v>
      </c>
      <c r="BT325" s="1287">
        <f>(BS325/BS$17)*100</f>
        <v>-1.0728510656646565E-3</v>
      </c>
      <c r="BU325" s="1287">
        <f t="shared" si="438"/>
        <v>-104.57943925233646</v>
      </c>
    </row>
    <row r="326" spans="1:76" outlineLevel="1">
      <c r="A326" s="1254"/>
      <c r="C326" s="1252"/>
      <c r="D326" s="1264"/>
      <c r="E326" s="1256"/>
      <c r="G326" s="1252"/>
      <c r="H326" s="1264"/>
      <c r="I326" s="1265"/>
      <c r="K326" s="1252"/>
      <c r="L326" s="1264"/>
      <c r="M326" s="1265"/>
      <c r="O326" s="1252"/>
      <c r="P326" s="1264"/>
      <c r="Q326" s="1265"/>
      <c r="S326" s="1252"/>
      <c r="T326" s="1264"/>
      <c r="U326" s="1265"/>
      <c r="W326" s="1252"/>
      <c r="X326" s="1264"/>
      <c r="Y326" s="1265"/>
      <c r="AA326" s="1252"/>
      <c r="AB326" s="1264"/>
      <c r="AC326" s="1265"/>
      <c r="AD326" s="1252"/>
      <c r="AE326" s="1252"/>
      <c r="AF326" s="1264"/>
      <c r="AG326" s="1265"/>
      <c r="AI326" s="1253"/>
      <c r="AJ326" s="1266"/>
      <c r="AK326" s="1258"/>
      <c r="AM326" s="1253"/>
      <c r="AN326" s="1266"/>
      <c r="AO326" s="1258"/>
      <c r="AQ326" s="1253"/>
      <c r="AR326" s="1264"/>
      <c r="AS326" s="1265"/>
      <c r="AT326" s="1244"/>
      <c r="AU326" s="1253"/>
      <c r="AV326" s="1264"/>
      <c r="AW326" s="1265"/>
      <c r="AX326" s="1244"/>
      <c r="AY326" s="1253"/>
      <c r="AZ326" s="1264"/>
      <c r="BA326" s="1265"/>
      <c r="BB326" s="1244"/>
      <c r="BC326" s="1253"/>
      <c r="BD326" s="1264"/>
      <c r="BE326" s="1265"/>
      <c r="BF326" s="1244"/>
      <c r="BG326" s="1253"/>
      <c r="BH326" s="1265"/>
      <c r="BJ326" s="1282"/>
      <c r="BK326" s="1253"/>
      <c r="BL326" s="1265"/>
      <c r="BN326" s="1282"/>
      <c r="BO326" s="1253"/>
      <c r="BP326" s="1265"/>
      <c r="BR326" s="1282"/>
      <c r="BS326" s="1253"/>
      <c r="BT326" s="1265"/>
      <c r="BX326" s="1244">
        <f>30.91-0.586</f>
        <v>30.324000000000002</v>
      </c>
    </row>
    <row r="327" spans="1:76" outlineLevel="1">
      <c r="A327" s="1251" t="s">
        <v>915</v>
      </c>
      <c r="B327" s="1281"/>
      <c r="C327" s="1281"/>
      <c r="D327" s="1281"/>
      <c r="E327" s="1281"/>
      <c r="F327" s="1281"/>
      <c r="G327" s="1281"/>
      <c r="H327" s="1281"/>
      <c r="I327" s="1281"/>
      <c r="J327" s="1281"/>
      <c r="K327" s="1281"/>
      <c r="L327" s="1281"/>
      <c r="M327" s="1281"/>
      <c r="N327" s="1281"/>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J327" s="1281"/>
      <c r="AK327" s="1281"/>
      <c r="AL327" s="1281"/>
      <c r="AM327" s="1281"/>
      <c r="AN327" s="1281"/>
      <c r="AO327" s="1281"/>
      <c r="AP327" s="1281"/>
      <c r="AQ327" s="1281"/>
      <c r="AR327" s="1281"/>
      <c r="AS327" s="1281"/>
      <c r="AT327" s="1281"/>
      <c r="AU327" s="1281"/>
      <c r="AV327" s="1281"/>
      <c r="AW327" s="1281"/>
      <c r="AX327" s="1281"/>
      <c r="AY327" s="1281"/>
      <c r="AZ327" s="1281"/>
      <c r="BA327" s="1281"/>
      <c r="BB327" s="1282"/>
      <c r="BC327" s="1318"/>
      <c r="BD327" s="1281"/>
      <c r="BE327" s="1319"/>
      <c r="BF327" s="1282"/>
      <c r="BG327" s="2264" t="str">
        <f>A327</f>
        <v>D&amp;A (% Sales)</v>
      </c>
      <c r="BH327" s="2264"/>
      <c r="BI327" s="2264"/>
      <c r="BJ327" s="2264"/>
      <c r="BK327" s="2266"/>
      <c r="BL327" s="2264"/>
      <c r="BM327" s="2264"/>
      <c r="BN327" s="1663"/>
      <c r="BO327" s="1663"/>
      <c r="BP327" s="1663"/>
      <c r="BQ327" s="1663"/>
      <c r="BR327" s="2149"/>
      <c r="BS327" s="2149"/>
      <c r="BT327" s="2149"/>
      <c r="BU327" s="2149"/>
    </row>
    <row r="328" spans="1:76" outlineLevel="1">
      <c r="AT328" s="1244"/>
      <c r="AU328" s="1293"/>
      <c r="AX328" s="1244"/>
      <c r="AY328" s="1245"/>
      <c r="BB328" s="1244"/>
      <c r="BC328" s="1245"/>
      <c r="BF328" s="1244"/>
      <c r="BG328" s="1245"/>
      <c r="BK328" s="1245"/>
      <c r="BO328" s="1245"/>
      <c r="BS328" s="1245"/>
    </row>
    <row r="329" spans="1:76" outlineLevel="1">
      <c r="A329" s="1254" t="s">
        <v>79</v>
      </c>
      <c r="C329" s="1255"/>
      <c r="D329" s="1264"/>
      <c r="E329" s="1256"/>
      <c r="G329" s="1255"/>
      <c r="H329" s="1264"/>
      <c r="I329" s="1265"/>
      <c r="K329" s="1255"/>
      <c r="L329" s="1264"/>
      <c r="M329" s="1265"/>
      <c r="O329" s="1255"/>
      <c r="P329" s="1264"/>
      <c r="Q329" s="1265"/>
      <c r="S329" s="1255"/>
      <c r="T329" s="1264"/>
      <c r="U329" s="1265"/>
      <c r="W329" s="1255"/>
      <c r="X329" s="1264"/>
      <c r="Y329" s="1265"/>
      <c r="AA329" s="1255"/>
      <c r="AB329" s="1264"/>
      <c r="AC329" s="1265"/>
      <c r="AE329" s="1255"/>
      <c r="AF329" s="1264"/>
      <c r="AG329" s="1265"/>
      <c r="AI329" s="1253">
        <f>AI72</f>
        <v>39.679000000000002</v>
      </c>
      <c r="AJ329" s="1287">
        <f>(AI329/AI$11)*100</f>
        <v>4.7803547527055832</v>
      </c>
      <c r="AK329" s="1287" t="str">
        <f t="shared" ref="AK329:AK335" si="439">IFERROR(((AI329/AE329-1)*100),"-")</f>
        <v>-</v>
      </c>
      <c r="AM329" s="1253">
        <f>AM72</f>
        <v>36.728999999999999</v>
      </c>
      <c r="AN329" s="1287">
        <f>(AM329/AM$11)*100</f>
        <v>4.105275864612743</v>
      </c>
      <c r="AO329" s="1287">
        <f t="shared" ref="AO329:AO335" si="440">IFERROR(((AM329/AI329-1)*100),"-")</f>
        <v>-7.4346631719549467</v>
      </c>
      <c r="AQ329" s="1253">
        <f>AQ72</f>
        <v>36.619999999999997</v>
      </c>
      <c r="AR329" s="1287">
        <f>(AQ329/AQ$11)*100</f>
        <v>3.9415293176805895</v>
      </c>
      <c r="AS329" s="1287">
        <f t="shared" ref="AS329:AS335" si="441">IFERROR(((AQ329/AM329-1)*100),"-")</f>
        <v>-0.29676822129652836</v>
      </c>
      <c r="AT329" s="1244"/>
      <c r="AU329" s="1253">
        <f>AU72</f>
        <v>39.937748829999997</v>
      </c>
      <c r="AV329" s="1287">
        <f>(AU329/AU$11)*100</f>
        <v>4.0652344246100078</v>
      </c>
      <c r="AW329" s="1287">
        <f t="shared" ref="AW329:AW335" si="442">IFERROR(((AU329/AQ329-1)*100),"-")</f>
        <v>9.0599367285636223</v>
      </c>
      <c r="AX329" s="1244"/>
      <c r="AY329" s="1253">
        <f>AY72</f>
        <v>43.991999999999997</v>
      </c>
      <c r="AZ329" s="1287">
        <f>(AY329/AY$11)*100</f>
        <v>4.1306538042258634</v>
      </c>
      <c r="BA329" s="1287">
        <f t="shared" ref="BA329:BA335" si="443">IFERROR(((AY329/AU329-1)*100),"-")</f>
        <v>10.151426379231898</v>
      </c>
      <c r="BB329" s="1252"/>
      <c r="BC329" s="1253">
        <f>BC72</f>
        <v>41.207999999999998</v>
      </c>
      <c r="BD329" s="1287">
        <f>(BC329/BC$11)*100</f>
        <v>3.652320501582512</v>
      </c>
      <c r="BE329" s="1287">
        <f t="shared" ref="BE329:BE335" si="444">IFERROR(((BC329/AY329-1)*100),"-")</f>
        <v>-6.3284233496999409</v>
      </c>
      <c r="BF329" s="1252"/>
      <c r="BG329" s="1253">
        <f>BG72</f>
        <v>42.155000000000001</v>
      </c>
      <c r="BH329" s="1287">
        <f>(BG329/BG$11)*100</f>
        <v>3.56322043110276</v>
      </c>
      <c r="BI329" s="1287">
        <f t="shared" ref="BI329:BI335" si="445">IFERROR(((BG329/BC329-1)*100),"-")</f>
        <v>2.2980974568045154</v>
      </c>
      <c r="BK329" s="1253">
        <f>BK72</f>
        <v>45.545000000000002</v>
      </c>
      <c r="BL329" s="1287">
        <f>(BK329/BK$11)*100</f>
        <v>3.5507963856642779</v>
      </c>
      <c r="BM329" s="1287">
        <f>(BK329/BG329-1)*100</f>
        <v>8.0417506820068763</v>
      </c>
      <c r="BO329" s="1253">
        <f>BO72</f>
        <v>48.012</v>
      </c>
      <c r="BP329" s="1287">
        <f>(BO329/BO$11)*100</f>
        <v>3.565567013677958</v>
      </c>
      <c r="BQ329" s="1287">
        <f>(BO329/BK329-1)*100</f>
        <v>5.4166209243605268</v>
      </c>
      <c r="BS329" s="1253">
        <f>BS72</f>
        <v>54.25356</v>
      </c>
      <c r="BT329" s="1287">
        <f>(BS329/BS$11)*100</f>
        <v>3.6509639536870253</v>
      </c>
      <c r="BU329" s="1287">
        <f>(BS329/BO329-1)*100</f>
        <v>12.999999999999989</v>
      </c>
    </row>
    <row r="330" spans="1:76" outlineLevel="1">
      <c r="A330" s="1254" t="s">
        <v>80</v>
      </c>
      <c r="C330" s="1259"/>
      <c r="D330" s="1264"/>
      <c r="E330" s="1256"/>
      <c r="G330" s="1259"/>
      <c r="H330" s="1264"/>
      <c r="I330" s="1265"/>
      <c r="K330" s="1259"/>
      <c r="L330" s="1264"/>
      <c r="M330" s="1265"/>
      <c r="O330" s="1259"/>
      <c r="P330" s="1264"/>
      <c r="Q330" s="1265"/>
      <c r="S330" s="1259"/>
      <c r="T330" s="1264"/>
      <c r="U330" s="1265"/>
      <c r="W330" s="1259"/>
      <c r="X330" s="1264"/>
      <c r="Y330" s="1265"/>
      <c r="AA330" s="1259"/>
      <c r="AB330" s="1264"/>
      <c r="AC330" s="1265"/>
      <c r="AE330" s="1259"/>
      <c r="AF330" s="1264"/>
      <c r="AG330" s="1265"/>
      <c r="AI330" s="1361">
        <f>AI73</f>
        <v>37.665999999999997</v>
      </c>
      <c r="AJ330" s="1287">
        <f>(AI330/AI$12)*100</f>
        <v>5.3733498055573783</v>
      </c>
      <c r="AK330" s="1287" t="str">
        <f t="shared" si="439"/>
        <v>-</v>
      </c>
      <c r="AL330" s="1269"/>
      <c r="AM330" s="1361">
        <f>AM73</f>
        <v>35.506</v>
      </c>
      <c r="AN330" s="1287">
        <f>(AM330/AM$12)*100</f>
        <v>4.8721783876500853</v>
      </c>
      <c r="AO330" s="1287">
        <f t="shared" si="440"/>
        <v>-5.7346147719428586</v>
      </c>
      <c r="AP330" s="1269"/>
      <c r="AQ330" s="1361">
        <f>AQ73</f>
        <v>37.366999999999997</v>
      </c>
      <c r="AR330" s="1287">
        <f>(AQ330/AQ$12)*100</f>
        <v>4.7100330371627113</v>
      </c>
      <c r="AS330" s="1287">
        <f t="shared" si="441"/>
        <v>5.2413676561707812</v>
      </c>
      <c r="AT330" s="1244"/>
      <c r="AU330" s="1361">
        <f>AU73</f>
        <v>39.978999999999999</v>
      </c>
      <c r="AV330" s="1287">
        <f>(AU330/AU$12)*100</f>
        <v>4.6262287334667196</v>
      </c>
      <c r="AW330" s="1287">
        <f t="shared" si="442"/>
        <v>6.9901249765836226</v>
      </c>
      <c r="AX330" s="1244"/>
      <c r="AY330" s="1361">
        <f>AY73</f>
        <v>41.247</v>
      </c>
      <c r="AZ330" s="1287">
        <f>(AY330/AY$12)*100</f>
        <v>4.2800175571307166</v>
      </c>
      <c r="BA330" s="1287">
        <f t="shared" si="443"/>
        <v>3.1716651241902039</v>
      </c>
      <c r="BB330" s="1252"/>
      <c r="BC330" s="1361">
        <f>BC73</f>
        <v>40.548999999999999</v>
      </c>
      <c r="BD330" s="1287">
        <f>(BC330/BC$12)*100</f>
        <v>3.8855632672499794</v>
      </c>
      <c r="BE330" s="1287">
        <f t="shared" si="444"/>
        <v>-1.6922442844328089</v>
      </c>
      <c r="BF330" s="1252"/>
      <c r="BG330" s="1361">
        <f>BG73</f>
        <v>41.746000000000002</v>
      </c>
      <c r="BH330" s="1287">
        <f>(BG330/BG$12)*100</f>
        <v>3.6484306312258679</v>
      </c>
      <c r="BI330" s="1287">
        <f t="shared" si="445"/>
        <v>2.9519840193346303</v>
      </c>
      <c r="BJ330" s="1282"/>
      <c r="BK330" s="1361">
        <f>BK73</f>
        <v>44.613</v>
      </c>
      <c r="BL330" s="1287">
        <f>(BK330/BK$12)*100</f>
        <v>3.554670599568305</v>
      </c>
      <c r="BM330" s="1287">
        <f>(BK330/BG330-1)*100</f>
        <v>6.8677238537823815</v>
      </c>
      <c r="BN330" s="1282"/>
      <c r="BO330" s="1361">
        <f>BO73</f>
        <v>48.7</v>
      </c>
      <c r="BP330" s="1287">
        <f>(BO330/BO$12)*100</f>
        <v>3.5724136312154133</v>
      </c>
      <c r="BQ330" s="1287">
        <f>(BO330/BK330-1)*100</f>
        <v>9.1610068814022902</v>
      </c>
      <c r="BR330" s="1282"/>
      <c r="BS330" s="1361">
        <f>BS73</f>
        <v>54.544000000000004</v>
      </c>
      <c r="BT330" s="1287">
        <f>(BS330/BS$12)*100</f>
        <v>3.6386665251995387</v>
      </c>
      <c r="BU330" s="1287">
        <f>(BS330/BO330-1)*100</f>
        <v>12.000000000000011</v>
      </c>
    </row>
    <row r="331" spans="1:76" outlineLevel="1">
      <c r="A331" s="1254" t="s">
        <v>81</v>
      </c>
      <c r="C331" s="1259"/>
      <c r="D331" s="1264"/>
      <c r="E331" s="1256"/>
      <c r="G331" s="1259"/>
      <c r="H331" s="1264"/>
      <c r="I331" s="1265"/>
      <c r="K331" s="1259"/>
      <c r="L331" s="1264"/>
      <c r="M331" s="1265"/>
      <c r="O331" s="1259"/>
      <c r="P331" s="1264"/>
      <c r="Q331" s="1265"/>
      <c r="S331" s="1259"/>
      <c r="T331" s="1264"/>
      <c r="U331" s="1265"/>
      <c r="W331" s="1259"/>
      <c r="X331" s="1264"/>
      <c r="Y331" s="1265"/>
      <c r="AA331" s="1259"/>
      <c r="AB331" s="1264"/>
      <c r="AC331" s="1265"/>
      <c r="AE331" s="1259"/>
      <c r="AF331" s="1264"/>
      <c r="AG331" s="1265"/>
      <c r="AI331" s="1361">
        <f>AI74</f>
        <v>36.21</v>
      </c>
      <c r="AJ331" s="1287">
        <f>(AI331/AI$13)*100</f>
        <v>4.1507426860497905</v>
      </c>
      <c r="AK331" s="1287" t="str">
        <f t="shared" si="439"/>
        <v>-</v>
      </c>
      <c r="AL331" s="1269"/>
      <c r="AM331" s="1361">
        <f>AM74</f>
        <v>36.96</v>
      </c>
      <c r="AN331" s="1287">
        <f>(AM331/AM$13)*100</f>
        <v>4.3067586746928992</v>
      </c>
      <c r="AO331" s="1287">
        <f t="shared" si="440"/>
        <v>2.0712510356255098</v>
      </c>
      <c r="AP331" s="1269"/>
      <c r="AQ331" s="1361">
        <f>AQ74</f>
        <v>39.188000000000002</v>
      </c>
      <c r="AR331" s="1287">
        <f>(AQ331/AQ$13)*100</f>
        <v>4.360700284756355</v>
      </c>
      <c r="AS331" s="1287">
        <f t="shared" si="441"/>
        <v>6.0281385281385269</v>
      </c>
      <c r="AT331" s="1244"/>
      <c r="AU331" s="1361">
        <f>AU74</f>
        <v>40.844000000000001</v>
      </c>
      <c r="AV331" s="1287">
        <f>(AU331/AU$13)*100</f>
        <v>4.2198835822931029</v>
      </c>
      <c r="AW331" s="1287">
        <f t="shared" si="442"/>
        <v>4.2257834030825725</v>
      </c>
      <c r="AX331" s="1244"/>
      <c r="AY331" s="1361">
        <f>AY74</f>
        <v>41.070999999999998</v>
      </c>
      <c r="AZ331" s="1287">
        <f>(AY331/AY$13)*100</f>
        <v>3.8582360577997972</v>
      </c>
      <c r="BA331" s="1287">
        <f t="shared" si="443"/>
        <v>0.55577318578003965</v>
      </c>
      <c r="BB331" s="1252"/>
      <c r="BC331" s="1361">
        <f>BC74</f>
        <v>42.584000000000003</v>
      </c>
      <c r="BD331" s="1287">
        <f>(BC331/BC$13)*100</f>
        <v>3.6796245027184158</v>
      </c>
      <c r="BE331" s="1287">
        <f t="shared" si="444"/>
        <v>3.6838645272820436</v>
      </c>
      <c r="BF331" s="1252"/>
      <c r="BG331" s="1361">
        <f>BG74</f>
        <v>43.186</v>
      </c>
      <c r="BH331" s="1287">
        <f>(BG331/BG$13)*100</f>
        <v>3.5085296282515199</v>
      </c>
      <c r="BI331" s="1287">
        <f t="shared" si="445"/>
        <v>1.4136764982152883</v>
      </c>
      <c r="BJ331" s="1282"/>
      <c r="BK331" s="1361">
        <f>BK74</f>
        <v>46.472000000000001</v>
      </c>
      <c r="BL331" s="1287">
        <f>(BK331/BK$13)*100</f>
        <v>3.4613436615522124</v>
      </c>
      <c r="BM331" s="1287">
        <f>(BK331/BG331-1)*100</f>
        <v>7.6089473440466904</v>
      </c>
      <c r="BN331" s="1282"/>
      <c r="BO331" s="1361">
        <f>BO74</f>
        <v>50.835999999999999</v>
      </c>
      <c r="BP331" s="1287">
        <f>(BO331/BO$13)*100</f>
        <v>3.5347772546581862</v>
      </c>
      <c r="BQ331" s="1287">
        <f>(BO331/BK331-1)*100</f>
        <v>9.3906007918746823</v>
      </c>
      <c r="BR331" s="1282"/>
      <c r="BS331" s="1361">
        <f>BS74</f>
        <v>56.936319999999995</v>
      </c>
      <c r="BT331" s="1287">
        <f>(BS331/BS$13)*100</f>
        <v>3.5984347216279153</v>
      </c>
      <c r="BU331" s="1287">
        <f>(BS331/BO331-1)*100</f>
        <v>11.999999999999989</v>
      </c>
    </row>
    <row r="332" spans="1:76" outlineLevel="1">
      <c r="A332" s="1254" t="s">
        <v>82</v>
      </c>
      <c r="C332" s="1261"/>
      <c r="D332" s="1264"/>
      <c r="E332" s="1256"/>
      <c r="G332" s="1261"/>
      <c r="H332" s="1264"/>
      <c r="I332" s="1265"/>
      <c r="K332" s="1261"/>
      <c r="L332" s="1264"/>
      <c r="M332" s="1265"/>
      <c r="O332" s="1261"/>
      <c r="P332" s="1264"/>
      <c r="Q332" s="1265"/>
      <c r="S332" s="1262"/>
      <c r="T332" s="1264"/>
      <c r="U332" s="1265"/>
      <c r="W332" s="1261"/>
      <c r="X332" s="1264"/>
      <c r="Y332" s="1265"/>
      <c r="AA332" s="1261"/>
      <c r="AB332" s="1264"/>
      <c r="AC332" s="1265"/>
      <c r="AE332" s="1262"/>
      <c r="AF332" s="1264"/>
      <c r="AG332" s="1265"/>
      <c r="AI332" s="1329">
        <f>AI75</f>
        <v>42.832999999999998</v>
      </c>
      <c r="AJ332" s="1287">
        <f>(AI332/AI$14)*100</f>
        <v>3.8260181381468299</v>
      </c>
      <c r="AK332" s="1287" t="str">
        <f t="shared" si="439"/>
        <v>-</v>
      </c>
      <c r="AL332" s="1269"/>
      <c r="AM332" s="1329">
        <f>AM75</f>
        <v>37.563999999999993</v>
      </c>
      <c r="AN332" s="1287">
        <f>(AM332/AM$14)*100</f>
        <v>3.1619848011932765</v>
      </c>
      <c r="AO332" s="1287">
        <f t="shared" si="440"/>
        <v>-12.301263044848609</v>
      </c>
      <c r="AP332" s="1269"/>
      <c r="AQ332" s="1329">
        <f>AQ75</f>
        <v>39.894999999999996</v>
      </c>
      <c r="AR332" s="1287">
        <f>(AQ332/AQ$14)*100</f>
        <v>3.2354966298768648</v>
      </c>
      <c r="AS332" s="1287">
        <f t="shared" si="441"/>
        <v>6.2054094345650235</v>
      </c>
      <c r="AT332" s="1244"/>
      <c r="AU332" s="1329">
        <f>AU75</f>
        <v>46.037999999999997</v>
      </c>
      <c r="AV332" s="1287">
        <f>(AU332/AU$14)*100</f>
        <v>3.6464669331379289</v>
      </c>
      <c r="AW332" s="1287">
        <f t="shared" si="442"/>
        <v>15.397919538789328</v>
      </c>
      <c r="AX332" s="1244"/>
      <c r="AY332" s="1329">
        <f>AY75</f>
        <v>41.884</v>
      </c>
      <c r="AZ332" s="1287">
        <f>(AY332/AY$14)*100</f>
        <v>3.1390783173209162</v>
      </c>
      <c r="BA332" s="1287">
        <f t="shared" si="443"/>
        <v>-9.0229810156826851</v>
      </c>
      <c r="BB332" s="1252"/>
      <c r="BC332" s="1329">
        <f>BC75</f>
        <v>43.238999999999997</v>
      </c>
      <c r="BD332" s="1287">
        <f>(BC332/BC$14)*100</f>
        <v>2.911007552367705</v>
      </c>
      <c r="BE332" s="1287">
        <f t="shared" si="444"/>
        <v>3.2351255849488947</v>
      </c>
      <c r="BF332" s="1252"/>
      <c r="BG332" s="1329">
        <f>BG75</f>
        <v>45.012</v>
      </c>
      <c r="BH332" s="1287">
        <f>(BG332/BG$14)*100</f>
        <v>2.921398340698703</v>
      </c>
      <c r="BI332" s="1287">
        <f t="shared" si="445"/>
        <v>4.1004648581142167</v>
      </c>
      <c r="BJ332" s="1282"/>
      <c r="BK332" s="1329">
        <f>BK75</f>
        <v>46.956000000000003</v>
      </c>
      <c r="BL332" s="1287">
        <f>(BK332/BK$14)*100</f>
        <v>2.7855242434219312</v>
      </c>
      <c r="BM332" s="1287">
        <f>(BK332/BG332-1)*100</f>
        <v>4.3188483071181061</v>
      </c>
      <c r="BN332" s="1282"/>
      <c r="BO332" s="1329">
        <f>BO75</f>
        <v>53.555</v>
      </c>
      <c r="BP332" s="1287">
        <f>(BO332/BO$14)*100</f>
        <v>2.7650866442003914</v>
      </c>
      <c r="BQ332" s="1287">
        <f>(BO332/BK332-1)*100</f>
        <v>14.053582076837889</v>
      </c>
      <c r="BR332" s="1282"/>
      <c r="BS332" s="1329">
        <f>BS75</f>
        <v>59.9816</v>
      </c>
      <c r="BT332" s="1287">
        <f>(BS332/BS$14)*100</f>
        <v>2.9692205575306221</v>
      </c>
      <c r="BU332" s="1287">
        <f>(BS332/BO332-1)*100</f>
        <v>12.000000000000011</v>
      </c>
    </row>
    <row r="333" spans="1:76" outlineLevel="1">
      <c r="A333" s="1254" t="s">
        <v>85</v>
      </c>
      <c r="C333" s="1252"/>
      <c r="D333" s="1264"/>
      <c r="E333" s="1256"/>
      <c r="G333" s="1252"/>
      <c r="H333" s="1264"/>
      <c r="I333" s="1265"/>
      <c r="K333" s="1252"/>
      <c r="L333" s="1264"/>
      <c r="M333" s="1265"/>
      <c r="O333" s="1252"/>
      <c r="P333" s="1264"/>
      <c r="Q333" s="1265"/>
      <c r="S333" s="1252"/>
      <c r="T333" s="1264"/>
      <c r="U333" s="1265"/>
      <c r="W333" s="1252"/>
      <c r="X333" s="1264"/>
      <c r="Y333" s="1265"/>
      <c r="AA333" s="1252"/>
      <c r="AB333" s="1264"/>
      <c r="AC333" s="1265"/>
      <c r="AD333" s="1252"/>
      <c r="AE333" s="1252"/>
      <c r="AF333" s="1264"/>
      <c r="AG333" s="1265"/>
      <c r="AI333" s="1253">
        <f>SUM(AI329:AI332)</f>
        <v>156.38800000000001</v>
      </c>
      <c r="AJ333" s="1287">
        <f>(AI333/AI$15)*100</f>
        <v>4.4391659858855483</v>
      </c>
      <c r="AK333" s="1287" t="str">
        <f t="shared" si="439"/>
        <v>-</v>
      </c>
      <c r="AM333" s="1253">
        <f>SUM(AM329:AM332)</f>
        <v>146.75899999999999</v>
      </c>
      <c r="AN333" s="1287">
        <f>(AM333/AM$15)*100</f>
        <v>3.9993165471350842</v>
      </c>
      <c r="AO333" s="1287">
        <f t="shared" si="440"/>
        <v>-6.1571220298232703</v>
      </c>
      <c r="AQ333" s="1253">
        <f>SUM(AQ329:AQ332)</f>
        <v>153.07</v>
      </c>
      <c r="AR333" s="1287">
        <f>(AQ333/AQ$15)*100</f>
        <v>3.9715796077666212</v>
      </c>
      <c r="AS333" s="1287">
        <f t="shared" si="441"/>
        <v>4.3002473442855349</v>
      </c>
      <c r="AT333" s="1244"/>
      <c r="AU333" s="1253">
        <f>SUM(AU329:AU332)</f>
        <v>166.79874882999997</v>
      </c>
      <c r="AV333" s="1287">
        <f>(AU333/AU$15)*100</f>
        <v>4.0911785830390563</v>
      </c>
      <c r="AW333" s="1287">
        <f t="shared" si="442"/>
        <v>8.9689350166590298</v>
      </c>
      <c r="AX333" s="1244"/>
      <c r="AY333" s="1253">
        <f>SUM(AY329:AY332)</f>
        <v>168.19400000000002</v>
      </c>
      <c r="AZ333" s="1287">
        <f>(AY333/AY$15)*100</f>
        <v>3.7988455343790855</v>
      </c>
      <c r="BA333" s="1287">
        <f t="shared" si="443"/>
        <v>0.83648779129756878</v>
      </c>
      <c r="BB333" s="1244"/>
      <c r="BC333" s="1253">
        <f>SUM(BC329:BC332)</f>
        <v>167.58</v>
      </c>
      <c r="BD333" s="1287">
        <f>(BC333/BC$15)*100</f>
        <v>3.4807323869707036</v>
      </c>
      <c r="BE333" s="1287">
        <f t="shared" si="444"/>
        <v>-0.36505463928558912</v>
      </c>
      <c r="BF333" s="1244"/>
      <c r="BG333" s="1253">
        <f>SUM(BG329:BG332)</f>
        <v>172.09900000000002</v>
      </c>
      <c r="BH333" s="1287">
        <f>(BG333/BG$15)*100</f>
        <v>3.3751970020388584</v>
      </c>
      <c r="BI333" s="1287">
        <f t="shared" si="445"/>
        <v>2.6966225086525908</v>
      </c>
      <c r="BJ333" s="1282"/>
      <c r="BK333" s="1253">
        <f>SUM(BK329:BK332)</f>
        <v>183.58600000000001</v>
      </c>
      <c r="BL333" s="1287">
        <f>(BK333/BK$15)*100</f>
        <v>3.2983245892320538</v>
      </c>
      <c r="BM333" s="1287">
        <f>(BK333/BG333-1)*100</f>
        <v>6.6746465697069768</v>
      </c>
      <c r="BN333" s="1282"/>
      <c r="BO333" s="1253">
        <f>SUM(BO329:BO332)</f>
        <v>201.10300000000001</v>
      </c>
      <c r="BP333" s="1287">
        <f>(BO333/BO$15)*100</f>
        <v>3.3050243838464786</v>
      </c>
      <c r="BQ333" s="1287">
        <f>(BO333/BK333-1)*100</f>
        <v>9.541577244452192</v>
      </c>
      <c r="BR333" s="1282"/>
      <c r="BS333" s="1253">
        <f>SUM(BS329:BS332)</f>
        <v>225.71548000000001</v>
      </c>
      <c r="BT333" s="1287">
        <f>(BS333/BS$15)*100</f>
        <v>3.4264822257800822</v>
      </c>
      <c r="BU333" s="1287">
        <f>(BS333/BO333-1)*100</f>
        <v>12.23874333053212</v>
      </c>
      <c r="BW333" s="1252"/>
    </row>
    <row r="334" spans="1:76" outlineLevel="1">
      <c r="A334" s="1254" t="s">
        <v>87</v>
      </c>
      <c r="C334" s="1252"/>
      <c r="D334" s="1264"/>
      <c r="E334" s="1256"/>
      <c r="G334" s="1252"/>
      <c r="H334" s="1264"/>
      <c r="I334" s="1265"/>
      <c r="K334" s="1252"/>
      <c r="L334" s="1264"/>
      <c r="M334" s="1265"/>
      <c r="O334" s="1252"/>
      <c r="P334" s="1264"/>
      <c r="Q334" s="1265"/>
      <c r="S334" s="1252"/>
      <c r="T334" s="1264"/>
      <c r="U334" s="1265"/>
      <c r="W334" s="1252"/>
      <c r="X334" s="1264"/>
      <c r="Y334" s="1265"/>
      <c r="AA334" s="1252"/>
      <c r="AB334" s="1264"/>
      <c r="AC334" s="1265"/>
      <c r="AD334" s="1252"/>
      <c r="AE334" s="1252"/>
      <c r="AF334" s="1264"/>
      <c r="AG334" s="1265"/>
      <c r="AI334" s="1253">
        <f>SUM(AI329:AI330)</f>
        <v>77.344999999999999</v>
      </c>
      <c r="AJ334" s="1287">
        <f>(AI334/AI$16)*100</f>
        <v>5.0518575512680757</v>
      </c>
      <c r="AK334" s="1287" t="str">
        <f t="shared" si="439"/>
        <v>-</v>
      </c>
      <c r="AM334" s="1253">
        <f>SUM(AM329:AM330)</f>
        <v>72.234999999999999</v>
      </c>
      <c r="AN334" s="1287">
        <f>(AM334/AM$16)*100</f>
        <v>4.4495351811105888</v>
      </c>
      <c r="AO334" s="1287">
        <f t="shared" si="440"/>
        <v>-6.6067619109186122</v>
      </c>
      <c r="AQ334" s="1253">
        <f>SUM(AQ329:AQ330)</f>
        <v>73.986999999999995</v>
      </c>
      <c r="AR334" s="1287">
        <f>(AQ334/AQ$16)*100</f>
        <v>4.2955011234128531</v>
      </c>
      <c r="AS334" s="1287">
        <f t="shared" si="441"/>
        <v>2.4254170416003307</v>
      </c>
      <c r="AT334" s="1244"/>
      <c r="AU334" s="1253">
        <f>SUM(AU329:AU330)</f>
        <v>79.916748829999989</v>
      </c>
      <c r="AV334" s="1287">
        <f>(AU334/AU$16)*100</f>
        <v>4.3277709546721246</v>
      </c>
      <c r="AW334" s="1287">
        <f t="shared" si="442"/>
        <v>8.0145820617135257</v>
      </c>
      <c r="AX334" s="1244"/>
      <c r="AY334" s="1253">
        <f>SUM(AY329:AY330)</f>
        <v>85.239000000000004</v>
      </c>
      <c r="AZ334" s="1287">
        <f>(AY334/AY$16)*100</f>
        <v>4.201606527058388</v>
      </c>
      <c r="BA334" s="1287">
        <f t="shared" si="443"/>
        <v>6.6597443563696235</v>
      </c>
      <c r="BB334" s="1244"/>
      <c r="BC334" s="1253">
        <f>SUM(BC329:BC330)</f>
        <v>81.757000000000005</v>
      </c>
      <c r="BD334" s="1287">
        <f>(BC334/BC$16)*100</f>
        <v>3.7643944102953708</v>
      </c>
      <c r="BE334" s="1287">
        <f t="shared" si="444"/>
        <v>-4.0849845727894518</v>
      </c>
      <c r="BF334" s="1244"/>
      <c r="BG334" s="1253">
        <f>SUM(BG329:BG330)</f>
        <v>83.90100000000001</v>
      </c>
      <c r="BH334" s="1287">
        <f>(BG334/BG$16)*100</f>
        <v>3.605114474985144</v>
      </c>
      <c r="BI334" s="1287">
        <f t="shared" si="445"/>
        <v>2.622405420942564</v>
      </c>
      <c r="BJ334" s="1282"/>
      <c r="BK334" s="1253">
        <f>SUM(BK329:BK330)</f>
        <v>90.158000000000001</v>
      </c>
      <c r="BL334" s="1287">
        <f>(BK334/BK$16)*100</f>
        <v>3.5527124118747402</v>
      </c>
      <c r="BM334" s="1287">
        <f>IFERROR(((BK334/BG334-1)*100),"-")</f>
        <v>7.457598836724233</v>
      </c>
      <c r="BN334" s="1282"/>
      <c r="BO334" s="1253">
        <f>SUM(BO329:BO330)</f>
        <v>96.712000000000003</v>
      </c>
      <c r="BP334" s="1287">
        <f>(BO334/BO$16)*100</f>
        <v>3.5690113921107698</v>
      </c>
      <c r="BQ334" s="1287">
        <f>IFERROR(((BO334/BK334-1)*100),"-")</f>
        <v>7.2694602808403008</v>
      </c>
      <c r="BR334" s="1282"/>
      <c r="BS334" s="1253">
        <f>SUM(BS329:BS330)</f>
        <v>108.79756</v>
      </c>
      <c r="BT334" s="1287">
        <f>(BS334/BS$16)*100</f>
        <v>3.6447884525628722</v>
      </c>
      <c r="BU334" s="1287">
        <f>IFERROR(((BS334/BO334-1)*100),"-")</f>
        <v>12.496443047398454</v>
      </c>
    </row>
    <row r="335" spans="1:76" outlineLevel="1">
      <c r="A335" s="1254" t="s">
        <v>88</v>
      </c>
      <c r="C335" s="1252"/>
      <c r="D335" s="1264"/>
      <c r="E335" s="1256"/>
      <c r="G335" s="1252"/>
      <c r="H335" s="1264"/>
      <c r="I335" s="1265"/>
      <c r="K335" s="1252"/>
      <c r="L335" s="1264"/>
      <c r="M335" s="1265"/>
      <c r="O335" s="1252"/>
      <c r="P335" s="1264"/>
      <c r="Q335" s="1265"/>
      <c r="S335" s="1252"/>
      <c r="T335" s="1264"/>
      <c r="U335" s="1265"/>
      <c r="W335" s="1252"/>
      <c r="X335" s="1264"/>
      <c r="Y335" s="1265"/>
      <c r="AA335" s="1252"/>
      <c r="AB335" s="1264"/>
      <c r="AC335" s="1265"/>
      <c r="AD335" s="1252"/>
      <c r="AE335" s="1252"/>
      <c r="AF335" s="1264"/>
      <c r="AG335" s="1265"/>
      <c r="AI335" s="1253">
        <f>SUM(AI329:AI331)</f>
        <v>113.55500000000001</v>
      </c>
      <c r="AJ335" s="1287">
        <f>(AI335/AI$17)*100</f>
        <v>4.7247747457242779</v>
      </c>
      <c r="AK335" s="1287" t="str">
        <f t="shared" si="439"/>
        <v>-</v>
      </c>
      <c r="AM335" s="1253">
        <f>SUM(AM329:AM331)</f>
        <v>109.19499999999999</v>
      </c>
      <c r="AN335" s="1287">
        <f>(AM335/AM$17)*100</f>
        <v>4.4001605406803801</v>
      </c>
      <c r="AO335" s="1287">
        <f t="shared" si="440"/>
        <v>-3.8395491171679064</v>
      </c>
      <c r="AQ335" s="1253">
        <f>SUM(AQ329:AQ331)</f>
        <v>113.175</v>
      </c>
      <c r="AR335" s="1287">
        <f>(AQ335/AQ$17)*100</f>
        <v>4.3178551848408278</v>
      </c>
      <c r="AS335" s="1287">
        <f t="shared" si="441"/>
        <v>3.6448555336782817</v>
      </c>
      <c r="AT335" s="1244"/>
      <c r="AU335" s="1253">
        <f>SUM(AU329:AU331)</f>
        <v>120.76074882999998</v>
      </c>
      <c r="AV335" s="1287">
        <f>(AU335/AU$17)*100</f>
        <v>4.2906689290058297</v>
      </c>
      <c r="AW335" s="1287">
        <f t="shared" si="442"/>
        <v>6.7026718179809874</v>
      </c>
      <c r="AX335" s="1244"/>
      <c r="AY335" s="1253">
        <f>SUM(AY329:AY331)</f>
        <v>126.31</v>
      </c>
      <c r="AZ335" s="1287">
        <f>(AY335/AY$17)*100</f>
        <v>4.0834391020895344</v>
      </c>
      <c r="BA335" s="1287">
        <f t="shared" si="443"/>
        <v>4.595244086977246</v>
      </c>
      <c r="BB335" s="1244"/>
      <c r="BC335" s="1253">
        <f>SUM(BC329:BC331)</f>
        <v>124.34100000000001</v>
      </c>
      <c r="BD335" s="1287">
        <f>(BC335/BC$17)*100</f>
        <v>3.7349262963249994</v>
      </c>
      <c r="BE335" s="1287">
        <f t="shared" si="444"/>
        <v>-1.5588631145594167</v>
      </c>
      <c r="BF335" s="1244"/>
      <c r="BG335" s="1253">
        <f>SUM(BG329:BG331)</f>
        <v>127.08700000000002</v>
      </c>
      <c r="BH335" s="1287">
        <f>(BG335/BG$17)*100</f>
        <v>3.5717025892293299</v>
      </c>
      <c r="BI335" s="1287">
        <f t="shared" si="445"/>
        <v>2.208442911026931</v>
      </c>
      <c r="BJ335" s="1282"/>
      <c r="BK335" s="1253">
        <f>SUM(BK329:BK331)</f>
        <v>136.63</v>
      </c>
      <c r="BL335" s="1287">
        <f>(BK335/BK$17)*100</f>
        <v>3.5210986301913527</v>
      </c>
      <c r="BM335" s="1287">
        <f>IFERROR(((BK335/BG335-1)*100),"-")</f>
        <v>7.5090292476807097</v>
      </c>
      <c r="BN335" s="1282"/>
      <c r="BO335" s="1253">
        <f>SUM(BO329:BO331)</f>
        <v>147.548</v>
      </c>
      <c r="BP335" s="1287">
        <f>(BO335/BO$17)*100</f>
        <v>3.5571417791543123</v>
      </c>
      <c r="BQ335" s="1287">
        <f>IFERROR(((BO335/BK335-1)*100),"-")</f>
        <v>7.9909243943497188</v>
      </c>
      <c r="BR335" s="1282"/>
      <c r="BS335" s="1253">
        <f>SUM(BS329:BS331)</f>
        <v>165.73388</v>
      </c>
      <c r="BT335" s="1287">
        <f>(BS335/BS$17)*100</f>
        <v>3.6287299954028227</v>
      </c>
      <c r="BU335" s="1287">
        <f>IFERROR(((BS335/BO335-1)*100),"-")</f>
        <v>12.325399192127296</v>
      </c>
    </row>
    <row r="336" spans="1:76" outlineLevel="1">
      <c r="A336" s="1254"/>
      <c r="C336" s="1252"/>
      <c r="D336" s="1264"/>
      <c r="E336" s="1256"/>
      <c r="G336" s="1252"/>
      <c r="H336" s="1264"/>
      <c r="I336" s="1265"/>
      <c r="K336" s="1252"/>
      <c r="L336" s="1264"/>
      <c r="M336" s="1265"/>
      <c r="O336" s="1252"/>
      <c r="P336" s="1264"/>
      <c r="Q336" s="1265"/>
      <c r="S336" s="1252"/>
      <c r="T336" s="1264"/>
      <c r="U336" s="1265"/>
      <c r="W336" s="1252"/>
      <c r="X336" s="1264"/>
      <c r="Y336" s="1265"/>
      <c r="AA336" s="1252"/>
      <c r="AB336" s="1264"/>
      <c r="AC336" s="1265"/>
      <c r="AD336" s="1252"/>
      <c r="AE336" s="1252"/>
      <c r="AF336" s="1264"/>
      <c r="AG336" s="1265"/>
      <c r="AI336" s="1253"/>
      <c r="AJ336" s="1287"/>
      <c r="AK336" s="1287"/>
      <c r="AM336" s="1253"/>
      <c r="AN336" s="1287"/>
      <c r="AO336" s="1287"/>
      <c r="AQ336" s="1253"/>
      <c r="AR336" s="1287"/>
      <c r="AS336" s="1287"/>
      <c r="AT336" s="1244"/>
      <c r="AU336" s="1253"/>
      <c r="AV336" s="1287"/>
      <c r="AW336" s="1287"/>
      <c r="AX336" s="1244"/>
      <c r="AY336" s="1253"/>
      <c r="AZ336" s="1287"/>
      <c r="BA336" s="1287"/>
      <c r="BB336" s="1244"/>
      <c r="BC336" s="1253"/>
      <c r="BD336" s="1287"/>
      <c r="BE336" s="1287"/>
      <c r="BF336" s="1244"/>
      <c r="BG336" s="1253"/>
      <c r="BH336" s="1287"/>
      <c r="BI336" s="1287"/>
      <c r="BJ336" s="1282"/>
      <c r="BK336" s="1253"/>
      <c r="BL336" s="1287"/>
      <c r="BM336" s="1287"/>
      <c r="BN336" s="1282"/>
      <c r="BO336" s="1253"/>
      <c r="BP336" s="1287"/>
      <c r="BQ336" s="1287"/>
      <c r="BR336" s="1282"/>
      <c r="BS336" s="1253"/>
      <c r="BT336" s="1287"/>
      <c r="BU336" s="1287"/>
    </row>
    <row r="337" spans="1:75" ht="18" customHeight="1">
      <c r="A337" s="1251" t="s">
        <v>847</v>
      </c>
      <c r="B337" s="1281"/>
      <c r="C337" s="1281"/>
      <c r="D337" s="1281"/>
      <c r="E337" s="1281"/>
      <c r="F337" s="1281"/>
      <c r="G337" s="1281"/>
      <c r="H337" s="1281"/>
      <c r="I337" s="1281"/>
      <c r="J337" s="1281"/>
      <c r="K337" s="1281"/>
      <c r="L337" s="1281"/>
      <c r="M337" s="1281"/>
      <c r="N337" s="1281"/>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J337" s="1281"/>
      <c r="AK337" s="1281"/>
      <c r="AL337" s="1281"/>
      <c r="AM337" s="1281"/>
      <c r="AN337" s="1281"/>
      <c r="AO337" s="1281"/>
      <c r="AP337" s="1281"/>
      <c r="AQ337" s="1281"/>
      <c r="AR337" s="1281"/>
      <c r="AS337" s="1281"/>
      <c r="AT337" s="1281"/>
      <c r="AU337" s="1281"/>
      <c r="AV337" s="1281"/>
      <c r="AW337" s="1281"/>
      <c r="AX337" s="1281"/>
      <c r="AY337" s="1281"/>
      <c r="AZ337" s="1281"/>
      <c r="BA337" s="1281"/>
      <c r="BB337" s="1282"/>
      <c r="BC337" s="1318"/>
      <c r="BD337" s="1281"/>
      <c r="BE337" s="1319"/>
      <c r="BF337" s="1282"/>
      <c r="BG337" s="2264" t="str">
        <f>A337</f>
        <v xml:space="preserve">Adjusted EBITDA  (% EBITDA Margin) </v>
      </c>
      <c r="BH337" s="2264"/>
      <c r="BI337" s="2264"/>
      <c r="BJ337" s="2264"/>
      <c r="BK337" s="2266"/>
      <c r="BL337" s="2264"/>
      <c r="BM337" s="2264"/>
      <c r="BN337" s="1663"/>
      <c r="BO337" s="1663"/>
      <c r="BP337" s="1663"/>
      <c r="BQ337" s="1663"/>
      <c r="BR337" s="2149"/>
      <c r="BS337" s="2149"/>
      <c r="BT337" s="2149"/>
      <c r="BU337" s="2149"/>
    </row>
    <row r="338" spans="1:75">
      <c r="AT338" s="1244"/>
      <c r="AU338" s="1293"/>
      <c r="AX338" s="1244"/>
      <c r="AY338" s="1245"/>
      <c r="BB338" s="1244"/>
      <c r="BC338" s="1245"/>
      <c r="BF338" s="1244"/>
      <c r="BG338" s="1245"/>
      <c r="BK338" s="1245"/>
      <c r="BO338" s="1245"/>
      <c r="BS338" s="1245"/>
    </row>
    <row r="339" spans="1:75">
      <c r="A339" s="1254" t="s">
        <v>79</v>
      </c>
      <c r="C339" s="1255"/>
      <c r="D339" s="1264"/>
      <c r="E339" s="1256"/>
      <c r="G339" s="1255"/>
      <c r="H339" s="1264"/>
      <c r="I339" s="1265"/>
      <c r="K339" s="1255"/>
      <c r="L339" s="1264"/>
      <c r="M339" s="1265"/>
      <c r="O339" s="1255"/>
      <c r="P339" s="1264"/>
      <c r="Q339" s="1265"/>
      <c r="S339" s="1255"/>
      <c r="T339" s="1264"/>
      <c r="U339" s="1265"/>
      <c r="W339" s="1255"/>
      <c r="X339" s="1264"/>
      <c r="Y339" s="1265"/>
      <c r="AA339" s="1255"/>
      <c r="AB339" s="1264"/>
      <c r="AC339" s="1265"/>
      <c r="AE339" s="1255"/>
      <c r="AF339" s="1264"/>
      <c r="AG339" s="1265"/>
      <c r="AI339" s="1253">
        <f>AI329+AI319+AI299</f>
        <v>19.580999999999996</v>
      </c>
      <c r="AJ339" s="1287">
        <f>(AI339/AI$11)*100</f>
        <v>2.3590344114702488</v>
      </c>
      <c r="AK339" s="1287" t="str">
        <f t="shared" ref="AK339:AK345" si="446">IFERROR(((AI339/AE339-1)*100),"-")</f>
        <v>-</v>
      </c>
      <c r="AM339" s="1253">
        <f>AM329+AM319+AM299</f>
        <v>74.057000000000016</v>
      </c>
      <c r="AN339" s="1287">
        <f>(AM339/AM$11)*100</f>
        <v>8.2775031910922152</v>
      </c>
      <c r="AO339" s="1287">
        <f t="shared" ref="AO339:AO345" si="447">IFERROR(((AM339/AI339-1)*100),"-")</f>
        <v>278.20846739185964</v>
      </c>
      <c r="AQ339" s="1253">
        <f>AQ329+AQ319+AQ299</f>
        <v>74.125000000000057</v>
      </c>
      <c r="AR339" s="1287">
        <f>(AQ339/AQ$11)*100</f>
        <v>7.9783140544258311</v>
      </c>
      <c r="AS339" s="1287">
        <f t="shared" ref="AS339:AS345" si="448">IFERROR(((AQ339/AM339-1)*100),"-")</f>
        <v>9.1821164778527198E-2</v>
      </c>
      <c r="AT339" s="1244"/>
      <c r="AU339" s="1253">
        <f>AU329+AU319+AU299</f>
        <v>64.299579560000055</v>
      </c>
      <c r="AV339" s="1287">
        <f>(AU339/AU$11)*100</f>
        <v>6.5450074671938463</v>
      </c>
      <c r="AW339" s="1287">
        <f t="shared" ref="AW339:AW345" si="449">IFERROR(((AU339/AQ339-1)*100),"-")</f>
        <v>-13.255204640809437</v>
      </c>
      <c r="AX339" s="1244"/>
      <c r="AY339" s="1253">
        <f>AY329+AY319+AY299</f>
        <v>79.548999999999893</v>
      </c>
      <c r="AZ339" s="1287">
        <f>(AY339/AY$11)*100</f>
        <v>7.4692984968258509</v>
      </c>
      <c r="BA339" s="1287">
        <f t="shared" ref="BA339:BA345" si="450">IFERROR(((AY339/AU339-1)*100),"-")</f>
        <v>23.716205524750134</v>
      </c>
      <c r="BB339" s="1252"/>
      <c r="BC339" s="1253">
        <f>BC329+BC319+BC299</f>
        <v>92.325999999999965</v>
      </c>
      <c r="BD339" s="1287">
        <f>(BC339/BC$11)*100</f>
        <v>8.1829776409703676</v>
      </c>
      <c r="BE339" s="1287">
        <f t="shared" ref="BE339:BE345" si="451">IFERROR(((BC339/AY339-1)*100),"-")</f>
        <v>16.061798388414793</v>
      </c>
      <c r="BF339" s="1252"/>
      <c r="BG339" s="1253">
        <f>BG329+BG319+BG299</f>
        <v>101.44000000000005</v>
      </c>
      <c r="BH339" s="1287">
        <f>(BG339/BG$11)*100</f>
        <v>8.5743821736701271</v>
      </c>
      <c r="BI339" s="1287">
        <f>(BG339/BC339-1)*100</f>
        <v>9.8715421441415216</v>
      </c>
      <c r="BK339" s="1504">
        <f>BK329+BK319+BK299</f>
        <v>120.97300000000004</v>
      </c>
      <c r="BL339" s="1285">
        <f>(BK339/BK$11)*100</f>
        <v>9.4313424341412855</v>
      </c>
      <c r="BM339" s="1287">
        <f>(BK339/BG339-1)*100</f>
        <v>19.255717665615112</v>
      </c>
      <c r="BO339" s="1504">
        <f>BO329+BO319+BO299</f>
        <v>136.85900000000009</v>
      </c>
      <c r="BP339" s="1285">
        <f>(BO339/BO$11)*100</f>
        <v>10.163707738168624</v>
      </c>
      <c r="BQ339" s="1287">
        <f>(BO339/BK339-1)*100</f>
        <v>13.131855868664942</v>
      </c>
      <c r="BS339" s="1504">
        <f>BS329+BS319+BS299</f>
        <v>158.24568739474753</v>
      </c>
      <c r="BT339" s="1285">
        <f>(BS339/BS$11)*100</f>
        <v>10.649057877577961</v>
      </c>
      <c r="BU339" s="1287">
        <f>(BS339/BO339-1)*100</f>
        <v>15.626803786924803</v>
      </c>
    </row>
    <row r="340" spans="1:75">
      <c r="A340" s="1254" t="s">
        <v>80</v>
      </c>
      <c r="C340" s="1259"/>
      <c r="D340" s="1264"/>
      <c r="E340" s="1256"/>
      <c r="G340" s="1259"/>
      <c r="H340" s="1264"/>
      <c r="I340" s="1265"/>
      <c r="K340" s="1259"/>
      <c r="L340" s="1264"/>
      <c r="M340" s="1265"/>
      <c r="O340" s="1259"/>
      <c r="P340" s="1264"/>
      <c r="Q340" s="1265"/>
      <c r="S340" s="1259"/>
      <c r="T340" s="1264"/>
      <c r="U340" s="1265"/>
      <c r="W340" s="1259"/>
      <c r="X340" s="1264"/>
      <c r="Y340" s="1265"/>
      <c r="AA340" s="1259"/>
      <c r="AB340" s="1264"/>
      <c r="AC340" s="1265"/>
      <c r="AE340" s="1259"/>
      <c r="AF340" s="1264"/>
      <c r="AG340" s="1265"/>
      <c r="AI340" s="1361">
        <f>AI330+AI320+AI300</f>
        <v>27.063999999999933</v>
      </c>
      <c r="AJ340" s="1287">
        <f>(AI340/AI$12)*100</f>
        <v>3.8608914973080375</v>
      </c>
      <c r="AK340" s="1287" t="str">
        <f t="shared" si="446"/>
        <v>-</v>
      </c>
      <c r="AL340" s="1269"/>
      <c r="AM340" s="1361">
        <f>AM330+AM320+AM300</f>
        <v>-2.3239999999999696</v>
      </c>
      <c r="AN340" s="1287">
        <f>(AM340/AM$12)*100</f>
        <v>-0.31890222984562189</v>
      </c>
      <c r="AO340" s="1287">
        <f t="shared" si="447"/>
        <v>-108.58705291161681</v>
      </c>
      <c r="AP340" s="1269"/>
      <c r="AQ340" s="1361">
        <f>AQ330+AQ320+AQ300</f>
        <v>14.810999999999957</v>
      </c>
      <c r="AR340" s="1287">
        <f>(AQ340/AQ$12)*100</f>
        <v>1.8668959058371484</v>
      </c>
      <c r="AS340" s="1287">
        <f t="shared" si="448"/>
        <v>-737.30636833047117</v>
      </c>
      <c r="AT340" s="1244"/>
      <c r="AU340" s="1361">
        <f>AU330+AU320+AU300</f>
        <v>28.6287494</v>
      </c>
      <c r="AV340" s="1287">
        <f>(AU340/AU$12)*100</f>
        <v>3.3128178062857527</v>
      </c>
      <c r="AW340" s="1287">
        <f t="shared" si="449"/>
        <v>93.293831611640556</v>
      </c>
      <c r="AX340" s="1244"/>
      <c r="AY340" s="1372">
        <f>AY330+AY320+AY300</f>
        <v>46.920999999999957</v>
      </c>
      <c r="AZ340" s="1287">
        <f>(AY340/AY$12)*100</f>
        <v>4.8687832763141596</v>
      </c>
      <c r="BA340" s="1287">
        <f t="shared" si="450"/>
        <v>63.894689720536512</v>
      </c>
      <c r="BB340" s="1252"/>
      <c r="BC340" s="1372">
        <f>BC330+BC320+BC300</f>
        <v>58.088999999999842</v>
      </c>
      <c r="BD340" s="1287">
        <f>(BC340/BC$12)*100</f>
        <v>5.5663144499564332</v>
      </c>
      <c r="BE340" s="1287">
        <f t="shared" si="451"/>
        <v>23.801709255983241</v>
      </c>
      <c r="BF340" s="1252"/>
      <c r="BG340" s="1361">
        <f>BG330+BG320+BG300</f>
        <v>75.393000000000129</v>
      </c>
      <c r="BH340" s="1287">
        <f>(BG340/BG$12)*100</f>
        <v>6.5890415987163387</v>
      </c>
      <c r="BI340" s="1287">
        <f>(BG340/BC340-1)*100</f>
        <v>29.78877240097151</v>
      </c>
      <c r="BJ340" s="1282"/>
      <c r="BK340" s="1372">
        <f>BK330+BK320+BK300</f>
        <v>99.095000000000184</v>
      </c>
      <c r="BL340" s="1285">
        <f>(BK340/BK$12)*100</f>
        <v>7.8956824930899474</v>
      </c>
      <c r="BM340" s="1287">
        <f>(BK340/BG340-1)*100</f>
        <v>31.437931903492377</v>
      </c>
      <c r="BN340" s="1282"/>
      <c r="BO340" s="1372">
        <f>BO330+BO320+BO300</f>
        <v>127.30299999999991</v>
      </c>
      <c r="BP340" s="1285">
        <f>(BO340/BO$12)*100</f>
        <v>9.3383772586163332</v>
      </c>
      <c r="BQ340" s="1287">
        <f>(BO340/BK340-1)*100</f>
        <v>28.465613804934332</v>
      </c>
      <c r="BR340" s="1282"/>
      <c r="BS340" s="1372">
        <f>BS330+BS320+BS300</f>
        <v>146.11854177608697</v>
      </c>
      <c r="BT340" s="1285">
        <f>(BS340/BS$12)*100</f>
        <v>9.7476651267163756</v>
      </c>
      <c r="BU340" s="1287">
        <f>(BS340/BO340-1)*100</f>
        <v>14.780124408762617</v>
      </c>
    </row>
    <row r="341" spans="1:75">
      <c r="A341" s="1254" t="s">
        <v>81</v>
      </c>
      <c r="C341" s="1259"/>
      <c r="D341" s="1264"/>
      <c r="E341" s="1256"/>
      <c r="G341" s="1259"/>
      <c r="H341" s="1264"/>
      <c r="I341" s="1265"/>
      <c r="K341" s="1259"/>
      <c r="L341" s="1264"/>
      <c r="M341" s="1265"/>
      <c r="O341" s="1259"/>
      <c r="P341" s="1264"/>
      <c r="Q341" s="1265"/>
      <c r="S341" s="1259"/>
      <c r="T341" s="1264"/>
      <c r="U341" s="1265"/>
      <c r="W341" s="1259"/>
      <c r="X341" s="1264"/>
      <c r="Y341" s="1265"/>
      <c r="AA341" s="1259"/>
      <c r="AB341" s="1264"/>
      <c r="AC341" s="1265"/>
      <c r="AE341" s="1259"/>
      <c r="AF341" s="1264"/>
      <c r="AG341" s="1265"/>
      <c r="AI341" s="1361">
        <f>AI331+AI321+AI301</f>
        <v>77.69899999999987</v>
      </c>
      <c r="AJ341" s="1287">
        <f>(AI341/AI$13)*100</f>
        <v>8.9066157404966084</v>
      </c>
      <c r="AK341" s="1287" t="str">
        <f t="shared" si="446"/>
        <v>-</v>
      </c>
      <c r="AL341" s="1269"/>
      <c r="AM341" s="1361">
        <f>AM331+AM321+AM301</f>
        <v>57.565999999999875</v>
      </c>
      <c r="AN341" s="1287">
        <f>(AM341/AM$13)*100</f>
        <v>6.7078698557189096</v>
      </c>
      <c r="AO341" s="1287">
        <f t="shared" si="447"/>
        <v>-25.911530392926586</v>
      </c>
      <c r="AP341" s="1269"/>
      <c r="AQ341" s="1361">
        <f>AQ331+AQ321+AQ301</f>
        <v>51.329999999999984</v>
      </c>
      <c r="AR341" s="1287">
        <f>(AQ341/AQ$13)*100</f>
        <v>5.7118185571231912</v>
      </c>
      <c r="AS341" s="1287">
        <f t="shared" si="448"/>
        <v>-10.832783240106835</v>
      </c>
      <c r="AT341" s="1244"/>
      <c r="AU341" s="1372">
        <f>AU331+AU321+AU301</f>
        <v>48.681999999999974</v>
      </c>
      <c r="AV341" s="1287">
        <f>(AU341/AU$13)*100</f>
        <v>5.0296830024775412</v>
      </c>
      <c r="AW341" s="1287">
        <f t="shared" si="449"/>
        <v>-5.1587765439314426</v>
      </c>
      <c r="AX341" s="1244"/>
      <c r="AY341" s="1372">
        <f>AY331+AY321+AY301</f>
        <v>62.453000000000003</v>
      </c>
      <c r="AZ341" s="1287">
        <f>(AY341/AY$13)*100</f>
        <v>5.8668748391266536</v>
      </c>
      <c r="BA341" s="1287">
        <f t="shared" si="450"/>
        <v>28.28766279117545</v>
      </c>
      <c r="BB341" s="1252"/>
      <c r="BC341" s="1372">
        <f>BC331+BC321+BC301</f>
        <v>72.529999999999873</v>
      </c>
      <c r="BD341" s="1287">
        <f>(BC341/BC$13)*100</f>
        <v>6.267216916733191</v>
      </c>
      <c r="BE341" s="1287">
        <f t="shared" si="451"/>
        <v>16.135333770995587</v>
      </c>
      <c r="BF341" s="1252"/>
      <c r="BG341" s="1361">
        <f>BG331+BG321+BG301</f>
        <v>82.545000000000044</v>
      </c>
      <c r="BH341" s="1287">
        <f>(BG341/BG$13)*100</f>
        <v>6.7061450044927025</v>
      </c>
      <c r="BI341" s="1287">
        <f>(BG341/BC341-1)*100</f>
        <v>13.808079415414575</v>
      </c>
      <c r="BJ341" s="1282"/>
      <c r="BK341" s="1361">
        <f>BK331+BK321+BK301</f>
        <v>109.58999999999997</v>
      </c>
      <c r="BL341" s="1285">
        <f>(BK341/BK$13)*100</f>
        <v>8.1625204826456113</v>
      </c>
      <c r="BM341" s="1287">
        <f>(BK341/BG341-1)*100</f>
        <v>32.763946938033705</v>
      </c>
      <c r="BN341" s="1282"/>
      <c r="BO341" s="1361">
        <f>BO331+BO321+BO301</f>
        <v>134.01199999999994</v>
      </c>
      <c r="BP341" s="1285">
        <f>(BO341/BO$13)*100</f>
        <v>9.3182502449298283</v>
      </c>
      <c r="BQ341" s="1287">
        <f>(BO341/BK341-1)*100</f>
        <v>22.284880007299911</v>
      </c>
      <c r="BR341" s="1282"/>
      <c r="BS341" s="1361">
        <f>BS331+BS321+BS301</f>
        <v>156.95943878189448</v>
      </c>
      <c r="BT341" s="1285">
        <f>(BS341/BS$13)*100</f>
        <v>9.9200000000000053</v>
      </c>
      <c r="BU341" s="1287">
        <f>(BS341/BO341-1)*100</f>
        <v>17.12342087417138</v>
      </c>
    </row>
    <row r="342" spans="1:75">
      <c r="A342" s="1254" t="s">
        <v>82</v>
      </c>
      <c r="C342" s="1261"/>
      <c r="D342" s="1264"/>
      <c r="E342" s="1256"/>
      <c r="G342" s="1261"/>
      <c r="H342" s="1264"/>
      <c r="I342" s="1265"/>
      <c r="K342" s="1261"/>
      <c r="L342" s="1264"/>
      <c r="M342" s="1265"/>
      <c r="O342" s="1261"/>
      <c r="P342" s="1264"/>
      <c r="Q342" s="1265"/>
      <c r="S342" s="1262"/>
      <c r="T342" s="1264"/>
      <c r="U342" s="1265"/>
      <c r="W342" s="1261"/>
      <c r="X342" s="1264"/>
      <c r="Y342" s="1265"/>
      <c r="AA342" s="1261"/>
      <c r="AB342" s="1264"/>
      <c r="AC342" s="1265"/>
      <c r="AE342" s="1262"/>
      <c r="AF342" s="1264"/>
      <c r="AG342" s="1265"/>
      <c r="AI342" s="1329">
        <f>AI332+AI322+AI302</f>
        <v>146.82100000000014</v>
      </c>
      <c r="AJ342" s="1287">
        <f>(AI342/AI$14)*100</f>
        <v>13.114650130993772</v>
      </c>
      <c r="AK342" s="1287" t="str">
        <f t="shared" si="446"/>
        <v>-</v>
      </c>
      <c r="AL342" s="1269"/>
      <c r="AM342" s="1329">
        <f>AM332+AM322+AM302</f>
        <v>175.88200000000009</v>
      </c>
      <c r="AN342" s="1287">
        <f>(AM342/AM$14)*100</f>
        <v>14.805031700656912</v>
      </c>
      <c r="AO342" s="1287">
        <f t="shared" si="447"/>
        <v>19.79349003207982</v>
      </c>
      <c r="AP342" s="1269"/>
      <c r="AQ342" s="1329">
        <f>AQ332+AQ322+AQ302</f>
        <v>174.73400000000026</v>
      </c>
      <c r="AR342" s="1287">
        <f>(AQ342/AQ$14)*100</f>
        <v>14.170980527006016</v>
      </c>
      <c r="AS342" s="1287">
        <f t="shared" si="448"/>
        <v>-0.65271033988687499</v>
      </c>
      <c r="AT342" s="1244"/>
      <c r="AU342" s="1329">
        <f>AU332+AU322+AU302</f>
        <v>191.66691639699479</v>
      </c>
      <c r="AV342" s="1287">
        <f>(AU342/AU$14)*100</f>
        <v>15.181091116428897</v>
      </c>
      <c r="AW342" s="1287">
        <f t="shared" si="449"/>
        <v>9.6906820635906499</v>
      </c>
      <c r="AX342" s="1244"/>
      <c r="AY342" s="1388">
        <f>AY332+AY322+AY302</f>
        <v>194.77300000000011</v>
      </c>
      <c r="AZ342" s="1287">
        <f>(AY342/AY$14)*100</f>
        <v>14.597643517800286</v>
      </c>
      <c r="BA342" s="1287">
        <f t="shared" si="450"/>
        <v>1.6205632465916997</v>
      </c>
      <c r="BB342" s="1252"/>
      <c r="BC342" s="1388">
        <f>BC332+BC322+BC302</f>
        <v>225.12100000000007</v>
      </c>
      <c r="BD342" s="1287">
        <f>(BC342/BC$14)*100</f>
        <v>15.15596871335069</v>
      </c>
      <c r="BE342" s="1287">
        <f t="shared" si="451"/>
        <v>15.581215055474807</v>
      </c>
      <c r="BF342" s="1252"/>
      <c r="BG342" s="1329">
        <f>BG332+BG322+BG302</f>
        <v>224.58000000000004</v>
      </c>
      <c r="BH342" s="1287">
        <f>(BG342/BG$14)*100</f>
        <v>14.575838428732668</v>
      </c>
      <c r="BI342" s="1287">
        <f>(BG342/BC342-1)*100</f>
        <v>-0.24031520826578445</v>
      </c>
      <c r="BJ342" s="1282"/>
      <c r="BK342" s="1329">
        <f>BK332+BK322+BK302</f>
        <v>254.94599999999994</v>
      </c>
      <c r="BL342" s="1285">
        <f>(BK342/BK$14)*100</f>
        <v>15.123908845801335</v>
      </c>
      <c r="BM342" s="1287">
        <f>(BK342/BG342-1)*100</f>
        <v>13.521239647341666</v>
      </c>
      <c r="BN342" s="1282"/>
      <c r="BO342" s="1329">
        <f>BO332+BO322+BO302</f>
        <v>298.04900000000004</v>
      </c>
      <c r="BP342" s="1285">
        <f>(BO342/BO$14)*100</f>
        <v>15.388503579820419</v>
      </c>
      <c r="BQ342" s="1287">
        <f>(BO342/BK342-1)*100</f>
        <v>16.906717500961022</v>
      </c>
      <c r="BR342" s="1282"/>
      <c r="BS342" s="1329">
        <f>BS332+BS322+BS302</f>
        <v>320.99589960829991</v>
      </c>
      <c r="BT342" s="1285">
        <f>(BS342/BS$14)*100</f>
        <v>15.889999999999999</v>
      </c>
      <c r="BU342" s="1287">
        <f>(BS342/BO342-1)*100</f>
        <v>7.6990359331183367</v>
      </c>
      <c r="BW342" s="1252"/>
    </row>
    <row r="343" spans="1:75">
      <c r="A343" s="1254" t="s">
        <v>85</v>
      </c>
      <c r="C343" s="1252"/>
      <c r="D343" s="1264"/>
      <c r="E343" s="1256"/>
      <c r="G343" s="1252"/>
      <c r="H343" s="1264"/>
      <c r="I343" s="1265"/>
      <c r="K343" s="1252"/>
      <c r="L343" s="1264"/>
      <c r="M343" s="1265"/>
      <c r="O343" s="1252"/>
      <c r="P343" s="1264"/>
      <c r="Q343" s="1265"/>
      <c r="S343" s="1252"/>
      <c r="T343" s="1264"/>
      <c r="U343" s="1265"/>
      <c r="W343" s="1252"/>
      <c r="X343" s="1264"/>
      <c r="Y343" s="1265"/>
      <c r="AA343" s="1252"/>
      <c r="AB343" s="1264"/>
      <c r="AC343" s="1265"/>
      <c r="AD343" s="1252"/>
      <c r="AE343" s="1252"/>
      <c r="AF343" s="1264"/>
      <c r="AG343" s="1265"/>
      <c r="AI343" s="1253">
        <f>SUM(AI339:AI342)</f>
        <v>271.16499999999996</v>
      </c>
      <c r="AJ343" s="1287">
        <f>(AI343/AI$15)*100</f>
        <v>7.6971790966228522</v>
      </c>
      <c r="AK343" s="1287" t="str">
        <f t="shared" si="446"/>
        <v>-</v>
      </c>
      <c r="AM343" s="1253">
        <f>SUM(AM339:AM342)</f>
        <v>305.18100000000004</v>
      </c>
      <c r="AN343" s="1287">
        <f>(AM343/AM$15)*100</f>
        <v>8.3164604771852648</v>
      </c>
      <c r="AO343" s="1287">
        <f t="shared" si="447"/>
        <v>12.544391790975995</v>
      </c>
      <c r="AQ343" s="1253">
        <f>SUM(AQ339:AQ342)</f>
        <v>315.00000000000023</v>
      </c>
      <c r="AR343" s="1287">
        <f>(AQ343/AQ$15)*100</f>
        <v>8.1730422450283307</v>
      </c>
      <c r="AS343" s="1287">
        <f t="shared" si="448"/>
        <v>3.2174348992893398</v>
      </c>
      <c r="AT343" s="1244"/>
      <c r="AU343" s="1253">
        <f>SUM(AU339:AU342)</f>
        <v>333.27724535699485</v>
      </c>
      <c r="AV343" s="1287">
        <f>(AU343/AU$15)*100</f>
        <v>8.1745021349557945</v>
      </c>
      <c r="AW343" s="1287">
        <f t="shared" si="449"/>
        <v>5.8023001133316265</v>
      </c>
      <c r="AX343" s="1244"/>
      <c r="AY343" s="1253">
        <f>SUM(AY339:AY342)</f>
        <v>383.69599999999997</v>
      </c>
      <c r="AZ343" s="1287">
        <f>(AY343/AY$15)*100</f>
        <v>8.6661940150012313</v>
      </c>
      <c r="BA343" s="1287">
        <f t="shared" si="450"/>
        <v>15.128171918547363</v>
      </c>
      <c r="BB343" s="1244"/>
      <c r="BC343" s="1253">
        <f>SUM(BC339:BC342)</f>
        <v>448.06599999999969</v>
      </c>
      <c r="BD343" s="1287">
        <f>(BC343/BC$15)*100</f>
        <v>9.3065869298270343</v>
      </c>
      <c r="BE343" s="1287">
        <f t="shared" si="451"/>
        <v>16.776302072473982</v>
      </c>
      <c r="BF343" s="1244"/>
      <c r="BG343" s="1253">
        <f>SUM(BG339:BG342)</f>
        <v>483.95800000000031</v>
      </c>
      <c r="BH343" s="1619">
        <f>(BG343/BG$15)*100</f>
        <v>9.4913601514983981</v>
      </c>
      <c r="BI343" s="1287">
        <f>(BG343/BC343-1)*100</f>
        <v>8.0104270353029694</v>
      </c>
      <c r="BJ343" s="1282"/>
      <c r="BK343" s="1253">
        <f>SUM(BK339:BK342)</f>
        <v>584.60400000000016</v>
      </c>
      <c r="BL343" s="1285">
        <f>(BK343/BK$15)*100</f>
        <v>10.503054416804201</v>
      </c>
      <c r="BM343" s="1287">
        <f>(BK343/BG343-1)*100</f>
        <v>20.796432748296301</v>
      </c>
      <c r="BN343" s="1282"/>
      <c r="BO343" s="1253">
        <f>SUM(BO339:BO342)</f>
        <v>696.22299999999996</v>
      </c>
      <c r="BP343" s="1324">
        <f>(BO343/BO$15)*100</f>
        <v>11.442066958696522</v>
      </c>
      <c r="BQ343" s="1287">
        <f>(BO343/BK343-1)*100</f>
        <v>19.093095497122793</v>
      </c>
      <c r="BR343" s="1282"/>
      <c r="BS343" s="1253">
        <f>SUM(BS339:BS342)</f>
        <v>782.31956756102886</v>
      </c>
      <c r="BT343" s="1324">
        <f>(BS343/BS$15)*100</f>
        <v>11.876031245742761</v>
      </c>
      <c r="BU343" s="1287">
        <f>(BS343/BO343-1)*100</f>
        <v>12.366234318749726</v>
      </c>
      <c r="BV343" s="2140">
        <f>+BT343-BP343</f>
        <v>0.43396428704623879</v>
      </c>
    </row>
    <row r="344" spans="1:75">
      <c r="A344" s="1254" t="s">
        <v>87</v>
      </c>
      <c r="C344" s="1252"/>
      <c r="D344" s="1264"/>
      <c r="E344" s="1256"/>
      <c r="G344" s="1252"/>
      <c r="H344" s="1264"/>
      <c r="I344" s="1265"/>
      <c r="K344" s="1252"/>
      <c r="L344" s="1264"/>
      <c r="M344" s="1265"/>
      <c r="O344" s="1252"/>
      <c r="P344" s="1264"/>
      <c r="Q344" s="1265"/>
      <c r="S344" s="1252"/>
      <c r="T344" s="1264"/>
      <c r="U344" s="1265"/>
      <c r="W344" s="1252"/>
      <c r="X344" s="1264"/>
      <c r="Y344" s="1265"/>
      <c r="AA344" s="1252"/>
      <c r="AB344" s="1264"/>
      <c r="AC344" s="1265"/>
      <c r="AD344" s="1252"/>
      <c r="AE344" s="1252"/>
      <c r="AF344" s="1264"/>
      <c r="AG344" s="1265"/>
      <c r="AI344" s="1253">
        <f>SUM(AI339:AI340)</f>
        <v>46.644999999999925</v>
      </c>
      <c r="AJ344" s="1287">
        <f>(AI344/AI$16)*100</f>
        <v>3.0466597127015191</v>
      </c>
      <c r="AK344" s="1287" t="str">
        <f t="shared" si="446"/>
        <v>-</v>
      </c>
      <c r="AM344" s="1253">
        <f>SUM(AM339:AM340)</f>
        <v>71.733000000000047</v>
      </c>
      <c r="AN344" s="1287">
        <f>(AM344/AM$16)*100</f>
        <v>4.4186129597370529</v>
      </c>
      <c r="AO344" s="1287">
        <f t="shared" si="447"/>
        <v>53.78497159395468</v>
      </c>
      <c r="AQ344" s="1253">
        <f>SUM(AQ339:AQ340)</f>
        <v>88.936000000000007</v>
      </c>
      <c r="AR344" s="1287">
        <f>(AQ344/AQ$16)*100</f>
        <v>5.1634028668799319</v>
      </c>
      <c r="AS344" s="1287">
        <f t="shared" si="448"/>
        <v>23.981988763888239</v>
      </c>
      <c r="AT344" s="1244"/>
      <c r="AU344" s="1253">
        <f>SUM(AU339:AU340)</f>
        <v>92.928328960000059</v>
      </c>
      <c r="AV344" s="1287">
        <f>(AU344/AU$16)*100</f>
        <v>5.0323934447685259</v>
      </c>
      <c r="AW344" s="1287">
        <f t="shared" si="449"/>
        <v>4.4889909148152052</v>
      </c>
      <c r="AX344" s="1244"/>
      <c r="AY344" s="1253">
        <f>SUM(AY339:AY340)</f>
        <v>126.46999999999986</v>
      </c>
      <c r="AZ344" s="1287">
        <f>(AY344/AY$16)*100</f>
        <v>6.2339677551012294</v>
      </c>
      <c r="BA344" s="1287">
        <f t="shared" si="450"/>
        <v>36.094129115823684</v>
      </c>
      <c r="BB344" s="1244"/>
      <c r="BC344" s="1253">
        <f>SUM(BC339:BC340)</f>
        <v>150.41499999999979</v>
      </c>
      <c r="BD344" s="1287">
        <f>(BC344/BC$16)*100</f>
        <v>6.9256624536685223</v>
      </c>
      <c r="BE344" s="1287">
        <f t="shared" si="451"/>
        <v>18.933343876017993</v>
      </c>
      <c r="BF344" s="1244"/>
      <c r="BG344" s="1253">
        <f>SUM(BG339:BG340)</f>
        <v>176.8330000000002</v>
      </c>
      <c r="BH344" s="1287">
        <f>(BG344/BG$16)*100</f>
        <v>7.5982790187846216</v>
      </c>
      <c r="BI344" s="1287">
        <f>IFERROR(((BG344/BC344-1)*100),"-")</f>
        <v>17.563407904797025</v>
      </c>
      <c r="BJ344" s="1282"/>
      <c r="BK344" s="1253">
        <f>SUM(BK339:BK340)</f>
        <v>220.06800000000021</v>
      </c>
      <c r="BL344" s="1285">
        <f>(BK344/BK$16)*100</f>
        <v>8.6718684426945032</v>
      </c>
      <c r="BM344" s="1287">
        <f>IFERROR(((BK344/BG344-1)*100),"-")</f>
        <v>24.449621959702061</v>
      </c>
      <c r="BN344" s="1282"/>
      <c r="BO344" s="1253">
        <f>SUM(BO339:BO340)</f>
        <v>264.16200000000003</v>
      </c>
      <c r="BP344" s="1285">
        <f>(BO344/BO$16)*100</f>
        <v>9.7485026404454995</v>
      </c>
      <c r="BQ344" s="1287">
        <f>IFERROR(((BO344/BK344-1)*100),"-")</f>
        <v>20.036534162167953</v>
      </c>
      <c r="BR344" s="1282"/>
      <c r="BS344" s="1253">
        <f>SUM(BS339:BS340)</f>
        <v>304.36422917083451</v>
      </c>
      <c r="BT344" s="1285">
        <f>(BS344/BS$16)*100</f>
        <v>10.196398042888619</v>
      </c>
      <c r="BU344" s="1287">
        <f>IFERROR(((BS344/BO344-1)*100),"-")</f>
        <v>15.218778314380742</v>
      </c>
    </row>
    <row r="345" spans="1:75">
      <c r="A345" s="1254" t="s">
        <v>88</v>
      </c>
      <c r="C345" s="1252"/>
      <c r="D345" s="1264"/>
      <c r="E345" s="1256"/>
      <c r="G345" s="1252"/>
      <c r="H345" s="1264"/>
      <c r="I345" s="1265"/>
      <c r="K345" s="1252"/>
      <c r="L345" s="1264"/>
      <c r="M345" s="1265"/>
      <c r="O345" s="1252"/>
      <c r="P345" s="1264"/>
      <c r="Q345" s="1265"/>
      <c r="S345" s="1252"/>
      <c r="T345" s="1264"/>
      <c r="U345" s="1265"/>
      <c r="W345" s="1252"/>
      <c r="X345" s="1264"/>
      <c r="Y345" s="1265"/>
      <c r="AA345" s="1252"/>
      <c r="AB345" s="1264"/>
      <c r="AC345" s="1265"/>
      <c r="AD345" s="1252"/>
      <c r="AE345" s="1252"/>
      <c r="AF345" s="1264"/>
      <c r="AG345" s="1265"/>
      <c r="AI345" s="1253">
        <f>SUM(AI339:AI341)</f>
        <v>124.3439999999998</v>
      </c>
      <c r="AJ345" s="1287">
        <f>(AI345/AI$17)*100</f>
        <v>5.1736813965244908</v>
      </c>
      <c r="AK345" s="1287" t="str">
        <f t="shared" si="446"/>
        <v>-</v>
      </c>
      <c r="AM345" s="1253">
        <f>SUM(AM339:AM341)</f>
        <v>129.29899999999992</v>
      </c>
      <c r="AN345" s="1287">
        <f>(AM345/AM$17)*100</f>
        <v>5.2102784719944335</v>
      </c>
      <c r="AO345" s="1287">
        <f t="shared" si="447"/>
        <v>3.984912822492559</v>
      </c>
      <c r="AQ345" s="1253">
        <f>SUM(AQ339:AQ341)</f>
        <v>140.26599999999999</v>
      </c>
      <c r="AR345" s="1287">
        <f>(AQ345/AQ$17)*100</f>
        <v>5.3514316355810347</v>
      </c>
      <c r="AS345" s="1287">
        <f t="shared" si="448"/>
        <v>8.4818908112205715</v>
      </c>
      <c r="AT345" s="1244"/>
      <c r="AU345" s="1253">
        <f>SUM(AU339:AU341)</f>
        <v>141.61032896000003</v>
      </c>
      <c r="AV345" s="1287">
        <f>(AU345/AU$17)*100</f>
        <v>5.0314613347613069</v>
      </c>
      <c r="AW345" s="1287">
        <f t="shared" si="449"/>
        <v>0.95841398485736473</v>
      </c>
      <c r="AX345" s="1244"/>
      <c r="AY345" s="1253">
        <f>SUM(AY339:AY341)</f>
        <v>188.92299999999986</v>
      </c>
      <c r="AZ345" s="1287">
        <f>(AY345/AY$17)*100</f>
        <v>6.1076364934214276</v>
      </c>
      <c r="BA345" s="1287">
        <f t="shared" si="450"/>
        <v>33.410466162651176</v>
      </c>
      <c r="BB345" s="1244"/>
      <c r="BC345" s="1253">
        <f>SUM(BC339:BC341)</f>
        <v>222.94499999999965</v>
      </c>
      <c r="BD345" s="1287">
        <f>(BC345/BC$17)*100</f>
        <v>6.6967705192508955</v>
      </c>
      <c r="BE345" s="1287">
        <f t="shared" si="451"/>
        <v>18.008394954558106</v>
      </c>
      <c r="BF345" s="1244"/>
      <c r="BG345" s="1253">
        <f>SUM(BG339:BG341)</f>
        <v>259.37800000000027</v>
      </c>
      <c r="BH345" s="1287">
        <f>(BG345/BG$17)*100</f>
        <v>7.2896604230891127</v>
      </c>
      <c r="BI345" s="1287">
        <f>IFERROR(((BG345/BC345-1)*100),"-")</f>
        <v>16.341698625221767</v>
      </c>
      <c r="BJ345" s="1282"/>
      <c r="BK345" s="1253">
        <f>SUM(BK339:BK341)</f>
        <v>329.65800000000019</v>
      </c>
      <c r="BL345" s="1285">
        <f>(BK345/BK$17)*100</f>
        <v>8.4956329666370607</v>
      </c>
      <c r="BM345" s="1287">
        <f>IFERROR(((BK345/BG345-1)*100),"-")</f>
        <v>27.095590219679334</v>
      </c>
      <c r="BN345" s="1282"/>
      <c r="BO345" s="1253">
        <f>SUM(BO339:BO341)</f>
        <v>398.17399999999998</v>
      </c>
      <c r="BP345" s="1285">
        <f>(BO345/BO$17)*100</f>
        <v>9.5993261228413065</v>
      </c>
      <c r="BQ345" s="1287">
        <f>IFERROR(((BO345/BK345-1)*100),"-")</f>
        <v>20.783963986919709</v>
      </c>
      <c r="BR345" s="1282"/>
      <c r="BS345" s="1253">
        <f>SUM(BS339:BS341)</f>
        <v>461.32366795272901</v>
      </c>
      <c r="BT345" s="1285">
        <f>(BS345/BS$17)*100</f>
        <v>10.100644668967623</v>
      </c>
      <c r="BU345" s="1287">
        <f>IFERROR(((BS345/BO345-1)*100),"-")</f>
        <v>15.859817053029346</v>
      </c>
    </row>
    <row r="346" spans="1:75">
      <c r="A346" s="1254"/>
      <c r="C346" s="1252"/>
      <c r="D346" s="1264"/>
      <c r="E346" s="1256"/>
      <c r="G346" s="1252"/>
      <c r="H346" s="1264"/>
      <c r="I346" s="1265"/>
      <c r="K346" s="1252"/>
      <c r="L346" s="1264"/>
      <c r="M346" s="1265"/>
      <c r="O346" s="1252"/>
      <c r="P346" s="1264"/>
      <c r="Q346" s="1265"/>
      <c r="S346" s="1252"/>
      <c r="T346" s="1264"/>
      <c r="U346" s="1265"/>
      <c r="W346" s="1252"/>
      <c r="X346" s="1264"/>
      <c r="Y346" s="1265"/>
      <c r="AA346" s="1252"/>
      <c r="AB346" s="1264"/>
      <c r="AC346" s="1265"/>
      <c r="AD346" s="1252"/>
      <c r="AE346" s="1252"/>
      <c r="AF346" s="1264"/>
      <c r="AG346" s="1265"/>
      <c r="AI346" s="1253"/>
      <c r="AJ346" s="1287"/>
      <c r="AK346" s="1287"/>
      <c r="AM346" s="1253"/>
      <c r="AN346" s="1287"/>
      <c r="AO346" s="1287"/>
      <c r="AQ346" s="1253"/>
      <c r="AR346" s="1287"/>
      <c r="AS346" s="1287"/>
      <c r="AT346" s="1244"/>
      <c r="AU346" s="1253"/>
      <c r="AV346" s="1287"/>
      <c r="AW346" s="1287"/>
      <c r="AX346" s="1244"/>
      <c r="AY346" s="1253"/>
      <c r="AZ346" s="1287"/>
      <c r="BA346" s="1287"/>
      <c r="BB346" s="1244"/>
      <c r="BC346" s="1253"/>
      <c r="BD346" s="1287"/>
      <c r="BE346" s="1287"/>
      <c r="BF346" s="1244"/>
      <c r="BG346" s="1253"/>
      <c r="BH346" s="1287"/>
      <c r="BI346" s="1287"/>
      <c r="BJ346" s="1282"/>
      <c r="BK346" s="1253"/>
      <c r="BL346" s="1287"/>
      <c r="BM346" s="1287"/>
      <c r="BN346" s="1282"/>
      <c r="BO346" s="1253"/>
      <c r="BP346" s="1287"/>
      <c r="BQ346" s="1287"/>
      <c r="BR346" s="1282"/>
      <c r="BS346" s="1253"/>
      <c r="BT346" s="1287"/>
      <c r="BU346" s="1287"/>
    </row>
    <row r="347" spans="1:75">
      <c r="A347" s="1254"/>
      <c r="C347" s="1252"/>
      <c r="D347" s="1264"/>
      <c r="E347" s="1256"/>
      <c r="G347" s="1252"/>
      <c r="H347" s="1264"/>
      <c r="I347" s="1265"/>
      <c r="K347" s="1252"/>
      <c r="L347" s="1264"/>
      <c r="M347" s="1265"/>
      <c r="O347" s="1252"/>
      <c r="P347" s="1264"/>
      <c r="Q347" s="1265"/>
      <c r="S347" s="1252"/>
      <c r="T347" s="1264"/>
      <c r="U347" s="1265"/>
      <c r="W347" s="1252"/>
      <c r="X347" s="1264"/>
      <c r="Y347" s="1265"/>
      <c r="AA347" s="1252"/>
      <c r="AB347" s="1264"/>
      <c r="AC347" s="1265"/>
      <c r="AD347" s="1252"/>
      <c r="AE347" s="1252"/>
      <c r="AF347" s="1264"/>
      <c r="AG347" s="1265"/>
      <c r="AI347" s="1253"/>
      <c r="AJ347" s="1287"/>
      <c r="AK347" s="1287"/>
      <c r="AM347" s="1253"/>
      <c r="AN347" s="1287"/>
      <c r="AO347" s="1287"/>
      <c r="AQ347" s="1253"/>
      <c r="AR347" s="1287"/>
      <c r="AS347" s="1287"/>
      <c r="AT347" s="1244"/>
      <c r="AU347" s="1253"/>
      <c r="AV347" s="1287"/>
      <c r="AW347" s="1287"/>
      <c r="AX347" s="1244"/>
      <c r="AY347" s="1253"/>
      <c r="AZ347" s="1287"/>
      <c r="BA347" s="1287"/>
      <c r="BB347" s="1244"/>
      <c r="BC347" s="1253"/>
      <c r="BD347" s="1287"/>
      <c r="BE347" s="1287"/>
      <c r="BF347" s="1244"/>
      <c r="BG347" s="1253"/>
      <c r="BH347" s="1287"/>
      <c r="BI347" s="1287"/>
      <c r="BJ347" s="1282"/>
      <c r="BK347" s="1253"/>
      <c r="BL347" s="1287"/>
      <c r="BM347" s="1287"/>
      <c r="BN347" s="1282"/>
      <c r="BO347" s="1253"/>
      <c r="BP347" s="1287"/>
      <c r="BQ347" s="1287"/>
      <c r="BR347" s="1282"/>
      <c r="BS347" s="1253"/>
      <c r="BT347" s="1287"/>
      <c r="BU347" s="1287"/>
    </row>
    <row r="348" spans="1:75">
      <c r="A348" s="1254"/>
      <c r="C348" s="1252"/>
      <c r="D348" s="1264"/>
      <c r="E348" s="1256"/>
      <c r="G348" s="1252"/>
      <c r="H348" s="1264"/>
      <c r="I348" s="1265"/>
      <c r="K348" s="1252"/>
      <c r="L348" s="1264"/>
      <c r="M348" s="1265"/>
      <c r="O348" s="1252"/>
      <c r="P348" s="1264"/>
      <c r="Q348" s="1265"/>
      <c r="S348" s="1252"/>
      <c r="T348" s="1264"/>
      <c r="U348" s="1265"/>
      <c r="W348" s="1252"/>
      <c r="X348" s="1264"/>
      <c r="Y348" s="1265"/>
      <c r="AA348" s="1252"/>
      <c r="AB348" s="1264"/>
      <c r="AC348" s="1265"/>
      <c r="AD348" s="1252"/>
      <c r="AE348" s="1252"/>
      <c r="AF348" s="1264"/>
      <c r="AG348" s="1265"/>
      <c r="AI348" s="1253"/>
      <c r="AJ348" s="1287"/>
      <c r="AK348" s="1287"/>
      <c r="AM348" s="1253"/>
      <c r="AN348" s="1287"/>
      <c r="AO348" s="1287"/>
      <c r="AQ348" s="1253"/>
      <c r="AR348" s="1287"/>
      <c r="AS348" s="1287"/>
      <c r="AT348" s="1244"/>
      <c r="AU348" s="1253"/>
      <c r="AV348" s="1287"/>
      <c r="AW348" s="1287"/>
      <c r="AX348" s="1244"/>
      <c r="AY348" s="1253"/>
      <c r="AZ348" s="1287"/>
      <c r="BA348" s="1287"/>
      <c r="BB348" s="1244"/>
      <c r="BC348" s="1253"/>
      <c r="BD348" s="1287"/>
      <c r="BE348" s="1287"/>
      <c r="BF348" s="1244"/>
      <c r="BG348" s="1253"/>
      <c r="BH348" s="1287"/>
      <c r="BI348" s="1287"/>
      <c r="BJ348" s="1282"/>
      <c r="BK348" s="1253"/>
      <c r="BL348" s="1287"/>
      <c r="BM348" s="1287"/>
      <c r="BN348" s="1282"/>
      <c r="BO348" s="1896">
        <f>(BO303+BO323)/BO15</f>
        <v>8.1370425748500438E-2</v>
      </c>
      <c r="BP348" s="1287"/>
      <c r="BQ348" s="1287"/>
      <c r="BR348" s="1282"/>
      <c r="BS348" s="1896">
        <f>(BS303+BS323)/BS15</f>
        <v>8.4495490199626794E-2</v>
      </c>
      <c r="BT348" s="1287"/>
      <c r="BU348" s="1287"/>
    </row>
    <row r="349" spans="1:75">
      <c r="A349" s="1254"/>
      <c r="C349" s="1252"/>
      <c r="D349" s="1264"/>
      <c r="E349" s="1256"/>
      <c r="G349" s="1252"/>
      <c r="H349" s="1264"/>
      <c r="I349" s="1265"/>
      <c r="K349" s="1252"/>
      <c r="L349" s="1264"/>
      <c r="M349" s="1265"/>
      <c r="O349" s="1252"/>
      <c r="P349" s="1264"/>
      <c r="Q349" s="1265"/>
      <c r="S349" s="1252"/>
      <c r="T349" s="1264"/>
      <c r="U349" s="1265"/>
      <c r="W349" s="1252"/>
      <c r="X349" s="1264"/>
      <c r="Y349" s="1265"/>
      <c r="AA349" s="1252"/>
      <c r="AB349" s="1264"/>
      <c r="AC349" s="1265"/>
      <c r="AD349" s="1252"/>
      <c r="AE349" s="1252"/>
      <c r="AF349" s="1264"/>
      <c r="AG349" s="1265"/>
      <c r="AI349" s="1253"/>
      <c r="AJ349" s="1287"/>
      <c r="AK349" s="1287"/>
      <c r="AM349" s="1253"/>
      <c r="AN349" s="1287"/>
      <c r="AO349" s="1287"/>
      <c r="AQ349" s="1253"/>
      <c r="AR349" s="1287"/>
      <c r="AS349" s="1287"/>
      <c r="AT349" s="1244"/>
      <c r="AU349" s="1253"/>
      <c r="AV349" s="1287"/>
      <c r="AW349" s="1287"/>
      <c r="AX349" s="1244"/>
      <c r="AY349" s="1253"/>
      <c r="AZ349" s="1287"/>
      <c r="BA349" s="1287"/>
      <c r="BB349" s="1244"/>
      <c r="BC349" s="1253"/>
      <c r="BD349" s="1287"/>
      <c r="BE349" s="1287"/>
      <c r="BF349" s="1244"/>
      <c r="BG349" s="1253"/>
      <c r="BH349" s="1287"/>
      <c r="BI349" s="1287"/>
      <c r="BJ349" s="1282"/>
      <c r="BK349" s="1253"/>
      <c r="BL349" s="1287"/>
      <c r="BM349" s="1287"/>
      <c r="BN349" s="1282"/>
      <c r="BO349" s="2004">
        <f>(BO303+BO323)</f>
        <v>495.12</v>
      </c>
      <c r="BP349" s="1287"/>
      <c r="BQ349" s="1287"/>
      <c r="BR349" s="1282"/>
      <c r="BS349" s="2004">
        <f>(BS303+BS323)</f>
        <v>556.6040875610289</v>
      </c>
      <c r="BT349" s="1287"/>
      <c r="BU349" s="1287"/>
    </row>
    <row r="350" spans="1:75">
      <c r="A350" s="1254"/>
      <c r="C350" s="1252"/>
      <c r="D350" s="1264"/>
      <c r="E350" s="1256"/>
      <c r="G350" s="1252"/>
      <c r="H350" s="1264"/>
      <c r="I350" s="1265"/>
      <c r="K350" s="1252"/>
      <c r="L350" s="1264"/>
      <c r="M350" s="1265"/>
      <c r="O350" s="1252"/>
      <c r="P350" s="1264"/>
      <c r="Q350" s="1265"/>
      <c r="S350" s="1252"/>
      <c r="T350" s="1264"/>
      <c r="U350" s="1265"/>
      <c r="W350" s="1252"/>
      <c r="X350" s="1264"/>
      <c r="Y350" s="1265"/>
      <c r="AA350" s="1252"/>
      <c r="AB350" s="1264"/>
      <c r="AC350" s="1265"/>
      <c r="AD350" s="1252"/>
      <c r="AE350" s="1252"/>
      <c r="AF350" s="1264"/>
      <c r="AG350" s="1265"/>
      <c r="AI350" s="1253"/>
      <c r="AJ350" s="1287"/>
      <c r="AK350" s="1287"/>
      <c r="AM350" s="1253"/>
      <c r="AN350" s="1287"/>
      <c r="AO350" s="1287"/>
      <c r="AQ350" s="1253"/>
      <c r="AR350" s="1287"/>
      <c r="AS350" s="1287"/>
      <c r="AT350" s="1244"/>
      <c r="AU350" s="1253"/>
      <c r="AV350" s="1287"/>
      <c r="AW350" s="1287"/>
      <c r="AX350" s="1244"/>
      <c r="AY350" s="1253"/>
      <c r="AZ350" s="1287"/>
      <c r="BA350" s="1287"/>
      <c r="BB350" s="1244"/>
      <c r="BC350" s="1253"/>
      <c r="BD350" s="1287"/>
      <c r="BE350" s="1287"/>
      <c r="BF350" s="1244"/>
      <c r="BG350" s="1253"/>
      <c r="BH350" s="1287"/>
      <c r="BI350" s="1287"/>
      <c r="BJ350" s="1282"/>
      <c r="BK350" s="1253"/>
      <c r="BL350" s="1287"/>
      <c r="BM350" s="1287"/>
      <c r="BN350" s="1282"/>
      <c r="BO350" s="1253"/>
      <c r="BP350" s="1287"/>
      <c r="BQ350" s="1287"/>
      <c r="BR350" s="1282"/>
      <c r="BS350" s="1253"/>
      <c r="BT350" s="1287"/>
      <c r="BU350" s="1287"/>
    </row>
    <row r="351" spans="1:75">
      <c r="A351" s="1254"/>
      <c r="C351" s="1252"/>
      <c r="D351" s="1264"/>
      <c r="E351" s="1256"/>
      <c r="G351" s="1252"/>
      <c r="H351" s="1264"/>
      <c r="I351" s="1265"/>
      <c r="K351" s="1252"/>
      <c r="L351" s="1264"/>
      <c r="M351" s="1265"/>
      <c r="O351" s="1252"/>
      <c r="P351" s="1264"/>
      <c r="Q351" s="1265"/>
      <c r="S351" s="1252"/>
      <c r="T351" s="1264"/>
      <c r="U351" s="1265"/>
      <c r="W351" s="1252"/>
      <c r="X351" s="1264"/>
      <c r="Y351" s="1265"/>
      <c r="AA351" s="1252"/>
      <c r="AB351" s="1264"/>
      <c r="AC351" s="1265"/>
      <c r="AD351" s="1252"/>
      <c r="AE351" s="1252"/>
      <c r="AF351" s="1264"/>
      <c r="AG351" s="1265"/>
      <c r="AI351" s="1253"/>
      <c r="AJ351" s="1287"/>
      <c r="AK351" s="1287"/>
      <c r="AM351" s="1253"/>
      <c r="AN351" s="1287"/>
      <c r="AO351" s="1287"/>
      <c r="AQ351" s="1253"/>
      <c r="AR351" s="1287"/>
      <c r="AS351" s="1287"/>
      <c r="AT351" s="1244"/>
      <c r="AU351" s="1253"/>
      <c r="AV351" s="1287"/>
      <c r="AW351" s="1287"/>
      <c r="AX351" s="1244"/>
      <c r="AY351" s="1253"/>
      <c r="AZ351" s="1287"/>
      <c r="BA351" s="1287"/>
      <c r="BB351" s="1244"/>
      <c r="BC351" s="1253"/>
      <c r="BD351" s="1287"/>
      <c r="BE351" s="1287"/>
      <c r="BF351" s="1244"/>
      <c r="BG351" s="1253"/>
      <c r="BH351" s="1287"/>
      <c r="BI351" s="1287"/>
      <c r="BJ351" s="1282"/>
      <c r="BK351" s="1253"/>
      <c r="BL351" s="1287"/>
      <c r="BM351" s="1287"/>
      <c r="BN351" s="1282"/>
      <c r="BO351" s="1253"/>
      <c r="BP351" s="1287"/>
      <c r="BQ351" s="1287"/>
      <c r="BR351" s="1282"/>
      <c r="BS351" s="1253"/>
      <c r="BT351" s="1287"/>
      <c r="BU351" s="1287"/>
    </row>
    <row r="352" spans="1:75">
      <c r="A352" s="1254"/>
      <c r="C352" s="1252"/>
      <c r="D352" s="1264"/>
      <c r="E352" s="1256"/>
      <c r="G352" s="1252"/>
      <c r="H352" s="1264"/>
      <c r="I352" s="1265"/>
      <c r="K352" s="1252"/>
      <c r="L352" s="1264"/>
      <c r="M352" s="1265"/>
      <c r="O352" s="1252"/>
      <c r="P352" s="1264"/>
      <c r="Q352" s="1265"/>
      <c r="S352" s="1252"/>
      <c r="T352" s="1264"/>
      <c r="U352" s="1265"/>
      <c r="W352" s="1252"/>
      <c r="X352" s="1264"/>
      <c r="Y352" s="1265"/>
      <c r="AA352" s="1252"/>
      <c r="AB352" s="1264"/>
      <c r="AC352" s="1265"/>
      <c r="AD352" s="1252"/>
      <c r="AE352" s="1252"/>
      <c r="AF352" s="1264"/>
      <c r="AG352" s="1265"/>
      <c r="AI352" s="1253"/>
      <c r="AJ352" s="1287"/>
      <c r="AK352" s="1287"/>
      <c r="AM352" s="1253"/>
      <c r="AN352" s="1287"/>
      <c r="AO352" s="1287"/>
      <c r="AQ352" s="1253"/>
      <c r="AR352" s="1287"/>
      <c r="AS352" s="1287"/>
      <c r="AT352" s="1244"/>
      <c r="AU352" s="1253"/>
      <c r="AV352" s="1287"/>
      <c r="AW352" s="1287"/>
      <c r="AX352" s="1244"/>
      <c r="AY352" s="1253"/>
      <c r="AZ352" s="1287"/>
      <c r="BA352" s="1287"/>
      <c r="BB352" s="1244"/>
      <c r="BC352" s="1253"/>
      <c r="BD352" s="1287"/>
      <c r="BE352" s="1287"/>
      <c r="BF352" s="1244"/>
      <c r="BG352" s="1253"/>
      <c r="BH352" s="1287"/>
      <c r="BI352" s="1287"/>
      <c r="BJ352" s="1282"/>
      <c r="BK352" s="1253"/>
      <c r="BL352" s="1287"/>
      <c r="BM352" s="1287"/>
      <c r="BN352" s="1282"/>
      <c r="BO352" s="1253"/>
      <c r="BP352" s="1287"/>
      <c r="BQ352" s="1287"/>
      <c r="BR352" s="1282"/>
      <c r="BS352" s="1253"/>
      <c r="BT352" s="1287"/>
      <c r="BU352" s="1287"/>
    </row>
    <row r="353" spans="1:73">
      <c r="A353" s="1254"/>
      <c r="C353" s="1252"/>
      <c r="D353" s="1264"/>
      <c r="E353" s="1256"/>
      <c r="G353" s="1252"/>
      <c r="H353" s="1264"/>
      <c r="I353" s="1265"/>
      <c r="K353" s="1252"/>
      <c r="L353" s="1264"/>
      <c r="M353" s="1265"/>
      <c r="O353" s="1252"/>
      <c r="P353" s="1264"/>
      <c r="Q353" s="1265"/>
      <c r="S353" s="1252"/>
      <c r="T353" s="1264"/>
      <c r="U353" s="1265"/>
      <c r="W353" s="1252"/>
      <c r="X353" s="1264"/>
      <c r="Y353" s="1265"/>
      <c r="AA353" s="1252"/>
      <c r="AB353" s="1264"/>
      <c r="AC353" s="1265"/>
      <c r="AD353" s="1252"/>
      <c r="AE353" s="1252"/>
      <c r="AF353" s="1264"/>
      <c r="AG353" s="1265"/>
      <c r="AI353" s="1253"/>
      <c r="AJ353" s="1287"/>
      <c r="AK353" s="1287"/>
      <c r="AM353" s="1253"/>
      <c r="AN353" s="1287"/>
      <c r="AO353" s="1287"/>
      <c r="AQ353" s="1253"/>
      <c r="AR353" s="1287"/>
      <c r="AS353" s="1287"/>
      <c r="AT353" s="1244"/>
      <c r="AU353" s="1253"/>
      <c r="AV353" s="1287"/>
      <c r="AW353" s="1287"/>
      <c r="AX353" s="1244"/>
      <c r="AY353" s="1253"/>
      <c r="AZ353" s="1287"/>
      <c r="BA353" s="1287"/>
      <c r="BB353" s="1244"/>
      <c r="BC353" s="1253"/>
      <c r="BD353" s="1287"/>
      <c r="BE353" s="1287"/>
      <c r="BF353" s="1244"/>
      <c r="BG353" s="1253"/>
      <c r="BH353" s="1287"/>
      <c r="BI353" s="1287"/>
      <c r="BJ353" s="1282"/>
      <c r="BK353" s="1253"/>
      <c r="BL353" s="1287"/>
      <c r="BM353" s="1287"/>
      <c r="BN353" s="1282"/>
      <c r="BO353" s="1253"/>
      <c r="BP353" s="1287"/>
      <c r="BQ353" s="1287"/>
      <c r="BR353" s="1282"/>
      <c r="BS353" s="1253"/>
      <c r="BT353" s="1287"/>
      <c r="BU353" s="1287"/>
    </row>
    <row r="354" spans="1:73">
      <c r="A354" s="1254"/>
      <c r="C354" s="1252"/>
      <c r="D354" s="1264"/>
      <c r="E354" s="1256"/>
      <c r="G354" s="1252"/>
      <c r="H354" s="1264"/>
      <c r="I354" s="1265"/>
      <c r="K354" s="1252"/>
      <c r="L354" s="1264"/>
      <c r="M354" s="1265"/>
      <c r="O354" s="1252"/>
      <c r="P354" s="1264"/>
      <c r="Q354" s="1265"/>
      <c r="S354" s="1252"/>
      <c r="T354" s="1264"/>
      <c r="U354" s="1265"/>
      <c r="W354" s="1252"/>
      <c r="X354" s="1264"/>
      <c r="Y354" s="1265"/>
      <c r="AA354" s="1252"/>
      <c r="AB354" s="1264"/>
      <c r="AC354" s="1265"/>
      <c r="AD354" s="1252"/>
      <c r="AE354" s="1252"/>
      <c r="AF354" s="1264"/>
      <c r="AG354" s="1265"/>
      <c r="AI354" s="1253"/>
      <c r="AJ354" s="1287"/>
      <c r="AK354" s="1287"/>
      <c r="AM354" s="1253"/>
      <c r="AN354" s="1287"/>
      <c r="AO354" s="1287"/>
      <c r="AQ354" s="1253"/>
      <c r="AR354" s="1287"/>
      <c r="AS354" s="1287"/>
      <c r="AT354" s="1244"/>
      <c r="AU354" s="1253"/>
      <c r="AV354" s="1287"/>
      <c r="AW354" s="1287"/>
      <c r="AX354" s="1244"/>
      <c r="AY354" s="1253"/>
      <c r="AZ354" s="1287"/>
      <c r="BA354" s="1287"/>
      <c r="BB354" s="1244"/>
      <c r="BC354" s="1253"/>
      <c r="BD354" s="1287"/>
      <c r="BE354" s="1287"/>
      <c r="BF354" s="1244"/>
      <c r="BG354" s="1253"/>
      <c r="BH354" s="1287"/>
      <c r="BI354" s="1287"/>
      <c r="BJ354" s="1282"/>
      <c r="BK354" s="1253"/>
      <c r="BL354" s="1287"/>
      <c r="BM354" s="1287"/>
      <c r="BN354" s="1282"/>
      <c r="BO354" s="1253"/>
      <c r="BP354" s="1287"/>
      <c r="BQ354" s="1287"/>
      <c r="BR354" s="1282"/>
      <c r="BS354" s="1253"/>
      <c r="BT354" s="1287"/>
      <c r="BU354" s="1287"/>
    </row>
    <row r="355" spans="1:73">
      <c r="A355" s="1254"/>
      <c r="C355" s="1252"/>
      <c r="D355" s="1264"/>
      <c r="E355" s="1256"/>
      <c r="G355" s="1252"/>
      <c r="H355" s="1264"/>
      <c r="I355" s="1265"/>
      <c r="K355" s="1252"/>
      <c r="L355" s="1264"/>
      <c r="M355" s="1265"/>
      <c r="O355" s="1252"/>
      <c r="P355" s="1264"/>
      <c r="Q355" s="1265"/>
      <c r="S355" s="1252"/>
      <c r="T355" s="1264"/>
      <c r="U355" s="1265"/>
      <c r="W355" s="1252"/>
      <c r="X355" s="1264"/>
      <c r="Y355" s="1265"/>
      <c r="AA355" s="1252"/>
      <c r="AB355" s="1264"/>
      <c r="AC355" s="1265"/>
      <c r="AD355" s="1252"/>
      <c r="AE355" s="1252"/>
      <c r="AF355" s="1264"/>
      <c r="AG355" s="1265"/>
      <c r="AI355" s="1253"/>
      <c r="AJ355" s="1287"/>
      <c r="AK355" s="1287"/>
      <c r="AM355" s="1253"/>
      <c r="AN355" s="1287"/>
      <c r="AO355" s="1287"/>
      <c r="AQ355" s="1253"/>
      <c r="AR355" s="1287"/>
      <c r="AS355" s="1287"/>
      <c r="AT355" s="1244"/>
      <c r="AU355" s="1253"/>
      <c r="AV355" s="1287"/>
      <c r="AW355" s="1287"/>
      <c r="AX355" s="1244"/>
      <c r="AY355" s="1253"/>
      <c r="AZ355" s="1287"/>
      <c r="BA355" s="1287"/>
      <c r="BB355" s="1244"/>
      <c r="BC355" s="1253"/>
      <c r="BD355" s="1287"/>
      <c r="BE355" s="1287"/>
      <c r="BF355" s="1244"/>
      <c r="BG355" s="1253"/>
      <c r="BH355" s="1287"/>
      <c r="BI355" s="1287"/>
      <c r="BJ355" s="1282"/>
      <c r="BK355" s="1253"/>
      <c r="BL355" s="1287"/>
      <c r="BM355" s="1287"/>
      <c r="BN355" s="1282"/>
      <c r="BO355" s="1253"/>
      <c r="BP355" s="1287"/>
      <c r="BQ355" s="1287"/>
      <c r="BR355" s="1282"/>
      <c r="BS355" s="1253"/>
      <c r="BT355" s="1287"/>
      <c r="BU355" s="1287"/>
    </row>
    <row r="356" spans="1:73">
      <c r="A356" s="1254"/>
      <c r="C356" s="1252"/>
      <c r="D356" s="1264"/>
      <c r="E356" s="1256"/>
      <c r="G356" s="1252"/>
      <c r="H356" s="1264"/>
      <c r="I356" s="1265"/>
      <c r="K356" s="1252"/>
      <c r="L356" s="1264"/>
      <c r="M356" s="1265"/>
      <c r="O356" s="1252"/>
      <c r="P356" s="1264"/>
      <c r="Q356" s="1265"/>
      <c r="S356" s="1252"/>
      <c r="T356" s="1264"/>
      <c r="U356" s="1265"/>
      <c r="W356" s="1252"/>
      <c r="X356" s="1264"/>
      <c r="Y356" s="1265"/>
      <c r="AA356" s="1252"/>
      <c r="AB356" s="1264"/>
      <c r="AC356" s="1265"/>
      <c r="AD356" s="1252"/>
      <c r="AE356" s="1252"/>
      <c r="AF356" s="1264"/>
      <c r="AG356" s="1265"/>
      <c r="AI356" s="1253"/>
      <c r="AJ356" s="1287"/>
      <c r="AK356" s="1287"/>
      <c r="AM356" s="1253"/>
      <c r="AN356" s="1287"/>
      <c r="AO356" s="1287"/>
      <c r="AQ356" s="1253"/>
      <c r="AR356" s="1287"/>
      <c r="AS356" s="1287"/>
      <c r="AT356" s="1244"/>
      <c r="AU356" s="1253"/>
      <c r="AV356" s="1287"/>
      <c r="AW356" s="1287"/>
      <c r="AX356" s="1244"/>
      <c r="AY356" s="1253"/>
      <c r="AZ356" s="1287"/>
      <c r="BA356" s="1287"/>
      <c r="BB356" s="1244"/>
      <c r="BC356" s="1253"/>
      <c r="BD356" s="1287"/>
      <c r="BE356" s="1287"/>
      <c r="BF356" s="1244"/>
      <c r="BG356" s="1253"/>
      <c r="BH356" s="1287"/>
      <c r="BI356" s="1287"/>
      <c r="BJ356" s="1282"/>
      <c r="BK356" s="1253"/>
      <c r="BL356" s="1287"/>
      <c r="BM356" s="1287"/>
      <c r="BN356" s="1282"/>
      <c r="BO356" s="1253"/>
      <c r="BP356" s="1287"/>
      <c r="BQ356" s="1287"/>
      <c r="BR356" s="1282"/>
      <c r="BS356" s="1253"/>
      <c r="BT356" s="1287"/>
      <c r="BU356" s="1287"/>
    </row>
    <row r="357" spans="1:73">
      <c r="A357" s="1254"/>
      <c r="C357" s="1252"/>
      <c r="D357" s="1264"/>
      <c r="E357" s="1256"/>
      <c r="G357" s="1252"/>
      <c r="H357" s="1264"/>
      <c r="I357" s="1265"/>
      <c r="K357" s="1252"/>
      <c r="L357" s="1264"/>
      <c r="M357" s="1265"/>
      <c r="O357" s="1252"/>
      <c r="P357" s="1264"/>
      <c r="Q357" s="1265"/>
      <c r="S357" s="1252"/>
      <c r="T357" s="1264"/>
      <c r="U357" s="1265"/>
      <c r="W357" s="1252"/>
      <c r="X357" s="1264"/>
      <c r="Y357" s="1265"/>
      <c r="AA357" s="1252"/>
      <c r="AB357" s="1264"/>
      <c r="AC357" s="1265"/>
      <c r="AD357" s="1252"/>
      <c r="AE357" s="1252"/>
      <c r="AF357" s="1264"/>
      <c r="AG357" s="1265"/>
      <c r="AI357" s="1253"/>
      <c r="AJ357" s="1287"/>
      <c r="AK357" s="1287"/>
      <c r="AM357" s="1253"/>
      <c r="AN357" s="1287"/>
      <c r="AO357" s="1287"/>
      <c r="AQ357" s="1253"/>
      <c r="AR357" s="1287"/>
      <c r="AS357" s="1287"/>
      <c r="AT357" s="1244"/>
      <c r="AU357" s="1253"/>
      <c r="AV357" s="1287"/>
      <c r="AW357" s="1287"/>
      <c r="AX357" s="1244"/>
      <c r="AY357" s="1253"/>
      <c r="AZ357" s="1287"/>
      <c r="BA357" s="1287"/>
      <c r="BB357" s="1244"/>
      <c r="BC357" s="1253"/>
      <c r="BD357" s="1287"/>
      <c r="BE357" s="1287"/>
      <c r="BF357" s="1244"/>
      <c r="BG357" s="1253"/>
      <c r="BH357" s="1287"/>
      <c r="BI357" s="1287"/>
      <c r="BJ357" s="1282"/>
      <c r="BK357" s="1253"/>
      <c r="BL357" s="1287"/>
      <c r="BM357" s="1287"/>
      <c r="BN357" s="1282"/>
      <c r="BO357" s="1253"/>
      <c r="BP357" s="1287"/>
      <c r="BQ357" s="1287"/>
      <c r="BR357" s="1282"/>
      <c r="BS357" s="1253"/>
      <c r="BT357" s="1287"/>
      <c r="BU357" s="1287"/>
    </row>
    <row r="358" spans="1:73">
      <c r="A358" s="1254"/>
      <c r="C358" s="1252"/>
      <c r="D358" s="1264"/>
      <c r="E358" s="1256"/>
      <c r="G358" s="1252"/>
      <c r="H358" s="1264"/>
      <c r="I358" s="1265"/>
      <c r="K358" s="1252"/>
      <c r="L358" s="1264"/>
      <c r="M358" s="1265"/>
      <c r="O358" s="1252"/>
      <c r="P358" s="1264"/>
      <c r="Q358" s="1265"/>
      <c r="S358" s="1252"/>
      <c r="T358" s="1264"/>
      <c r="U358" s="1265"/>
      <c r="W358" s="1252"/>
      <c r="X358" s="1264"/>
      <c r="Y358" s="1265"/>
      <c r="AA358" s="1252"/>
      <c r="AB358" s="1264"/>
      <c r="AC358" s="1265"/>
      <c r="AD358" s="1252"/>
      <c r="AE358" s="1252"/>
      <c r="AF358" s="1264"/>
      <c r="AG358" s="1265"/>
      <c r="AI358" s="1253"/>
      <c r="AJ358" s="1287"/>
      <c r="AK358" s="1287"/>
      <c r="AM358" s="1253"/>
      <c r="AN358" s="1287"/>
      <c r="AO358" s="1287"/>
      <c r="AQ358" s="1253"/>
      <c r="AR358" s="1287"/>
      <c r="AS358" s="1287"/>
      <c r="AT358" s="1244"/>
      <c r="AU358" s="1253"/>
      <c r="AV358" s="1287"/>
      <c r="AW358" s="1287"/>
      <c r="AX358" s="1244"/>
      <c r="AY358" s="1253"/>
      <c r="AZ358" s="1287"/>
      <c r="BA358" s="1287"/>
      <c r="BB358" s="1244"/>
      <c r="BC358" s="1253"/>
      <c r="BD358" s="1287"/>
      <c r="BE358" s="1287"/>
      <c r="BF358" s="1244"/>
      <c r="BG358" s="1253"/>
      <c r="BH358" s="1287"/>
      <c r="BI358" s="1287"/>
      <c r="BJ358" s="1282"/>
      <c r="BK358" s="1253"/>
      <c r="BL358" s="1287"/>
      <c r="BM358" s="1287"/>
      <c r="BN358" s="1282"/>
      <c r="BO358" s="1253"/>
      <c r="BP358" s="1287"/>
      <c r="BQ358" s="1287"/>
      <c r="BR358" s="1282"/>
      <c r="BS358" s="1253"/>
      <c r="BT358" s="1287"/>
      <c r="BU358" s="1287"/>
    </row>
    <row r="359" spans="1:73">
      <c r="A359" s="1254"/>
      <c r="C359" s="1252"/>
      <c r="D359" s="1264"/>
      <c r="E359" s="1256"/>
      <c r="G359" s="1252"/>
      <c r="H359" s="1264"/>
      <c r="I359" s="1265"/>
      <c r="K359" s="1252"/>
      <c r="L359" s="1264"/>
      <c r="M359" s="1265"/>
      <c r="O359" s="1252"/>
      <c r="P359" s="1264"/>
      <c r="Q359" s="1265"/>
      <c r="S359" s="1252"/>
      <c r="T359" s="1264"/>
      <c r="U359" s="1265"/>
      <c r="W359" s="1252"/>
      <c r="X359" s="1264"/>
      <c r="Y359" s="1265"/>
      <c r="AA359" s="1252"/>
      <c r="AB359" s="1264"/>
      <c r="AC359" s="1265"/>
      <c r="AD359" s="1252"/>
      <c r="AE359" s="1252"/>
      <c r="AF359" s="1264"/>
      <c r="AG359" s="1265"/>
      <c r="AI359" s="1253"/>
      <c r="AJ359" s="1287"/>
      <c r="AK359" s="1287"/>
      <c r="AM359" s="1253"/>
      <c r="AN359" s="1287"/>
      <c r="AO359" s="1287"/>
      <c r="AQ359" s="1253"/>
      <c r="AR359" s="1287"/>
      <c r="AS359" s="1287"/>
      <c r="AT359" s="1244"/>
      <c r="AU359" s="1253"/>
      <c r="AV359" s="1287"/>
      <c r="AW359" s="1287"/>
      <c r="AX359" s="1244"/>
      <c r="AY359" s="1253"/>
      <c r="AZ359" s="1287"/>
      <c r="BA359" s="1287"/>
      <c r="BB359" s="1244"/>
      <c r="BC359" s="1253"/>
      <c r="BD359" s="1287"/>
      <c r="BE359" s="1287"/>
      <c r="BF359" s="1244"/>
      <c r="BG359" s="1253"/>
      <c r="BH359" s="1287"/>
      <c r="BI359" s="1287"/>
      <c r="BJ359" s="1282"/>
      <c r="BK359" s="1253"/>
      <c r="BL359" s="1287"/>
      <c r="BM359" s="1287"/>
      <c r="BN359" s="1282"/>
      <c r="BO359" s="1253"/>
      <c r="BP359" s="1287"/>
      <c r="BQ359" s="1287"/>
      <c r="BR359" s="1282"/>
      <c r="BS359" s="1253"/>
      <c r="BT359" s="1287"/>
      <c r="BU359" s="1287"/>
    </row>
    <row r="360" spans="1:73">
      <c r="A360" s="1254"/>
      <c r="C360" s="1252"/>
      <c r="D360" s="1264"/>
      <c r="E360" s="1256"/>
      <c r="G360" s="1252"/>
      <c r="H360" s="1264"/>
      <c r="I360" s="1265"/>
      <c r="K360" s="1252"/>
      <c r="L360" s="1264"/>
      <c r="M360" s="1265"/>
      <c r="O360" s="1252"/>
      <c r="P360" s="1264"/>
      <c r="Q360" s="1265"/>
      <c r="S360" s="1252"/>
      <c r="T360" s="1264"/>
      <c r="U360" s="1265"/>
      <c r="W360" s="1252"/>
      <c r="X360" s="1264"/>
      <c r="Y360" s="1265"/>
      <c r="AA360" s="1252"/>
      <c r="AB360" s="1264"/>
      <c r="AC360" s="1265"/>
      <c r="AD360" s="1252"/>
      <c r="AE360" s="1252"/>
      <c r="AF360" s="1264"/>
      <c r="AG360" s="1265"/>
      <c r="AI360" s="1253"/>
      <c r="AJ360" s="1287"/>
      <c r="AK360" s="1287"/>
      <c r="AM360" s="1253"/>
      <c r="AN360" s="1287"/>
      <c r="AO360" s="1287"/>
      <c r="AQ360" s="1253"/>
      <c r="AR360" s="1287"/>
      <c r="AS360" s="1287"/>
      <c r="AT360" s="1244"/>
      <c r="AU360" s="1253"/>
      <c r="AV360" s="1287"/>
      <c r="AW360" s="1287"/>
      <c r="AX360" s="1244"/>
      <c r="AY360" s="1253"/>
      <c r="AZ360" s="1287"/>
      <c r="BA360" s="1287"/>
      <c r="BB360" s="1244"/>
      <c r="BC360" s="1253"/>
      <c r="BD360" s="1287"/>
      <c r="BE360" s="1287"/>
      <c r="BF360" s="1244"/>
      <c r="BG360" s="1253"/>
      <c r="BH360" s="1287"/>
      <c r="BI360" s="1287"/>
      <c r="BJ360" s="1282"/>
      <c r="BK360" s="1253"/>
      <c r="BL360" s="1287"/>
      <c r="BM360" s="1287"/>
      <c r="BN360" s="1282"/>
      <c r="BO360" s="1253"/>
      <c r="BP360" s="1287"/>
      <c r="BQ360" s="1287"/>
      <c r="BR360" s="1282"/>
      <c r="BS360" s="1253"/>
      <c r="BT360" s="1287"/>
      <c r="BU360" s="1287"/>
    </row>
    <row r="361" spans="1:73">
      <c r="A361" s="1254"/>
      <c r="C361" s="1252"/>
      <c r="D361" s="1264"/>
      <c r="E361" s="1256"/>
      <c r="G361" s="1252"/>
      <c r="H361" s="1264"/>
      <c r="I361" s="1265"/>
      <c r="K361" s="1252"/>
      <c r="L361" s="1264"/>
      <c r="M361" s="1265"/>
      <c r="O361" s="1252"/>
      <c r="P361" s="1264"/>
      <c r="Q361" s="1265"/>
      <c r="S361" s="1252"/>
      <c r="T361" s="1264"/>
      <c r="U361" s="1265"/>
      <c r="W361" s="1252"/>
      <c r="X361" s="1264"/>
      <c r="Y361" s="1265"/>
      <c r="AA361" s="1252"/>
      <c r="AB361" s="1264"/>
      <c r="AC361" s="1265"/>
      <c r="AD361" s="1252"/>
      <c r="AE361" s="1252"/>
      <c r="AF361" s="1264"/>
      <c r="AG361" s="1265"/>
      <c r="AI361" s="1253"/>
      <c r="AJ361" s="1287"/>
      <c r="AK361" s="1287"/>
      <c r="AM361" s="1253"/>
      <c r="AN361" s="1287"/>
      <c r="AO361" s="1287"/>
      <c r="AQ361" s="1253"/>
      <c r="AR361" s="1287"/>
      <c r="AS361" s="1287"/>
      <c r="AT361" s="1244"/>
      <c r="AU361" s="1253"/>
      <c r="AV361" s="1287"/>
      <c r="AW361" s="1287"/>
      <c r="AX361" s="1244"/>
      <c r="AY361" s="1253"/>
      <c r="AZ361" s="1287"/>
      <c r="BA361" s="1287"/>
      <c r="BB361" s="1244"/>
      <c r="BC361" s="1253"/>
      <c r="BD361" s="1287"/>
      <c r="BE361" s="1287"/>
      <c r="BF361" s="1244"/>
      <c r="BG361" s="1253"/>
      <c r="BH361" s="1287"/>
      <c r="BI361" s="1287"/>
      <c r="BJ361" s="1282"/>
      <c r="BK361" s="1253"/>
      <c r="BL361" s="1287"/>
      <c r="BM361" s="1287"/>
      <c r="BN361" s="1282"/>
      <c r="BO361" s="1253"/>
      <c r="BP361" s="1287"/>
      <c r="BQ361" s="1287"/>
      <c r="BR361" s="1282"/>
      <c r="BS361" s="1253"/>
      <c r="BT361" s="1287"/>
      <c r="BU361" s="1287"/>
    </row>
    <row r="362" spans="1:73">
      <c r="A362" s="1254"/>
      <c r="C362" s="1252"/>
      <c r="D362" s="1264"/>
      <c r="E362" s="1256"/>
      <c r="G362" s="1252"/>
      <c r="H362" s="1264"/>
      <c r="I362" s="1265"/>
      <c r="K362" s="1252"/>
      <c r="L362" s="1264"/>
      <c r="M362" s="1265"/>
      <c r="O362" s="1252"/>
      <c r="P362" s="1264"/>
      <c r="Q362" s="1265"/>
      <c r="S362" s="1252"/>
      <c r="T362" s="1264"/>
      <c r="U362" s="1265"/>
      <c r="W362" s="1252"/>
      <c r="X362" s="1264"/>
      <c r="Y362" s="1265"/>
      <c r="AA362" s="1252"/>
      <c r="AB362" s="1264"/>
      <c r="AC362" s="1265"/>
      <c r="AD362" s="1252"/>
      <c r="AE362" s="1252"/>
      <c r="AF362" s="1264"/>
      <c r="AG362" s="1265"/>
      <c r="AI362" s="1253"/>
      <c r="AJ362" s="1287"/>
      <c r="AK362" s="1287"/>
      <c r="AM362" s="1253"/>
      <c r="AN362" s="1287"/>
      <c r="AO362" s="1287"/>
      <c r="AQ362" s="1253"/>
      <c r="AR362" s="1287"/>
      <c r="AS362" s="1287"/>
      <c r="AT362" s="1244"/>
      <c r="AU362" s="1253"/>
      <c r="AV362" s="1287"/>
      <c r="AW362" s="1287"/>
      <c r="AX362" s="1244"/>
      <c r="AY362" s="1253"/>
      <c r="AZ362" s="1287"/>
      <c r="BA362" s="1287"/>
      <c r="BB362" s="1244"/>
      <c r="BC362" s="1253"/>
      <c r="BD362" s="1287"/>
      <c r="BE362" s="1287"/>
      <c r="BF362" s="1244"/>
      <c r="BG362" s="1253"/>
      <c r="BH362" s="1287"/>
      <c r="BI362" s="1287"/>
      <c r="BJ362" s="1282"/>
      <c r="BK362" s="1253"/>
      <c r="BL362" s="1287"/>
      <c r="BM362" s="1287"/>
      <c r="BN362" s="1282"/>
      <c r="BO362" s="1253"/>
      <c r="BP362" s="1287"/>
      <c r="BQ362" s="1287"/>
      <c r="BR362" s="1282"/>
      <c r="BS362" s="1253"/>
      <c r="BT362" s="1287"/>
      <c r="BU362" s="1287"/>
    </row>
    <row r="363" spans="1:73">
      <c r="A363" s="1254"/>
      <c r="C363" s="1252"/>
      <c r="D363" s="1264"/>
      <c r="E363" s="1256"/>
      <c r="G363" s="1252"/>
      <c r="H363" s="1264"/>
      <c r="I363" s="1265"/>
      <c r="K363" s="1252"/>
      <c r="L363" s="1264"/>
      <c r="M363" s="1265"/>
      <c r="O363" s="1252"/>
      <c r="P363" s="1264"/>
      <c r="Q363" s="1265"/>
      <c r="S363" s="1252"/>
      <c r="T363" s="1264"/>
      <c r="U363" s="1265"/>
      <c r="W363" s="1252"/>
      <c r="X363" s="1264"/>
      <c r="Y363" s="1265"/>
      <c r="AA363" s="1252"/>
      <c r="AB363" s="1264"/>
      <c r="AC363" s="1265"/>
      <c r="AD363" s="1252"/>
      <c r="AE363" s="1252"/>
      <c r="AF363" s="1264"/>
      <c r="AG363" s="1265"/>
      <c r="AI363" s="1253"/>
      <c r="AJ363" s="1287"/>
      <c r="AK363" s="1287"/>
      <c r="AM363" s="1253"/>
      <c r="AN363" s="1287"/>
      <c r="AO363" s="1287"/>
      <c r="AQ363" s="1253"/>
      <c r="AR363" s="1287"/>
      <c r="AS363" s="1287"/>
      <c r="AT363" s="1244"/>
      <c r="AU363" s="1253"/>
      <c r="AV363" s="1287"/>
      <c r="AW363" s="1287"/>
      <c r="AX363" s="1244"/>
      <c r="AY363" s="1253"/>
      <c r="AZ363" s="1287"/>
      <c r="BA363" s="1287"/>
      <c r="BB363" s="1244"/>
      <c r="BC363" s="1253"/>
      <c r="BD363" s="1287"/>
      <c r="BE363" s="1287"/>
      <c r="BF363" s="1244"/>
      <c r="BG363" s="1253"/>
      <c r="BH363" s="1287"/>
      <c r="BI363" s="1287"/>
      <c r="BJ363" s="1282"/>
      <c r="BK363" s="1253"/>
      <c r="BL363" s="1287"/>
      <c r="BM363" s="1287"/>
      <c r="BN363" s="1282"/>
      <c r="BO363" s="1253"/>
      <c r="BP363" s="1287"/>
      <c r="BQ363" s="1287"/>
      <c r="BR363" s="1282"/>
      <c r="BS363" s="1253"/>
      <c r="BT363" s="1287"/>
      <c r="BU363" s="1287"/>
    </row>
    <row r="364" spans="1:73">
      <c r="A364" s="1254"/>
      <c r="C364" s="1252"/>
      <c r="D364" s="1264"/>
      <c r="E364" s="1256"/>
      <c r="G364" s="1252"/>
      <c r="H364" s="1264"/>
      <c r="I364" s="1265"/>
      <c r="K364" s="1252"/>
      <c r="L364" s="1264"/>
      <c r="M364" s="1265"/>
      <c r="O364" s="1252"/>
      <c r="P364" s="1264"/>
      <c r="Q364" s="1265"/>
      <c r="S364" s="1252"/>
      <c r="T364" s="1264"/>
      <c r="U364" s="1265"/>
      <c r="W364" s="1252"/>
      <c r="X364" s="1264"/>
      <c r="Y364" s="1265"/>
      <c r="AA364" s="1252"/>
      <c r="AB364" s="1264"/>
      <c r="AC364" s="1265"/>
      <c r="AD364" s="1252"/>
      <c r="AE364" s="1252"/>
      <c r="AF364" s="1264"/>
      <c r="AG364" s="1265"/>
      <c r="AI364" s="1253"/>
      <c r="AJ364" s="1287"/>
      <c r="AK364" s="1287"/>
      <c r="AM364" s="1253"/>
      <c r="AN364" s="1287"/>
      <c r="AO364" s="1287"/>
      <c r="AQ364" s="1253"/>
      <c r="AR364" s="1287"/>
      <c r="AS364" s="1287"/>
      <c r="AT364" s="1244"/>
      <c r="AU364" s="1253"/>
      <c r="AV364" s="1287"/>
      <c r="AW364" s="1287"/>
      <c r="AX364" s="1244"/>
      <c r="AY364" s="1253"/>
      <c r="AZ364" s="1287"/>
      <c r="BA364" s="1287"/>
      <c r="BB364" s="1244"/>
      <c r="BC364" s="1253"/>
      <c r="BD364" s="1287"/>
      <c r="BE364" s="1287"/>
      <c r="BF364" s="1244"/>
      <c r="BG364" s="1253"/>
      <c r="BH364" s="1287"/>
      <c r="BI364" s="1287"/>
      <c r="BJ364" s="1282"/>
      <c r="BK364" s="1253"/>
      <c r="BL364" s="1287"/>
      <c r="BM364" s="1287"/>
      <c r="BN364" s="1282"/>
      <c r="BO364" s="1253"/>
      <c r="BP364" s="1287"/>
      <c r="BQ364" s="1287"/>
      <c r="BR364" s="1282"/>
      <c r="BS364" s="1253"/>
      <c r="BT364" s="1287"/>
      <c r="BU364" s="1287"/>
    </row>
    <row r="365" spans="1:73">
      <c r="A365" s="1254"/>
      <c r="C365" s="1252"/>
      <c r="D365" s="1264"/>
      <c r="E365" s="1256"/>
      <c r="G365" s="1252"/>
      <c r="H365" s="1264"/>
      <c r="I365" s="1265"/>
      <c r="K365" s="1252"/>
      <c r="L365" s="1264"/>
      <c r="M365" s="1265"/>
      <c r="O365" s="1252"/>
      <c r="P365" s="1264"/>
      <c r="Q365" s="1265"/>
      <c r="S365" s="1252"/>
      <c r="T365" s="1264"/>
      <c r="U365" s="1265"/>
      <c r="W365" s="1252"/>
      <c r="X365" s="1264"/>
      <c r="Y365" s="1265"/>
      <c r="AA365" s="1252"/>
      <c r="AB365" s="1264"/>
      <c r="AC365" s="1265"/>
      <c r="AD365" s="1252"/>
      <c r="AE365" s="1252"/>
      <c r="AF365" s="1264"/>
      <c r="AG365" s="1265"/>
      <c r="AI365" s="1253"/>
      <c r="AJ365" s="1287"/>
      <c r="AK365" s="1287"/>
      <c r="AM365" s="1253"/>
      <c r="AN365" s="1287"/>
      <c r="AO365" s="1287"/>
      <c r="AQ365" s="1253"/>
      <c r="AR365" s="1287"/>
      <c r="AS365" s="1287"/>
      <c r="AT365" s="1244"/>
      <c r="AU365" s="1253"/>
      <c r="AV365" s="1287"/>
      <c r="AW365" s="1287"/>
      <c r="AX365" s="1244"/>
      <c r="AY365" s="1253"/>
      <c r="AZ365" s="1287"/>
      <c r="BA365" s="1287"/>
      <c r="BB365" s="1244"/>
      <c r="BC365" s="1253"/>
      <c r="BD365" s="1287"/>
      <c r="BE365" s="1287"/>
      <c r="BF365" s="1244"/>
      <c r="BG365" s="1253"/>
      <c r="BH365" s="1287"/>
      <c r="BI365" s="1287"/>
      <c r="BJ365" s="1282"/>
      <c r="BK365" s="1253"/>
      <c r="BL365" s="1287"/>
      <c r="BM365" s="1287"/>
      <c r="BN365" s="1282"/>
      <c r="BO365" s="1253"/>
      <c r="BP365" s="1287"/>
      <c r="BQ365" s="1287"/>
      <c r="BR365" s="1282"/>
      <c r="BS365" s="1253"/>
      <c r="BT365" s="1287"/>
      <c r="BU365" s="1287"/>
    </row>
    <row r="366" spans="1:73">
      <c r="A366" s="1254"/>
      <c r="C366" s="1252"/>
      <c r="D366" s="1264"/>
      <c r="E366" s="1256"/>
      <c r="G366" s="1252"/>
      <c r="H366" s="1264"/>
      <c r="I366" s="1265"/>
      <c r="K366" s="1252"/>
      <c r="L366" s="1264"/>
      <c r="M366" s="1265"/>
      <c r="O366" s="1252"/>
      <c r="P366" s="1264"/>
      <c r="Q366" s="1265"/>
      <c r="S366" s="1252"/>
      <c r="T366" s="1264"/>
      <c r="U366" s="1265"/>
      <c r="W366" s="1252"/>
      <c r="X366" s="1264"/>
      <c r="Y366" s="1265"/>
      <c r="AA366" s="1252"/>
      <c r="AB366" s="1264"/>
      <c r="AC366" s="1265"/>
      <c r="AD366" s="1252"/>
      <c r="AE366" s="1252"/>
      <c r="AF366" s="1264"/>
      <c r="AG366" s="1265"/>
      <c r="AI366" s="1253"/>
      <c r="AJ366" s="1287"/>
      <c r="AK366" s="1287"/>
      <c r="AM366" s="1253"/>
      <c r="AN366" s="1287"/>
      <c r="AO366" s="1287"/>
      <c r="AQ366" s="1253"/>
      <c r="AR366" s="1287"/>
      <c r="AS366" s="1287"/>
      <c r="AT366" s="1244"/>
      <c r="AU366" s="1253"/>
      <c r="AV366" s="1287"/>
      <c r="AW366" s="1287"/>
      <c r="AX366" s="1244"/>
      <c r="AY366" s="1253"/>
      <c r="AZ366" s="1287"/>
      <c r="BA366" s="1287"/>
      <c r="BB366" s="1244"/>
      <c r="BC366" s="1253"/>
      <c r="BD366" s="1287"/>
      <c r="BE366" s="1287"/>
      <c r="BF366" s="1244"/>
      <c r="BG366" s="1253"/>
      <c r="BH366" s="1287"/>
      <c r="BI366" s="1287"/>
      <c r="BJ366" s="1282"/>
      <c r="BK366" s="1253"/>
      <c r="BL366" s="1287"/>
      <c r="BM366" s="1287"/>
      <c r="BN366" s="1282"/>
      <c r="BO366" s="1253"/>
      <c r="BP366" s="1287"/>
      <c r="BQ366" s="1287"/>
      <c r="BR366" s="1282"/>
      <c r="BS366" s="1253"/>
      <c r="BT366" s="1287"/>
      <c r="BU366" s="1287"/>
    </row>
    <row r="367" spans="1:73">
      <c r="A367" s="1254"/>
      <c r="C367" s="1252"/>
      <c r="D367" s="1264"/>
      <c r="E367" s="1256"/>
      <c r="G367" s="1252"/>
      <c r="H367" s="1264"/>
      <c r="I367" s="1265"/>
      <c r="K367" s="1252"/>
      <c r="L367" s="1264"/>
      <c r="M367" s="1265"/>
      <c r="O367" s="1252"/>
      <c r="P367" s="1264"/>
      <c r="Q367" s="1265"/>
      <c r="S367" s="1252"/>
      <c r="T367" s="1264"/>
      <c r="U367" s="1265"/>
      <c r="W367" s="1252"/>
      <c r="X367" s="1264"/>
      <c r="Y367" s="1265"/>
      <c r="AA367" s="1252"/>
      <c r="AB367" s="1264"/>
      <c r="AC367" s="1265"/>
      <c r="AD367" s="1252"/>
      <c r="AE367" s="1252"/>
      <c r="AF367" s="1264"/>
      <c r="AG367" s="1265"/>
      <c r="AI367" s="1253"/>
      <c r="AJ367" s="1287"/>
      <c r="AK367" s="1287"/>
      <c r="AM367" s="1253"/>
      <c r="AN367" s="1287"/>
      <c r="AO367" s="1287"/>
      <c r="AQ367" s="1253"/>
      <c r="AR367" s="1287"/>
      <c r="AS367" s="1287"/>
      <c r="AT367" s="1244"/>
      <c r="AU367" s="1253"/>
      <c r="AV367" s="1287"/>
      <c r="AW367" s="1287"/>
      <c r="AX367" s="1244"/>
      <c r="AY367" s="1253"/>
      <c r="AZ367" s="1287"/>
      <c r="BA367" s="1287"/>
      <c r="BB367" s="1244"/>
      <c r="BC367" s="1253"/>
      <c r="BD367" s="1287"/>
      <c r="BE367" s="1287"/>
      <c r="BF367" s="1244"/>
      <c r="BG367" s="1253"/>
      <c r="BH367" s="1287"/>
      <c r="BI367" s="1287"/>
      <c r="BJ367" s="1282"/>
      <c r="BK367" s="1253"/>
      <c r="BL367" s="1287"/>
      <c r="BM367" s="1287"/>
      <c r="BN367" s="1282"/>
      <c r="BO367" s="1253"/>
      <c r="BP367" s="1287"/>
      <c r="BQ367" s="1287"/>
      <c r="BR367" s="1282"/>
      <c r="BS367" s="1253"/>
      <c r="BT367" s="1287"/>
      <c r="BU367" s="1287"/>
    </row>
    <row r="368" spans="1:73">
      <c r="A368" s="1254"/>
      <c r="C368" s="1252"/>
      <c r="D368" s="1264"/>
      <c r="E368" s="1256"/>
      <c r="G368" s="1252"/>
      <c r="H368" s="1264"/>
      <c r="I368" s="1265"/>
      <c r="K368" s="1252"/>
      <c r="L368" s="1264"/>
      <c r="M368" s="1265"/>
      <c r="O368" s="1252"/>
      <c r="P368" s="1264"/>
      <c r="Q368" s="1265"/>
      <c r="S368" s="1252"/>
      <c r="T368" s="1264"/>
      <c r="U368" s="1265"/>
      <c r="W368" s="1252"/>
      <c r="X368" s="1264"/>
      <c r="Y368" s="1265"/>
      <c r="AA368" s="1252"/>
      <c r="AB368" s="1264"/>
      <c r="AC368" s="1265"/>
      <c r="AD368" s="1252"/>
      <c r="AE368" s="1252"/>
      <c r="AF368" s="1264"/>
      <c r="AG368" s="1265"/>
      <c r="AI368" s="1253"/>
      <c r="AJ368" s="1287"/>
      <c r="AK368" s="1287"/>
      <c r="AM368" s="1253"/>
      <c r="AN368" s="1287"/>
      <c r="AO368" s="1287"/>
      <c r="AQ368" s="1253"/>
      <c r="AR368" s="1287"/>
      <c r="AS368" s="1287"/>
      <c r="AT368" s="1244"/>
      <c r="AU368" s="1253"/>
      <c r="AV368" s="1287"/>
      <c r="AW368" s="1287"/>
      <c r="AX368" s="1244"/>
      <c r="AY368" s="1253"/>
      <c r="AZ368" s="1287"/>
      <c r="BA368" s="1287"/>
      <c r="BB368" s="1244"/>
      <c r="BC368" s="1253"/>
      <c r="BD368" s="1287"/>
      <c r="BE368" s="1287"/>
      <c r="BF368" s="1244"/>
      <c r="BG368" s="1253"/>
      <c r="BH368" s="1287"/>
      <c r="BI368" s="1287"/>
      <c r="BJ368" s="1282"/>
      <c r="BK368" s="1253"/>
      <c r="BL368" s="1287"/>
      <c r="BM368" s="1287"/>
      <c r="BN368" s="1282"/>
      <c r="BO368" s="1253"/>
      <c r="BP368" s="1287"/>
      <c r="BQ368" s="1287"/>
      <c r="BR368" s="1282"/>
      <c r="BS368" s="1253"/>
      <c r="BT368" s="1287"/>
      <c r="BU368" s="1287"/>
    </row>
    <row r="369" spans="1:73">
      <c r="A369" s="1254"/>
      <c r="C369" s="1252"/>
      <c r="D369" s="1264"/>
      <c r="E369" s="1256"/>
      <c r="G369" s="1252"/>
      <c r="H369" s="1264"/>
      <c r="I369" s="1265"/>
      <c r="K369" s="1252"/>
      <c r="L369" s="1264"/>
      <c r="M369" s="1265"/>
      <c r="O369" s="1252"/>
      <c r="P369" s="1264"/>
      <c r="Q369" s="1265"/>
      <c r="S369" s="1252"/>
      <c r="T369" s="1264"/>
      <c r="U369" s="1265"/>
      <c r="W369" s="1252"/>
      <c r="X369" s="1264"/>
      <c r="Y369" s="1265"/>
      <c r="AA369" s="1252"/>
      <c r="AB369" s="1264"/>
      <c r="AC369" s="1265"/>
      <c r="AD369" s="1252"/>
      <c r="AE369" s="1252"/>
      <c r="AF369" s="1264"/>
      <c r="AG369" s="1265"/>
      <c r="AI369" s="1253"/>
      <c r="AJ369" s="1287"/>
      <c r="AK369" s="1287"/>
      <c r="AM369" s="1253"/>
      <c r="AN369" s="1287"/>
      <c r="AO369" s="1287"/>
      <c r="AQ369" s="1253"/>
      <c r="AR369" s="1287"/>
      <c r="AS369" s="1287"/>
      <c r="AT369" s="1244"/>
      <c r="AU369" s="1253"/>
      <c r="AV369" s="1287"/>
      <c r="AW369" s="1287"/>
      <c r="AX369" s="1244"/>
      <c r="AY369" s="1253"/>
      <c r="AZ369" s="1287"/>
      <c r="BA369" s="1287"/>
      <c r="BB369" s="1244"/>
      <c r="BC369" s="1253"/>
      <c r="BD369" s="1287"/>
      <c r="BE369" s="1287"/>
      <c r="BF369" s="1244"/>
      <c r="BG369" s="1253"/>
      <c r="BH369" s="1287"/>
      <c r="BI369" s="1287"/>
      <c r="BJ369" s="1282"/>
      <c r="BK369" s="1253"/>
      <c r="BL369" s="1287"/>
      <c r="BM369" s="1287"/>
      <c r="BN369" s="1282"/>
      <c r="BO369" s="1253"/>
      <c r="BP369" s="1287"/>
      <c r="BQ369" s="1287"/>
      <c r="BR369" s="1282"/>
      <c r="BS369" s="1253"/>
      <c r="BT369" s="1287"/>
      <c r="BU369" s="1287"/>
    </row>
    <row r="370" spans="1:73">
      <c r="A370" s="1254"/>
      <c r="C370" s="1252"/>
      <c r="D370" s="1264"/>
      <c r="E370" s="1256"/>
      <c r="G370" s="1252"/>
      <c r="H370" s="1264"/>
      <c r="I370" s="1265"/>
      <c r="K370" s="1252"/>
      <c r="L370" s="1264"/>
      <c r="M370" s="1265"/>
      <c r="O370" s="1252"/>
      <c r="P370" s="1264"/>
      <c r="Q370" s="1265"/>
      <c r="S370" s="1252"/>
      <c r="T370" s="1264"/>
      <c r="U370" s="1265"/>
      <c r="W370" s="1252"/>
      <c r="X370" s="1264"/>
      <c r="Y370" s="1265"/>
      <c r="AA370" s="1252"/>
      <c r="AB370" s="1264"/>
      <c r="AC370" s="1265"/>
      <c r="AD370" s="1252"/>
      <c r="AE370" s="1252"/>
      <c r="AF370" s="1264"/>
      <c r="AG370" s="1265"/>
      <c r="AI370" s="1253"/>
      <c r="AJ370" s="1287"/>
      <c r="AK370" s="1287"/>
      <c r="AM370" s="1253"/>
      <c r="AN370" s="1287"/>
      <c r="AO370" s="1287"/>
      <c r="AQ370" s="1253"/>
      <c r="AR370" s="1287"/>
      <c r="AS370" s="1287"/>
      <c r="AT370" s="1244"/>
      <c r="AU370" s="1253"/>
      <c r="AV370" s="1287"/>
      <c r="AW370" s="1287"/>
      <c r="AX370" s="1244"/>
      <c r="AY370" s="1253"/>
      <c r="AZ370" s="1287"/>
      <c r="BA370" s="1287"/>
      <c r="BB370" s="1244"/>
      <c r="BC370" s="1253"/>
      <c r="BD370" s="1287"/>
      <c r="BE370" s="1287"/>
      <c r="BF370" s="1244"/>
      <c r="BG370" s="1253"/>
      <c r="BH370" s="1287"/>
      <c r="BI370" s="1287"/>
      <c r="BJ370" s="1282"/>
      <c r="BK370" s="1253"/>
      <c r="BL370" s="1287"/>
      <c r="BM370" s="1287"/>
      <c r="BN370" s="1282"/>
      <c r="BO370" s="1253"/>
      <c r="BP370" s="1287"/>
      <c r="BQ370" s="1287"/>
      <c r="BR370" s="1282"/>
      <c r="BS370" s="1253"/>
      <c r="BT370" s="1287"/>
      <c r="BU370" s="1287"/>
    </row>
    <row r="371" spans="1:73">
      <c r="A371" s="1254"/>
      <c r="C371" s="1252"/>
      <c r="D371" s="1264"/>
      <c r="E371" s="1256"/>
      <c r="G371" s="1252"/>
      <c r="H371" s="1264"/>
      <c r="I371" s="1265"/>
      <c r="K371" s="1252"/>
      <c r="L371" s="1264"/>
      <c r="M371" s="1265"/>
      <c r="O371" s="1252"/>
      <c r="P371" s="1264"/>
      <c r="Q371" s="1265"/>
      <c r="S371" s="1252"/>
      <c r="T371" s="1264"/>
      <c r="U371" s="1265"/>
      <c r="W371" s="1252"/>
      <c r="X371" s="1264"/>
      <c r="Y371" s="1265"/>
      <c r="AA371" s="1252"/>
      <c r="AB371" s="1264"/>
      <c r="AC371" s="1265"/>
      <c r="AD371" s="1252"/>
      <c r="AE371" s="1252"/>
      <c r="AF371" s="1264"/>
      <c r="AG371" s="1265"/>
      <c r="AI371" s="1253"/>
      <c r="AJ371" s="1287"/>
      <c r="AK371" s="1287"/>
      <c r="AM371" s="1253"/>
      <c r="AN371" s="1287"/>
      <c r="AO371" s="1287"/>
      <c r="AQ371" s="1253"/>
      <c r="AR371" s="1287"/>
      <c r="AS371" s="1287"/>
      <c r="AT371" s="1244"/>
      <c r="AU371" s="1253"/>
      <c r="AV371" s="1287"/>
      <c r="AW371" s="1287"/>
      <c r="AX371" s="1244"/>
      <c r="AY371" s="1253"/>
      <c r="AZ371" s="1287"/>
      <c r="BA371" s="1287"/>
      <c r="BB371" s="1244"/>
      <c r="BC371" s="1253"/>
      <c r="BD371" s="1287"/>
      <c r="BE371" s="1287"/>
      <c r="BF371" s="1244"/>
      <c r="BG371" s="1253"/>
      <c r="BH371" s="1287"/>
      <c r="BI371" s="1287"/>
      <c r="BJ371" s="1282"/>
      <c r="BK371" s="1253"/>
      <c r="BL371" s="1287"/>
      <c r="BM371" s="1287"/>
      <c r="BN371" s="1282"/>
      <c r="BO371" s="1253"/>
      <c r="BP371" s="1287"/>
      <c r="BQ371" s="1287"/>
      <c r="BR371" s="1282"/>
      <c r="BS371" s="1253"/>
      <c r="BT371" s="1287"/>
      <c r="BU371" s="1287"/>
    </row>
    <row r="372" spans="1:73">
      <c r="A372" s="1254"/>
      <c r="C372" s="1252"/>
      <c r="D372" s="1264"/>
      <c r="E372" s="1256"/>
      <c r="G372" s="1252"/>
      <c r="H372" s="1264"/>
      <c r="I372" s="1265"/>
      <c r="K372" s="1252"/>
      <c r="L372" s="1264"/>
      <c r="M372" s="1265"/>
      <c r="O372" s="1252"/>
      <c r="P372" s="1264"/>
      <c r="Q372" s="1265"/>
      <c r="S372" s="1252"/>
      <c r="T372" s="1264"/>
      <c r="U372" s="1265"/>
      <c r="W372" s="1252"/>
      <c r="X372" s="1264"/>
      <c r="Y372" s="1265"/>
      <c r="AA372" s="1252"/>
      <c r="AB372" s="1264"/>
      <c r="AC372" s="1265"/>
      <c r="AD372" s="1252"/>
      <c r="AE372" s="1252"/>
      <c r="AF372" s="1264"/>
      <c r="AG372" s="1265"/>
      <c r="AI372" s="1253"/>
      <c r="AJ372" s="1287"/>
      <c r="AK372" s="1287"/>
      <c r="AM372" s="1253"/>
      <c r="AN372" s="1287"/>
      <c r="AO372" s="1287"/>
      <c r="AQ372" s="1253"/>
      <c r="AR372" s="1287"/>
      <c r="AS372" s="1287"/>
      <c r="AT372" s="1244"/>
      <c r="AU372" s="1253"/>
      <c r="AV372" s="1287"/>
      <c r="AW372" s="1287"/>
      <c r="AX372" s="1244"/>
      <c r="AY372" s="1253"/>
      <c r="AZ372" s="1287"/>
      <c r="BA372" s="1287"/>
      <c r="BB372" s="1244"/>
      <c r="BC372" s="1253"/>
      <c r="BD372" s="1287"/>
      <c r="BE372" s="1287"/>
      <c r="BF372" s="1244"/>
      <c r="BG372" s="1253"/>
      <c r="BH372" s="1287"/>
      <c r="BI372" s="1287"/>
      <c r="BJ372" s="1282"/>
      <c r="BK372" s="1253"/>
      <c r="BL372" s="1287"/>
      <c r="BM372" s="1287"/>
      <c r="BN372" s="1282"/>
      <c r="BO372" s="1253"/>
      <c r="BP372" s="1287"/>
      <c r="BQ372" s="1287"/>
      <c r="BR372" s="1282"/>
      <c r="BS372" s="1253"/>
      <c r="BT372" s="1287"/>
      <c r="BU372" s="1287"/>
    </row>
    <row r="373" spans="1:73">
      <c r="A373" s="1254"/>
      <c r="C373" s="1252"/>
      <c r="D373" s="1264"/>
      <c r="E373" s="1256"/>
      <c r="G373" s="1252"/>
      <c r="H373" s="1264"/>
      <c r="I373" s="1265"/>
      <c r="K373" s="1252"/>
      <c r="L373" s="1264"/>
      <c r="M373" s="1265"/>
      <c r="O373" s="1252"/>
      <c r="P373" s="1264"/>
      <c r="Q373" s="1265"/>
      <c r="S373" s="1252"/>
      <c r="T373" s="1264"/>
      <c r="U373" s="1265"/>
      <c r="W373" s="1252"/>
      <c r="X373" s="1264"/>
      <c r="Y373" s="1265"/>
      <c r="AA373" s="1252"/>
      <c r="AB373" s="1264"/>
      <c r="AC373" s="1265"/>
      <c r="AD373" s="1252"/>
      <c r="AE373" s="1252"/>
      <c r="AF373" s="1264"/>
      <c r="AG373" s="1265"/>
      <c r="AI373" s="1253"/>
      <c r="AJ373" s="1287"/>
      <c r="AK373" s="1287"/>
      <c r="AM373" s="1253"/>
      <c r="AN373" s="1287"/>
      <c r="AO373" s="1287"/>
      <c r="AQ373" s="1253"/>
      <c r="AR373" s="1287"/>
      <c r="AS373" s="1287"/>
      <c r="AT373" s="1244"/>
      <c r="AU373" s="1253"/>
      <c r="AV373" s="1287"/>
      <c r="AW373" s="1287"/>
      <c r="AX373" s="1244"/>
      <c r="AY373" s="1253"/>
      <c r="AZ373" s="1287"/>
      <c r="BA373" s="1287"/>
      <c r="BB373" s="1244"/>
      <c r="BC373" s="1253"/>
      <c r="BD373" s="1287"/>
      <c r="BE373" s="1287"/>
      <c r="BF373" s="1244"/>
      <c r="BG373" s="1253"/>
      <c r="BH373" s="1287"/>
      <c r="BI373" s="1287"/>
      <c r="BJ373" s="1282"/>
      <c r="BK373" s="1253"/>
      <c r="BL373" s="1287"/>
      <c r="BM373" s="1287"/>
      <c r="BN373" s="1282"/>
      <c r="BO373" s="1253"/>
      <c r="BP373" s="1287"/>
      <c r="BQ373" s="1287"/>
      <c r="BR373" s="1282"/>
      <c r="BS373" s="1253"/>
      <c r="BT373" s="1287"/>
      <c r="BU373" s="1287"/>
    </row>
    <row r="374" spans="1:73">
      <c r="A374" s="1254"/>
      <c r="C374" s="1252"/>
      <c r="D374" s="1264"/>
      <c r="E374" s="1256"/>
      <c r="G374" s="1252"/>
      <c r="H374" s="1264"/>
      <c r="I374" s="1265"/>
      <c r="K374" s="1252"/>
      <c r="L374" s="1264"/>
      <c r="M374" s="1265"/>
      <c r="O374" s="1252"/>
      <c r="P374" s="1264"/>
      <c r="Q374" s="1265"/>
      <c r="S374" s="1252"/>
      <c r="T374" s="1264"/>
      <c r="U374" s="1265"/>
      <c r="W374" s="1252"/>
      <c r="X374" s="1264"/>
      <c r="Y374" s="1265"/>
      <c r="AA374" s="1252"/>
      <c r="AB374" s="1264"/>
      <c r="AC374" s="1265"/>
      <c r="AD374" s="1252"/>
      <c r="AE374" s="1252"/>
      <c r="AF374" s="1264"/>
      <c r="AG374" s="1265"/>
      <c r="AI374" s="1253"/>
      <c r="AJ374" s="1287"/>
      <c r="AK374" s="1287"/>
      <c r="AM374" s="1253"/>
      <c r="AN374" s="1287"/>
      <c r="AO374" s="1287"/>
      <c r="AQ374" s="1253"/>
      <c r="AR374" s="1287"/>
      <c r="AS374" s="1287"/>
      <c r="AT374" s="1244"/>
      <c r="AU374" s="1253"/>
      <c r="AV374" s="1287"/>
      <c r="AW374" s="1287"/>
      <c r="AX374" s="1244"/>
      <c r="AY374" s="1253"/>
      <c r="AZ374" s="1287"/>
      <c r="BA374" s="1287"/>
      <c r="BB374" s="1244"/>
      <c r="BC374" s="1253"/>
      <c r="BD374" s="1287"/>
      <c r="BE374" s="1287"/>
      <c r="BF374" s="1244"/>
      <c r="BG374" s="1253"/>
      <c r="BH374" s="1287"/>
      <c r="BI374" s="1287"/>
      <c r="BJ374" s="1282"/>
      <c r="BK374" s="1253"/>
      <c r="BL374" s="1287"/>
      <c r="BM374" s="1287"/>
      <c r="BN374" s="1282"/>
      <c r="BO374" s="1253"/>
      <c r="BP374" s="1287"/>
      <c r="BQ374" s="1287"/>
      <c r="BR374" s="1282"/>
      <c r="BS374" s="1253"/>
      <c r="BT374" s="1287"/>
      <c r="BU374" s="1287"/>
    </row>
    <row r="375" spans="1:73">
      <c r="A375" s="1254"/>
      <c r="C375" s="1252"/>
      <c r="D375" s="1264"/>
      <c r="E375" s="1256"/>
      <c r="G375" s="1252"/>
      <c r="H375" s="1264"/>
      <c r="I375" s="1265"/>
      <c r="K375" s="1252"/>
      <c r="L375" s="1264"/>
      <c r="M375" s="1265"/>
      <c r="O375" s="1252"/>
      <c r="P375" s="1264"/>
      <c r="Q375" s="1265"/>
      <c r="S375" s="1252"/>
      <c r="T375" s="1264"/>
      <c r="U375" s="1265"/>
      <c r="W375" s="1252"/>
      <c r="X375" s="1264"/>
      <c r="Y375" s="1265"/>
      <c r="AA375" s="1252"/>
      <c r="AB375" s="1264"/>
      <c r="AC375" s="1265"/>
      <c r="AD375" s="1252"/>
      <c r="AE375" s="1252"/>
      <c r="AF375" s="1264"/>
      <c r="AG375" s="1265"/>
      <c r="AI375" s="1253"/>
      <c r="AJ375" s="1287"/>
      <c r="AK375" s="1287"/>
      <c r="AM375" s="1253"/>
      <c r="AN375" s="1287"/>
      <c r="AO375" s="1287"/>
      <c r="AQ375" s="1253"/>
      <c r="AR375" s="1287"/>
      <c r="AS375" s="1287"/>
      <c r="AT375" s="1244"/>
      <c r="AU375" s="1253"/>
      <c r="AV375" s="1287"/>
      <c r="AW375" s="1287"/>
      <c r="AX375" s="1244"/>
      <c r="AY375" s="1253"/>
      <c r="AZ375" s="1287"/>
      <c r="BA375" s="1287"/>
      <c r="BB375" s="1244"/>
      <c r="BC375" s="1253"/>
      <c r="BD375" s="1287"/>
      <c r="BE375" s="1287"/>
      <c r="BF375" s="1244"/>
      <c r="BG375" s="1253"/>
      <c r="BH375" s="1287"/>
      <c r="BI375" s="1287"/>
      <c r="BJ375" s="1282"/>
      <c r="BK375" s="1253"/>
      <c r="BL375" s="1287"/>
      <c r="BM375" s="1287"/>
      <c r="BN375" s="1282"/>
      <c r="BO375" s="1253"/>
      <c r="BP375" s="1287"/>
      <c r="BQ375" s="1287"/>
      <c r="BR375" s="1282"/>
      <c r="BS375" s="1253"/>
      <c r="BT375" s="1287"/>
      <c r="BU375" s="1287"/>
    </row>
    <row r="376" spans="1:73">
      <c r="A376" s="1254"/>
      <c r="C376" s="1252"/>
      <c r="D376" s="1264"/>
      <c r="E376" s="1256"/>
      <c r="G376" s="1252"/>
      <c r="H376" s="1264"/>
      <c r="I376" s="1265"/>
      <c r="K376" s="1252"/>
      <c r="L376" s="1264"/>
      <c r="M376" s="1265"/>
      <c r="O376" s="1252"/>
      <c r="P376" s="1264"/>
      <c r="Q376" s="1265"/>
      <c r="S376" s="1252"/>
      <c r="T376" s="1264"/>
      <c r="U376" s="1265"/>
      <c r="W376" s="1252"/>
      <c r="X376" s="1264"/>
      <c r="Y376" s="1265"/>
      <c r="AA376" s="1252"/>
      <c r="AB376" s="1264"/>
      <c r="AC376" s="1265"/>
      <c r="AD376" s="1252"/>
      <c r="AE376" s="1252"/>
      <c r="AF376" s="1264"/>
      <c r="AG376" s="1265"/>
      <c r="AI376" s="1253"/>
      <c r="AJ376" s="1287"/>
      <c r="AK376" s="1287"/>
      <c r="AM376" s="1253"/>
      <c r="AN376" s="1287"/>
      <c r="AO376" s="1287"/>
      <c r="AQ376" s="1253"/>
      <c r="AR376" s="1287"/>
      <c r="AS376" s="1287"/>
      <c r="AT376" s="1244"/>
      <c r="AU376" s="1253"/>
      <c r="AV376" s="1287"/>
      <c r="AW376" s="1287"/>
      <c r="AX376" s="1244"/>
      <c r="AY376" s="1253"/>
      <c r="AZ376" s="1287"/>
      <c r="BA376" s="1287"/>
      <c r="BB376" s="1244"/>
      <c r="BC376" s="1253"/>
      <c r="BD376" s="1287"/>
      <c r="BE376" s="1287"/>
      <c r="BF376" s="1244"/>
      <c r="BG376" s="1253"/>
      <c r="BH376" s="1287"/>
      <c r="BI376" s="1287"/>
      <c r="BJ376" s="1282"/>
      <c r="BK376" s="1253"/>
      <c r="BL376" s="1287"/>
      <c r="BM376" s="1287"/>
      <c r="BN376" s="1282"/>
      <c r="BO376" s="1253"/>
      <c r="BP376" s="1287"/>
      <c r="BQ376" s="1287"/>
      <c r="BR376" s="1282"/>
      <c r="BS376" s="1253"/>
      <c r="BT376" s="1287"/>
      <c r="BU376" s="1287"/>
    </row>
    <row r="377" spans="1:73">
      <c r="A377" s="1254"/>
      <c r="C377" s="1252"/>
      <c r="D377" s="1264"/>
      <c r="E377" s="1256"/>
      <c r="G377" s="1252"/>
      <c r="H377" s="1264"/>
      <c r="I377" s="1265"/>
      <c r="K377" s="1252"/>
      <c r="L377" s="1264"/>
      <c r="M377" s="1265"/>
      <c r="O377" s="1252"/>
      <c r="P377" s="1264"/>
      <c r="Q377" s="1265"/>
      <c r="S377" s="1252"/>
      <c r="T377" s="1264"/>
      <c r="U377" s="1265"/>
      <c r="W377" s="1252"/>
      <c r="X377" s="1264"/>
      <c r="Y377" s="1265"/>
      <c r="AA377" s="1252"/>
      <c r="AB377" s="1264"/>
      <c r="AC377" s="1265"/>
      <c r="AD377" s="1252"/>
      <c r="AE377" s="1252"/>
      <c r="AF377" s="1264"/>
      <c r="AG377" s="1265"/>
      <c r="AI377" s="1253"/>
      <c r="AJ377" s="1287"/>
      <c r="AK377" s="1287"/>
      <c r="AM377" s="1253"/>
      <c r="AN377" s="1287"/>
      <c r="AO377" s="1287"/>
      <c r="AQ377" s="1253"/>
      <c r="AR377" s="1287"/>
      <c r="AS377" s="1287"/>
      <c r="AT377" s="1244"/>
      <c r="AU377" s="1253"/>
      <c r="AV377" s="1287"/>
      <c r="AW377" s="1287"/>
      <c r="AX377" s="1244"/>
      <c r="AY377" s="1253"/>
      <c r="AZ377" s="1287"/>
      <c r="BA377" s="1287"/>
      <c r="BB377" s="1244"/>
      <c r="BC377" s="1253"/>
      <c r="BD377" s="1287"/>
      <c r="BE377" s="1287"/>
      <c r="BF377" s="1244"/>
      <c r="BG377" s="1253"/>
      <c r="BH377" s="1287"/>
      <c r="BI377" s="1287"/>
      <c r="BJ377" s="1282"/>
      <c r="BK377" s="1253"/>
      <c r="BL377" s="1287"/>
      <c r="BM377" s="1287"/>
      <c r="BN377" s="1282"/>
      <c r="BO377" s="1253"/>
      <c r="BP377" s="1287"/>
      <c r="BQ377" s="1287"/>
      <c r="BR377" s="1282"/>
      <c r="BS377" s="1253"/>
      <c r="BT377" s="1287"/>
      <c r="BU377" s="1287"/>
    </row>
    <row r="378" spans="1:73">
      <c r="A378" s="1254"/>
      <c r="C378" s="1252"/>
      <c r="D378" s="1264"/>
      <c r="E378" s="1256"/>
      <c r="G378" s="1252"/>
      <c r="H378" s="1264"/>
      <c r="I378" s="1265"/>
      <c r="K378" s="1252"/>
      <c r="L378" s="1264"/>
      <c r="M378" s="1265"/>
      <c r="O378" s="1252"/>
      <c r="P378" s="1264"/>
      <c r="Q378" s="1265"/>
      <c r="S378" s="1252"/>
      <c r="T378" s="1264"/>
      <c r="U378" s="1265"/>
      <c r="W378" s="1252"/>
      <c r="X378" s="1264"/>
      <c r="Y378" s="1265"/>
      <c r="AA378" s="1252"/>
      <c r="AB378" s="1264"/>
      <c r="AC378" s="1265"/>
      <c r="AD378" s="1252"/>
      <c r="AE378" s="1252"/>
      <c r="AF378" s="1264"/>
      <c r="AG378" s="1265"/>
      <c r="AI378" s="1253"/>
      <c r="AJ378" s="1287"/>
      <c r="AK378" s="1287"/>
      <c r="AM378" s="1253"/>
      <c r="AN378" s="1287"/>
      <c r="AO378" s="1287"/>
      <c r="AQ378" s="1253"/>
      <c r="AR378" s="1287"/>
      <c r="AS378" s="1287"/>
      <c r="AT378" s="1244"/>
      <c r="AU378" s="1253"/>
      <c r="AV378" s="1287"/>
      <c r="AW378" s="1287"/>
      <c r="AX378" s="1244"/>
      <c r="AY378" s="1253"/>
      <c r="AZ378" s="1287"/>
      <c r="BA378" s="1287"/>
      <c r="BB378" s="1244"/>
      <c r="BC378" s="1253"/>
      <c r="BD378" s="1287"/>
      <c r="BE378" s="1287"/>
      <c r="BF378" s="1244"/>
      <c r="BG378" s="1253"/>
      <c r="BH378" s="1287"/>
      <c r="BI378" s="1287"/>
      <c r="BJ378" s="1282"/>
      <c r="BK378" s="1253"/>
      <c r="BL378" s="1287"/>
      <c r="BM378" s="1287"/>
      <c r="BN378" s="1282"/>
      <c r="BO378" s="1253"/>
      <c r="BP378" s="1287"/>
      <c r="BQ378" s="1287"/>
      <c r="BR378" s="1282"/>
      <c r="BS378" s="1253"/>
      <c r="BT378" s="1287"/>
      <c r="BU378" s="1287"/>
    </row>
    <row r="379" spans="1:73">
      <c r="A379" s="1254"/>
      <c r="C379" s="1252"/>
      <c r="D379" s="1264"/>
      <c r="E379" s="1256"/>
      <c r="G379" s="1252"/>
      <c r="H379" s="1264"/>
      <c r="I379" s="1265"/>
      <c r="K379" s="1252"/>
      <c r="L379" s="1264"/>
      <c r="M379" s="1265"/>
      <c r="O379" s="1252"/>
      <c r="P379" s="1264"/>
      <c r="Q379" s="1265"/>
      <c r="S379" s="1252"/>
      <c r="T379" s="1264"/>
      <c r="U379" s="1265"/>
      <c r="W379" s="1252"/>
      <c r="X379" s="1264"/>
      <c r="Y379" s="1265"/>
      <c r="AA379" s="1252"/>
      <c r="AB379" s="1264"/>
      <c r="AC379" s="1265"/>
      <c r="AD379" s="1252"/>
      <c r="AE379" s="1252"/>
      <c r="AF379" s="1264"/>
      <c r="AG379" s="1265"/>
      <c r="AI379" s="1253"/>
      <c r="AJ379" s="1287"/>
      <c r="AK379" s="1287"/>
      <c r="AM379" s="1253"/>
      <c r="AN379" s="1287"/>
      <c r="AO379" s="1287"/>
      <c r="AQ379" s="1253"/>
      <c r="AR379" s="1287"/>
      <c r="AS379" s="1287"/>
      <c r="AT379" s="1244"/>
      <c r="AU379" s="1253"/>
      <c r="AV379" s="1287"/>
      <c r="AW379" s="1287"/>
      <c r="AX379" s="1244"/>
      <c r="AY379" s="1253"/>
      <c r="AZ379" s="1287"/>
      <c r="BA379" s="1287"/>
      <c r="BB379" s="1244"/>
      <c r="BC379" s="1253"/>
      <c r="BD379" s="1287"/>
      <c r="BE379" s="1287"/>
      <c r="BF379" s="1244"/>
      <c r="BG379" s="1253"/>
      <c r="BH379" s="1287"/>
      <c r="BI379" s="1287"/>
      <c r="BJ379" s="1282"/>
      <c r="BK379" s="1253"/>
      <c r="BL379" s="1287"/>
      <c r="BM379" s="1287"/>
      <c r="BN379" s="1282"/>
      <c r="BO379" s="1253"/>
      <c r="BP379" s="1287"/>
      <c r="BQ379" s="1287"/>
      <c r="BR379" s="1282"/>
      <c r="BS379" s="1253"/>
      <c r="BT379" s="1287"/>
      <c r="BU379" s="1287"/>
    </row>
    <row r="380" spans="1:73">
      <c r="A380" s="1254"/>
      <c r="C380" s="1252"/>
      <c r="D380" s="1264"/>
      <c r="E380" s="1256"/>
      <c r="G380" s="1252"/>
      <c r="H380" s="1264"/>
      <c r="I380" s="1265"/>
      <c r="K380" s="1252"/>
      <c r="L380" s="1264"/>
      <c r="M380" s="1265"/>
      <c r="O380" s="1252"/>
      <c r="P380" s="1264"/>
      <c r="Q380" s="1265"/>
      <c r="S380" s="1252"/>
      <c r="T380" s="1264"/>
      <c r="U380" s="1265"/>
      <c r="W380" s="1252"/>
      <c r="X380" s="1264"/>
      <c r="Y380" s="1265"/>
      <c r="AA380" s="1252"/>
      <c r="AB380" s="1264"/>
      <c r="AC380" s="1265"/>
      <c r="AD380" s="1252"/>
      <c r="AE380" s="1252"/>
      <c r="AF380" s="1264"/>
      <c r="AG380" s="1265"/>
      <c r="AI380" s="1253"/>
      <c r="AJ380" s="1287"/>
      <c r="AK380" s="1287"/>
      <c r="AM380" s="1253"/>
      <c r="AN380" s="1287"/>
      <c r="AO380" s="1287"/>
      <c r="AQ380" s="1253"/>
      <c r="AR380" s="1287"/>
      <c r="AS380" s="1287"/>
      <c r="AT380" s="1244"/>
      <c r="AU380" s="1253"/>
      <c r="AV380" s="1287"/>
      <c r="AW380" s="1287"/>
      <c r="AX380" s="1244"/>
      <c r="AY380" s="1253"/>
      <c r="AZ380" s="1287"/>
      <c r="BA380" s="1287"/>
      <c r="BB380" s="1244"/>
      <c r="BC380" s="1253"/>
      <c r="BD380" s="1287"/>
      <c r="BE380" s="1287"/>
      <c r="BF380" s="1244"/>
      <c r="BG380" s="1253"/>
      <c r="BH380" s="1287"/>
      <c r="BI380" s="1287"/>
      <c r="BJ380" s="1282"/>
      <c r="BK380" s="1253"/>
      <c r="BL380" s="1287"/>
      <c r="BM380" s="1287"/>
      <c r="BN380" s="1282"/>
      <c r="BO380" s="1253"/>
      <c r="BP380" s="1287"/>
      <c r="BQ380" s="1287"/>
      <c r="BR380" s="1282"/>
      <c r="BS380" s="1253"/>
      <c r="BT380" s="1287"/>
      <c r="BU380" s="1287"/>
    </row>
    <row r="381" spans="1:73">
      <c r="A381" s="1254"/>
      <c r="C381" s="1252"/>
      <c r="D381" s="1264"/>
      <c r="E381" s="1256"/>
      <c r="G381" s="1252"/>
      <c r="H381" s="1264"/>
      <c r="I381" s="1265"/>
      <c r="K381" s="1252"/>
      <c r="L381" s="1264"/>
      <c r="M381" s="1265"/>
      <c r="O381" s="1252"/>
      <c r="P381" s="1264"/>
      <c r="Q381" s="1265"/>
      <c r="S381" s="1252"/>
      <c r="T381" s="1264"/>
      <c r="U381" s="1265"/>
      <c r="W381" s="1252"/>
      <c r="X381" s="1264"/>
      <c r="Y381" s="1265"/>
      <c r="AA381" s="1252"/>
      <c r="AB381" s="1264"/>
      <c r="AC381" s="1265"/>
      <c r="AD381" s="1252"/>
      <c r="AE381" s="1252"/>
      <c r="AF381" s="1264"/>
      <c r="AG381" s="1265"/>
      <c r="AI381" s="1253"/>
      <c r="AJ381" s="1287"/>
      <c r="AK381" s="1287"/>
      <c r="AM381" s="1253"/>
      <c r="AN381" s="1287"/>
      <c r="AO381" s="1287"/>
      <c r="AQ381" s="1253"/>
      <c r="AR381" s="1287"/>
      <c r="AS381" s="1287"/>
      <c r="AT381" s="1244"/>
      <c r="AU381" s="1253"/>
      <c r="AV381" s="1287"/>
      <c r="AW381" s="1287"/>
      <c r="AX381" s="1244"/>
      <c r="AY381" s="1253"/>
      <c r="AZ381" s="1287"/>
      <c r="BA381" s="1287"/>
      <c r="BB381" s="1244"/>
      <c r="BC381" s="1253"/>
      <c r="BD381" s="1287"/>
      <c r="BE381" s="1287"/>
      <c r="BF381" s="1244"/>
      <c r="BG381" s="1253"/>
      <c r="BH381" s="1287"/>
      <c r="BI381" s="1287"/>
      <c r="BJ381" s="1282"/>
      <c r="BK381" s="1253"/>
      <c r="BL381" s="1287"/>
      <c r="BM381" s="1287"/>
      <c r="BN381" s="1282"/>
      <c r="BO381" s="1253"/>
      <c r="BP381" s="1287"/>
      <c r="BQ381" s="1287"/>
      <c r="BR381" s="1282"/>
      <c r="BS381" s="1253"/>
      <c r="BT381" s="1287"/>
      <c r="BU381" s="1287"/>
    </row>
    <row r="382" spans="1:73">
      <c r="A382" s="1254"/>
      <c r="C382" s="1252"/>
      <c r="D382" s="1264"/>
      <c r="E382" s="1256"/>
      <c r="G382" s="1252"/>
      <c r="H382" s="1264"/>
      <c r="I382" s="1265"/>
      <c r="K382" s="1252"/>
      <c r="L382" s="1264"/>
      <c r="M382" s="1265"/>
      <c r="O382" s="1252"/>
      <c r="P382" s="1264"/>
      <c r="Q382" s="1265"/>
      <c r="S382" s="1252"/>
      <c r="T382" s="1264"/>
      <c r="U382" s="1265"/>
      <c r="W382" s="1252"/>
      <c r="X382" s="1264"/>
      <c r="Y382" s="1265"/>
      <c r="AA382" s="1252"/>
      <c r="AB382" s="1264"/>
      <c r="AC382" s="1265"/>
      <c r="AD382" s="1252"/>
      <c r="AE382" s="1252"/>
      <c r="AF382" s="1264"/>
      <c r="AG382" s="1265"/>
      <c r="AI382" s="1253"/>
      <c r="AJ382" s="1287"/>
      <c r="AK382" s="1287"/>
      <c r="AM382" s="1253"/>
      <c r="AN382" s="1287"/>
      <c r="AO382" s="1287"/>
      <c r="AQ382" s="1253"/>
      <c r="AR382" s="1287"/>
      <c r="AS382" s="1287"/>
      <c r="AT382" s="1244"/>
      <c r="AU382" s="1253"/>
      <c r="AV382" s="1287"/>
      <c r="AW382" s="1287"/>
      <c r="AX382" s="1244"/>
      <c r="AY382" s="1253"/>
      <c r="AZ382" s="1287"/>
      <c r="BA382" s="1287"/>
      <c r="BB382" s="1244"/>
      <c r="BC382" s="1253"/>
      <c r="BD382" s="1287"/>
      <c r="BE382" s="1287"/>
      <c r="BF382" s="1244"/>
      <c r="BG382" s="1253"/>
      <c r="BH382" s="1287"/>
      <c r="BI382" s="1287"/>
      <c r="BJ382" s="1282"/>
      <c r="BK382" s="1253"/>
      <c r="BL382" s="1287"/>
      <c r="BM382" s="1287"/>
      <c r="BN382" s="1282"/>
      <c r="BO382" s="1253"/>
      <c r="BP382" s="1287"/>
      <c r="BQ382" s="1287"/>
      <c r="BR382" s="1282"/>
      <c r="BS382" s="1253"/>
      <c r="BT382" s="1287"/>
      <c r="BU382" s="1287"/>
    </row>
    <row r="383" spans="1:73">
      <c r="A383" s="1254"/>
      <c r="C383" s="1252"/>
      <c r="D383" s="1264"/>
      <c r="E383" s="1256"/>
      <c r="G383" s="1252"/>
      <c r="H383" s="1264"/>
      <c r="I383" s="1265"/>
      <c r="K383" s="1252"/>
      <c r="L383" s="1264"/>
      <c r="M383" s="1265"/>
      <c r="O383" s="1252"/>
      <c r="P383" s="1264"/>
      <c r="Q383" s="1265"/>
      <c r="S383" s="1252"/>
      <c r="T383" s="1264"/>
      <c r="U383" s="1265"/>
      <c r="W383" s="1252"/>
      <c r="X383" s="1264"/>
      <c r="Y383" s="1265"/>
      <c r="AA383" s="1252"/>
      <c r="AB383" s="1264"/>
      <c r="AC383" s="1265"/>
      <c r="AD383" s="1252"/>
      <c r="AE383" s="1252"/>
      <c r="AF383" s="1264"/>
      <c r="AG383" s="1265"/>
      <c r="AI383" s="1253"/>
      <c r="AJ383" s="1287"/>
      <c r="AK383" s="1287"/>
      <c r="AM383" s="1253"/>
      <c r="AN383" s="1287"/>
      <c r="AO383" s="1287"/>
      <c r="AQ383" s="1253"/>
      <c r="AR383" s="1287"/>
      <c r="AS383" s="1287"/>
      <c r="AT383" s="1244"/>
      <c r="AU383" s="1253"/>
      <c r="AV383" s="1287"/>
      <c r="AW383" s="1287"/>
      <c r="AX383" s="1244"/>
      <c r="AY383" s="1253"/>
      <c r="AZ383" s="1287"/>
      <c r="BA383" s="1287"/>
      <c r="BB383" s="1244"/>
      <c r="BC383" s="1253"/>
      <c r="BD383" s="1287"/>
      <c r="BE383" s="1287"/>
      <c r="BF383" s="1244"/>
      <c r="BG383" s="1253"/>
      <c r="BH383" s="1287"/>
      <c r="BI383" s="1287"/>
      <c r="BJ383" s="1282"/>
      <c r="BK383" s="1253"/>
      <c r="BL383" s="1287"/>
      <c r="BM383" s="1287"/>
      <c r="BN383" s="1282"/>
      <c r="BO383" s="1253"/>
      <c r="BP383" s="1287"/>
      <c r="BQ383" s="1287"/>
      <c r="BR383" s="1282"/>
      <c r="BS383" s="1253"/>
      <c r="BT383" s="1287"/>
      <c r="BU383" s="1287"/>
    </row>
    <row r="384" spans="1:73">
      <c r="A384" s="1254"/>
      <c r="C384" s="1252"/>
      <c r="D384" s="1264"/>
      <c r="E384" s="1256"/>
      <c r="G384" s="1252"/>
      <c r="H384" s="1264"/>
      <c r="I384" s="1265"/>
      <c r="K384" s="1252"/>
      <c r="L384" s="1264"/>
      <c r="M384" s="1265"/>
      <c r="O384" s="1252"/>
      <c r="P384" s="1264"/>
      <c r="Q384" s="1265"/>
      <c r="S384" s="1252"/>
      <c r="T384" s="1264"/>
      <c r="U384" s="1265"/>
      <c r="W384" s="1252"/>
      <c r="X384" s="1264"/>
      <c r="Y384" s="1265"/>
      <c r="AA384" s="1252"/>
      <c r="AB384" s="1264"/>
      <c r="AC384" s="1265"/>
      <c r="AD384" s="1252"/>
      <c r="AE384" s="1252"/>
      <c r="AF384" s="1264"/>
      <c r="AG384" s="1265"/>
      <c r="AI384" s="1253"/>
      <c r="AJ384" s="1287"/>
      <c r="AK384" s="1287"/>
      <c r="AM384" s="1253"/>
      <c r="AN384" s="1287"/>
      <c r="AO384" s="1287"/>
      <c r="AQ384" s="1253"/>
      <c r="AR384" s="1287"/>
      <c r="AS384" s="1287"/>
      <c r="AT384" s="1244"/>
      <c r="AU384" s="1253"/>
      <c r="AV384" s="1287"/>
      <c r="AW384" s="1287"/>
      <c r="AX384" s="1244"/>
      <c r="AY384" s="1253"/>
      <c r="AZ384" s="1287"/>
      <c r="BA384" s="1287"/>
      <c r="BB384" s="1244"/>
      <c r="BC384" s="1253"/>
      <c r="BD384" s="1287"/>
      <c r="BE384" s="1287"/>
      <c r="BF384" s="1244"/>
      <c r="BG384" s="1253"/>
      <c r="BH384" s="1287"/>
      <c r="BI384" s="1287"/>
      <c r="BJ384" s="1282"/>
      <c r="BK384" s="1253"/>
      <c r="BL384" s="1287"/>
      <c r="BM384" s="1287"/>
      <c r="BN384" s="1282"/>
      <c r="BO384" s="1253"/>
      <c r="BP384" s="1287"/>
      <c r="BQ384" s="1287"/>
      <c r="BR384" s="1282"/>
      <c r="BS384" s="1253"/>
      <c r="BT384" s="1287"/>
      <c r="BU384" s="1287"/>
    </row>
    <row r="385" spans="1:73">
      <c r="A385" s="1254"/>
      <c r="C385" s="1252"/>
      <c r="D385" s="1264"/>
      <c r="E385" s="1256"/>
      <c r="G385" s="1252"/>
      <c r="H385" s="1264"/>
      <c r="I385" s="1265"/>
      <c r="K385" s="1252"/>
      <c r="L385" s="1264"/>
      <c r="M385" s="1265"/>
      <c r="O385" s="1252"/>
      <c r="P385" s="1264"/>
      <c r="Q385" s="1265"/>
      <c r="S385" s="1252"/>
      <c r="T385" s="1264"/>
      <c r="U385" s="1265"/>
      <c r="W385" s="1252"/>
      <c r="X385" s="1264"/>
      <c r="Y385" s="1265"/>
      <c r="AA385" s="1252"/>
      <c r="AB385" s="1264"/>
      <c r="AC385" s="1265"/>
      <c r="AD385" s="1252"/>
      <c r="AE385" s="1252"/>
      <c r="AF385" s="1264"/>
      <c r="AG385" s="1265"/>
      <c r="AI385" s="1253"/>
      <c r="AJ385" s="1287"/>
      <c r="AK385" s="1287"/>
      <c r="AM385" s="1253"/>
      <c r="AN385" s="1287"/>
      <c r="AO385" s="1287"/>
      <c r="AQ385" s="1253"/>
      <c r="AR385" s="1287"/>
      <c r="AS385" s="1287"/>
      <c r="AT385" s="1244"/>
      <c r="AU385" s="1253"/>
      <c r="AV385" s="1287"/>
      <c r="AW385" s="1287"/>
      <c r="AX385" s="1244"/>
      <c r="AY385" s="1253"/>
      <c r="AZ385" s="1287"/>
      <c r="BA385" s="1287"/>
      <c r="BB385" s="1244"/>
      <c r="BC385" s="1253"/>
      <c r="BD385" s="1287"/>
      <c r="BE385" s="1287"/>
      <c r="BF385" s="1244"/>
      <c r="BG385" s="1253"/>
      <c r="BH385" s="1287"/>
      <c r="BI385" s="1287"/>
      <c r="BJ385" s="1282"/>
      <c r="BK385" s="1253"/>
      <c r="BL385" s="1287"/>
      <c r="BM385" s="1287"/>
      <c r="BN385" s="1282"/>
      <c r="BO385" s="1253"/>
      <c r="BP385" s="1287"/>
      <c r="BQ385" s="1287"/>
      <c r="BR385" s="1282"/>
      <c r="BS385" s="1253"/>
      <c r="BT385" s="1287"/>
      <c r="BU385" s="1287"/>
    </row>
    <row r="386" spans="1:73">
      <c r="A386" s="1254"/>
      <c r="C386" s="1252"/>
      <c r="D386" s="1264"/>
      <c r="E386" s="1256"/>
      <c r="G386" s="1252"/>
      <c r="H386" s="1264"/>
      <c r="I386" s="1265"/>
      <c r="K386" s="1252"/>
      <c r="L386" s="1264"/>
      <c r="M386" s="1265"/>
      <c r="O386" s="1252"/>
      <c r="P386" s="1264"/>
      <c r="Q386" s="1265"/>
      <c r="S386" s="1252"/>
      <c r="T386" s="1264"/>
      <c r="U386" s="1265"/>
      <c r="W386" s="1252"/>
      <c r="X386" s="1264"/>
      <c r="Y386" s="1265"/>
      <c r="AA386" s="1252"/>
      <c r="AB386" s="1264"/>
      <c r="AC386" s="1265"/>
      <c r="AD386" s="1252"/>
      <c r="AE386" s="1252"/>
      <c r="AF386" s="1264"/>
      <c r="AG386" s="1265"/>
      <c r="AI386" s="1253"/>
      <c r="AJ386" s="1287"/>
      <c r="AK386" s="1287"/>
      <c r="AM386" s="1253"/>
      <c r="AN386" s="1287"/>
      <c r="AO386" s="1287"/>
      <c r="AQ386" s="1253"/>
      <c r="AR386" s="1287"/>
      <c r="AS386" s="1287"/>
      <c r="AT386" s="1244"/>
      <c r="AU386" s="1253"/>
      <c r="AV386" s="1287"/>
      <c r="AW386" s="1287"/>
      <c r="AX386" s="1244"/>
      <c r="AY386" s="1253"/>
      <c r="AZ386" s="1287"/>
      <c r="BA386" s="1287"/>
      <c r="BB386" s="1244"/>
      <c r="BC386" s="1253"/>
      <c r="BD386" s="1287"/>
      <c r="BE386" s="1287"/>
      <c r="BF386" s="1244"/>
      <c r="BG386" s="1253"/>
      <c r="BH386" s="1287"/>
      <c r="BI386" s="1287"/>
      <c r="BJ386" s="1282"/>
      <c r="BK386" s="1253"/>
      <c r="BL386" s="1287"/>
      <c r="BM386" s="1287"/>
      <c r="BN386" s="1282"/>
      <c r="BO386" s="1253"/>
      <c r="BP386" s="1287"/>
      <c r="BQ386" s="1287"/>
      <c r="BR386" s="1282"/>
      <c r="BS386" s="1253"/>
      <c r="BT386" s="1287"/>
      <c r="BU386" s="1287"/>
    </row>
    <row r="387" spans="1:73">
      <c r="A387" s="1254"/>
      <c r="C387" s="1252"/>
      <c r="D387" s="1264"/>
      <c r="E387" s="1256"/>
      <c r="G387" s="1252"/>
      <c r="H387" s="1264"/>
      <c r="I387" s="1265"/>
      <c r="K387" s="1252"/>
      <c r="L387" s="1264"/>
      <c r="M387" s="1265"/>
      <c r="O387" s="1252"/>
      <c r="P387" s="1264"/>
      <c r="Q387" s="1265"/>
      <c r="S387" s="1252"/>
      <c r="T387" s="1264"/>
      <c r="U387" s="1265"/>
      <c r="W387" s="1252"/>
      <c r="X387" s="1264"/>
      <c r="Y387" s="1265"/>
      <c r="AA387" s="1252"/>
      <c r="AB387" s="1264"/>
      <c r="AC387" s="1265"/>
      <c r="AD387" s="1252"/>
      <c r="AE387" s="1252"/>
      <c r="AF387" s="1264"/>
      <c r="AG387" s="1265"/>
      <c r="AI387" s="1253"/>
      <c r="AJ387" s="1287"/>
      <c r="AK387" s="1287"/>
      <c r="AM387" s="1253"/>
      <c r="AN387" s="1287"/>
      <c r="AO387" s="1287"/>
      <c r="AQ387" s="1253"/>
      <c r="AR387" s="1287"/>
      <c r="AS387" s="1287"/>
      <c r="AT387" s="1244"/>
      <c r="AU387" s="1253"/>
      <c r="AV387" s="1287"/>
      <c r="AW387" s="1287"/>
      <c r="AX387" s="1244"/>
      <c r="AY387" s="1253"/>
      <c r="AZ387" s="1287"/>
      <c r="BA387" s="1287"/>
      <c r="BB387" s="1244"/>
      <c r="BC387" s="1253"/>
      <c r="BD387" s="1287"/>
      <c r="BE387" s="1287"/>
      <c r="BF387" s="1244"/>
      <c r="BG387" s="1253"/>
      <c r="BH387" s="1287"/>
      <c r="BI387" s="1287"/>
      <c r="BJ387" s="1282"/>
      <c r="BK387" s="1253"/>
      <c r="BL387" s="1287"/>
      <c r="BM387" s="1287"/>
      <c r="BN387" s="1282"/>
      <c r="BO387" s="1253"/>
      <c r="BP387" s="1287"/>
      <c r="BQ387" s="1287"/>
      <c r="BR387" s="1282"/>
      <c r="BS387" s="1253"/>
      <c r="BT387" s="1287"/>
      <c r="BU387" s="1287"/>
    </row>
    <row r="388" spans="1:73">
      <c r="A388" s="1254"/>
      <c r="C388" s="1252"/>
      <c r="D388" s="1264"/>
      <c r="E388" s="1256"/>
      <c r="G388" s="1252"/>
      <c r="H388" s="1264"/>
      <c r="I388" s="1265"/>
      <c r="K388" s="1252"/>
      <c r="L388" s="1264"/>
      <c r="M388" s="1265"/>
      <c r="O388" s="1252"/>
      <c r="P388" s="1264"/>
      <c r="Q388" s="1265"/>
      <c r="S388" s="1252"/>
      <c r="T388" s="1264"/>
      <c r="U388" s="1265"/>
      <c r="W388" s="1252"/>
      <c r="X388" s="1264"/>
      <c r="Y388" s="1265"/>
      <c r="AA388" s="1252"/>
      <c r="AB388" s="1264"/>
      <c r="AC388" s="1265"/>
      <c r="AD388" s="1252"/>
      <c r="AE388" s="1252"/>
      <c r="AF388" s="1264"/>
      <c r="AG388" s="1265"/>
      <c r="AI388" s="1253"/>
      <c r="AJ388" s="1287"/>
      <c r="AK388" s="1287"/>
      <c r="AM388" s="1253"/>
      <c r="AN388" s="1287"/>
      <c r="AO388" s="1287"/>
      <c r="AQ388" s="1253"/>
      <c r="AR388" s="1287"/>
      <c r="AS388" s="1287"/>
      <c r="AT388" s="1244"/>
      <c r="AU388" s="1253"/>
      <c r="AV388" s="1287"/>
      <c r="AW388" s="1287"/>
      <c r="AX388" s="1244"/>
      <c r="AY388" s="1253"/>
      <c r="AZ388" s="1287"/>
      <c r="BA388" s="1287"/>
      <c r="BB388" s="1244"/>
      <c r="BC388" s="1253"/>
      <c r="BD388" s="1287"/>
      <c r="BE388" s="1287"/>
      <c r="BF388" s="1244"/>
      <c r="BG388" s="1253"/>
      <c r="BH388" s="1287"/>
      <c r="BI388" s="1287"/>
      <c r="BJ388" s="1282"/>
      <c r="BK388" s="1253"/>
      <c r="BL388" s="1287"/>
      <c r="BM388" s="1287"/>
      <c r="BN388" s="1282"/>
      <c r="BO388" s="1253"/>
      <c r="BP388" s="1287"/>
      <c r="BQ388" s="1287"/>
      <c r="BR388" s="1282"/>
      <c r="BS388" s="1253"/>
      <c r="BT388" s="1287"/>
      <c r="BU388" s="1287"/>
    </row>
    <row r="389" spans="1:73">
      <c r="A389" s="1254"/>
      <c r="C389" s="1252"/>
      <c r="D389" s="1264"/>
      <c r="E389" s="1256"/>
      <c r="G389" s="1252"/>
      <c r="H389" s="1264"/>
      <c r="I389" s="1265"/>
      <c r="K389" s="1252"/>
      <c r="L389" s="1264"/>
      <c r="M389" s="1265"/>
      <c r="O389" s="1252"/>
      <c r="P389" s="1264"/>
      <c r="Q389" s="1265"/>
      <c r="S389" s="1252"/>
      <c r="T389" s="1264"/>
      <c r="U389" s="1265"/>
      <c r="W389" s="1252"/>
      <c r="X389" s="1264"/>
      <c r="Y389" s="1265"/>
      <c r="AA389" s="1252"/>
      <c r="AB389" s="1264"/>
      <c r="AC389" s="1265"/>
      <c r="AD389" s="1252"/>
      <c r="AE389" s="1252"/>
      <c r="AF389" s="1264"/>
      <c r="AG389" s="1265"/>
      <c r="AI389" s="1253"/>
      <c r="AJ389" s="1287"/>
      <c r="AK389" s="1287"/>
      <c r="AM389" s="1253"/>
      <c r="AN389" s="1287"/>
      <c r="AO389" s="1287"/>
      <c r="AQ389" s="1253"/>
      <c r="AR389" s="1287"/>
      <c r="AS389" s="1287"/>
      <c r="AT389" s="1244"/>
      <c r="AU389" s="1253"/>
      <c r="AV389" s="1287"/>
      <c r="AW389" s="1287"/>
      <c r="AX389" s="1244"/>
      <c r="AY389" s="1253"/>
      <c r="AZ389" s="1287"/>
      <c r="BA389" s="1287"/>
      <c r="BB389" s="1244"/>
      <c r="BC389" s="1253"/>
      <c r="BD389" s="1287"/>
      <c r="BE389" s="1287"/>
      <c r="BF389" s="1244"/>
      <c r="BG389" s="1253"/>
      <c r="BH389" s="1287"/>
      <c r="BI389" s="1287"/>
      <c r="BJ389" s="1282"/>
      <c r="BK389" s="1253"/>
      <c r="BL389" s="1287"/>
      <c r="BM389" s="1287"/>
      <c r="BN389" s="1282"/>
      <c r="BO389" s="1253"/>
      <c r="BP389" s="1287"/>
      <c r="BQ389" s="1287"/>
      <c r="BR389" s="1282"/>
      <c r="BS389" s="1253"/>
      <c r="BT389" s="1287"/>
      <c r="BU389" s="1287"/>
    </row>
    <row r="390" spans="1:73">
      <c r="A390" s="1254"/>
      <c r="C390" s="1252"/>
      <c r="D390" s="1264"/>
      <c r="E390" s="1256"/>
      <c r="G390" s="1252"/>
      <c r="H390" s="1264"/>
      <c r="I390" s="1265"/>
      <c r="K390" s="1252"/>
      <c r="L390" s="1264"/>
      <c r="M390" s="1265"/>
      <c r="O390" s="1252"/>
      <c r="P390" s="1264"/>
      <c r="Q390" s="1265"/>
      <c r="S390" s="1252"/>
      <c r="T390" s="1264"/>
      <c r="U390" s="1265"/>
      <c r="W390" s="1252"/>
      <c r="X390" s="1264"/>
      <c r="Y390" s="1265"/>
      <c r="AA390" s="1252"/>
      <c r="AB390" s="1264"/>
      <c r="AC390" s="1265"/>
      <c r="AD390" s="1252"/>
      <c r="AE390" s="1252"/>
      <c r="AF390" s="1264"/>
      <c r="AG390" s="1265"/>
      <c r="AI390" s="1253"/>
      <c r="AJ390" s="1287"/>
      <c r="AK390" s="1287"/>
      <c r="AM390" s="1253"/>
      <c r="AN390" s="1287"/>
      <c r="AO390" s="1287"/>
      <c r="AQ390" s="1253"/>
      <c r="AR390" s="1287"/>
      <c r="AS390" s="1287"/>
      <c r="AT390" s="1244"/>
      <c r="AU390" s="1253"/>
      <c r="AV390" s="1287"/>
      <c r="AW390" s="1287"/>
      <c r="AX390" s="1244"/>
      <c r="AY390" s="1253"/>
      <c r="AZ390" s="1287"/>
      <c r="BA390" s="1287"/>
      <c r="BB390" s="1244"/>
      <c r="BC390" s="1253"/>
      <c r="BD390" s="1287"/>
      <c r="BE390" s="1287"/>
      <c r="BF390" s="1244"/>
      <c r="BG390" s="1253"/>
      <c r="BH390" s="1287"/>
      <c r="BI390" s="1287"/>
      <c r="BJ390" s="1282"/>
      <c r="BK390" s="1253"/>
      <c r="BL390" s="1287"/>
      <c r="BM390" s="1287"/>
      <c r="BN390" s="1282"/>
      <c r="BO390" s="1253"/>
      <c r="BP390" s="1287"/>
      <c r="BQ390" s="1287"/>
      <c r="BR390" s="1282"/>
      <c r="BS390" s="1253"/>
      <c r="BT390" s="1287"/>
      <c r="BU390" s="1287"/>
    </row>
    <row r="391" spans="1:73">
      <c r="A391" s="1254"/>
      <c r="C391" s="1252"/>
      <c r="D391" s="1264"/>
      <c r="E391" s="1256"/>
      <c r="G391" s="1252"/>
      <c r="H391" s="1264"/>
      <c r="I391" s="1265"/>
      <c r="K391" s="1252"/>
      <c r="L391" s="1264"/>
      <c r="M391" s="1265"/>
      <c r="O391" s="1252"/>
      <c r="P391" s="1264"/>
      <c r="Q391" s="1265"/>
      <c r="S391" s="1252"/>
      <c r="T391" s="1264"/>
      <c r="U391" s="1265"/>
      <c r="W391" s="1252"/>
      <c r="X391" s="1264"/>
      <c r="Y391" s="1265"/>
      <c r="AA391" s="1252"/>
      <c r="AB391" s="1264"/>
      <c r="AC391" s="1265"/>
      <c r="AD391" s="1252"/>
      <c r="AE391" s="1252"/>
      <c r="AF391" s="1264"/>
      <c r="AG391" s="1265"/>
      <c r="AI391" s="1253"/>
      <c r="AJ391" s="1287"/>
      <c r="AK391" s="1287"/>
      <c r="AM391" s="1253"/>
      <c r="AN391" s="1287"/>
      <c r="AO391" s="1287"/>
      <c r="AQ391" s="1253"/>
      <c r="AR391" s="1287"/>
      <c r="AS391" s="1287"/>
      <c r="AT391" s="1244"/>
      <c r="AU391" s="1253"/>
      <c r="AV391" s="1287"/>
      <c r="AW391" s="1287"/>
      <c r="AX391" s="1244"/>
      <c r="AY391" s="1253"/>
      <c r="AZ391" s="1287"/>
      <c r="BA391" s="1287"/>
      <c r="BB391" s="1244"/>
      <c r="BC391" s="1253"/>
      <c r="BD391" s="1287"/>
      <c r="BE391" s="1287"/>
      <c r="BF391" s="1244"/>
      <c r="BG391" s="1253"/>
      <c r="BH391" s="1287"/>
      <c r="BI391" s="1287"/>
      <c r="BJ391" s="1282"/>
      <c r="BK391" s="1253"/>
      <c r="BL391" s="1287"/>
      <c r="BM391" s="1287"/>
      <c r="BN391" s="1282"/>
      <c r="BO391" s="1253"/>
      <c r="BP391" s="1287"/>
      <c r="BQ391" s="1287"/>
      <c r="BR391" s="1282"/>
      <c r="BS391" s="1253"/>
      <c r="BT391" s="1287"/>
      <c r="BU391" s="1287"/>
    </row>
    <row r="392" spans="1:73">
      <c r="A392" s="1254"/>
      <c r="C392" s="1252"/>
      <c r="D392" s="1264"/>
      <c r="E392" s="1256"/>
      <c r="G392" s="1252"/>
      <c r="H392" s="1264"/>
      <c r="I392" s="1265"/>
      <c r="K392" s="1252"/>
      <c r="L392" s="1264"/>
      <c r="M392" s="1265"/>
      <c r="O392" s="1252"/>
      <c r="P392" s="1264"/>
      <c r="Q392" s="1265"/>
      <c r="S392" s="1252"/>
      <c r="T392" s="1264"/>
      <c r="U392" s="1265"/>
      <c r="W392" s="1252"/>
      <c r="X392" s="1264"/>
      <c r="Y392" s="1265"/>
      <c r="AA392" s="1252"/>
      <c r="AB392" s="1264"/>
      <c r="AC392" s="1265"/>
      <c r="AD392" s="1252"/>
      <c r="AE392" s="1252"/>
      <c r="AF392" s="1264"/>
      <c r="AG392" s="1265"/>
      <c r="AI392" s="1253"/>
      <c r="AJ392" s="1287"/>
      <c r="AK392" s="1287"/>
      <c r="AM392" s="1253"/>
      <c r="AN392" s="1287"/>
      <c r="AO392" s="1287"/>
      <c r="AQ392" s="1253"/>
      <c r="AR392" s="1287"/>
      <c r="AS392" s="1287"/>
      <c r="AT392" s="1244"/>
      <c r="AU392" s="1253"/>
      <c r="AV392" s="1287"/>
      <c r="AW392" s="1287"/>
      <c r="AX392" s="1244"/>
      <c r="AY392" s="1253"/>
      <c r="AZ392" s="1287"/>
      <c r="BA392" s="1287"/>
      <c r="BB392" s="1244"/>
      <c r="BC392" s="1253"/>
      <c r="BD392" s="1287"/>
      <c r="BE392" s="1287"/>
      <c r="BF392" s="1244"/>
      <c r="BG392" s="1253"/>
      <c r="BH392" s="1287"/>
      <c r="BI392" s="1287"/>
      <c r="BJ392" s="1282"/>
      <c r="BK392" s="1253"/>
      <c r="BL392" s="1287"/>
      <c r="BM392" s="1287"/>
      <c r="BN392" s="1282"/>
      <c r="BO392" s="1253"/>
      <c r="BP392" s="1287"/>
      <c r="BQ392" s="1287"/>
      <c r="BR392" s="1282"/>
      <c r="BS392" s="1253"/>
      <c r="BT392" s="1287"/>
      <c r="BU392" s="1287"/>
    </row>
    <row r="393" spans="1:73">
      <c r="A393" s="1254"/>
      <c r="C393" s="1252"/>
      <c r="D393" s="1264"/>
      <c r="E393" s="1256"/>
      <c r="G393" s="1252"/>
      <c r="H393" s="1264"/>
      <c r="I393" s="1265"/>
      <c r="K393" s="1252"/>
      <c r="L393" s="1264"/>
      <c r="M393" s="1265"/>
      <c r="O393" s="1252"/>
      <c r="P393" s="1264"/>
      <c r="Q393" s="1265"/>
      <c r="S393" s="1252"/>
      <c r="T393" s="1264"/>
      <c r="U393" s="1265"/>
      <c r="W393" s="1252"/>
      <c r="X393" s="1264"/>
      <c r="Y393" s="1265"/>
      <c r="AA393" s="1252"/>
      <c r="AB393" s="1264"/>
      <c r="AC393" s="1265"/>
      <c r="AD393" s="1252"/>
      <c r="AE393" s="1252"/>
      <c r="AF393" s="1264"/>
      <c r="AG393" s="1265"/>
      <c r="AI393" s="1253"/>
      <c r="AJ393" s="1287"/>
      <c r="AK393" s="1287"/>
      <c r="AM393" s="1253"/>
      <c r="AN393" s="1287"/>
      <c r="AO393" s="1287"/>
      <c r="AQ393" s="1253"/>
      <c r="AR393" s="1287"/>
      <c r="AS393" s="1287"/>
      <c r="AT393" s="1244"/>
      <c r="AU393" s="1253"/>
      <c r="AV393" s="1287"/>
      <c r="AW393" s="1287"/>
      <c r="AX393" s="1244"/>
      <c r="AY393" s="1253"/>
      <c r="AZ393" s="1287"/>
      <c r="BA393" s="1287"/>
      <c r="BB393" s="1244"/>
      <c r="BC393" s="1253"/>
      <c r="BD393" s="1287"/>
      <c r="BE393" s="1287"/>
      <c r="BF393" s="1244"/>
      <c r="BG393" s="1253"/>
      <c r="BH393" s="1287"/>
      <c r="BI393" s="1287"/>
      <c r="BJ393" s="1282"/>
      <c r="BK393" s="1253"/>
      <c r="BL393" s="1287"/>
      <c r="BM393" s="1287"/>
      <c r="BN393" s="1282"/>
      <c r="BO393" s="1253"/>
      <c r="BP393" s="1287"/>
      <c r="BQ393" s="1287"/>
      <c r="BR393" s="1282"/>
      <c r="BS393" s="1253"/>
      <c r="BT393" s="1287"/>
      <c r="BU393" s="1287"/>
    </row>
    <row r="394" spans="1:73">
      <c r="A394" s="1254"/>
      <c r="C394" s="1252"/>
      <c r="D394" s="1264"/>
      <c r="E394" s="1256"/>
      <c r="G394" s="1252"/>
      <c r="H394" s="1264"/>
      <c r="I394" s="1265"/>
      <c r="K394" s="1252"/>
      <c r="L394" s="1264"/>
      <c r="M394" s="1265"/>
      <c r="O394" s="1252"/>
      <c r="P394" s="1264"/>
      <c r="Q394" s="1265"/>
      <c r="S394" s="1252"/>
      <c r="T394" s="1264"/>
      <c r="U394" s="1265"/>
      <c r="W394" s="1252"/>
      <c r="X394" s="1264"/>
      <c r="Y394" s="1265"/>
      <c r="AA394" s="1252"/>
      <c r="AB394" s="1264"/>
      <c r="AC394" s="1265"/>
      <c r="AD394" s="1252"/>
      <c r="AE394" s="1252"/>
      <c r="AF394" s="1264"/>
      <c r="AG394" s="1265"/>
      <c r="AI394" s="1253"/>
      <c r="AJ394" s="1287"/>
      <c r="AK394" s="1287"/>
      <c r="AM394" s="1253"/>
      <c r="AN394" s="1287"/>
      <c r="AO394" s="1287"/>
      <c r="AQ394" s="1253"/>
      <c r="AR394" s="1287"/>
      <c r="AS394" s="1287"/>
      <c r="AT394" s="1244"/>
      <c r="AU394" s="1253"/>
      <c r="AV394" s="1287"/>
      <c r="AW394" s="1287"/>
      <c r="AX394" s="1244"/>
      <c r="AY394" s="1253"/>
      <c r="AZ394" s="1287"/>
      <c r="BA394" s="1287"/>
      <c r="BB394" s="1244"/>
      <c r="BC394" s="1253"/>
      <c r="BD394" s="1287"/>
      <c r="BE394" s="1287"/>
      <c r="BF394" s="1244"/>
      <c r="BG394" s="1253"/>
      <c r="BH394" s="1287"/>
      <c r="BI394" s="1287"/>
      <c r="BJ394" s="1282"/>
      <c r="BK394" s="1253"/>
      <c r="BL394" s="1287"/>
      <c r="BM394" s="1287"/>
      <c r="BN394" s="1282"/>
      <c r="BO394" s="1253"/>
      <c r="BP394" s="1287"/>
      <c r="BQ394" s="1287"/>
      <c r="BR394" s="1282"/>
      <c r="BS394" s="1253"/>
      <c r="BT394" s="1287"/>
      <c r="BU394" s="1287"/>
    </row>
    <row r="395" spans="1:73">
      <c r="A395" s="1254"/>
      <c r="C395" s="1252"/>
      <c r="D395" s="1264"/>
      <c r="E395" s="1256"/>
      <c r="G395" s="1252"/>
      <c r="H395" s="1264"/>
      <c r="I395" s="1265"/>
      <c r="K395" s="1252"/>
      <c r="L395" s="1264"/>
      <c r="M395" s="1265"/>
      <c r="O395" s="1252"/>
      <c r="P395" s="1264"/>
      <c r="Q395" s="1265"/>
      <c r="S395" s="1252"/>
      <c r="T395" s="1264"/>
      <c r="U395" s="1265"/>
      <c r="W395" s="1252"/>
      <c r="X395" s="1264"/>
      <c r="Y395" s="1265"/>
      <c r="AA395" s="1252"/>
      <c r="AB395" s="1264"/>
      <c r="AC395" s="1265"/>
      <c r="AD395" s="1252"/>
      <c r="AE395" s="1252"/>
      <c r="AF395" s="1264"/>
      <c r="AG395" s="1265"/>
      <c r="AI395" s="1253"/>
      <c r="AJ395" s="1287"/>
      <c r="AK395" s="1287"/>
      <c r="AM395" s="1253"/>
      <c r="AN395" s="1287"/>
      <c r="AO395" s="1287"/>
      <c r="AQ395" s="1253"/>
      <c r="AR395" s="1287"/>
      <c r="AS395" s="1287"/>
      <c r="AT395" s="1244"/>
      <c r="AU395" s="1253"/>
      <c r="AV395" s="1287"/>
      <c r="AW395" s="1287"/>
      <c r="AX395" s="1244"/>
      <c r="AY395" s="1253"/>
      <c r="AZ395" s="1287"/>
      <c r="BA395" s="1287"/>
      <c r="BB395" s="1244"/>
      <c r="BC395" s="1253"/>
      <c r="BD395" s="1287"/>
      <c r="BE395" s="1287"/>
      <c r="BF395" s="1244"/>
      <c r="BG395" s="1253"/>
      <c r="BH395" s="1287"/>
      <c r="BI395" s="1287"/>
      <c r="BJ395" s="1282"/>
      <c r="BK395" s="1253"/>
      <c r="BL395" s="1287"/>
      <c r="BM395" s="1287"/>
      <c r="BN395" s="1282"/>
      <c r="BO395" s="1253"/>
      <c r="BP395" s="1287"/>
      <c r="BQ395" s="1287"/>
      <c r="BR395" s="1282"/>
      <c r="BS395" s="1253"/>
      <c r="BT395" s="1287"/>
      <c r="BU395" s="1287"/>
    </row>
    <row r="396" spans="1:73">
      <c r="A396" s="1254"/>
      <c r="C396" s="1252"/>
      <c r="D396" s="1264"/>
      <c r="E396" s="1256"/>
      <c r="G396" s="1252"/>
      <c r="H396" s="1264"/>
      <c r="I396" s="1265"/>
      <c r="K396" s="1252"/>
      <c r="L396" s="1264"/>
      <c r="M396" s="1265"/>
      <c r="O396" s="1252"/>
      <c r="P396" s="1264"/>
      <c r="Q396" s="1265"/>
      <c r="S396" s="1252"/>
      <c r="T396" s="1264"/>
      <c r="U396" s="1265"/>
      <c r="W396" s="1252"/>
      <c r="X396" s="1264"/>
      <c r="Y396" s="1265"/>
      <c r="AA396" s="1252"/>
      <c r="AB396" s="1264"/>
      <c r="AC396" s="1265"/>
      <c r="AD396" s="1252"/>
      <c r="AE396" s="1252"/>
      <c r="AF396" s="1264"/>
      <c r="AG396" s="1265"/>
      <c r="AI396" s="1253"/>
      <c r="AJ396" s="1287"/>
      <c r="AK396" s="1287"/>
      <c r="AM396" s="1253"/>
      <c r="AN396" s="1287"/>
      <c r="AO396" s="1287"/>
      <c r="AQ396" s="1253"/>
      <c r="AR396" s="1287"/>
      <c r="AS396" s="1287"/>
      <c r="AT396" s="1244"/>
      <c r="AU396" s="1253"/>
      <c r="AV396" s="1287"/>
      <c r="AW396" s="1287"/>
      <c r="AX396" s="1244"/>
      <c r="AY396" s="1253"/>
      <c r="AZ396" s="1287"/>
      <c r="BA396" s="1287"/>
      <c r="BB396" s="1244"/>
      <c r="BC396" s="1253"/>
      <c r="BD396" s="1287"/>
      <c r="BE396" s="1287"/>
      <c r="BF396" s="1244"/>
      <c r="BG396" s="1253"/>
      <c r="BH396" s="1287"/>
      <c r="BI396" s="1287"/>
      <c r="BJ396" s="1282"/>
      <c r="BK396" s="1253"/>
      <c r="BL396" s="1287"/>
      <c r="BM396" s="1287"/>
      <c r="BN396" s="1282"/>
      <c r="BO396" s="1253"/>
      <c r="BP396" s="1287"/>
      <c r="BQ396" s="1287"/>
      <c r="BR396" s="1282"/>
      <c r="BS396" s="1253"/>
      <c r="BT396" s="1287"/>
      <c r="BU396" s="1287"/>
    </row>
  </sheetData>
  <sortState ref="AY258:AY264">
    <sortCondition sortBy="icon" ref="AY259"/>
  </sortState>
  <mergeCells count="34">
    <mergeCell ref="BG307:BM307"/>
    <mergeCell ref="BG317:BM317"/>
    <mergeCell ref="BG327:BM327"/>
    <mergeCell ref="BG337:BM337"/>
    <mergeCell ref="BG254:BM254"/>
    <mergeCell ref="BG264:BM264"/>
    <mergeCell ref="BG274:BM274"/>
    <mergeCell ref="BG284:BM284"/>
    <mergeCell ref="BG297:BM297"/>
    <mergeCell ref="BG214:BM214"/>
    <mergeCell ref="BG204:BM204"/>
    <mergeCell ref="BG224:BM224"/>
    <mergeCell ref="BG234:BM234"/>
    <mergeCell ref="BG244:BM244"/>
    <mergeCell ref="BG151:BM151"/>
    <mergeCell ref="BG161:BM161"/>
    <mergeCell ref="BG171:BM171"/>
    <mergeCell ref="BG181:BM181"/>
    <mergeCell ref="BG192:BM192"/>
    <mergeCell ref="BG191:BM191"/>
    <mergeCell ref="BG101:BM101"/>
    <mergeCell ref="BG111:BM111"/>
    <mergeCell ref="BG121:BM121"/>
    <mergeCell ref="BG131:BM131"/>
    <mergeCell ref="BG141:BM141"/>
    <mergeCell ref="BG70:BM70"/>
    <mergeCell ref="BG81:BM81"/>
    <mergeCell ref="BG91:BM91"/>
    <mergeCell ref="BG9:BM9"/>
    <mergeCell ref="BG19:BM19"/>
    <mergeCell ref="BG29:BM29"/>
    <mergeCell ref="BG49:BM49"/>
    <mergeCell ref="BG59:BM59"/>
    <mergeCell ref="BF39:BM39"/>
  </mergeCells>
  <printOptions horizontalCentered="1" verticalCentered="1"/>
  <pageMargins left="0.25" right="0.25" top="0.25" bottom="0.25" header="0.25" footer="0.25"/>
  <pageSetup scale="49" fitToHeight="0"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pageSetUpPr fitToPage="1"/>
  </sheetPr>
  <dimension ref="A1:CC95"/>
  <sheetViews>
    <sheetView zoomScale="85" zoomScaleNormal="85" workbookViewId="0">
      <pane xSplit="1" topLeftCell="B1" activePane="topRight" state="frozen"/>
      <selection pane="topRight" activeCell="BX5" sqref="BX5"/>
    </sheetView>
  </sheetViews>
  <sheetFormatPr defaultRowHeight="12.75" outlineLevelRow="1" outlineLevelCol="3"/>
  <cols>
    <col min="1" max="1" width="35" style="17" customWidth="1"/>
    <col min="2" max="2" width="1" style="17" customWidth="1"/>
    <col min="3" max="6" width="7" style="17" hidden="1" customWidth="1" outlineLevel="3"/>
    <col min="7" max="7" width="1" style="17" hidden="1" customWidth="1" outlineLevel="3"/>
    <col min="8" max="11" width="7" style="17" hidden="1" customWidth="1" outlineLevel="3"/>
    <col min="12" max="12" width="1" style="17" hidden="1" customWidth="1" outlineLevel="3"/>
    <col min="13" max="16" width="7" style="17" hidden="1" customWidth="1" outlineLevel="3"/>
    <col min="17" max="17" width="1" style="17" hidden="1" customWidth="1" outlineLevel="3"/>
    <col min="18" max="21" width="7" style="17" hidden="1" customWidth="1" outlineLevel="3"/>
    <col min="22" max="22" width="1.85546875" style="17" hidden="1" customWidth="1" outlineLevel="1" collapsed="1"/>
    <col min="23" max="25" width="7" style="17" hidden="1" customWidth="1" outlineLevel="1"/>
    <col min="26" max="26" width="8.140625" style="17" hidden="1" customWidth="1" outlineLevel="1"/>
    <col min="27" max="27" width="1" style="17" hidden="1" customWidth="1" outlineLevel="1"/>
    <col min="28" max="28" width="7" style="17" hidden="1" customWidth="1" outlineLevel="1" collapsed="1"/>
    <col min="29" max="30" width="7" style="17" hidden="1" customWidth="1" outlineLevel="1"/>
    <col min="31" max="31" width="8.140625" style="17" hidden="1" customWidth="1" outlineLevel="1"/>
    <col min="32" max="32" width="1" style="17" hidden="1" customWidth="1" outlineLevel="1"/>
    <col min="33" max="33" width="7" style="17" hidden="1" customWidth="1" outlineLevel="1" collapsed="1"/>
    <col min="34" max="34" width="8.140625" style="17" hidden="1" customWidth="1" outlineLevel="1"/>
    <col min="35" max="35" width="7" style="17" hidden="1" customWidth="1" outlineLevel="1"/>
    <col min="36" max="36" width="8.140625" style="17" hidden="1" customWidth="1" outlineLevel="1"/>
    <col min="37" max="37" width="1" style="17" hidden="1" customWidth="1" outlineLevel="1"/>
    <col min="38" max="38" width="7.7109375" style="17" hidden="1" customWidth="1" outlineLevel="1"/>
    <col min="39" max="40" width="7.140625" style="17" hidden="1" customWidth="1" outlineLevel="1"/>
    <col min="41" max="41" width="8.28515625" style="17" hidden="1" customWidth="1" outlineLevel="1"/>
    <col min="42" max="42" width="1.140625" style="17" hidden="1" customWidth="1" outlineLevel="1"/>
    <col min="43" max="43" width="9.5703125" style="17" hidden="1" customWidth="1" outlineLevel="1"/>
    <col min="44" max="44" width="8" style="17" hidden="1" customWidth="1" outlineLevel="1"/>
    <col min="45" max="46" width="8.28515625" style="17" hidden="1" customWidth="1" outlineLevel="1"/>
    <col min="47" max="47" width="11.85546875" style="17" hidden="1" customWidth="1" outlineLevel="1"/>
    <col min="48" max="48" width="9.5703125" style="17" bestFit="1" customWidth="1" collapsed="1"/>
    <col min="49" max="49" width="9.5703125" style="17" customWidth="1"/>
    <col min="50" max="51" width="9.5703125" style="17" bestFit="1" customWidth="1"/>
    <col min="52" max="52" width="1" style="17" customWidth="1"/>
    <col min="53" max="53" width="9.5703125" style="17" bestFit="1" customWidth="1"/>
    <col min="54" max="54" width="10.140625" style="17" customWidth="1"/>
    <col min="55" max="56" width="9.5703125" style="17" bestFit="1" customWidth="1"/>
    <col min="57" max="59" width="8.140625" style="17" hidden="1" customWidth="1" outlineLevel="2"/>
    <col min="60" max="60" width="8.140625" style="17" hidden="1" customWidth="1" outlineLevel="2" collapsed="1"/>
    <col min="61" max="62" width="8.140625" style="17" hidden="1" customWidth="1" outlineLevel="2"/>
    <col min="63" max="63" width="1.5703125" style="17" hidden="1" customWidth="1" outlineLevel="1" collapsed="1"/>
    <col min="64" max="66" width="9.28515625" style="17" hidden="1" customWidth="1" outlineLevel="3"/>
    <col min="67" max="67" width="9.5703125" style="17" hidden="1" customWidth="1" collapsed="1"/>
    <col min="68" max="73" width="9.5703125" style="17" bestFit="1" customWidth="1"/>
    <col min="74" max="74" width="8.140625" style="17" customWidth="1"/>
    <col min="75" max="75" width="10" style="17" bestFit="1" customWidth="1"/>
    <col min="76" max="76" width="27.28515625" customWidth="1" outlineLevel="1"/>
    <col min="77" max="81" width="9.140625" customWidth="1" outlineLevel="1"/>
    <col min="82" max="16384" width="9.140625" style="17"/>
  </cols>
  <sheetData>
    <row r="1" spans="1:81">
      <c r="A1" s="34" t="s">
        <v>441</v>
      </c>
    </row>
    <row r="2" spans="1:81" s="18" customFormat="1">
      <c r="A2" s="2" t="s">
        <v>586</v>
      </c>
      <c r="BX2"/>
      <c r="BY2"/>
      <c r="BZ2"/>
      <c r="CA2"/>
      <c r="CB2"/>
      <c r="CC2"/>
    </row>
    <row r="3" spans="1:81">
      <c r="A3" s="418" t="s">
        <v>92</v>
      </c>
    </row>
    <row r="4" spans="1:81">
      <c r="AQ4" s="17">
        <f>10/8-1</f>
        <v>0.25</v>
      </c>
      <c r="BB4" s="1194">
        <f>SUM(BA10:BB10)</f>
        <v>2327.277</v>
      </c>
      <c r="BC4" s="1194">
        <f>SUM(AV10:AW10)</f>
        <v>2171.85</v>
      </c>
      <c r="BD4" s="1195">
        <f>BB4-BC4</f>
        <v>155.42700000000013</v>
      </c>
      <c r="BE4" s="1196"/>
      <c r="BF4" s="1196"/>
      <c r="BG4" s="1196"/>
      <c r="BH4" s="1196"/>
      <c r="BI4" s="1196"/>
      <c r="BJ4" s="1196"/>
      <c r="BK4" s="1196"/>
      <c r="BL4" s="1196"/>
      <c r="BM4" s="1196"/>
      <c r="BN4" s="1196"/>
      <c r="BO4" s="1196">
        <f>BD5/BD4</f>
        <v>0</v>
      </c>
      <c r="BP4" s="1194">
        <f>SUM(BC10:BD10)</f>
        <v>2838.7498367758744</v>
      </c>
      <c r="BQ4" s="1194">
        <f>SUM(AX10:AY10)</f>
        <v>2642.6620000000003</v>
      </c>
      <c r="BR4" s="1195">
        <f>BP4-BQ4</f>
        <v>196.08783677587417</v>
      </c>
      <c r="BS4" s="1196">
        <f>BR5/BR4</f>
        <v>0</v>
      </c>
      <c r="BT4" s="1196"/>
    </row>
    <row r="5" spans="1:81">
      <c r="W5" s="419" t="s">
        <v>212</v>
      </c>
      <c r="X5" s="420"/>
      <c r="Y5" s="420"/>
      <c r="Z5" s="420"/>
      <c r="AA5" s="420"/>
      <c r="AB5" s="420"/>
      <c r="AC5" s="420"/>
      <c r="AD5" s="420"/>
      <c r="AE5" s="420"/>
      <c r="AF5" s="420"/>
      <c r="AG5" s="420"/>
      <c r="AH5" s="420"/>
      <c r="AI5" s="420"/>
      <c r="AJ5" s="420"/>
      <c r="AK5" s="420"/>
      <c r="AL5" s="420"/>
      <c r="AM5" s="420"/>
      <c r="AN5" s="420"/>
      <c r="AO5" s="420"/>
      <c r="BA5" s="760"/>
      <c r="BB5" s="1194"/>
      <c r="BC5" s="1194"/>
      <c r="BD5" s="1195"/>
      <c r="BE5" s="1196"/>
      <c r="BF5" s="1196"/>
      <c r="BG5" s="1196"/>
      <c r="BH5" s="1196"/>
      <c r="BI5" s="1196"/>
      <c r="BJ5" s="1196"/>
      <c r="BK5" s="1196"/>
      <c r="BL5" s="1196"/>
      <c r="BM5" s="1196"/>
      <c r="BN5" s="1196"/>
      <c r="BO5" s="1196"/>
      <c r="BP5" s="1194"/>
      <c r="BQ5" s="1194"/>
      <c r="BR5" s="1195"/>
      <c r="BS5" s="1196"/>
      <c r="BT5" s="1196"/>
    </row>
    <row r="6" spans="1:81">
      <c r="W6" s="419"/>
      <c r="X6" s="420"/>
      <c r="Y6" s="420"/>
      <c r="Z6" s="420"/>
      <c r="AA6" s="420"/>
      <c r="AB6" s="420"/>
      <c r="AC6" s="420"/>
      <c r="AD6" s="420"/>
      <c r="AE6" s="420"/>
      <c r="AF6" s="420"/>
      <c r="AG6" s="420"/>
      <c r="AH6" s="420"/>
      <c r="AI6" s="420"/>
      <c r="AJ6" s="420"/>
      <c r="AK6" s="420"/>
      <c r="AL6" s="420"/>
      <c r="AM6" s="420"/>
      <c r="AN6" s="420"/>
      <c r="AO6" s="420"/>
      <c r="BB6" s="535"/>
      <c r="BE6" s="419" t="s">
        <v>309</v>
      </c>
      <c r="BF6" s="419"/>
      <c r="BG6" s="419"/>
      <c r="BH6" s="419"/>
      <c r="BI6" s="419"/>
      <c r="BJ6" s="419"/>
      <c r="BK6" s="421"/>
      <c r="BL6" s="419" t="s">
        <v>308</v>
      </c>
      <c r="BM6" s="420"/>
      <c r="BN6" s="420"/>
      <c r="BO6" s="420"/>
      <c r="BP6" s="420"/>
      <c r="BQ6" s="420"/>
      <c r="BR6" s="420"/>
      <c r="BS6" s="420"/>
      <c r="BT6" s="420"/>
      <c r="BU6" s="420"/>
      <c r="BV6" s="420"/>
    </row>
    <row r="7" spans="1:81">
      <c r="A7" s="697"/>
      <c r="B7" s="465"/>
      <c r="C7" s="422" t="s">
        <v>96</v>
      </c>
      <c r="D7" s="422"/>
      <c r="E7" s="422"/>
      <c r="F7" s="422"/>
      <c r="G7" s="465"/>
      <c r="H7" s="422" t="s">
        <v>95</v>
      </c>
      <c r="I7" s="422"/>
      <c r="J7" s="422"/>
      <c r="K7" s="422"/>
      <c r="L7" s="465"/>
      <c r="M7" s="422" t="s">
        <v>94</v>
      </c>
      <c r="N7" s="422"/>
      <c r="O7" s="422"/>
      <c r="P7" s="422"/>
      <c r="Q7" s="465"/>
      <c r="R7" s="422" t="s">
        <v>93</v>
      </c>
      <c r="S7" s="422"/>
      <c r="T7" s="422"/>
      <c r="U7" s="422"/>
      <c r="V7" s="465"/>
      <c r="W7" s="422" t="s">
        <v>261</v>
      </c>
      <c r="X7" s="422"/>
      <c r="Y7" s="422"/>
      <c r="Z7" s="422"/>
      <c r="AA7" s="465"/>
      <c r="AB7" s="422" t="s">
        <v>84</v>
      </c>
      <c r="AC7" s="422"/>
      <c r="AD7" s="422"/>
      <c r="AE7" s="422"/>
      <c r="AF7" s="465"/>
      <c r="AG7" s="422" t="s">
        <v>242</v>
      </c>
      <c r="AH7" s="422"/>
      <c r="AI7" s="422"/>
      <c r="AJ7" s="422"/>
      <c r="AK7" s="465"/>
      <c r="AL7" s="422" t="s">
        <v>393</v>
      </c>
      <c r="AM7" s="422"/>
      <c r="AN7" s="422"/>
      <c r="AO7" s="422"/>
      <c r="AP7" s="465"/>
      <c r="AQ7" s="422" t="s">
        <v>611</v>
      </c>
      <c r="AR7" s="422"/>
      <c r="AS7" s="422"/>
      <c r="AT7" s="422"/>
      <c r="AU7" s="465"/>
      <c r="AV7" s="422" t="s">
        <v>626</v>
      </c>
      <c r="AW7" s="422"/>
      <c r="AX7" s="422"/>
      <c r="AY7" s="422"/>
      <c r="AZ7" s="465"/>
      <c r="BA7" s="423" t="s">
        <v>38</v>
      </c>
      <c r="BB7" s="422"/>
      <c r="BC7" s="422"/>
      <c r="BD7" s="1224"/>
      <c r="BE7" s="1396" t="s">
        <v>166</v>
      </c>
      <c r="BF7" s="1396" t="s">
        <v>96</v>
      </c>
      <c r="BG7" s="1396" t="s">
        <v>95</v>
      </c>
      <c r="BH7" s="1396" t="s">
        <v>94</v>
      </c>
      <c r="BI7" s="1396" t="s">
        <v>93</v>
      </c>
      <c r="BJ7" s="1396" t="s">
        <v>83</v>
      </c>
      <c r="BK7" s="10"/>
      <c r="BL7" s="1397" t="s">
        <v>261</v>
      </c>
      <c r="BM7" s="1398" t="s">
        <v>84</v>
      </c>
      <c r="BN7" s="1398" t="s">
        <v>242</v>
      </c>
      <c r="BO7" s="1397" t="s">
        <v>393</v>
      </c>
      <c r="BP7" s="1398" t="s">
        <v>611</v>
      </c>
      <c r="BQ7" s="1398" t="s">
        <v>626</v>
      </c>
      <c r="BR7" s="1399" t="s">
        <v>38</v>
      </c>
      <c r="BS7" s="1399" t="s">
        <v>244</v>
      </c>
      <c r="BT7" s="1399" t="s">
        <v>245</v>
      </c>
      <c r="BU7" s="1400" t="s">
        <v>341</v>
      </c>
      <c r="BV7" s="98"/>
    </row>
    <row r="8" spans="1:81">
      <c r="A8" s="1233" t="s">
        <v>185</v>
      </c>
      <c r="B8" s="421"/>
      <c r="C8" s="430" t="s">
        <v>79</v>
      </c>
      <c r="D8" s="430" t="s">
        <v>80</v>
      </c>
      <c r="E8" s="430" t="s">
        <v>81</v>
      </c>
      <c r="F8" s="430" t="s">
        <v>82</v>
      </c>
      <c r="G8" s="421"/>
      <c r="H8" s="430" t="s">
        <v>79</v>
      </c>
      <c r="I8" s="430" t="s">
        <v>80</v>
      </c>
      <c r="J8" s="430" t="s">
        <v>81</v>
      </c>
      <c r="K8" s="430" t="s">
        <v>82</v>
      </c>
      <c r="L8" s="421"/>
      <c r="M8" s="430" t="s">
        <v>79</v>
      </c>
      <c r="N8" s="430" t="s">
        <v>80</v>
      </c>
      <c r="O8" s="430" t="s">
        <v>81</v>
      </c>
      <c r="P8" s="430" t="s">
        <v>82</v>
      </c>
      <c r="Q8" s="421"/>
      <c r="R8" s="430" t="s">
        <v>79</v>
      </c>
      <c r="S8" s="430" t="s">
        <v>80</v>
      </c>
      <c r="T8" s="430" t="s">
        <v>81</v>
      </c>
      <c r="U8" s="430" t="s">
        <v>82</v>
      </c>
      <c r="V8" s="421"/>
      <c r="W8" s="430" t="s">
        <v>79</v>
      </c>
      <c r="X8" s="430" t="s">
        <v>80</v>
      </c>
      <c r="Y8" s="430" t="s">
        <v>81</v>
      </c>
      <c r="Z8" s="430" t="s">
        <v>82</v>
      </c>
      <c r="AA8" s="421"/>
      <c r="AB8" s="430" t="s">
        <v>79</v>
      </c>
      <c r="AC8" s="430" t="s">
        <v>80</v>
      </c>
      <c r="AD8" s="430" t="s">
        <v>81</v>
      </c>
      <c r="AE8" s="430" t="s">
        <v>82</v>
      </c>
      <c r="AF8" s="421"/>
      <c r="AG8" s="430" t="s">
        <v>79</v>
      </c>
      <c r="AH8" s="430" t="s">
        <v>80</v>
      </c>
      <c r="AI8" s="430" t="s">
        <v>81</v>
      </c>
      <c r="AJ8" s="430" t="s">
        <v>82</v>
      </c>
      <c r="AK8" s="421"/>
      <c r="AL8" s="430" t="s">
        <v>79</v>
      </c>
      <c r="AM8" s="430" t="s">
        <v>80</v>
      </c>
      <c r="AN8" s="430" t="s">
        <v>81</v>
      </c>
      <c r="AO8" s="430" t="s">
        <v>82</v>
      </c>
      <c r="AP8" s="421"/>
      <c r="AQ8" s="430" t="s">
        <v>79</v>
      </c>
      <c r="AR8" s="430" t="s">
        <v>80</v>
      </c>
      <c r="AS8" s="430" t="s">
        <v>81</v>
      </c>
      <c r="AT8" s="430" t="s">
        <v>82</v>
      </c>
      <c r="AU8" s="421"/>
      <c r="AV8" s="430" t="s">
        <v>79</v>
      </c>
      <c r="AW8" s="430" t="s">
        <v>80</v>
      </c>
      <c r="AX8" s="430" t="s">
        <v>81</v>
      </c>
      <c r="AY8" s="430" t="s">
        <v>82</v>
      </c>
      <c r="AZ8" s="421"/>
      <c r="BA8" s="430" t="s">
        <v>79</v>
      </c>
      <c r="BB8" s="430" t="s">
        <v>80</v>
      </c>
      <c r="BC8" s="1234" t="s">
        <v>81</v>
      </c>
      <c r="BD8" s="1225" t="s">
        <v>82</v>
      </c>
      <c r="BE8" s="429" t="s">
        <v>82</v>
      </c>
      <c r="BF8" s="429" t="s">
        <v>82</v>
      </c>
      <c r="BG8" s="429" t="s">
        <v>82</v>
      </c>
      <c r="BH8" s="429" t="s">
        <v>82</v>
      </c>
      <c r="BI8" s="429" t="s">
        <v>82</v>
      </c>
      <c r="BJ8" s="429" t="s">
        <v>82</v>
      </c>
      <c r="BK8" s="430"/>
      <c r="BL8" s="431" t="s">
        <v>82</v>
      </c>
      <c r="BM8" s="430" t="s">
        <v>82</v>
      </c>
      <c r="BN8" s="430" t="s">
        <v>82</v>
      </c>
      <c r="BO8" s="431" t="s">
        <v>82</v>
      </c>
      <c r="BP8" s="430" t="s">
        <v>82</v>
      </c>
      <c r="BQ8" s="430" t="s">
        <v>82</v>
      </c>
      <c r="BR8" s="430" t="s">
        <v>82</v>
      </c>
      <c r="BS8" s="430" t="s">
        <v>82</v>
      </c>
      <c r="BT8" s="430" t="s">
        <v>82</v>
      </c>
      <c r="BU8" s="432" t="s">
        <v>82</v>
      </c>
      <c r="BV8" s="430"/>
    </row>
    <row r="9" spans="1:81" ht="6.75" customHeight="1">
      <c r="A9" s="434"/>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1"/>
      <c r="BC9" s="421"/>
      <c r="BD9" s="435"/>
      <c r="BE9" s="433"/>
      <c r="BF9" s="433"/>
      <c r="BG9" s="433"/>
      <c r="BH9" s="433"/>
      <c r="BI9" s="433"/>
      <c r="BJ9" s="433"/>
      <c r="BK9" s="421"/>
      <c r="BL9" s="434"/>
      <c r="BM9" s="421"/>
      <c r="BN9" s="421"/>
      <c r="BO9" s="434"/>
      <c r="BP9" s="421"/>
      <c r="BQ9" s="421"/>
      <c r="BR9" s="421"/>
      <c r="BS9" s="421"/>
      <c r="BT9" s="421"/>
      <c r="BU9" s="435"/>
      <c r="BV9" s="421"/>
    </row>
    <row r="10" spans="1:81" ht="11.25" customHeight="1">
      <c r="A10" s="1401" t="s">
        <v>186</v>
      </c>
      <c r="B10" s="421"/>
      <c r="C10" s="1402"/>
      <c r="D10" s="1402"/>
      <c r="E10" s="1402"/>
      <c r="F10" s="1402"/>
      <c r="G10" s="1402"/>
      <c r="H10" s="1402"/>
      <c r="I10" s="1402"/>
      <c r="J10" s="1402"/>
      <c r="K10" s="1402"/>
      <c r="L10" s="1402"/>
      <c r="M10" s="1402"/>
      <c r="N10" s="1402"/>
      <c r="O10" s="1402"/>
      <c r="P10" s="1402"/>
      <c r="Q10" s="1402"/>
      <c r="R10" s="1402"/>
      <c r="S10" s="1402"/>
      <c r="T10" s="1402"/>
      <c r="U10" s="1402"/>
      <c r="V10" s="1402"/>
      <c r="W10" s="1402">
        <v>830.04300000000001</v>
      </c>
      <c r="X10" s="1402">
        <v>700.97799999999995</v>
      </c>
      <c r="Y10" s="1402">
        <v>872.37399999999991</v>
      </c>
      <c r="Z10" s="1402">
        <v>1119.5189999999998</v>
      </c>
      <c r="AA10" s="1402"/>
      <c r="AB10" s="1402">
        <v>894.678</v>
      </c>
      <c r="AC10" s="1402">
        <v>728.75</v>
      </c>
      <c r="AD10" s="1402">
        <v>858.18599999999992</v>
      </c>
      <c r="AE10" s="1402">
        <v>1187.9880000000003</v>
      </c>
      <c r="AF10" s="1402"/>
      <c r="AG10" s="1402">
        <v>929.08100000000002</v>
      </c>
      <c r="AH10" s="1402">
        <v>793.34899999999993</v>
      </c>
      <c r="AI10" s="1402">
        <v>898.66300000000001</v>
      </c>
      <c r="AJ10" s="1402">
        <v>1233.0410000000002</v>
      </c>
      <c r="AK10" s="1402"/>
      <c r="AL10" s="1402">
        <v>982.42179069000099</v>
      </c>
      <c r="AM10" s="1402">
        <v>864.18122197000105</v>
      </c>
      <c r="AN10" s="1402">
        <v>967.89383003000194</v>
      </c>
      <c r="AO10" s="1402">
        <v>1262.5373283800009</v>
      </c>
      <c r="AP10" s="421"/>
      <c r="AQ10" s="1402">
        <v>1065.013407760001</v>
      </c>
      <c r="AR10" s="1402">
        <v>963.57063096291608</v>
      </c>
      <c r="AS10" s="1402">
        <v>1064.502</v>
      </c>
      <c r="AT10" s="1402">
        <v>1334.277</v>
      </c>
      <c r="AU10" s="421"/>
      <c r="AV10" s="1402">
        <v>1128.269</v>
      </c>
      <c r="AW10" s="1402">
        <v>1043.5809999999999</v>
      </c>
      <c r="AX10" s="1402">
        <v>1157.3</v>
      </c>
      <c r="AY10" s="1402">
        <v>1485.3620000000001</v>
      </c>
      <c r="AZ10" s="421"/>
      <c r="BA10" s="1402">
        <v>1183.059</v>
      </c>
      <c r="BB10" s="1402">
        <v>1144.2180000000001</v>
      </c>
      <c r="BC10" s="1402">
        <v>1241.0110037629352</v>
      </c>
      <c r="BD10" s="1403">
        <v>1597.738833012939</v>
      </c>
      <c r="BE10" s="1404">
        <v>2859.96</v>
      </c>
      <c r="BF10" s="1404">
        <v>3199.84</v>
      </c>
      <c r="BG10" s="1404">
        <v>3470.5540000000001</v>
      </c>
      <c r="BH10" s="1404">
        <v>3441.645</v>
      </c>
      <c r="BI10" s="1404">
        <v>3423.973</v>
      </c>
      <c r="BJ10" s="1404">
        <v>3571.3670000000002</v>
      </c>
      <c r="BK10" s="1402"/>
      <c r="BL10" s="1405">
        <v>3522.9139999999998</v>
      </c>
      <c r="BM10" s="1402">
        <v>3669.6019999999999</v>
      </c>
      <c r="BN10" s="1402">
        <v>3854.134</v>
      </c>
      <c r="BO10" s="1406">
        <v>4077.034171070005</v>
      </c>
      <c r="BP10" s="1402">
        <v>4427.5029999999997</v>
      </c>
      <c r="BQ10" s="1402">
        <v>4814.5119999999997</v>
      </c>
      <c r="BR10" s="1402">
        <v>5166.0268367758745</v>
      </c>
      <c r="BS10" s="1402">
        <v>5446.958051075806</v>
      </c>
      <c r="BT10" s="1402">
        <v>5784.9048398805653</v>
      </c>
      <c r="BU10" s="1407">
        <v>6137.8029267458023</v>
      </c>
      <c r="BV10" s="1402"/>
    </row>
    <row r="11" spans="1:81">
      <c r="A11" s="1235" t="s">
        <v>187</v>
      </c>
      <c r="B11" s="421"/>
      <c r="C11" s="1402"/>
      <c r="D11" s="1402"/>
      <c r="E11" s="1402"/>
      <c r="F11" s="1402"/>
      <c r="G11" s="1402"/>
      <c r="H11" s="1402"/>
      <c r="I11" s="1402"/>
      <c r="J11" s="1402"/>
      <c r="K11" s="1402"/>
      <c r="L11" s="1402"/>
      <c r="M11" s="1402"/>
      <c r="N11" s="1402"/>
      <c r="O11" s="1402"/>
      <c r="P11" s="1402"/>
      <c r="Q11" s="1402"/>
      <c r="R11" s="1402"/>
      <c r="S11" s="1402"/>
      <c r="T11" s="1402"/>
      <c r="U11" s="1402"/>
      <c r="V11" s="1402"/>
      <c r="W11" s="1402">
        <v>554.21100000000001</v>
      </c>
      <c r="X11" s="1402">
        <v>424.24900000000002</v>
      </c>
      <c r="Y11" s="1402">
        <v>523.46500000000003</v>
      </c>
      <c r="Z11" s="1402">
        <v>679.7819999999997</v>
      </c>
      <c r="AA11" s="1402"/>
      <c r="AB11" s="1402">
        <v>552.35299999999995</v>
      </c>
      <c r="AC11" s="1402">
        <v>469.38799999999998</v>
      </c>
      <c r="AD11" s="1402">
        <v>527.30100000000004</v>
      </c>
      <c r="AE11" s="1402">
        <v>703.30400000000009</v>
      </c>
      <c r="AF11" s="1402"/>
      <c r="AG11" s="1402">
        <v>577.303</v>
      </c>
      <c r="AH11" s="1402">
        <v>507.053</v>
      </c>
      <c r="AI11" s="1402">
        <v>540.80700000000002</v>
      </c>
      <c r="AJ11" s="1402">
        <v>738.30099999999993</v>
      </c>
      <c r="AK11" s="1402"/>
      <c r="AL11" s="1402">
        <v>619.88492152000094</v>
      </c>
      <c r="AM11" s="1402">
        <v>543.54917563000106</v>
      </c>
      <c r="AN11" s="1402">
        <v>594.37901896000199</v>
      </c>
      <c r="AO11" s="1402">
        <v>740.15963972000623</v>
      </c>
      <c r="AP11" s="421"/>
      <c r="AQ11" s="1402">
        <v>667.6529641300001</v>
      </c>
      <c r="AR11" s="1402">
        <v>598.52772144564096</v>
      </c>
      <c r="AS11" s="1402">
        <v>649.63699999999994</v>
      </c>
      <c r="AT11" s="1402">
        <v>778.34799999999996</v>
      </c>
      <c r="AU11" s="421"/>
      <c r="AV11" s="1402">
        <v>698.46100000000001</v>
      </c>
      <c r="AW11" s="1402">
        <v>645.02700000000004</v>
      </c>
      <c r="AX11" s="1402">
        <v>698.59</v>
      </c>
      <c r="AY11" s="1402">
        <v>858.74099999999999</v>
      </c>
      <c r="AZ11" s="421"/>
      <c r="BA11" s="1402">
        <v>712.93</v>
      </c>
      <c r="BB11" s="1402">
        <v>695.91499999999996</v>
      </c>
      <c r="BC11" s="1402">
        <v>745.84761326152397</v>
      </c>
      <c r="BD11" s="1403">
        <v>920.29756781545302</v>
      </c>
      <c r="BE11" s="1404">
        <v>1765.4780000000001</v>
      </c>
      <c r="BF11" s="1404">
        <v>1987.1590000000001</v>
      </c>
      <c r="BG11" s="1404">
        <v>2183.2629999999999</v>
      </c>
      <c r="BH11" s="1404">
        <v>2125.16</v>
      </c>
      <c r="BI11" s="1404">
        <v>2095.364</v>
      </c>
      <c r="BJ11" s="1404">
        <v>2199.7660000000001</v>
      </c>
      <c r="BK11" s="1402"/>
      <c r="BL11" s="1405">
        <v>2181.7069999999999</v>
      </c>
      <c r="BM11" s="1402">
        <v>2252.346</v>
      </c>
      <c r="BN11" s="1402">
        <v>2363.4639999999999</v>
      </c>
      <c r="BO11" s="1406">
        <v>2497.9727558300101</v>
      </c>
      <c r="BP11" s="1402">
        <v>2695.9569999999999</v>
      </c>
      <c r="BQ11" s="1402">
        <v>2900.819</v>
      </c>
      <c r="BR11" s="1402">
        <v>3074.9901810769766</v>
      </c>
      <c r="BS11" s="1402">
        <v>3230.0461242879528</v>
      </c>
      <c r="BT11" s="1402">
        <v>3425.3000047416817</v>
      </c>
      <c r="BU11" s="1407">
        <v>3634.1931129261898</v>
      </c>
      <c r="BV11" s="1402"/>
    </row>
    <row r="12" spans="1:81">
      <c r="A12" s="1401" t="s">
        <v>188</v>
      </c>
      <c r="B12" s="421"/>
      <c r="C12" s="1402"/>
      <c r="D12" s="1402"/>
      <c r="E12" s="1402"/>
      <c r="F12" s="1402"/>
      <c r="G12" s="1402"/>
      <c r="H12" s="1402"/>
      <c r="I12" s="1402"/>
      <c r="J12" s="1402"/>
      <c r="K12" s="1402"/>
      <c r="L12" s="1402"/>
      <c r="M12" s="1402"/>
      <c r="N12" s="1402"/>
      <c r="O12" s="1402"/>
      <c r="P12" s="1402"/>
      <c r="Q12" s="1402"/>
      <c r="R12" s="1402"/>
      <c r="S12" s="1402"/>
      <c r="T12" s="1402"/>
      <c r="U12" s="1402"/>
      <c r="V12" s="1402"/>
      <c r="W12" s="1402">
        <f>W10-W11</f>
        <v>275.83199999999999</v>
      </c>
      <c r="X12" s="1402">
        <f>X10-X11</f>
        <v>276.72899999999993</v>
      </c>
      <c r="Y12" s="1402">
        <f>Y10-Y11</f>
        <v>348.90899999999988</v>
      </c>
      <c r="Z12" s="1402">
        <f>Z10-Z11</f>
        <v>439.73700000000008</v>
      </c>
      <c r="AA12" s="1402"/>
      <c r="AB12" s="1402">
        <f>AB10-AB11</f>
        <v>342.32500000000005</v>
      </c>
      <c r="AC12" s="1402">
        <f>AC10-AC11</f>
        <v>259.36200000000002</v>
      </c>
      <c r="AD12" s="1402">
        <f>AD10-AD11</f>
        <v>330.88499999999988</v>
      </c>
      <c r="AE12" s="1402">
        <f>AE10-AE11</f>
        <v>484.6840000000002</v>
      </c>
      <c r="AF12" s="1402"/>
      <c r="AG12" s="1402">
        <f>AG10-AG11</f>
        <v>351.77800000000002</v>
      </c>
      <c r="AH12" s="1402">
        <f>AH10-AH11</f>
        <v>286.29599999999994</v>
      </c>
      <c r="AI12" s="1402">
        <f>AI10-AI11</f>
        <v>357.85599999999999</v>
      </c>
      <c r="AJ12" s="1402">
        <f>AJ10-AJ11</f>
        <v>494.74000000000024</v>
      </c>
      <c r="AK12" s="1402"/>
      <c r="AL12" s="1402">
        <f>AL10-AL11</f>
        <v>362.53686917000005</v>
      </c>
      <c r="AM12" s="1402">
        <f>AM10-AM11</f>
        <v>320.63204633999999</v>
      </c>
      <c r="AN12" s="1402">
        <f>AN10-AN11</f>
        <v>373.51481106999995</v>
      </c>
      <c r="AO12" s="1402">
        <f>AO10-AO11</f>
        <v>522.37768865999465</v>
      </c>
      <c r="AP12" s="421"/>
      <c r="AQ12" s="1402">
        <f>AQ10-AQ11</f>
        <v>397.36044363000087</v>
      </c>
      <c r="AR12" s="1402">
        <f>AR10-AR11</f>
        <v>365.04290951727512</v>
      </c>
      <c r="AS12" s="1402">
        <f>AS10-AS11</f>
        <v>414.86500000000001</v>
      </c>
      <c r="AT12" s="1402">
        <f>AT10-AT11</f>
        <v>555.92900000000009</v>
      </c>
      <c r="AU12" s="421"/>
      <c r="AV12" s="1402">
        <f>AV10-AV11</f>
        <v>429.80799999999999</v>
      </c>
      <c r="AW12" s="1402">
        <f>AW10-AW11</f>
        <v>398.55399999999986</v>
      </c>
      <c r="AX12" s="1402">
        <f>AX10-AX11</f>
        <v>458.70999999999992</v>
      </c>
      <c r="AY12" s="1402">
        <f>AY10-AY11</f>
        <v>626.62100000000009</v>
      </c>
      <c r="AZ12" s="421"/>
      <c r="BA12" s="1402">
        <f t="shared" ref="BA12:BJ12" si="0">BA10-BA11</f>
        <v>470.12900000000002</v>
      </c>
      <c r="BB12" s="1402">
        <f t="shared" si="0"/>
        <v>448.30300000000011</v>
      </c>
      <c r="BC12" s="1402">
        <f t="shared" si="0"/>
        <v>495.16339050141119</v>
      </c>
      <c r="BD12" s="1403">
        <f t="shared" si="0"/>
        <v>677.44126519748602</v>
      </c>
      <c r="BE12" s="1404">
        <f t="shared" si="0"/>
        <v>1094.482</v>
      </c>
      <c r="BF12" s="1404">
        <f t="shared" si="0"/>
        <v>1212.681</v>
      </c>
      <c r="BG12" s="1404">
        <f t="shared" si="0"/>
        <v>1287.2910000000002</v>
      </c>
      <c r="BH12" s="1404">
        <f t="shared" si="0"/>
        <v>1316.4850000000001</v>
      </c>
      <c r="BI12" s="1404">
        <f t="shared" si="0"/>
        <v>1328.6089999999999</v>
      </c>
      <c r="BJ12" s="1404">
        <f t="shared" si="0"/>
        <v>1371.6010000000001</v>
      </c>
      <c r="BK12" s="1402"/>
      <c r="BL12" s="1405">
        <f t="shared" ref="BL12:BU12" si="1">BL10-BL11</f>
        <v>1341.2069999999999</v>
      </c>
      <c r="BM12" s="1402">
        <f t="shared" si="1"/>
        <v>1417.2559999999999</v>
      </c>
      <c r="BN12" s="1402">
        <f t="shared" si="1"/>
        <v>1490.67</v>
      </c>
      <c r="BO12" s="1406">
        <f t="shared" si="1"/>
        <v>1579.0614152399949</v>
      </c>
      <c r="BP12" s="1402">
        <f t="shared" si="1"/>
        <v>1731.5459999999998</v>
      </c>
      <c r="BQ12" s="1402">
        <f t="shared" si="1"/>
        <v>1913.6929999999998</v>
      </c>
      <c r="BR12" s="1402">
        <f t="shared" si="1"/>
        <v>2091.0366556988979</v>
      </c>
      <c r="BS12" s="1402">
        <f t="shared" si="1"/>
        <v>2216.9119267878532</v>
      </c>
      <c r="BT12" s="1402">
        <f t="shared" si="1"/>
        <v>2359.6048351388836</v>
      </c>
      <c r="BU12" s="1407">
        <f t="shared" si="1"/>
        <v>2503.6098138196126</v>
      </c>
      <c r="BV12" s="1402"/>
    </row>
    <row r="13" spans="1:81">
      <c r="A13" s="1235" t="s">
        <v>189</v>
      </c>
      <c r="B13" s="421"/>
      <c r="C13" s="1408"/>
      <c r="D13" s="1408"/>
      <c r="E13" s="1408"/>
      <c r="F13" s="1408"/>
      <c r="G13" s="1408"/>
      <c r="H13" s="1408"/>
      <c r="I13" s="1408"/>
      <c r="J13" s="1408"/>
      <c r="K13" s="1408"/>
      <c r="L13" s="1408"/>
      <c r="M13" s="1408"/>
      <c r="N13" s="1408"/>
      <c r="O13" s="1408"/>
      <c r="P13" s="1408"/>
      <c r="Q13" s="1408"/>
      <c r="R13" s="1408"/>
      <c r="S13" s="1408"/>
      <c r="T13" s="1408"/>
      <c r="U13" s="1408"/>
      <c r="V13" s="1408"/>
      <c r="W13" s="1408">
        <v>262.108</v>
      </c>
      <c r="X13" s="1408">
        <v>266.541</v>
      </c>
      <c r="Y13" s="1408">
        <v>281.56900000000002</v>
      </c>
      <c r="Z13" s="1408">
        <v>303.74199999999996</v>
      </c>
      <c r="AA13" s="1408"/>
      <c r="AB13" s="1408">
        <v>278.52800000000002</v>
      </c>
      <c r="AC13" s="1408">
        <v>271.779</v>
      </c>
      <c r="AD13" s="1408">
        <v>285.61799999999999</v>
      </c>
      <c r="AE13" s="1408">
        <v>315.5590000000002</v>
      </c>
      <c r="AF13" s="1408"/>
      <c r="AG13" s="1408">
        <v>288.82799999999997</v>
      </c>
      <c r="AH13" s="1408">
        <v>276.70499999999998</v>
      </c>
      <c r="AI13" s="1408">
        <v>317.13400000000001</v>
      </c>
      <c r="AJ13" s="1408">
        <v>336.26</v>
      </c>
      <c r="AK13" s="1408"/>
      <c r="AL13" s="1408">
        <v>307.61028961</v>
      </c>
      <c r="AM13" s="1408">
        <v>302.37329693999999</v>
      </c>
      <c r="AN13" s="1408">
        <v>334.60977902000002</v>
      </c>
      <c r="AO13" s="1408">
        <v>344.58080431300016</v>
      </c>
      <c r="AP13" s="421"/>
      <c r="AQ13" s="1408">
        <v>328.22728481000001</v>
      </c>
      <c r="AR13" s="1408">
        <v>330.83467360942802</v>
      </c>
      <c r="AS13" s="1408">
        <v>362.44900000000001</v>
      </c>
      <c r="AT13" s="1408">
        <v>374.178</v>
      </c>
      <c r="AU13" s="421"/>
      <c r="AV13" s="1408">
        <v>347.02100000000002</v>
      </c>
      <c r="AW13" s="1408">
        <v>350.02600000000001</v>
      </c>
      <c r="AX13" s="1408">
        <v>396.71300000000002</v>
      </c>
      <c r="AY13" s="1408">
        <v>417.88800000000003</v>
      </c>
      <c r="AZ13" s="421"/>
      <c r="BA13" s="1408">
        <v>377.67899999999997</v>
      </c>
      <c r="BB13" s="1408">
        <v>381.60599999999999</v>
      </c>
      <c r="BC13" s="1408">
        <v>426.9077852944497</v>
      </c>
      <c r="BD13" s="1409">
        <v>452.79918527586693</v>
      </c>
      <c r="BE13" s="1410">
        <v>900.05899999999997</v>
      </c>
      <c r="BF13" s="1410">
        <v>957.75900000000001</v>
      </c>
      <c r="BG13" s="1410">
        <v>1051.922</v>
      </c>
      <c r="BH13" s="1410">
        <v>1062.4680000000001</v>
      </c>
      <c r="BI13" s="1410">
        <v>1090.829</v>
      </c>
      <c r="BJ13" s="1410">
        <v>1115.248</v>
      </c>
      <c r="BK13" s="1408"/>
      <c r="BL13" s="1411">
        <v>1113.96</v>
      </c>
      <c r="BM13" s="1408">
        <v>1151.4840000000002</v>
      </c>
      <c r="BN13" s="1408">
        <v>1218.9269999999999</v>
      </c>
      <c r="BO13" s="1412">
        <v>1289.1741698830001</v>
      </c>
      <c r="BP13" s="1408">
        <v>1391.788</v>
      </c>
      <c r="BQ13" s="1408">
        <v>1511.6480000000001</v>
      </c>
      <c r="BR13" s="1408">
        <v>1638.9919705703164</v>
      </c>
      <c r="BS13" s="1408">
        <v>1741.9371847340426</v>
      </c>
      <c r="BT13" s="1408">
        <v>1848.2770963418407</v>
      </c>
      <c r="BU13" s="1413">
        <v>1962.255595680633</v>
      </c>
      <c r="BV13" s="1408"/>
    </row>
    <row r="14" spans="1:81">
      <c r="A14" s="1235" t="s">
        <v>849</v>
      </c>
      <c r="B14" s="421"/>
      <c r="C14" s="1408"/>
      <c r="D14" s="1408"/>
      <c r="E14" s="1408"/>
      <c r="F14" s="1408"/>
      <c r="G14" s="1408"/>
      <c r="H14" s="1408"/>
      <c r="I14" s="1408"/>
      <c r="J14" s="1408"/>
      <c r="K14" s="1408"/>
      <c r="L14" s="1408"/>
      <c r="M14" s="1408"/>
      <c r="N14" s="1408"/>
      <c r="O14" s="1408"/>
      <c r="P14" s="1408"/>
      <c r="Q14" s="1408"/>
      <c r="R14" s="1408"/>
      <c r="S14" s="1408"/>
      <c r="T14" s="1408"/>
      <c r="U14" s="1408"/>
      <c r="V14" s="1408"/>
      <c r="W14" s="1408"/>
      <c r="X14" s="1408"/>
      <c r="Y14" s="1408"/>
      <c r="Z14" s="1408"/>
      <c r="AA14" s="1408"/>
      <c r="AB14" s="1408"/>
      <c r="AC14" s="1408"/>
      <c r="AD14" s="1408"/>
      <c r="AE14" s="1408"/>
      <c r="AF14" s="1408"/>
      <c r="AG14" s="1408"/>
      <c r="AH14" s="1408"/>
      <c r="AI14" s="1408"/>
      <c r="AJ14" s="1408"/>
      <c r="AK14" s="1408"/>
      <c r="AL14" s="1408"/>
      <c r="AM14" s="1408"/>
      <c r="AN14" s="1408"/>
      <c r="AO14" s="1408"/>
      <c r="AP14" s="421"/>
      <c r="AQ14" s="1408"/>
      <c r="AR14" s="1408"/>
      <c r="AS14" s="1408"/>
      <c r="AT14" s="1408"/>
      <c r="AU14" s="421"/>
      <c r="AV14" s="1408">
        <v>0.42399999999999999</v>
      </c>
      <c r="AW14" s="1408">
        <v>0.91700000000000004</v>
      </c>
      <c r="AX14" s="1408">
        <v>0.58899999999999997</v>
      </c>
      <c r="AY14" s="1408">
        <v>0.48199999999999998</v>
      </c>
      <c r="AZ14" s="421"/>
      <c r="BA14" s="1408">
        <v>0.25900000000000001</v>
      </c>
      <c r="BB14" s="1408">
        <v>-1.2E-2</v>
      </c>
      <c r="BC14" s="1408">
        <v>0</v>
      </c>
      <c r="BD14" s="1408">
        <v>0</v>
      </c>
      <c r="BE14" s="1410"/>
      <c r="BF14" s="1410"/>
      <c r="BG14" s="1410"/>
      <c r="BH14" s="1410"/>
      <c r="BI14" s="1410"/>
      <c r="BJ14" s="1410"/>
      <c r="BK14" s="1408"/>
      <c r="BL14" s="1411"/>
      <c r="BM14" s="1408"/>
      <c r="BN14" s="1408"/>
      <c r="BO14" s="1412"/>
      <c r="BP14" s="1408"/>
      <c r="BQ14" s="1408"/>
      <c r="BR14" s="1408"/>
      <c r="BS14" s="1408"/>
      <c r="BT14" s="1408"/>
      <c r="BU14" s="1413"/>
      <c r="BV14" s="1408"/>
    </row>
    <row r="15" spans="1:81">
      <c r="A15" s="1235" t="s">
        <v>850</v>
      </c>
      <c r="B15" s="421"/>
      <c r="C15" s="1408"/>
      <c r="D15" s="1408"/>
      <c r="E15" s="1408"/>
      <c r="F15" s="1408"/>
      <c r="G15" s="1408"/>
      <c r="H15" s="1408"/>
      <c r="I15" s="1408"/>
      <c r="J15" s="1408"/>
      <c r="K15" s="1408"/>
      <c r="L15" s="1408"/>
      <c r="M15" s="1408"/>
      <c r="N15" s="1408"/>
      <c r="O15" s="1408"/>
      <c r="P15" s="1408"/>
      <c r="Q15" s="1408"/>
      <c r="R15" s="1408"/>
      <c r="S15" s="1408"/>
      <c r="T15" s="1408"/>
      <c r="U15" s="1408"/>
      <c r="V15" s="1408"/>
      <c r="W15" s="1408"/>
      <c r="X15" s="1408"/>
      <c r="Y15" s="1408"/>
      <c r="Z15" s="1408"/>
      <c r="AA15" s="1408"/>
      <c r="AB15" s="1408"/>
      <c r="AC15" s="1408"/>
      <c r="AD15" s="1408"/>
      <c r="AE15" s="1408"/>
      <c r="AF15" s="1408"/>
      <c r="AG15" s="1408"/>
      <c r="AH15" s="1408"/>
      <c r="AI15" s="1408"/>
      <c r="AJ15" s="1408"/>
      <c r="AK15" s="1408"/>
      <c r="AL15" s="1408"/>
      <c r="AM15" s="1408"/>
      <c r="AN15" s="1408"/>
      <c r="AO15" s="1408"/>
      <c r="AP15" s="421"/>
      <c r="AQ15" s="1408"/>
      <c r="AR15" s="1408"/>
      <c r="AS15" s="1408"/>
      <c r="AT15" s="1408"/>
      <c r="AU15" s="421"/>
      <c r="AV15" s="1408">
        <v>0.82799999999999996</v>
      </c>
      <c r="AW15" s="1408">
        <v>0.96299999999999997</v>
      </c>
      <c r="AX15" s="1408">
        <v>0.628</v>
      </c>
      <c r="AY15" s="1408">
        <v>0.52100000000000002</v>
      </c>
      <c r="AZ15" s="421"/>
      <c r="BA15" s="1408">
        <v>0.46</v>
      </c>
      <c r="BB15" s="1408">
        <v>0.33500000000000002</v>
      </c>
      <c r="BC15" s="1408">
        <v>0</v>
      </c>
      <c r="BD15" s="1408">
        <v>0</v>
      </c>
      <c r="BE15" s="1410"/>
      <c r="BF15" s="1410"/>
      <c r="BG15" s="1410"/>
      <c r="BH15" s="1410"/>
      <c r="BI15" s="1410"/>
      <c r="BJ15" s="1410"/>
      <c r="BK15" s="1408"/>
      <c r="BL15" s="1411"/>
      <c r="BM15" s="1408"/>
      <c r="BN15" s="1408"/>
      <c r="BO15" s="1412"/>
      <c r="BP15" s="1408"/>
      <c r="BQ15" s="1408"/>
      <c r="BR15" s="1408"/>
      <c r="BS15" s="1408"/>
      <c r="BT15" s="1408"/>
      <c r="BU15" s="1413"/>
      <c r="BV15" s="1408"/>
    </row>
    <row r="16" spans="1:81">
      <c r="A16" s="1235" t="s">
        <v>851</v>
      </c>
      <c r="B16" s="421"/>
      <c r="C16" s="1408"/>
      <c r="D16" s="1408"/>
      <c r="E16" s="1408"/>
      <c r="F16" s="1408"/>
      <c r="G16" s="1408"/>
      <c r="H16" s="1408"/>
      <c r="I16" s="1408"/>
      <c r="J16" s="1408"/>
      <c r="K16" s="1408"/>
      <c r="L16" s="1408"/>
      <c r="M16" s="1408"/>
      <c r="N16" s="1408"/>
      <c r="O16" s="1408"/>
      <c r="P16" s="1408"/>
      <c r="Q16" s="1408"/>
      <c r="R16" s="1408"/>
      <c r="S16" s="1408"/>
      <c r="T16" s="1408"/>
      <c r="U16" s="1408"/>
      <c r="V16" s="1408"/>
      <c r="W16" s="1408"/>
      <c r="X16" s="1408"/>
      <c r="Y16" s="1408"/>
      <c r="Z16" s="1408"/>
      <c r="AA16" s="1408"/>
      <c r="AB16" s="1408"/>
      <c r="AC16" s="1408"/>
      <c r="AD16" s="1408"/>
      <c r="AE16" s="1408"/>
      <c r="AF16" s="1408"/>
      <c r="AG16" s="1408"/>
      <c r="AH16" s="1408"/>
      <c r="AI16" s="1408"/>
      <c r="AJ16" s="1408"/>
      <c r="AK16" s="1408"/>
      <c r="AL16" s="1408"/>
      <c r="AM16" s="1408"/>
      <c r="AN16" s="1408"/>
      <c r="AO16" s="1408"/>
      <c r="AP16" s="421"/>
      <c r="AQ16" s="1408"/>
      <c r="AR16" s="1408"/>
      <c r="AS16" s="1408"/>
      <c r="AT16" s="1408"/>
      <c r="AU16" s="421"/>
      <c r="AV16" s="1408">
        <v>1.9E-2</v>
      </c>
      <c r="AW16" s="1408">
        <v>0.82899999999999996</v>
      </c>
      <c r="AX16" s="1408">
        <v>6.0000000000000001E-3</v>
      </c>
      <c r="AY16" s="1408">
        <v>1.726</v>
      </c>
      <c r="AZ16" s="421"/>
      <c r="BA16" s="1408">
        <v>1.7150000000000001</v>
      </c>
      <c r="BB16" s="1408">
        <v>0.188</v>
      </c>
      <c r="BC16" s="1408">
        <v>0</v>
      </c>
      <c r="BD16" s="1408">
        <v>0</v>
      </c>
      <c r="BE16" s="1410"/>
      <c r="BF16" s="1410"/>
      <c r="BG16" s="1410"/>
      <c r="BH16" s="1410"/>
      <c r="BI16" s="1410"/>
      <c r="BJ16" s="1410"/>
      <c r="BK16" s="1408"/>
      <c r="BL16" s="1411"/>
      <c r="BM16" s="1408"/>
      <c r="BN16" s="1408"/>
      <c r="BO16" s="1412"/>
      <c r="BP16" s="1408"/>
      <c r="BQ16" s="1408"/>
      <c r="BR16" s="1408"/>
      <c r="BS16" s="1408"/>
      <c r="BT16" s="1408"/>
      <c r="BU16" s="1413"/>
      <c r="BV16" s="1408"/>
    </row>
    <row r="17" spans="1:81">
      <c r="A17" s="1235" t="s">
        <v>852</v>
      </c>
      <c r="B17" s="421"/>
      <c r="C17" s="1408"/>
      <c r="D17" s="1408"/>
      <c r="E17" s="1408"/>
      <c r="F17" s="1408"/>
      <c r="G17" s="1408"/>
      <c r="H17" s="1408"/>
      <c r="I17" s="1408"/>
      <c r="J17" s="1408"/>
      <c r="K17" s="1408"/>
      <c r="L17" s="1408"/>
      <c r="M17" s="1408"/>
      <c r="N17" s="1408"/>
      <c r="O17" s="1408"/>
      <c r="P17" s="1408"/>
      <c r="Q17" s="1408"/>
      <c r="R17" s="1408"/>
      <c r="S17" s="1408"/>
      <c r="T17" s="1408"/>
      <c r="U17" s="1408"/>
      <c r="V17" s="1408"/>
      <c r="W17" s="1408"/>
      <c r="X17" s="1408"/>
      <c r="Y17" s="1408"/>
      <c r="Z17" s="1408"/>
      <c r="AA17" s="1408"/>
      <c r="AB17" s="1408"/>
      <c r="AC17" s="1408"/>
      <c r="AD17" s="1408"/>
      <c r="AE17" s="1408"/>
      <c r="AF17" s="1408"/>
      <c r="AG17" s="1408"/>
      <c r="AH17" s="1408"/>
      <c r="AI17" s="1408"/>
      <c r="AJ17" s="1408"/>
      <c r="AK17" s="1408"/>
      <c r="AL17" s="1408"/>
      <c r="AM17" s="1408"/>
      <c r="AN17" s="1408"/>
      <c r="AO17" s="1408"/>
      <c r="AP17" s="421"/>
      <c r="AQ17" s="1408"/>
      <c r="AR17" s="1408"/>
      <c r="AS17" s="1408"/>
      <c r="AT17" s="1408"/>
      <c r="AU17" s="421"/>
      <c r="AV17" s="1408">
        <v>3.681</v>
      </c>
      <c r="AW17" s="1408">
        <v>0</v>
      </c>
      <c r="AX17" s="1408">
        <v>70.302000000000007</v>
      </c>
      <c r="AY17" s="1408">
        <v>0.36399999999999999</v>
      </c>
      <c r="AZ17" s="421"/>
      <c r="BA17" s="1408">
        <v>0.64900000000000002</v>
      </c>
      <c r="BB17" s="1408">
        <v>0</v>
      </c>
      <c r="BC17" s="1408">
        <v>0</v>
      </c>
      <c r="BD17" s="1408">
        <v>0</v>
      </c>
      <c r="BE17" s="1410"/>
      <c r="BF17" s="1410"/>
      <c r="BG17" s="1410"/>
      <c r="BH17" s="1410"/>
      <c r="BI17" s="1410"/>
      <c r="BJ17" s="1410"/>
      <c r="BK17" s="1408"/>
      <c r="BL17" s="1411"/>
      <c r="BM17" s="1408"/>
      <c r="BN17" s="1408"/>
      <c r="BO17" s="1412"/>
      <c r="BP17" s="1408"/>
      <c r="BQ17" s="1408"/>
      <c r="BR17" s="1408"/>
      <c r="BS17" s="1408"/>
      <c r="BT17" s="1408"/>
      <c r="BU17" s="1413"/>
      <c r="BV17" s="1408"/>
    </row>
    <row r="18" spans="1:81">
      <c r="A18" s="1235" t="s">
        <v>853</v>
      </c>
      <c r="B18" s="421"/>
      <c r="C18" s="1408"/>
      <c r="D18" s="1408"/>
      <c r="E18" s="1408"/>
      <c r="F18" s="1408"/>
      <c r="G18" s="1408"/>
      <c r="H18" s="1408"/>
      <c r="I18" s="1408"/>
      <c r="J18" s="1408"/>
      <c r="K18" s="1408"/>
      <c r="L18" s="1408"/>
      <c r="M18" s="1408"/>
      <c r="N18" s="1408"/>
      <c r="O18" s="1408"/>
      <c r="P18" s="1408"/>
      <c r="Q18" s="1408"/>
      <c r="R18" s="1408"/>
      <c r="S18" s="1408"/>
      <c r="T18" s="1408"/>
      <c r="U18" s="1408"/>
      <c r="V18" s="1408"/>
      <c r="W18" s="1408"/>
      <c r="X18" s="1408"/>
      <c r="Y18" s="1408"/>
      <c r="Z18" s="1408"/>
      <c r="AA18" s="1408"/>
      <c r="AB18" s="1408"/>
      <c r="AC18" s="1408"/>
      <c r="AD18" s="1408"/>
      <c r="AE18" s="1408"/>
      <c r="AF18" s="1408"/>
      <c r="AG18" s="1408"/>
      <c r="AH18" s="1408"/>
      <c r="AI18" s="1408"/>
      <c r="AJ18" s="1408"/>
      <c r="AK18" s="1408"/>
      <c r="AL18" s="1408"/>
      <c r="AM18" s="1408"/>
      <c r="AN18" s="1408"/>
      <c r="AO18" s="1408"/>
      <c r="AP18" s="421"/>
      <c r="AQ18" s="1408"/>
      <c r="AR18" s="1408"/>
      <c r="AS18" s="1408"/>
      <c r="AT18" s="1408"/>
      <c r="AU18" s="421"/>
      <c r="AV18" s="1408">
        <f>SUM(AV14:AV17)</f>
        <v>4.952</v>
      </c>
      <c r="AW18" s="1408">
        <f>SUM(AW14:AW17)</f>
        <v>2.7089999999999996</v>
      </c>
      <c r="AX18" s="1408">
        <f>SUM(AX14:AX17)</f>
        <v>71.525000000000006</v>
      </c>
      <c r="AY18" s="1408">
        <f>SUM(AY14:AY17)</f>
        <v>3.093</v>
      </c>
      <c r="AZ18" s="421"/>
      <c r="BA18" s="1408">
        <f>SUM(BA14:BA17)</f>
        <v>3.0830000000000002</v>
      </c>
      <c r="BB18" s="1408">
        <f>SUM(BB14:BB17)</f>
        <v>0.51100000000000001</v>
      </c>
      <c r="BC18" s="1408">
        <f>SUM(BC14:BC17)</f>
        <v>0</v>
      </c>
      <c r="BD18" s="1408">
        <f>SUM(BD14:BD17)</f>
        <v>0</v>
      </c>
      <c r="BE18" s="1410"/>
      <c r="BF18" s="1410"/>
      <c r="BG18" s="1410"/>
      <c r="BH18" s="1410"/>
      <c r="BI18" s="1410"/>
      <c r="BJ18" s="1410"/>
      <c r="BK18" s="1408"/>
      <c r="BL18" s="1411"/>
      <c r="BM18" s="1408"/>
      <c r="BN18" s="1408"/>
      <c r="BO18" s="1412"/>
      <c r="BP18" s="1408"/>
      <c r="BQ18" s="1408"/>
      <c r="BR18" s="1408"/>
      <c r="BS18" s="1408"/>
      <c r="BT18" s="1408"/>
      <c r="BU18" s="1413"/>
      <c r="BV18" s="1408"/>
    </row>
    <row r="19" spans="1:81" hidden="1" outlineLevel="1">
      <c r="A19" s="1235" t="s">
        <v>838</v>
      </c>
      <c r="B19" s="421"/>
      <c r="C19" s="1408"/>
      <c r="D19" s="1408"/>
      <c r="E19" s="1408"/>
      <c r="F19" s="1408"/>
      <c r="G19" s="1408"/>
      <c r="H19" s="1408"/>
      <c r="I19" s="1408"/>
      <c r="J19" s="1408"/>
      <c r="K19" s="1408"/>
      <c r="L19" s="1408"/>
      <c r="M19" s="1408"/>
      <c r="N19" s="1408"/>
      <c r="O19" s="1408"/>
      <c r="P19" s="1408"/>
      <c r="Q19" s="1408"/>
      <c r="R19" s="1408"/>
      <c r="S19" s="1408"/>
      <c r="T19" s="1408"/>
      <c r="U19" s="1408"/>
      <c r="V19" s="1408"/>
      <c r="W19" s="1408">
        <v>29.658999999999999</v>
      </c>
      <c r="X19" s="1408">
        <v>0.123</v>
      </c>
      <c r="Y19" s="1408">
        <v>7.6270000000000007</v>
      </c>
      <c r="Z19" s="1408">
        <v>41.43399999999999</v>
      </c>
      <c r="AA19" s="1408"/>
      <c r="AB19" s="1408">
        <v>1.1479999999999999</v>
      </c>
      <c r="AC19" s="1408">
        <v>1.2629999999999999</v>
      </c>
      <c r="AD19" s="1408">
        <v>0.252</v>
      </c>
      <c r="AE19" s="1408">
        <v>6.7459999999999996</v>
      </c>
      <c r="AF19" s="1408"/>
      <c r="AG19" s="1408">
        <v>37.773000000000003</v>
      </c>
      <c r="AH19" s="1408">
        <v>5.2150000000000007</v>
      </c>
      <c r="AI19" s="1408">
        <v>0.43099999999999999</v>
      </c>
      <c r="AJ19" s="1408">
        <v>-0.10799999999999699</v>
      </c>
      <c r="AK19" s="1408"/>
      <c r="AL19" s="1408">
        <v>1</v>
      </c>
      <c r="AM19" s="1408">
        <v>7.6999999999999993</v>
      </c>
      <c r="AN19" s="1408">
        <v>2.1</v>
      </c>
      <c r="AO19" s="1408">
        <v>11.4</v>
      </c>
      <c r="AP19" s="421"/>
      <c r="AQ19" s="1408">
        <v>10.1</v>
      </c>
      <c r="AR19" s="1408">
        <v>11.299999999999999</v>
      </c>
      <c r="AS19" s="1408">
        <v>13.217000000000001</v>
      </c>
      <c r="AT19" s="1408">
        <v>20.716999999999999</v>
      </c>
      <c r="AU19" s="421"/>
      <c r="AV19" s="1408">
        <v>4.952</v>
      </c>
      <c r="AW19" s="1408">
        <v>2.7089999999999996</v>
      </c>
      <c r="AX19" s="1408">
        <v>71.525000000000006</v>
      </c>
      <c r="AY19" s="1408">
        <v>3.093</v>
      </c>
      <c r="AZ19" s="421"/>
      <c r="BA19" s="1408">
        <v>3.0830000000000002</v>
      </c>
      <c r="BB19" s="1408">
        <v>0.51100000000000001</v>
      </c>
      <c r="BC19" s="1408">
        <v>3</v>
      </c>
      <c r="BD19" s="1409">
        <v>3</v>
      </c>
      <c r="BE19" s="1410"/>
      <c r="BF19" s="1410"/>
      <c r="BG19" s="1410"/>
      <c r="BH19" s="1410"/>
      <c r="BI19" s="1410"/>
      <c r="BJ19" s="1410"/>
      <c r="BK19" s="1408"/>
      <c r="BL19" s="1411">
        <v>78.842999999999989</v>
      </c>
      <c r="BM19" s="1408">
        <v>9.4089999999999989</v>
      </c>
      <c r="BN19" s="1408">
        <v>43.311000000000007</v>
      </c>
      <c r="BO19" s="1412">
        <v>22.2</v>
      </c>
      <c r="BP19" s="1408">
        <v>54.889000000000003</v>
      </c>
      <c r="BQ19" s="1408">
        <v>82.279000000000011</v>
      </c>
      <c r="BR19" s="1408">
        <v>9.5940000000000012</v>
      </c>
      <c r="BS19" s="1408">
        <v>0</v>
      </c>
      <c r="BT19" s="1408">
        <v>0</v>
      </c>
      <c r="BU19" s="1413">
        <v>0</v>
      </c>
      <c r="BV19" s="1408"/>
    </row>
    <row r="20" spans="1:81" collapsed="1">
      <c r="A20" s="1235" t="s">
        <v>854</v>
      </c>
      <c r="B20" s="421"/>
      <c r="C20" s="1408"/>
      <c r="D20" s="1408"/>
      <c r="E20" s="1408"/>
      <c r="F20" s="1408"/>
      <c r="G20" s="1408"/>
      <c r="H20" s="1408"/>
      <c r="I20" s="1408"/>
      <c r="J20" s="1408"/>
      <c r="K20" s="1408"/>
      <c r="L20" s="1408"/>
      <c r="M20" s="1408"/>
      <c r="N20" s="1408"/>
      <c r="O20" s="1408"/>
      <c r="P20" s="1408"/>
      <c r="Q20" s="1408"/>
      <c r="R20" s="1408"/>
      <c r="S20" s="1408"/>
      <c r="T20" s="1408"/>
      <c r="U20" s="1408"/>
      <c r="V20" s="1408"/>
      <c r="W20" s="1408"/>
      <c r="X20" s="1408"/>
      <c r="Y20" s="1408"/>
      <c r="Z20" s="1408"/>
      <c r="AA20" s="1408"/>
      <c r="AB20" s="1408"/>
      <c r="AC20" s="1408"/>
      <c r="AD20" s="1408"/>
      <c r="AE20" s="1408"/>
      <c r="AF20" s="1408"/>
      <c r="AG20" s="1408"/>
      <c r="AH20" s="1408"/>
      <c r="AI20" s="1408"/>
      <c r="AJ20" s="1408"/>
      <c r="AK20" s="1408"/>
      <c r="AL20" s="1408"/>
      <c r="AM20" s="1408"/>
      <c r="AN20" s="1408"/>
      <c r="AO20" s="1408"/>
      <c r="AP20" s="421"/>
      <c r="AQ20" s="1408"/>
      <c r="AR20" s="1408"/>
      <c r="AS20" s="1408"/>
      <c r="AT20" s="1408"/>
      <c r="AU20" s="421"/>
      <c r="AV20" s="1408">
        <v>-9.4849999999999994</v>
      </c>
      <c r="AW20" s="1408">
        <v>-9.5129999999999999</v>
      </c>
      <c r="AX20" s="1408">
        <v>-10.521000000000001</v>
      </c>
      <c r="AY20" s="1408">
        <v>-16.364000000000001</v>
      </c>
      <c r="AZ20" s="421"/>
      <c r="BA20" s="1408">
        <v>-8.9320000000000004</v>
      </c>
      <c r="BB20" s="1408">
        <v>-8.7439999999999998</v>
      </c>
      <c r="BC20" s="1408">
        <v>-10.5</v>
      </c>
      <c r="BD20" s="1409">
        <v>-13</v>
      </c>
      <c r="BE20" s="1410"/>
      <c r="BF20" s="1410"/>
      <c r="BG20" s="1410"/>
      <c r="BH20" s="1410"/>
      <c r="BI20" s="1410"/>
      <c r="BJ20" s="1410"/>
      <c r="BK20" s="1408"/>
      <c r="BL20" s="1412">
        <v>-42.832999999999998</v>
      </c>
      <c r="BM20" s="1412">
        <v>-43.338999999999999</v>
      </c>
      <c r="BN20" s="1412">
        <v>-42.24</v>
      </c>
      <c r="BO20" s="1412">
        <v>-41.6</v>
      </c>
      <c r="BP20" s="1408">
        <v>-43.423000000000002</v>
      </c>
      <c r="BQ20" s="1408">
        <v>-45.882999999999996</v>
      </c>
      <c r="BR20" s="1408">
        <v>-41.176000000000002</v>
      </c>
      <c r="BS20" s="1408">
        <v>-43.415172200513261</v>
      </c>
      <c r="BT20" s="1408">
        <v>-46.108789058398052</v>
      </c>
      <c r="BU20" s="1413">
        <v>-48.921575767386926</v>
      </c>
      <c r="BV20" s="1408"/>
    </row>
    <row r="21" spans="1:81">
      <c r="A21" s="1235" t="s">
        <v>190</v>
      </c>
      <c r="B21" s="421"/>
      <c r="C21" s="1408"/>
      <c r="D21" s="1408"/>
      <c r="E21" s="1408"/>
      <c r="F21" s="1408"/>
      <c r="G21" s="1408"/>
      <c r="H21" s="1408"/>
      <c r="I21" s="1408"/>
      <c r="J21" s="1408"/>
      <c r="K21" s="1408"/>
      <c r="L21" s="1408"/>
      <c r="M21" s="1408"/>
      <c r="N21" s="1408"/>
      <c r="O21" s="1408"/>
      <c r="P21" s="1408"/>
      <c r="Q21" s="1408"/>
      <c r="R21" s="1408"/>
      <c r="S21" s="1408"/>
      <c r="T21" s="1408"/>
      <c r="U21" s="1408"/>
      <c r="V21" s="1408"/>
      <c r="W21" s="1408">
        <v>39.679000000000002</v>
      </c>
      <c r="X21" s="1408">
        <v>37.665999999999997</v>
      </c>
      <c r="Y21" s="1408">
        <v>36.21</v>
      </c>
      <c r="Z21" s="1408">
        <v>42.832999999999998</v>
      </c>
      <c r="AA21" s="1408"/>
      <c r="AB21" s="1408">
        <v>36.728999999999999</v>
      </c>
      <c r="AC21" s="1408">
        <v>35.506</v>
      </c>
      <c r="AD21" s="1408">
        <v>36.96</v>
      </c>
      <c r="AE21" s="1408">
        <v>37.563999999999993</v>
      </c>
      <c r="AF21" s="1408"/>
      <c r="AG21" s="1408">
        <v>36.619999999999997</v>
      </c>
      <c r="AH21" s="1408">
        <v>37.366999999999997</v>
      </c>
      <c r="AI21" s="1408">
        <v>39.188000000000002</v>
      </c>
      <c r="AJ21" s="1408">
        <v>39.894999999999996</v>
      </c>
      <c r="AK21" s="1408"/>
      <c r="AL21" s="1408">
        <v>39.937748829999997</v>
      </c>
      <c r="AM21" s="1408">
        <v>39.953803649999998</v>
      </c>
      <c r="AN21" s="1408">
        <v>40.865600929999999</v>
      </c>
      <c r="AO21" s="1408">
        <v>46.028846590000001</v>
      </c>
      <c r="AP21" s="421"/>
      <c r="AQ21" s="1408">
        <v>43.94290831</v>
      </c>
      <c r="AR21" s="1408">
        <v>40.700461669999996</v>
      </c>
      <c r="AS21" s="1408">
        <v>41.070999999999998</v>
      </c>
      <c r="AT21" s="1408">
        <v>41.884</v>
      </c>
      <c r="AU21" s="421"/>
      <c r="AV21" s="1408">
        <v>41.2</v>
      </c>
      <c r="AW21" s="1408">
        <v>40.548999999999999</v>
      </c>
      <c r="AX21" s="1408">
        <v>42.584000000000003</v>
      </c>
      <c r="AY21" s="1408">
        <v>43.238999999999997</v>
      </c>
      <c r="AZ21" s="421"/>
      <c r="BA21" s="1408">
        <v>42.155000000000001</v>
      </c>
      <c r="BB21" s="1408">
        <v>41.746000000000002</v>
      </c>
      <c r="BC21" s="1408">
        <v>38</v>
      </c>
      <c r="BD21" s="1409">
        <v>37</v>
      </c>
      <c r="BE21" s="1410">
        <v>83.915000000000006</v>
      </c>
      <c r="BF21" s="1410">
        <v>89.093000000000004</v>
      </c>
      <c r="BG21" s="1410">
        <v>107.15299999999999</v>
      </c>
      <c r="BH21" s="1410">
        <v>174.08699999999999</v>
      </c>
      <c r="BI21" s="1410">
        <v>166.666</v>
      </c>
      <c r="BJ21" s="1410">
        <v>159.607</v>
      </c>
      <c r="BK21" s="1408"/>
      <c r="BL21" s="1411">
        <v>156.38800000000001</v>
      </c>
      <c r="BM21" s="1408">
        <v>146.75899999999999</v>
      </c>
      <c r="BN21" s="1408">
        <v>153.07</v>
      </c>
      <c r="BO21" s="1412">
        <v>166.786</v>
      </c>
      <c r="BP21" s="1408">
        <v>168.19499999999999</v>
      </c>
      <c r="BQ21" s="1408">
        <v>167.58</v>
      </c>
      <c r="BR21" s="1408">
        <v>158.90100000000001</v>
      </c>
      <c r="BS21" s="1408">
        <v>161.22995831184386</v>
      </c>
      <c r="BT21" s="1408">
        <v>170.65469277647668</v>
      </c>
      <c r="BU21" s="1413">
        <v>174.31360311958079</v>
      </c>
      <c r="BV21" s="1408"/>
    </row>
    <row r="22" spans="1:81">
      <c r="A22" s="1414" t="s">
        <v>855</v>
      </c>
      <c r="B22" s="421"/>
      <c r="C22" s="1402"/>
      <c r="D22" s="1402"/>
      <c r="E22" s="1402"/>
      <c r="F22" s="1402"/>
      <c r="G22" s="1402"/>
      <c r="H22" s="1402"/>
      <c r="I22" s="1402"/>
      <c r="J22" s="1402"/>
      <c r="K22" s="1402"/>
      <c r="L22" s="1402"/>
      <c r="M22" s="1402"/>
      <c r="N22" s="1402"/>
      <c r="O22" s="1402"/>
      <c r="P22" s="1402"/>
      <c r="Q22" s="1402"/>
      <c r="R22" s="1402"/>
      <c r="S22" s="1402"/>
      <c r="T22" s="1402"/>
      <c r="U22" s="1402"/>
      <c r="V22" s="1402"/>
      <c r="W22" s="1402">
        <v>-45.63300000000001</v>
      </c>
      <c r="X22" s="1402">
        <v>-11.610000000000065</v>
      </c>
      <c r="Y22" s="1402">
        <v>34.04899999999985</v>
      </c>
      <c r="Z22" s="1402">
        <v>62.685000000000095</v>
      </c>
      <c r="AA22" s="1402"/>
      <c r="AB22" s="1402">
        <v>36.166000000000018</v>
      </c>
      <c r="AC22" s="1402">
        <v>-38.912999999999975</v>
      </c>
      <c r="AD22" s="1402">
        <v>19.49499999999988</v>
      </c>
      <c r="AE22" s="1402">
        <v>135.68899999999974</v>
      </c>
      <c r="AF22" s="1402"/>
      <c r="AG22" s="1402">
        <v>-1.3839999999999577</v>
      </c>
      <c r="AH22" s="1402">
        <v>-23.585000000000047</v>
      </c>
      <c r="AI22" s="1402">
        <v>11.139999999999977</v>
      </c>
      <c r="AJ22" s="1402">
        <v>132.5300000000002</v>
      </c>
      <c r="AK22" s="1402"/>
      <c r="AL22" s="1402">
        <v>23.788830730000051</v>
      </c>
      <c r="AM22" s="1402">
        <v>-19.695054249999998</v>
      </c>
      <c r="AN22" s="1402">
        <v>5.7394311199999297</v>
      </c>
      <c r="AO22" s="1402">
        <v>132.66803775699478</v>
      </c>
      <c r="AP22" s="421"/>
      <c r="AQ22" s="1402">
        <v>25.590250510000857</v>
      </c>
      <c r="AR22" s="1402">
        <v>-8.0922257621528946</v>
      </c>
      <c r="AS22" s="1402">
        <v>8.1839999999999957</v>
      </c>
      <c r="AT22" s="1402">
        <v>132.16700000000009</v>
      </c>
      <c r="AU22" s="421"/>
      <c r="AV22" s="1402">
        <v>46.119999999999976</v>
      </c>
      <c r="AW22" s="1402">
        <v>14.782999999999852</v>
      </c>
      <c r="AX22" s="1402">
        <v>-41.591000000000108</v>
      </c>
      <c r="AY22" s="1402">
        <v>178.76500000000007</v>
      </c>
      <c r="AZ22" s="421"/>
      <c r="BA22" s="1402">
        <v>56.144000000000048</v>
      </c>
      <c r="BB22" s="1402">
        <v>33.184000000000118</v>
      </c>
      <c r="BC22" s="1402">
        <v>37.755605206961491</v>
      </c>
      <c r="BD22" s="1415">
        <v>197.64207992161909</v>
      </c>
      <c r="BE22" s="1404">
        <f t="shared" ref="BE22:BJ22" si="2">BE12-BE13-BE21</f>
        <v>110.508</v>
      </c>
      <c r="BF22" s="1404">
        <f t="shared" si="2"/>
        <v>165.82900000000001</v>
      </c>
      <c r="BG22" s="1404">
        <f t="shared" si="2"/>
        <v>128.21600000000015</v>
      </c>
      <c r="BH22" s="1404">
        <f t="shared" si="2"/>
        <v>79.930000000000064</v>
      </c>
      <c r="BI22" s="1404">
        <f t="shared" si="2"/>
        <v>71.113999999999976</v>
      </c>
      <c r="BJ22" s="1404">
        <f t="shared" si="2"/>
        <v>96.746000000000066</v>
      </c>
      <c r="BK22" s="1402"/>
      <c r="BL22" s="1405">
        <f t="shared" ref="BL22:BU22" si="3">BL12-BL13-BL20-BL21-BL19</f>
        <v>34.848999999999819</v>
      </c>
      <c r="BM22" s="1402">
        <f t="shared" si="3"/>
        <v>152.94299999999973</v>
      </c>
      <c r="BN22" s="1402">
        <f t="shared" si="3"/>
        <v>117.60200000000017</v>
      </c>
      <c r="BO22" s="1406">
        <f t="shared" si="3"/>
        <v>142.50124535699479</v>
      </c>
      <c r="BP22" s="1402">
        <f t="shared" si="3"/>
        <v>160.09699999999981</v>
      </c>
      <c r="BQ22" s="1402">
        <f t="shared" si="3"/>
        <v>198.06899999999962</v>
      </c>
      <c r="BR22" s="1402">
        <f t="shared" si="3"/>
        <v>324.72568512858146</v>
      </c>
      <c r="BS22" s="1402">
        <f t="shared" si="3"/>
        <v>357.15995594247994</v>
      </c>
      <c r="BT22" s="1402">
        <f t="shared" si="3"/>
        <v>386.78183507896432</v>
      </c>
      <c r="BU22" s="1407">
        <f t="shared" si="3"/>
        <v>415.96219078678575</v>
      </c>
      <c r="BV22" s="1402"/>
    </row>
    <row r="23" spans="1:81">
      <c r="A23" s="434" t="s">
        <v>311</v>
      </c>
      <c r="B23" s="421"/>
      <c r="C23" s="1408"/>
      <c r="D23" s="1408"/>
      <c r="E23" s="1408"/>
      <c r="F23" s="1408"/>
      <c r="G23" s="1408"/>
      <c r="H23" s="1408"/>
      <c r="I23" s="1408"/>
      <c r="J23" s="1408"/>
      <c r="K23" s="1408"/>
      <c r="L23" s="1408"/>
      <c r="M23" s="1408"/>
      <c r="N23" s="1408"/>
      <c r="O23" s="1408"/>
      <c r="P23" s="1408"/>
      <c r="Q23" s="1408"/>
      <c r="R23" s="1408"/>
      <c r="S23" s="1408"/>
      <c r="T23" s="1408"/>
      <c r="U23" s="1408"/>
      <c r="V23" s="1408"/>
      <c r="W23" s="1408">
        <v>20.917999999999999</v>
      </c>
      <c r="X23" s="1408">
        <v>16.765999999999998</v>
      </c>
      <c r="Y23" s="1408">
        <v>20.587</v>
      </c>
      <c r="Z23" s="1408">
        <v>26.152000000000001</v>
      </c>
      <c r="AA23" s="1408"/>
      <c r="AB23" s="1408">
        <v>27.364999999999998</v>
      </c>
      <c r="AC23" s="1408">
        <v>26.056999999999999</v>
      </c>
      <c r="AD23" s="1408">
        <v>24.928000000000001</v>
      </c>
      <c r="AE23" s="1408">
        <v>20.959000000000003</v>
      </c>
      <c r="AF23" s="1408"/>
      <c r="AG23" s="1408">
        <v>30.853999999999999</v>
      </c>
      <c r="AH23" s="1408">
        <v>32.31</v>
      </c>
      <c r="AI23" s="1408">
        <v>34.811999999999998</v>
      </c>
      <c r="AJ23" s="1408">
        <v>31.14500000000001</v>
      </c>
      <c r="AK23" s="1408"/>
      <c r="AL23" s="1408">
        <v>29.457967570000005</v>
      </c>
      <c r="AM23" s="1408">
        <v>27.634452080000003</v>
      </c>
      <c r="AN23" s="1408">
        <v>27.3366984</v>
      </c>
      <c r="AO23" s="1408">
        <v>27.257206503999996</v>
      </c>
      <c r="AP23" s="421"/>
      <c r="AQ23" s="1408">
        <v>34.228103110000006</v>
      </c>
      <c r="AR23" s="1408">
        <v>33.046364505555552</v>
      </c>
      <c r="AS23" s="1408">
        <v>32.719000000000001</v>
      </c>
      <c r="AT23" s="1408">
        <v>27.39</v>
      </c>
      <c r="AU23" s="421"/>
      <c r="AV23" s="1408">
        <v>26.552</v>
      </c>
      <c r="AW23" s="1408">
        <v>25.545999999999999</v>
      </c>
      <c r="AX23" s="1408">
        <v>16.623999999999999</v>
      </c>
      <c r="AY23" s="1408">
        <v>15.023</v>
      </c>
      <c r="AZ23" s="421"/>
      <c r="BA23" s="1408">
        <v>14.803000000000001</v>
      </c>
      <c r="BB23" s="1416">
        <v>14.598000000000001</v>
      </c>
      <c r="BC23" s="1408">
        <v>15</v>
      </c>
      <c r="BD23" s="1409">
        <v>17</v>
      </c>
      <c r="BE23" s="1410">
        <v>5.8630000000000004</v>
      </c>
      <c r="BF23" s="1410">
        <v>7.3339999999999996</v>
      </c>
      <c r="BG23" s="1410">
        <v>22.702000000000002</v>
      </c>
      <c r="BH23" s="1410">
        <v>134.31299999999999</v>
      </c>
      <c r="BI23" s="1410">
        <v>132.99299999999999</v>
      </c>
      <c r="BJ23" s="1410">
        <v>102.71599999999999</v>
      </c>
      <c r="BK23" s="1408"/>
      <c r="BL23" s="1411">
        <v>84.423000000000002</v>
      </c>
      <c r="BM23" s="1408">
        <v>99.308999999999997</v>
      </c>
      <c r="BN23" s="1408">
        <v>129.12100000000001</v>
      </c>
      <c r="BO23" s="1412">
        <v>111.68632455400001</v>
      </c>
      <c r="BP23" s="1408">
        <v>127.739</v>
      </c>
      <c r="BQ23" s="1408">
        <v>83.74499999999999</v>
      </c>
      <c r="BR23" s="1408">
        <v>61.401000000000003</v>
      </c>
      <c r="BS23" s="1408">
        <v>48.874647500000009</v>
      </c>
      <c r="BT23" s="1408">
        <v>41.318397499999996</v>
      </c>
      <c r="BU23" s="1413">
        <v>32.734022500000002</v>
      </c>
      <c r="BV23" s="1408"/>
    </row>
    <row r="24" spans="1:81">
      <c r="A24" s="1235" t="s">
        <v>192</v>
      </c>
      <c r="B24" s="421"/>
      <c r="C24" s="1402"/>
      <c r="D24" s="1402"/>
      <c r="E24" s="1402"/>
      <c r="F24" s="1402"/>
      <c r="G24" s="1402"/>
      <c r="H24" s="1402"/>
      <c r="I24" s="1402"/>
      <c r="J24" s="1402"/>
      <c r="K24" s="1402"/>
      <c r="L24" s="1402"/>
      <c r="M24" s="1402"/>
      <c r="N24" s="1402"/>
      <c r="O24" s="1402"/>
      <c r="P24" s="1402"/>
      <c r="Q24" s="1402"/>
      <c r="R24" s="1402"/>
      <c r="S24" s="1402"/>
      <c r="T24" s="1402"/>
      <c r="U24" s="1402"/>
      <c r="V24" s="1402"/>
      <c r="W24" s="1402">
        <f>W22-W23</f>
        <v>-66.551000000000016</v>
      </c>
      <c r="X24" s="1402">
        <f>X22-X23</f>
        <v>-28.376000000000062</v>
      </c>
      <c r="Y24" s="1402">
        <f>Y22-Y23</f>
        <v>13.461999999999851</v>
      </c>
      <c r="Z24" s="1402">
        <f>Z22-Z23</f>
        <v>36.533000000000094</v>
      </c>
      <c r="AA24" s="1402"/>
      <c r="AB24" s="1402">
        <f>AB22-AB23</f>
        <v>8.8010000000000197</v>
      </c>
      <c r="AC24" s="1402">
        <f>AC22-AC23</f>
        <v>-64.96999999999997</v>
      </c>
      <c r="AD24" s="1402">
        <f>AD22-AD23</f>
        <v>-5.4330000000001206</v>
      </c>
      <c r="AE24" s="1402">
        <f>AE22-AE23</f>
        <v>114.72999999999973</v>
      </c>
      <c r="AF24" s="1402"/>
      <c r="AG24" s="1402">
        <f>AG22-AG23</f>
        <v>-32.237999999999957</v>
      </c>
      <c r="AH24" s="1402">
        <f>AH22-AH23</f>
        <v>-55.895000000000053</v>
      </c>
      <c r="AI24" s="1402">
        <f>AI22-AI23</f>
        <v>-23.672000000000018</v>
      </c>
      <c r="AJ24" s="1402">
        <f>AJ22-AJ23</f>
        <v>101.38500000000019</v>
      </c>
      <c r="AK24" s="1402"/>
      <c r="AL24" s="1402">
        <f>AL22-AL23</f>
        <v>-5.669136839999954</v>
      </c>
      <c r="AM24" s="1402">
        <f>AM22-AM23</f>
        <v>-47.329506330000001</v>
      </c>
      <c r="AN24" s="1402">
        <f>AN22-AN23</f>
        <v>-21.597267280000068</v>
      </c>
      <c r="AO24" s="1402">
        <f>AO22-AO23</f>
        <v>105.41083125299478</v>
      </c>
      <c r="AP24" s="421"/>
      <c r="AQ24" s="1402">
        <f>AQ22-AQ23</f>
        <v>-8.6378525999991496</v>
      </c>
      <c r="AR24" s="1402">
        <f>AR22-AR23</f>
        <v>-41.138590267708445</v>
      </c>
      <c r="AS24" s="1402">
        <f>AS22-AS23</f>
        <v>-24.535000000000004</v>
      </c>
      <c r="AT24" s="1402">
        <f>AT22-AT23</f>
        <v>104.77700000000009</v>
      </c>
      <c r="AU24" s="421"/>
      <c r="AV24" s="1402">
        <f>AV22-AV23</f>
        <v>19.567999999999977</v>
      </c>
      <c r="AW24" s="1402">
        <f>AW22-AW23</f>
        <v>-10.763000000000147</v>
      </c>
      <c r="AX24" s="1402">
        <f>AX22-AX23</f>
        <v>-58.215000000000103</v>
      </c>
      <c r="AY24" s="1402">
        <f>AY22-AY23</f>
        <v>163.74200000000008</v>
      </c>
      <c r="AZ24" s="421"/>
      <c r="BA24" s="1402">
        <f>BA22-BA23</f>
        <v>41.341000000000051</v>
      </c>
      <c r="BB24" s="1402">
        <f>BB22-BB23</f>
        <v>18.586000000000119</v>
      </c>
      <c r="BC24" s="1402">
        <f>BC22-BC23</f>
        <v>22.755605206961491</v>
      </c>
      <c r="BD24" s="1403">
        <f>BD22-BD23</f>
        <v>180.64207992161909</v>
      </c>
      <c r="BE24" s="1404" t="e">
        <f>BE22-BE23-#REF!</f>
        <v>#REF!</v>
      </c>
      <c r="BF24" s="1404" t="e">
        <f>BF22-BF23-#REF!</f>
        <v>#REF!</v>
      </c>
      <c r="BG24" s="1404" t="e">
        <f>BG22-BG23-#REF!</f>
        <v>#REF!</v>
      </c>
      <c r="BH24" s="1404" t="e">
        <f>BH22-BH23-#REF!</f>
        <v>#REF!</v>
      </c>
      <c r="BI24" s="1404" t="e">
        <f>BI22-BI23-#REF!</f>
        <v>#REF!</v>
      </c>
      <c r="BJ24" s="1404" t="e">
        <f>BJ22-BJ23-#REF!</f>
        <v>#REF!</v>
      </c>
      <c r="BK24" s="1402"/>
      <c r="BL24" s="1406">
        <f t="shared" ref="BL24:BU24" si="4">BL22-BL23</f>
        <v>-49.574000000000183</v>
      </c>
      <c r="BM24" s="1402">
        <f t="shared" si="4"/>
        <v>53.63399999999973</v>
      </c>
      <c r="BN24" s="1402">
        <f t="shared" si="4"/>
        <v>-11.518999999999835</v>
      </c>
      <c r="BO24" s="1406">
        <f t="shared" si="4"/>
        <v>30.814920802994777</v>
      </c>
      <c r="BP24" s="1402">
        <f t="shared" si="4"/>
        <v>32.357999999999805</v>
      </c>
      <c r="BQ24" s="1402">
        <f t="shared" si="4"/>
        <v>114.32399999999963</v>
      </c>
      <c r="BR24" s="1402">
        <f t="shared" si="4"/>
        <v>263.32468512858145</v>
      </c>
      <c r="BS24" s="1402">
        <f t="shared" si="4"/>
        <v>308.28530844247996</v>
      </c>
      <c r="BT24" s="1402">
        <f t="shared" si="4"/>
        <v>345.46343757896432</v>
      </c>
      <c r="BU24" s="1407">
        <f t="shared" si="4"/>
        <v>383.22816828678577</v>
      </c>
      <c r="BV24" s="1402"/>
    </row>
    <row r="25" spans="1:81">
      <c r="A25" s="434" t="s">
        <v>193</v>
      </c>
      <c r="B25" s="421"/>
      <c r="C25" s="1408"/>
      <c r="D25" s="1408"/>
      <c r="E25" s="1408"/>
      <c r="F25" s="1408"/>
      <c r="G25" s="1408"/>
      <c r="H25" s="1408"/>
      <c r="I25" s="1408"/>
      <c r="J25" s="1408"/>
      <c r="K25" s="1408"/>
      <c r="L25" s="1408"/>
      <c r="M25" s="1408"/>
      <c r="N25" s="1408"/>
      <c r="O25" s="1408"/>
      <c r="P25" s="1408"/>
      <c r="Q25" s="1408"/>
      <c r="R25" s="1408"/>
      <c r="S25" s="1408"/>
      <c r="T25" s="1408"/>
      <c r="U25" s="1408"/>
      <c r="V25" s="1408"/>
      <c r="W25" s="1237">
        <v>-35.476999999999997</v>
      </c>
      <c r="X25" s="1237">
        <v>-15.856</v>
      </c>
      <c r="Y25" s="1237">
        <v>5.9509999999999996</v>
      </c>
      <c r="Z25" s="1237">
        <v>15.628999999999998</v>
      </c>
      <c r="AA25" s="1408"/>
      <c r="AB25" s="1237">
        <v>3.5880000000000001</v>
      </c>
      <c r="AC25" s="1237">
        <v>-24.491</v>
      </c>
      <c r="AD25" s="1237">
        <v>-2.6379999999999999</v>
      </c>
      <c r="AE25" s="1237">
        <v>45.670999999999992</v>
      </c>
      <c r="AF25" s="1408"/>
      <c r="AG25" s="1237">
        <v>-11.180999999999999</v>
      </c>
      <c r="AH25" s="1237">
        <v>-23.132000000000001</v>
      </c>
      <c r="AI25" s="1237">
        <v>-13.395</v>
      </c>
      <c r="AJ25" s="1237">
        <v>43.56</v>
      </c>
      <c r="AK25" s="1408"/>
      <c r="AL25" s="1237">
        <v>-1.7172039999999993</v>
      </c>
      <c r="AM25" s="1237">
        <v>-16.04417188</v>
      </c>
      <c r="AN25" s="1237">
        <v>-14.20327412</v>
      </c>
      <c r="AO25" s="1237">
        <v>37.499505870995534</v>
      </c>
      <c r="AP25" s="421"/>
      <c r="AQ25" s="1237">
        <v>-3.0838910000000004</v>
      </c>
      <c r="AR25" s="1237">
        <v>-14.176720155696387</v>
      </c>
      <c r="AS25" s="1237">
        <v>-7.6779999999999999</v>
      </c>
      <c r="AT25" s="1237">
        <v>41.192999999999998</v>
      </c>
      <c r="AU25" s="421"/>
      <c r="AV25" s="1237">
        <v>7.7859999999999996</v>
      </c>
      <c r="AW25" s="1237">
        <v>-4.2930000000000001</v>
      </c>
      <c r="AX25" s="1237">
        <v>-24.009</v>
      </c>
      <c r="AY25" s="1237">
        <v>59.597000000000001</v>
      </c>
      <c r="AZ25" s="421"/>
      <c r="BA25" s="1237">
        <v>15.646000000000001</v>
      </c>
      <c r="BB25" s="1237">
        <v>7.6859999999999999</v>
      </c>
      <c r="BC25" s="1237">
        <v>8.8746860307149813</v>
      </c>
      <c r="BD25" s="1227">
        <v>70.811695329274684</v>
      </c>
      <c r="BE25" s="1410">
        <v>42.640999999999998</v>
      </c>
      <c r="BF25" s="1410">
        <v>66.506049999999988</v>
      </c>
      <c r="BG25" s="1410">
        <v>46.789000000000001</v>
      </c>
      <c r="BH25" s="1410">
        <v>-16.389230000000001</v>
      </c>
      <c r="BI25" s="1410">
        <v>-16.464399999999998</v>
      </c>
      <c r="BJ25" s="1410">
        <v>-28.739000000000019</v>
      </c>
      <c r="BK25" s="1408"/>
      <c r="BL25" s="1411">
        <v>-29.753</v>
      </c>
      <c r="BM25" s="1408">
        <v>22.13</v>
      </c>
      <c r="BN25" s="1408">
        <v>-4.1479999999999997</v>
      </c>
      <c r="BO25" s="1412">
        <v>5.4798558709955358</v>
      </c>
      <c r="BP25" s="1408">
        <v>16.207999999999998</v>
      </c>
      <c r="BQ25" s="1408">
        <v>39.081000000000003</v>
      </c>
      <c r="BR25" s="1408">
        <v>103.01838135998966</v>
      </c>
      <c r="BS25" s="1408">
        <v>120.60796144995481</v>
      </c>
      <c r="BT25" s="1408">
        <v>135.07620409337505</v>
      </c>
      <c r="BU25" s="1413">
        <v>150.22544196842003</v>
      </c>
      <c r="BV25" s="1408"/>
    </row>
    <row r="26" spans="1:81">
      <c r="A26" s="434" t="s">
        <v>856</v>
      </c>
      <c r="B26" s="421"/>
      <c r="C26" s="453"/>
      <c r="D26" s="453"/>
      <c r="E26" s="453"/>
      <c r="F26" s="453"/>
      <c r="G26" s="453"/>
      <c r="H26" s="453"/>
      <c r="I26" s="453"/>
      <c r="J26" s="453"/>
      <c r="K26" s="453"/>
      <c r="L26" s="453"/>
      <c r="M26" s="453"/>
      <c r="N26" s="453"/>
      <c r="O26" s="453"/>
      <c r="P26" s="453"/>
      <c r="Q26" s="453"/>
      <c r="R26" s="453"/>
      <c r="S26" s="453"/>
      <c r="T26" s="453"/>
      <c r="U26" s="453"/>
      <c r="V26" s="453"/>
      <c r="W26" s="453">
        <f>W24-W25</f>
        <v>-31.074000000000019</v>
      </c>
      <c r="X26" s="453">
        <f>X24-X25</f>
        <v>-12.520000000000062</v>
      </c>
      <c r="Y26" s="453">
        <f>Y24-Y25</f>
        <v>7.5109999999998509</v>
      </c>
      <c r="Z26" s="453">
        <f>Z24-Z25</f>
        <v>20.904000000000096</v>
      </c>
      <c r="AA26" s="453"/>
      <c r="AB26" s="453">
        <f>AB24-AB25</f>
        <v>5.2130000000000196</v>
      </c>
      <c r="AC26" s="453">
        <f>AC24-AC25</f>
        <v>-40.478999999999971</v>
      </c>
      <c r="AD26" s="453">
        <f>AD24-AD25</f>
        <v>-2.7950000000001207</v>
      </c>
      <c r="AE26" s="453">
        <f>AE24-AE25</f>
        <v>69.058999999999742</v>
      </c>
      <c r="AF26" s="453"/>
      <c r="AG26" s="453">
        <f>AG24-AG25</f>
        <v>-21.05699999999996</v>
      </c>
      <c r="AH26" s="453">
        <f>AH24-AH25</f>
        <v>-32.763000000000048</v>
      </c>
      <c r="AI26" s="453">
        <f>AI24-AI25</f>
        <v>-10.277000000000019</v>
      </c>
      <c r="AJ26" s="453">
        <f>AJ24-AJ25</f>
        <v>57.825000000000188</v>
      </c>
      <c r="AK26" s="453"/>
      <c r="AL26" s="453">
        <f>AL24-AL25</f>
        <v>-3.9519328399999547</v>
      </c>
      <c r="AM26" s="453">
        <f>AM24-AM25</f>
        <v>-31.285334450000001</v>
      </c>
      <c r="AN26" s="453">
        <f>AN24-AN25</f>
        <v>-7.3939931600000683</v>
      </c>
      <c r="AO26" s="453">
        <f>AO24-AO25</f>
        <v>67.911325381999248</v>
      </c>
      <c r="AP26" s="421"/>
      <c r="AQ26" s="453">
        <f>AQ24-AQ25</f>
        <v>-5.5539615999991492</v>
      </c>
      <c r="AR26" s="453">
        <f>AR24-AR25</f>
        <v>-26.961870112012058</v>
      </c>
      <c r="AS26" s="453">
        <f>AS24-AS25</f>
        <v>-16.857000000000003</v>
      </c>
      <c r="AT26" s="453">
        <f>AT24-AT25</f>
        <v>63.584000000000088</v>
      </c>
      <c r="AU26" s="18"/>
      <c r="AV26" s="453">
        <f>AV24-AV25</f>
        <v>11.781999999999977</v>
      </c>
      <c r="AW26" s="453">
        <f>AW24-AW25</f>
        <v>-6.4700000000001472</v>
      </c>
      <c r="AX26" s="453">
        <f>AX24-AX25</f>
        <v>-34.206000000000103</v>
      </c>
      <c r="AY26" s="453">
        <f>AY24-AY25</f>
        <v>104.14500000000007</v>
      </c>
      <c r="AZ26" s="421"/>
      <c r="BA26" s="453">
        <f t="shared" ref="BA26:BJ26" si="5">BA24-BA25</f>
        <v>25.69500000000005</v>
      </c>
      <c r="BB26" s="1417">
        <f t="shared" si="5"/>
        <v>10.900000000000119</v>
      </c>
      <c r="BC26" s="453">
        <f t="shared" si="5"/>
        <v>13.880919176246509</v>
      </c>
      <c r="BD26" s="495">
        <f t="shared" si="5"/>
        <v>109.8303845923444</v>
      </c>
      <c r="BE26" s="454" t="e">
        <f t="shared" si="5"/>
        <v>#REF!</v>
      </c>
      <c r="BF26" s="454" t="e">
        <f t="shared" si="5"/>
        <v>#REF!</v>
      </c>
      <c r="BG26" s="454" t="e">
        <f t="shared" si="5"/>
        <v>#REF!</v>
      </c>
      <c r="BH26" s="454" t="e">
        <f t="shared" si="5"/>
        <v>#REF!</v>
      </c>
      <c r="BI26" s="454" t="e">
        <f t="shared" si="5"/>
        <v>#REF!</v>
      </c>
      <c r="BJ26" s="454" t="e">
        <f t="shared" si="5"/>
        <v>#REF!</v>
      </c>
      <c r="BK26" s="453"/>
      <c r="BL26" s="450">
        <f t="shared" ref="BL26:BU26" si="6">BL24-BL25</f>
        <v>-19.821000000000183</v>
      </c>
      <c r="BM26" s="453">
        <f t="shared" si="6"/>
        <v>31.503999999999731</v>
      </c>
      <c r="BN26" s="453">
        <f t="shared" si="6"/>
        <v>-7.3709999999998352</v>
      </c>
      <c r="BO26" s="494">
        <f t="shared" si="6"/>
        <v>25.335064931999241</v>
      </c>
      <c r="BP26" s="453">
        <f t="shared" si="6"/>
        <v>16.149999999999807</v>
      </c>
      <c r="BQ26" s="453">
        <f t="shared" si="6"/>
        <v>75.242999999999626</v>
      </c>
      <c r="BR26" s="453">
        <f t="shared" si="6"/>
        <v>160.30630376859179</v>
      </c>
      <c r="BS26" s="453">
        <f t="shared" si="6"/>
        <v>187.67734699252514</v>
      </c>
      <c r="BT26" s="453">
        <f t="shared" si="6"/>
        <v>210.38723348558926</v>
      </c>
      <c r="BU26" s="455">
        <f t="shared" si="6"/>
        <v>233.00272631836575</v>
      </c>
      <c r="BV26" s="453"/>
    </row>
    <row r="27" spans="1:81" s="421" customFormat="1">
      <c r="A27" s="1239" t="s">
        <v>365</v>
      </c>
      <c r="B27" s="477"/>
      <c r="C27" s="1418"/>
      <c r="D27" s="1418"/>
      <c r="E27" s="1418"/>
      <c r="F27" s="1418"/>
      <c r="G27" s="477"/>
      <c r="H27" s="1419"/>
      <c r="I27" s="1419"/>
      <c r="J27" s="1419"/>
      <c r="K27" s="1419"/>
      <c r="L27" s="1419"/>
      <c r="M27" s="1419"/>
      <c r="N27" s="1419"/>
      <c r="O27" s="1419"/>
      <c r="P27" s="1419"/>
      <c r="Q27" s="1419"/>
      <c r="R27" s="1419"/>
      <c r="S27" s="1419"/>
      <c r="T27" s="1419"/>
      <c r="U27" s="1419"/>
      <c r="V27" s="1419"/>
      <c r="W27" s="1419">
        <f>IF(ISERROR(W26/W37),"NA",W26/W37)</f>
        <v>-0.43455262538715084</v>
      </c>
      <c r="X27" s="1419">
        <f>IF(ISERROR(X26/X37),"NA",X26/X37)</f>
        <v>-0.17508524392891653</v>
      </c>
      <c r="Y27" s="1419">
        <f>IF(ISERROR(Y26/Y37),"NA",Y26/Y37)</f>
        <v>0.10503716191294404</v>
      </c>
      <c r="Z27" s="1419">
        <f>IF(ISERROR(Z26/Z37),"NA",Z26/Z37)</f>
        <v>0.29233082580591613</v>
      </c>
      <c r="AA27" s="1419"/>
      <c r="AB27" s="1419">
        <f>IF(ISERROR(AB26/AB37),"NA",AB26/AB37)</f>
        <v>7.2900908674236486E-2</v>
      </c>
      <c r="AC27" s="1419">
        <f>IF(ISERROR(AC26/AC37),"NA",AC26/AC37)</f>
        <v>-0.56607632499988592</v>
      </c>
      <c r="AD27" s="1419">
        <f>IF(ISERROR(AD26/AD37),"NA",AD26/AD37)</f>
        <v>-3.9086522107135813E-2</v>
      </c>
      <c r="AE27" s="1419">
        <f>IF(ISERROR(AE26/AE37),"NA",AE26/AE37)</f>
        <v>0.96575174604528291</v>
      </c>
      <c r="AF27" s="1419"/>
      <c r="AG27" s="1419">
        <f>IF(ISERROR(AG26/AG37),"NA",AG26/AG37)</f>
        <v>-0.29447044579961423</v>
      </c>
      <c r="AH27" s="1419">
        <f>IF(ISERROR(AH26/AH37),"NA",AH26/AH37)</f>
        <v>-0.45817235198427092</v>
      </c>
      <c r="AI27" s="1419">
        <f>IF(ISERROR(AI26/AI37),"NA",AI26/AI37)</f>
        <v>-0.14371813513238574</v>
      </c>
      <c r="AJ27" s="1419">
        <f>IF(ISERROR(AJ26/AJ37),"NA",AJ26/AJ37)</f>
        <v>0.80865049761897612</v>
      </c>
      <c r="AK27" s="1419"/>
      <c r="AL27" s="1419">
        <f>IF(ISERROR(AL26/AL37),"NA",AL26/AL37)</f>
        <v>-5.595021365713778E-2</v>
      </c>
      <c r="AM27" s="1419">
        <f>IF(ISERROR(AM26/AM37),"NA",AM26/AM37)</f>
        <v>-0.43981448068601048</v>
      </c>
      <c r="AN27" s="1419">
        <f>IF(ISERROR(AN26/AN37),"NA",AN26/AN37)</f>
        <v>-0.10322045118156141</v>
      </c>
      <c r="AO27" s="1419">
        <f>IF(ISERROR(AO26/AO37),"NA",AO26/AO37)</f>
        <v>0.93499238647983129</v>
      </c>
      <c r="AP27" s="477"/>
      <c r="AQ27" s="1419">
        <f>IF(ISERROR(AQ26/AQ37),"NA",AQ26/AQ37)</f>
        <v>-7.6712176795568354E-2</v>
      </c>
      <c r="AR27" s="1419">
        <f>IF(ISERROR(AR26/AR37),"NA",AR26/AR37)</f>
        <v>-0.36583270165552317</v>
      </c>
      <c r="AS27" s="1419">
        <f>IF(ISERROR(AS26/AS37),"NA",AS26/AS37)</f>
        <v>-0.22914425678337419</v>
      </c>
      <c r="AT27" s="1419">
        <f>IF(ISERROR(AT26/AT37),"NA",AT26/AT37)</f>
        <v>0.84274411288551143</v>
      </c>
      <c r="AU27" s="99"/>
      <c r="AV27" s="1419">
        <f>IF(ISERROR(AV26/AV37),"NA",AV26/AV37)</f>
        <v>0.15605298013245003</v>
      </c>
      <c r="AW27" s="1419">
        <f>IF(ISERROR(AW26/AW37),"NA",AW26/AW37)</f>
        <v>-8.569536423841255E-2</v>
      </c>
      <c r="AX27" s="1419">
        <f>IF(ISERROR(AX26/AX37),"NA",AX26/AX37)</f>
        <v>-0.45305960264900796</v>
      </c>
      <c r="AY27" s="1419">
        <f>IF(ISERROR(AY26/AY37),"NA",AY26/AY37)</f>
        <v>1.3652988987939181</v>
      </c>
      <c r="AZ27" s="99"/>
      <c r="BA27" s="1419">
        <f t="shared" ref="BA27:BJ27" si="7">IF(ISERROR(BA26/BA37),"NA",BA26/BA37)</f>
        <v>0.33588235294117713</v>
      </c>
      <c r="BB27" s="1419">
        <f t="shared" si="7"/>
        <v>0.14246317522970711</v>
      </c>
      <c r="BC27" s="1419">
        <f t="shared" si="7"/>
        <v>0.18189932219793359</v>
      </c>
      <c r="BD27" s="1420">
        <f t="shared" si="7"/>
        <v>1.4392470887859472</v>
      </c>
      <c r="BE27" s="1421" t="str">
        <f t="shared" si="7"/>
        <v>NA</v>
      </c>
      <c r="BF27" s="1422" t="str">
        <f t="shared" si="7"/>
        <v>NA</v>
      </c>
      <c r="BG27" s="1422" t="str">
        <f t="shared" si="7"/>
        <v>NA</v>
      </c>
      <c r="BH27" s="1422" t="str">
        <f t="shared" si="7"/>
        <v>NA</v>
      </c>
      <c r="BI27" s="1422" t="str">
        <f t="shared" si="7"/>
        <v>NA</v>
      </c>
      <c r="BJ27" s="1422" t="str">
        <f t="shared" si="7"/>
        <v>NA</v>
      </c>
      <c r="BK27" s="1419"/>
      <c r="BL27" s="1423">
        <f t="shared" ref="BL27:BU27" si="8">IF(ISERROR(BL26/BL37),"NA",BL26/BL37)</f>
        <v>-0.27718567251717807</v>
      </c>
      <c r="BM27" s="1424">
        <f t="shared" si="8"/>
        <v>0.44056593648055209</v>
      </c>
      <c r="BN27" s="1424">
        <f t="shared" si="8"/>
        <v>-0.10307933969648631</v>
      </c>
      <c r="BO27" s="1423">
        <f t="shared" si="8"/>
        <v>0.35429680699472876</v>
      </c>
      <c r="BP27" s="1424">
        <f t="shared" si="8"/>
        <v>0.21748289365743403</v>
      </c>
      <c r="BQ27" s="1424">
        <f t="shared" si="8"/>
        <v>0.99180122586172315</v>
      </c>
      <c r="BR27" s="1424">
        <f t="shared" si="8"/>
        <v>2.0980234957428263</v>
      </c>
      <c r="BS27" s="1424">
        <f t="shared" si="8"/>
        <v>2.4593747558350061</v>
      </c>
      <c r="BT27" s="1424">
        <f t="shared" si="8"/>
        <v>2.7605888058887729</v>
      </c>
      <c r="BU27" s="1425">
        <f t="shared" si="8"/>
        <v>3.061354157984598</v>
      </c>
      <c r="BV27" s="1426"/>
      <c r="BX27"/>
      <c r="BY27"/>
      <c r="BZ27"/>
      <c r="CA27"/>
      <c r="CB27"/>
      <c r="CC27"/>
    </row>
    <row r="28" spans="1:81" s="421" customFormat="1">
      <c r="A28" s="434"/>
      <c r="C28" s="1427"/>
      <c r="D28" s="1427"/>
      <c r="E28" s="1427"/>
      <c r="F28" s="1427"/>
      <c r="H28" s="1428"/>
      <c r="I28" s="1428"/>
      <c r="J28" s="1428"/>
      <c r="K28" s="1428"/>
      <c r="L28" s="1428"/>
      <c r="M28" s="1428"/>
      <c r="N28" s="1428"/>
      <c r="O28" s="1428"/>
      <c r="P28" s="1428"/>
      <c r="Q28" s="1428"/>
      <c r="R28" s="1428"/>
      <c r="S28" s="1428"/>
      <c r="T28" s="1428"/>
      <c r="U28" s="1428"/>
      <c r="V28" s="1428"/>
      <c r="W28" s="1428"/>
      <c r="X28" s="1428"/>
      <c r="Y28" s="1428"/>
      <c r="Z28" s="1428"/>
      <c r="AA28" s="1428"/>
      <c r="AB28" s="1428"/>
      <c r="AC28" s="1428"/>
      <c r="AD28" s="1428"/>
      <c r="AE28" s="1428"/>
      <c r="AF28" s="1428"/>
      <c r="AG28" s="1428"/>
      <c r="AH28" s="1428"/>
      <c r="AI28" s="1428"/>
      <c r="AJ28" s="1428"/>
      <c r="AK28" s="1428"/>
      <c r="AL28" s="1428"/>
      <c r="AM28" s="1428"/>
      <c r="AN28" s="1428"/>
      <c r="AO28" s="1428"/>
      <c r="AQ28" s="1428"/>
      <c r="AR28" s="1428"/>
      <c r="AS28" s="1428"/>
      <c r="AT28" s="1428"/>
      <c r="AV28" s="1428"/>
      <c r="AW28" s="1428"/>
      <c r="AX28" s="1428"/>
      <c r="AY28" s="1428"/>
      <c r="BA28" s="1428"/>
      <c r="BB28" s="1428"/>
      <c r="BC28" s="1428"/>
      <c r="BD28" s="1429"/>
      <c r="BE28" s="1430"/>
      <c r="BF28" s="1431"/>
      <c r="BG28" s="1431"/>
      <c r="BH28" s="1431"/>
      <c r="BI28" s="1431"/>
      <c r="BJ28" s="1431"/>
      <c r="BK28" s="1428"/>
      <c r="BL28" s="1432"/>
      <c r="BM28" s="1426"/>
      <c r="BN28" s="1426"/>
      <c r="BO28" s="1432"/>
      <c r="BP28" s="1426"/>
      <c r="BQ28" s="1426"/>
      <c r="BR28" s="1426"/>
      <c r="BS28" s="1426"/>
      <c r="BT28" s="1426"/>
      <c r="BU28" s="1433"/>
      <c r="BV28" s="1426"/>
      <c r="BX28"/>
      <c r="BY28"/>
      <c r="BZ28"/>
      <c r="CA28"/>
      <c r="CB28"/>
      <c r="CC28"/>
    </row>
    <row r="29" spans="1:81">
      <c r="A29" s="1434" t="s">
        <v>857</v>
      </c>
      <c r="B29" s="421"/>
      <c r="C29" s="453"/>
      <c r="D29" s="453"/>
      <c r="E29" s="453"/>
      <c r="F29" s="453"/>
      <c r="G29" s="453"/>
      <c r="H29" s="453"/>
      <c r="I29" s="453"/>
      <c r="J29" s="453"/>
      <c r="K29" s="453"/>
      <c r="L29" s="453"/>
      <c r="M29" s="453"/>
      <c r="N29" s="453"/>
      <c r="O29" s="453"/>
      <c r="P29" s="453"/>
      <c r="Q29" s="453"/>
      <c r="R29" s="453"/>
      <c r="S29" s="453"/>
      <c r="T29" s="453"/>
      <c r="U29" s="453"/>
      <c r="V29" s="453"/>
      <c r="W29" s="453"/>
      <c r="X29" s="453"/>
      <c r="Y29" s="453"/>
      <c r="Z29" s="453"/>
      <c r="AA29" s="453"/>
      <c r="AB29" s="453"/>
      <c r="AC29" s="453"/>
      <c r="AD29" s="453"/>
      <c r="AE29" s="453"/>
      <c r="AF29" s="453"/>
      <c r="AG29" s="453"/>
      <c r="AH29" s="453"/>
      <c r="AI29" s="453"/>
      <c r="AJ29" s="453"/>
      <c r="AK29" s="453"/>
      <c r="AL29" s="453"/>
      <c r="AM29" s="453"/>
      <c r="AN29" s="453"/>
      <c r="AO29" s="453"/>
      <c r="AP29" s="421"/>
      <c r="AQ29" s="453"/>
      <c r="AR29" s="453"/>
      <c r="AS29" s="453"/>
      <c r="AT29" s="453"/>
      <c r="AU29" s="421"/>
      <c r="AV29" s="453"/>
      <c r="AW29" s="453"/>
      <c r="AX29" s="453"/>
      <c r="AY29" s="453"/>
      <c r="AZ29" s="421"/>
      <c r="BA29" s="453"/>
      <c r="BB29" s="1417"/>
      <c r="BC29" s="453"/>
      <c r="BD29" s="495"/>
      <c r="BE29" s="454"/>
      <c r="BF29" s="454"/>
      <c r="BG29" s="454"/>
      <c r="BH29" s="454"/>
      <c r="BI29" s="454"/>
      <c r="BJ29" s="454"/>
      <c r="BK29" s="453"/>
      <c r="BL29" s="450"/>
      <c r="BM29" s="453"/>
      <c r="BN29" s="453"/>
      <c r="BO29" s="494"/>
      <c r="BP29" s="453"/>
      <c r="BQ29" s="453"/>
      <c r="BR29" s="453"/>
      <c r="BS29" s="453"/>
      <c r="BT29" s="453"/>
      <c r="BU29" s="455"/>
      <c r="BV29" s="453"/>
    </row>
    <row r="30" spans="1:81" s="757" customFormat="1" outlineLevel="1">
      <c r="A30" s="1435" t="s">
        <v>858</v>
      </c>
      <c r="B30" s="1436"/>
      <c r="C30" s="1437"/>
      <c r="D30" s="1437"/>
      <c r="E30" s="1437"/>
      <c r="F30" s="1437"/>
      <c r="G30" s="1437"/>
      <c r="H30" s="1437"/>
      <c r="I30" s="1437"/>
      <c r="J30" s="1437"/>
      <c r="K30" s="1437"/>
      <c r="L30" s="1437"/>
      <c r="M30" s="1437"/>
      <c r="N30" s="1437"/>
      <c r="O30" s="1437"/>
      <c r="P30" s="1437"/>
      <c r="Q30" s="1437"/>
      <c r="R30" s="1437"/>
      <c r="S30" s="1437"/>
      <c r="T30" s="1437"/>
      <c r="U30" s="1437"/>
      <c r="V30" s="1437"/>
      <c r="W30" s="1437">
        <v>19.27835</v>
      </c>
      <c r="X30" s="1437">
        <v>7.9950000000000007E-2</v>
      </c>
      <c r="Y30" s="1437">
        <v>4.9575500000000003</v>
      </c>
      <c r="Z30" s="1437">
        <v>26.932099999999995</v>
      </c>
      <c r="AA30" s="1437"/>
      <c r="AB30" s="1437">
        <v>0.74619999999999997</v>
      </c>
      <c r="AC30" s="1437">
        <v>0.82094999999999996</v>
      </c>
      <c r="AD30" s="1437">
        <v>0.1638</v>
      </c>
      <c r="AE30" s="1437">
        <v>23.352050000000002</v>
      </c>
      <c r="AF30" s="1437"/>
      <c r="AG30" s="1437">
        <v>24.552450000000004</v>
      </c>
      <c r="AH30" s="1437">
        <v>3.3897500000000007</v>
      </c>
      <c r="AI30" s="1437">
        <v>0.28015000000000001</v>
      </c>
      <c r="AJ30" s="1437">
        <v>15.399650000000012</v>
      </c>
      <c r="AK30" s="1437"/>
      <c r="AL30" s="1437">
        <v>4.7999999999999989</v>
      </c>
      <c r="AM30" s="1437">
        <v>9.5</v>
      </c>
      <c r="AN30" s="1437">
        <v>5.6999999999999993</v>
      </c>
      <c r="AO30" s="1437">
        <v>13.899999999999999</v>
      </c>
      <c r="AP30" s="1436"/>
      <c r="AQ30" s="1437">
        <f>AQ19</f>
        <v>10.1</v>
      </c>
      <c r="AR30" s="1437">
        <f>AR19</f>
        <v>11.299999999999999</v>
      </c>
      <c r="AS30" s="1437">
        <f>AS19</f>
        <v>13.217000000000001</v>
      </c>
      <c r="AT30" s="1437">
        <f>AT19</f>
        <v>20.716999999999999</v>
      </c>
      <c r="AU30" s="1436"/>
      <c r="AV30" s="1437">
        <f>AV18</f>
        <v>4.952</v>
      </c>
      <c r="AW30" s="1437">
        <f>AW18</f>
        <v>2.7089999999999996</v>
      </c>
      <c r="AX30" s="1437">
        <f>AX18</f>
        <v>71.525000000000006</v>
      </c>
      <c r="AY30" s="1437">
        <f>AY18</f>
        <v>3.093</v>
      </c>
      <c r="AZ30" s="1436"/>
      <c r="BA30" s="1437">
        <f>BA18</f>
        <v>3.0830000000000002</v>
      </c>
      <c r="BB30" s="1437">
        <f>BB18</f>
        <v>0.51100000000000001</v>
      </c>
      <c r="BC30" s="1437">
        <f>BC18</f>
        <v>0</v>
      </c>
      <c r="BD30" s="1438">
        <f>BD18</f>
        <v>0</v>
      </c>
      <c r="BE30" s="1439">
        <f t="shared" ref="BE30:BU30" si="9">BE19</f>
        <v>0</v>
      </c>
      <c r="BF30" s="1439">
        <f t="shared" si="9"/>
        <v>0</v>
      </c>
      <c r="BG30" s="1439">
        <f t="shared" si="9"/>
        <v>0</v>
      </c>
      <c r="BH30" s="1439">
        <f t="shared" si="9"/>
        <v>0</v>
      </c>
      <c r="BI30" s="1439">
        <f t="shared" si="9"/>
        <v>0</v>
      </c>
      <c r="BJ30" s="1439">
        <f t="shared" si="9"/>
        <v>0</v>
      </c>
      <c r="BK30" s="1437">
        <f t="shared" si="9"/>
        <v>0</v>
      </c>
      <c r="BL30" s="1440">
        <f t="shared" si="9"/>
        <v>78.842999999999989</v>
      </c>
      <c r="BM30" s="1437">
        <f t="shared" si="9"/>
        <v>9.4089999999999989</v>
      </c>
      <c r="BN30" s="1437">
        <f t="shared" si="9"/>
        <v>43.311000000000007</v>
      </c>
      <c r="BO30" s="1441">
        <f t="shared" si="9"/>
        <v>22.2</v>
      </c>
      <c r="BP30" s="1437">
        <f t="shared" si="9"/>
        <v>54.889000000000003</v>
      </c>
      <c r="BQ30" s="1437">
        <f t="shared" si="9"/>
        <v>82.279000000000011</v>
      </c>
      <c r="BR30" s="1437">
        <f t="shared" si="9"/>
        <v>9.5940000000000012</v>
      </c>
      <c r="BS30" s="1437">
        <f t="shared" si="9"/>
        <v>0</v>
      </c>
      <c r="BT30" s="1437">
        <f t="shared" si="9"/>
        <v>0</v>
      </c>
      <c r="BU30" s="1438">
        <f t="shared" si="9"/>
        <v>0</v>
      </c>
      <c r="BV30" s="1437"/>
      <c r="BX30"/>
      <c r="BY30"/>
      <c r="BZ30"/>
      <c r="CA30"/>
      <c r="CB30"/>
      <c r="CC30"/>
    </row>
    <row r="31" spans="1:81" s="757" customFormat="1">
      <c r="A31" s="1442" t="s">
        <v>859</v>
      </c>
      <c r="B31" s="1436"/>
      <c r="C31" s="1443"/>
      <c r="D31" s="1443"/>
      <c r="E31" s="1443"/>
      <c r="F31" s="1443"/>
      <c r="G31" s="1443"/>
      <c r="H31" s="1443"/>
      <c r="I31" s="1443"/>
      <c r="J31" s="1443"/>
      <c r="K31" s="1443"/>
      <c r="L31" s="1443"/>
      <c r="M31" s="1443"/>
      <c r="N31" s="1443"/>
      <c r="O31" s="1443"/>
      <c r="P31" s="1443"/>
      <c r="Q31" s="1443"/>
      <c r="R31" s="1443"/>
      <c r="S31" s="1443"/>
      <c r="T31" s="1443"/>
      <c r="U31" s="1443"/>
      <c r="V31" s="1443"/>
      <c r="W31" s="1443"/>
      <c r="X31" s="1443"/>
      <c r="Y31" s="1443"/>
      <c r="Z31" s="1443"/>
      <c r="AA31" s="1443"/>
      <c r="AB31" s="1443"/>
      <c r="AC31" s="1443"/>
      <c r="AD31" s="1443"/>
      <c r="AE31" s="1443"/>
      <c r="AF31" s="1443"/>
      <c r="AG31" s="1443"/>
      <c r="AH31" s="1443"/>
      <c r="AI31" s="1443"/>
      <c r="AJ31" s="1443"/>
      <c r="AK31" s="1443"/>
      <c r="AL31" s="1443"/>
      <c r="AM31" s="1443"/>
      <c r="AN31" s="1443"/>
      <c r="AO31" s="1443"/>
      <c r="AP31" s="1436"/>
      <c r="AQ31" s="1443">
        <f>AQ30+AQ22</f>
        <v>35.690250510000858</v>
      </c>
      <c r="AR31" s="1443">
        <f>AR30+AR22</f>
        <v>3.2077742378471044</v>
      </c>
      <c r="AS31" s="1443">
        <f>AS30+AS22</f>
        <v>21.400999999999996</v>
      </c>
      <c r="AT31" s="1443">
        <f>AT30+AT22</f>
        <v>152.88400000000007</v>
      </c>
      <c r="AU31" s="1436"/>
      <c r="AV31" s="1443">
        <f>AV30+AV22</f>
        <v>51.071999999999974</v>
      </c>
      <c r="AW31" s="1443">
        <f>AW30+AW22</f>
        <v>17.491999999999852</v>
      </c>
      <c r="AX31" s="1443">
        <f>AX30+AX22</f>
        <v>29.933999999999898</v>
      </c>
      <c r="AY31" s="1443">
        <f>AY30+AY22</f>
        <v>181.85800000000006</v>
      </c>
      <c r="AZ31" s="1436"/>
      <c r="BA31" s="1443">
        <f>BA30+BA22</f>
        <v>59.227000000000046</v>
      </c>
      <c r="BB31" s="1443">
        <f>BB30+BB22</f>
        <v>33.695000000000121</v>
      </c>
      <c r="BC31" s="1443">
        <f>BC30+BC22</f>
        <v>37.755605206961491</v>
      </c>
      <c r="BD31" s="1443">
        <f>BD30+BD22</f>
        <v>197.64207992161909</v>
      </c>
      <c r="BE31" s="1444"/>
      <c r="BF31" s="1444"/>
      <c r="BG31" s="1444"/>
      <c r="BH31" s="1444"/>
      <c r="BI31" s="1444"/>
      <c r="BJ31" s="1444"/>
      <c r="BK31" s="1443"/>
      <c r="BL31" s="1445"/>
      <c r="BM31" s="1443"/>
      <c r="BN31" s="1443"/>
      <c r="BO31" s="1446">
        <f t="shared" ref="BO31:BU31" si="10">BO30+BO22</f>
        <v>164.70124535699478</v>
      </c>
      <c r="BP31" s="1443">
        <f t="shared" si="10"/>
        <v>214.98599999999982</v>
      </c>
      <c r="BQ31" s="1443">
        <f t="shared" si="10"/>
        <v>280.34799999999962</v>
      </c>
      <c r="BR31" s="1443">
        <f t="shared" si="10"/>
        <v>334.31968512858145</v>
      </c>
      <c r="BS31" s="1443">
        <f t="shared" si="10"/>
        <v>357.15995594247994</v>
      </c>
      <c r="BT31" s="1443">
        <f t="shared" si="10"/>
        <v>386.78183507896432</v>
      </c>
      <c r="BU31" s="1447">
        <f t="shared" si="10"/>
        <v>415.96219078678575</v>
      </c>
      <c r="BV31" s="1443"/>
      <c r="BX31"/>
      <c r="BY31"/>
      <c r="BZ31"/>
      <c r="CA31"/>
      <c r="CB31"/>
      <c r="CC31"/>
    </row>
    <row r="32" spans="1:81" s="757" customFormat="1" outlineLevel="1">
      <c r="A32" s="1435" t="s">
        <v>860</v>
      </c>
      <c r="B32" s="1436"/>
      <c r="C32" s="1443"/>
      <c r="D32" s="1443"/>
      <c r="E32" s="1443"/>
      <c r="F32" s="1443"/>
      <c r="G32" s="1443"/>
      <c r="H32" s="1443"/>
      <c r="I32" s="1443"/>
      <c r="J32" s="1443"/>
      <c r="K32" s="1443"/>
      <c r="L32" s="1443"/>
      <c r="M32" s="1443"/>
      <c r="N32" s="1443"/>
      <c r="O32" s="1443"/>
      <c r="P32" s="1443"/>
      <c r="Q32" s="1443"/>
      <c r="R32" s="1443"/>
      <c r="S32" s="1443"/>
      <c r="T32" s="1443"/>
      <c r="U32" s="1443"/>
      <c r="V32" s="1443"/>
      <c r="W32" s="1443"/>
      <c r="X32" s="1443"/>
      <c r="Y32" s="1443"/>
      <c r="Z32" s="1443"/>
      <c r="AA32" s="1443"/>
      <c r="AB32" s="1443"/>
      <c r="AC32" s="1443"/>
      <c r="AD32" s="1443"/>
      <c r="AE32" s="1443"/>
      <c r="AF32" s="1443"/>
      <c r="AG32" s="1443"/>
      <c r="AH32" s="1443"/>
      <c r="AI32" s="1443"/>
      <c r="AJ32" s="1443"/>
      <c r="AK32" s="1443"/>
      <c r="AL32" s="1443"/>
      <c r="AM32" s="1443"/>
      <c r="AN32" s="1443"/>
      <c r="AO32" s="1443"/>
      <c r="AP32" s="1436"/>
      <c r="AQ32" s="1437">
        <f>AQ21</f>
        <v>43.94290831</v>
      </c>
      <c r="AR32" s="1437">
        <f>AR21</f>
        <v>40.700461669999996</v>
      </c>
      <c r="AS32" s="1437">
        <f>AS21</f>
        <v>41.070999999999998</v>
      </c>
      <c r="AT32" s="1437">
        <f>AT21</f>
        <v>41.884</v>
      </c>
      <c r="AU32" s="1436"/>
      <c r="AV32" s="1437">
        <f>AV21</f>
        <v>41.2</v>
      </c>
      <c r="AW32" s="1437">
        <f>AW21</f>
        <v>40.548999999999999</v>
      </c>
      <c r="AX32" s="1437">
        <f>AX21</f>
        <v>42.584000000000003</v>
      </c>
      <c r="AY32" s="1437">
        <f>AY21</f>
        <v>43.238999999999997</v>
      </c>
      <c r="AZ32" s="1436"/>
      <c r="BA32" s="1437">
        <f>BA21</f>
        <v>42.155000000000001</v>
      </c>
      <c r="BB32" s="1437">
        <f>BB21</f>
        <v>41.746000000000002</v>
      </c>
      <c r="BC32" s="1437">
        <f>BC21</f>
        <v>38</v>
      </c>
      <c r="BD32" s="1438">
        <f>BD21</f>
        <v>37</v>
      </c>
      <c r="BE32" s="1444"/>
      <c r="BF32" s="1444"/>
      <c r="BG32" s="1444"/>
      <c r="BH32" s="1444"/>
      <c r="BI32" s="1444"/>
      <c r="BJ32" s="1444"/>
      <c r="BK32" s="1443"/>
      <c r="BL32" s="1445"/>
      <c r="BM32" s="1443"/>
      <c r="BN32" s="1443"/>
      <c r="BO32" s="1446">
        <f t="shared" ref="BO32:BU32" si="11">BO21</f>
        <v>166.786</v>
      </c>
      <c r="BP32" s="1443">
        <f t="shared" si="11"/>
        <v>168.19499999999999</v>
      </c>
      <c r="BQ32" s="1443">
        <f t="shared" si="11"/>
        <v>167.58</v>
      </c>
      <c r="BR32" s="1443">
        <f t="shared" si="11"/>
        <v>158.90100000000001</v>
      </c>
      <c r="BS32" s="1443">
        <f t="shared" si="11"/>
        <v>161.22995831184386</v>
      </c>
      <c r="BT32" s="1443">
        <f t="shared" si="11"/>
        <v>170.65469277647668</v>
      </c>
      <c r="BU32" s="1447">
        <f t="shared" si="11"/>
        <v>174.31360311958079</v>
      </c>
      <c r="BV32" s="1443"/>
      <c r="BX32"/>
      <c r="BY32"/>
      <c r="BZ32"/>
      <c r="CA32"/>
      <c r="CB32"/>
      <c r="CC32"/>
    </row>
    <row r="33" spans="1:81" s="757" customFormat="1">
      <c r="A33" s="1448" t="s">
        <v>340</v>
      </c>
      <c r="B33" s="1436"/>
      <c r="C33" s="1443"/>
      <c r="D33" s="1443"/>
      <c r="E33" s="1443"/>
      <c r="F33" s="1443"/>
      <c r="G33" s="1443"/>
      <c r="H33" s="1443"/>
      <c r="I33" s="1443"/>
      <c r="J33" s="1443"/>
      <c r="K33" s="1443"/>
      <c r="L33" s="1443"/>
      <c r="M33" s="1443"/>
      <c r="N33" s="1443"/>
      <c r="O33" s="1443"/>
      <c r="P33" s="1443"/>
      <c r="Q33" s="1443"/>
      <c r="R33" s="1443"/>
      <c r="S33" s="1443"/>
      <c r="T33" s="1443"/>
      <c r="U33" s="1443"/>
      <c r="V33" s="1443"/>
      <c r="W33" s="1443"/>
      <c r="X33" s="1443"/>
      <c r="Y33" s="1443"/>
      <c r="Z33" s="1443"/>
      <c r="AA33" s="1443"/>
      <c r="AB33" s="1443"/>
      <c r="AC33" s="1443"/>
      <c r="AD33" s="1443"/>
      <c r="AE33" s="1443"/>
      <c r="AF33" s="1443"/>
      <c r="AG33" s="1443"/>
      <c r="AH33" s="1443"/>
      <c r="AI33" s="1443"/>
      <c r="AJ33" s="1443"/>
      <c r="AK33" s="1443"/>
      <c r="AL33" s="1443"/>
      <c r="AM33" s="1443"/>
      <c r="AN33" s="1443"/>
      <c r="AO33" s="1443"/>
      <c r="AP33" s="1436"/>
      <c r="AQ33" s="1437">
        <f>AQ31+AQ32</f>
        <v>79.633158820000858</v>
      </c>
      <c r="AR33" s="1437">
        <f>AR31+AR32</f>
        <v>43.9082359078471</v>
      </c>
      <c r="AS33" s="1437">
        <f>AS31+AS32</f>
        <v>62.471999999999994</v>
      </c>
      <c r="AT33" s="1437">
        <f>AT31+AT32</f>
        <v>194.76800000000009</v>
      </c>
      <c r="AU33" s="1436"/>
      <c r="AV33" s="1437">
        <f>AV31+AV32</f>
        <v>92.271999999999977</v>
      </c>
      <c r="AW33" s="1437">
        <f>AW31+AW32</f>
        <v>58.040999999999855</v>
      </c>
      <c r="AX33" s="1437">
        <f>AX31+AX32</f>
        <v>72.517999999999901</v>
      </c>
      <c r="AY33" s="1437">
        <f>AY31+AY32</f>
        <v>225.09700000000007</v>
      </c>
      <c r="AZ33" s="1436"/>
      <c r="BA33" s="1437">
        <f>BA31+BA32</f>
        <v>101.38200000000005</v>
      </c>
      <c r="BB33" s="1437">
        <f>BB31+BB32</f>
        <v>75.441000000000116</v>
      </c>
      <c r="BC33" s="1437">
        <f>BC31+BC32</f>
        <v>75.755605206961491</v>
      </c>
      <c r="BD33" s="1438">
        <f>BD31+BD32</f>
        <v>234.64207992161909</v>
      </c>
      <c r="BE33" s="1444"/>
      <c r="BF33" s="1444"/>
      <c r="BG33" s="1444"/>
      <c r="BH33" s="1444"/>
      <c r="BI33" s="1444"/>
      <c r="BJ33" s="1444"/>
      <c r="BK33" s="1443"/>
      <c r="BL33" s="1445"/>
      <c r="BM33" s="1443"/>
      <c r="BN33" s="1443"/>
      <c r="BO33" s="1446">
        <f t="shared" ref="BO33:BU33" si="12">BO31+BO32</f>
        <v>331.48724535699478</v>
      </c>
      <c r="BP33" s="1443">
        <f t="shared" si="12"/>
        <v>383.18099999999981</v>
      </c>
      <c r="BQ33" s="1443">
        <f>BQ31+BQ32</f>
        <v>447.92799999999966</v>
      </c>
      <c r="BR33" s="1443">
        <f>BR31+BR32</f>
        <v>493.22068512858147</v>
      </c>
      <c r="BS33" s="1443">
        <f>BS31+BS32</f>
        <v>518.3899142543238</v>
      </c>
      <c r="BT33" s="1443">
        <f>BT31+BT32</f>
        <v>557.436527855441</v>
      </c>
      <c r="BU33" s="1447">
        <f t="shared" si="12"/>
        <v>590.27579390636652</v>
      </c>
      <c r="BV33" s="1443"/>
      <c r="BX33"/>
      <c r="BY33"/>
      <c r="BZ33"/>
      <c r="CA33"/>
      <c r="CB33"/>
      <c r="CC33"/>
    </row>
    <row r="34" spans="1:81" outlineLevel="1">
      <c r="A34" s="1449" t="s">
        <v>861</v>
      </c>
      <c r="B34" s="421"/>
      <c r="C34" s="1408"/>
      <c r="D34" s="1408"/>
      <c r="E34" s="1408"/>
      <c r="F34" s="1408"/>
      <c r="G34" s="1408"/>
      <c r="H34" s="1408"/>
      <c r="I34" s="1408"/>
      <c r="J34" s="1408"/>
      <c r="K34" s="1408"/>
      <c r="L34" s="1408"/>
      <c r="M34" s="1408"/>
      <c r="N34" s="1408"/>
      <c r="O34" s="1408"/>
      <c r="P34" s="1408"/>
      <c r="Q34" s="1408"/>
      <c r="R34" s="1408"/>
      <c r="S34" s="1408"/>
      <c r="T34" s="1408"/>
      <c r="U34" s="1408"/>
      <c r="V34" s="1408"/>
      <c r="W34" s="1408"/>
      <c r="X34" s="1408"/>
      <c r="Y34" s="1408"/>
      <c r="Z34" s="1408"/>
      <c r="AA34" s="1408"/>
      <c r="AB34" s="1408"/>
      <c r="AC34" s="1408"/>
      <c r="AD34" s="1408"/>
      <c r="AE34" s="1408"/>
      <c r="AF34" s="1408"/>
      <c r="AG34" s="1408"/>
      <c r="AH34" s="1408"/>
      <c r="AI34" s="1408"/>
      <c r="AJ34" s="1408"/>
      <c r="AK34" s="1408"/>
      <c r="AL34" s="1408"/>
      <c r="AM34" s="1408"/>
      <c r="AN34" s="1408"/>
      <c r="AO34" s="1408"/>
      <c r="AP34" s="421"/>
      <c r="AQ34" s="1408"/>
      <c r="AR34" s="1408"/>
      <c r="AS34" s="1408"/>
      <c r="AT34" s="1408"/>
      <c r="AU34" s="421"/>
      <c r="AV34" s="1408">
        <v>6.8380000000000019</v>
      </c>
      <c r="AW34" s="1408">
        <v>5.593</v>
      </c>
      <c r="AX34" s="1408">
        <v>46.125000000000007</v>
      </c>
      <c r="AY34" s="1408">
        <v>4.7860000000000014</v>
      </c>
      <c r="AZ34" s="421"/>
      <c r="BA34" s="1408">
        <v>5.7120000000000015</v>
      </c>
      <c r="BB34" s="1408">
        <v>3.9570000000000003</v>
      </c>
      <c r="BC34" s="1408">
        <v>3.66</v>
      </c>
      <c r="BD34" s="1408">
        <v>3.6479999999999997</v>
      </c>
      <c r="BE34" s="1410"/>
      <c r="BF34" s="1410"/>
      <c r="BG34" s="1410"/>
      <c r="BH34" s="1410"/>
      <c r="BI34" s="1410"/>
      <c r="BJ34" s="1410"/>
      <c r="BK34" s="1408"/>
      <c r="BL34" s="1411"/>
      <c r="BM34" s="1408"/>
      <c r="BN34" s="1408"/>
      <c r="BO34" s="1412">
        <v>33.9</v>
      </c>
      <c r="BP34" s="1408">
        <v>54.089000000000013</v>
      </c>
      <c r="BQ34" s="1408">
        <v>63.342000000000013</v>
      </c>
      <c r="BR34" s="1408">
        <v>16.977000000000004</v>
      </c>
      <c r="BS34" s="1408">
        <v>14.610674607158614</v>
      </c>
      <c r="BT34" s="1408">
        <v>14.616</v>
      </c>
      <c r="BU34" s="1413">
        <v>14.591999999999999</v>
      </c>
      <c r="BV34" s="1408"/>
    </row>
    <row r="35" spans="1:81">
      <c r="A35" s="434" t="s">
        <v>862</v>
      </c>
      <c r="B35" s="421"/>
      <c r="C35" s="453"/>
      <c r="D35" s="453"/>
      <c r="E35" s="453"/>
      <c r="F35" s="453"/>
      <c r="G35" s="421"/>
      <c r="H35" s="453"/>
      <c r="I35" s="453"/>
      <c r="J35" s="453"/>
      <c r="K35" s="453"/>
      <c r="L35" s="421"/>
      <c r="M35" s="453"/>
      <c r="N35" s="453"/>
      <c r="O35" s="453"/>
      <c r="P35" s="453"/>
      <c r="Q35" s="421"/>
      <c r="R35" s="453"/>
      <c r="S35" s="453"/>
      <c r="T35" s="453"/>
      <c r="U35" s="453"/>
      <c r="V35" s="421"/>
      <c r="W35" s="453">
        <f>W26+W30</f>
        <v>-11.79565000000002</v>
      </c>
      <c r="X35" s="453">
        <f>X26+X30</f>
        <v>-12.440050000000062</v>
      </c>
      <c r="Y35" s="453">
        <f>Y26+Y30</f>
        <v>12.468549999999851</v>
      </c>
      <c r="Z35" s="453">
        <f>Z26+Z30</f>
        <v>47.836100000000087</v>
      </c>
      <c r="AA35" s="421"/>
      <c r="AB35" s="453">
        <f>AB26+AB30</f>
        <v>5.9592000000000196</v>
      </c>
      <c r="AC35" s="453">
        <f>AC26+AC30</f>
        <v>-39.658049999999967</v>
      </c>
      <c r="AD35" s="453">
        <f>AD26+AD30</f>
        <v>-2.6312000000001206</v>
      </c>
      <c r="AE35" s="453">
        <f>AE26+AE30</f>
        <v>92.411049999999747</v>
      </c>
      <c r="AF35" s="421"/>
      <c r="AG35" s="453">
        <f>AG26+AG30</f>
        <v>3.4954500000000444</v>
      </c>
      <c r="AH35" s="453">
        <f>AH26+AH30</f>
        <v>-29.373250000000048</v>
      </c>
      <c r="AI35" s="453">
        <f>AI26+AI30</f>
        <v>-9.996850000000018</v>
      </c>
      <c r="AJ35" s="453">
        <f>AJ26+AJ30</f>
        <v>73.224650000000196</v>
      </c>
      <c r="AK35" s="421"/>
      <c r="AL35" s="453">
        <f>AL26+AL30</f>
        <v>0.84806716000004423</v>
      </c>
      <c r="AM35" s="453">
        <f>AM26+AM30</f>
        <v>-21.785334450000001</v>
      </c>
      <c r="AN35" s="453">
        <f>AN26+AN30</f>
        <v>-1.6939931600000691</v>
      </c>
      <c r="AO35" s="453">
        <f>AO26+AO30</f>
        <v>81.811325381999239</v>
      </c>
      <c r="AP35" s="421"/>
      <c r="AQ35" s="453">
        <f>AQ26+AQ30</f>
        <v>4.5460384000008505</v>
      </c>
      <c r="AR35" s="453">
        <f>AR26+AR30</f>
        <v>-15.661870112012059</v>
      </c>
      <c r="AS35" s="453">
        <f>AS26+AS30</f>
        <v>-3.6400000000000023</v>
      </c>
      <c r="AT35" s="453">
        <f>AT26+AT30</f>
        <v>84.301000000000087</v>
      </c>
      <c r="AU35" s="421"/>
      <c r="AV35" s="453">
        <f>AV26+AV34</f>
        <v>18.61999999999998</v>
      </c>
      <c r="AW35" s="453">
        <f t="shared" ref="AW35:BD35" si="13">AW26+AW34</f>
        <v>-0.87700000000014722</v>
      </c>
      <c r="AX35" s="453">
        <f t="shared" si="13"/>
        <v>11.918999999999905</v>
      </c>
      <c r="AY35" s="453">
        <f t="shared" si="13"/>
        <v>108.93100000000007</v>
      </c>
      <c r="AZ35" s="421">
        <f t="shared" si="13"/>
        <v>0</v>
      </c>
      <c r="BA35" s="453">
        <f t="shared" si="13"/>
        <v>31.407000000000053</v>
      </c>
      <c r="BB35" s="453">
        <f t="shared" si="13"/>
        <v>14.85700000000012</v>
      </c>
      <c r="BC35" s="453">
        <f t="shared" si="13"/>
        <v>17.540919176246511</v>
      </c>
      <c r="BD35" s="495">
        <f t="shared" si="13"/>
        <v>113.4783845923444</v>
      </c>
      <c r="BE35" s="454" t="e">
        <f t="shared" ref="BE35:BJ35" si="14">BE26-BE30</f>
        <v>#REF!</v>
      </c>
      <c r="BF35" s="475" t="e">
        <f t="shared" si="14"/>
        <v>#REF!</v>
      </c>
      <c r="BG35" s="475" t="e">
        <f t="shared" si="14"/>
        <v>#REF!</v>
      </c>
      <c r="BH35" s="454" t="e">
        <f t="shared" si="14"/>
        <v>#REF!</v>
      </c>
      <c r="BI35" s="454" t="e">
        <f t="shared" si="14"/>
        <v>#REF!</v>
      </c>
      <c r="BJ35" s="475" t="e">
        <f t="shared" si="14"/>
        <v>#REF!</v>
      </c>
      <c r="BK35" s="452"/>
      <c r="BL35" s="450">
        <f>BL26+BL30</f>
        <v>59.021999999999807</v>
      </c>
      <c r="BM35" s="476">
        <f>BM26+BM30</f>
        <v>40.912999999999727</v>
      </c>
      <c r="BN35" s="476">
        <f>BN26+BN30</f>
        <v>35.940000000000168</v>
      </c>
      <c r="BO35" s="450">
        <f t="shared" ref="BO35:BU35" si="15">BO26+BO34</f>
        <v>59.23506493199924</v>
      </c>
      <c r="BP35" s="476">
        <f t="shared" si="15"/>
        <v>70.23899999999982</v>
      </c>
      <c r="BQ35" s="476">
        <f t="shared" si="15"/>
        <v>138.58499999999964</v>
      </c>
      <c r="BR35" s="476">
        <f t="shared" si="15"/>
        <v>177.28330376859179</v>
      </c>
      <c r="BS35" s="476">
        <f t="shared" si="15"/>
        <v>202.28802159968376</v>
      </c>
      <c r="BT35" s="476">
        <f t="shared" si="15"/>
        <v>225.00323348558925</v>
      </c>
      <c r="BU35" s="455">
        <f t="shared" si="15"/>
        <v>247.59472631836576</v>
      </c>
      <c r="BV35" s="476"/>
    </row>
    <row r="36" spans="1:81" s="1" customFormat="1">
      <c r="A36" s="1239" t="s">
        <v>366</v>
      </c>
      <c r="B36" s="477"/>
      <c r="C36" s="1418"/>
      <c r="D36" s="1418"/>
      <c r="E36" s="1418"/>
      <c r="F36" s="1418"/>
      <c r="G36" s="477"/>
      <c r="H36" s="1419"/>
      <c r="I36" s="1419"/>
      <c r="J36" s="1419"/>
      <c r="K36" s="1419"/>
      <c r="L36" s="1419"/>
      <c r="M36" s="1419"/>
      <c r="N36" s="1419"/>
      <c r="O36" s="1419"/>
      <c r="P36" s="1419"/>
      <c r="Q36" s="1419"/>
      <c r="R36" s="1419"/>
      <c r="S36" s="1419"/>
      <c r="T36" s="1419"/>
      <c r="U36" s="1419"/>
      <c r="V36" s="1419"/>
      <c r="W36" s="1419">
        <f>IF(ISERROR(W35/W37),"NA",W35/W37)</f>
        <v>-0.16495561162540875</v>
      </c>
      <c r="X36" s="1419">
        <f>IF(ISERROR(X35/X37),"NA",X35/X37)</f>
        <v>-0.17396718759887525</v>
      </c>
      <c r="Y36" s="1419">
        <f>IF(ISERROR(Y35/Y37),"NA",Y35/Y37)</f>
        <v>0.17436574426436544</v>
      </c>
      <c r="Z36" s="1419">
        <f>IF(ISERROR(Z35/Z37),"NA",Z35/Z37)</f>
        <v>0.66896128091917073</v>
      </c>
      <c r="AA36" s="477"/>
      <c r="AB36" s="1419">
        <f>IF(ISERROR(AB35/AB37),"NA",AB35/AB37)</f>
        <v>8.3336101087955083E-2</v>
      </c>
      <c r="AC36" s="1419">
        <f>IF(ISERROR(AC35/AC37),"NA",AC35/AC37)</f>
        <v>-0.55459579536702297</v>
      </c>
      <c r="AD36" s="1419">
        <f>IF(ISERROR(AD35/AD37),"NA",AD35/AD37)</f>
        <v>-3.6795870113880511E-2</v>
      </c>
      <c r="AE36" s="1419">
        <f>IF(ISERROR(AE35/AE37),"NA",AE35/AE37)</f>
        <v>1.2923171909726181</v>
      </c>
      <c r="AF36" s="477"/>
      <c r="AG36" s="1419">
        <f>IF(ISERROR(AG35/AG37),"NA",AG35/AG37)</f>
        <v>4.8881926189403832E-2</v>
      </c>
      <c r="AH36" s="1419">
        <f>IF(ISERROR(AH35/AH37),"NA",AH35/AH37)</f>
        <v>-0.41076858156829316</v>
      </c>
      <c r="AI36" s="1419">
        <f>IF(ISERROR(AI35/AI37),"NA",AI35/AI37)</f>
        <v>-0.13980039303281019</v>
      </c>
      <c r="AJ36" s="1419">
        <f>IF(ISERROR(AJ35/AJ37),"NA",AJ35/AJ37)</f>
        <v>1.0240060468737626</v>
      </c>
      <c r="AK36" s="477"/>
      <c r="AL36" s="1419">
        <f>IF(ISERROR(AL35/AL37),"NA",AL35/AL37)</f>
        <v>1.2006666286769456E-2</v>
      </c>
      <c r="AM36" s="1419">
        <f>IF(ISERROR(AM35/AM37),"NA",AM35/AM37)</f>
        <v>-0.30626188679590105</v>
      </c>
      <c r="AN36" s="1419">
        <f>IF(ISERROR(AN35/AN37),"NA",AN35/AN37)</f>
        <v>-2.3648214772447052E-2</v>
      </c>
      <c r="AO36" s="1419">
        <f>IF(ISERROR(AO35/AO37),"NA",AO35/AO37)</f>
        <v>1.1263653879485156</v>
      </c>
      <c r="AP36" s="477"/>
      <c r="AQ36" s="1419">
        <f>IF(ISERROR(AQ35/AQ37),"NA",AQ35/AQ37)</f>
        <v>6.2790585635370863E-2</v>
      </c>
      <c r="AR36" s="1419">
        <f>IF(ISERROR(AR35/AR37),"NA",AR35/AR37)</f>
        <v>-0.21250841400287732</v>
      </c>
      <c r="AS36" s="1419">
        <f>IF(ISERROR(AS35/AS37),"NA",AS35/AS37)</f>
        <v>-4.948004358376238E-2</v>
      </c>
      <c r="AT36" s="1419">
        <f>IF(ISERROR(AT35/AT37),"NA",AT35/AT37)</f>
        <v>1.1173278098320565</v>
      </c>
      <c r="AU36" s="477"/>
      <c r="AV36" s="1419">
        <f>IF(ISERROR(AV35/AV37),"NA",AV35/AV37)</f>
        <v>0.24662251655629111</v>
      </c>
      <c r="AW36" s="1419">
        <f>IF(ISERROR(AW35/AW37),"NA",AW35/AW37)</f>
        <v>-1.1615894039737049E-2</v>
      </c>
      <c r="AX36" s="1419">
        <f>IF(ISERROR(AX35/AX37),"NA",AX35/AX37)</f>
        <v>0.1578675496688729</v>
      </c>
      <c r="AY36" s="1419">
        <f>IF(ISERROR(AY35/AY37),"NA",AY35/AY37)</f>
        <v>1.4280414263240702</v>
      </c>
      <c r="AZ36" s="477"/>
      <c r="BA36" s="1419">
        <f>IF(ISERROR(BA35/BA37),"NA",BA35/BA37)</f>
        <v>0.41054901960784385</v>
      </c>
      <c r="BB36" s="1419">
        <f>IF(ISERROR(BB35/BB37),"NA",BB35/BB37)</f>
        <v>0.19418122884291306</v>
      </c>
      <c r="BC36" s="1419">
        <f>IF(ISERROR(BC35/BC37),"NA",BC35/BC37)</f>
        <v>0.22986095289337727</v>
      </c>
      <c r="BD36" s="1420">
        <f>IF(ISERROR(BD35/BD37),"NA",BD35/BD37)</f>
        <v>1.487051468233209</v>
      </c>
      <c r="BE36" s="1421"/>
      <c r="BF36" s="1421"/>
      <c r="BG36" s="1421"/>
      <c r="BH36" s="1421"/>
      <c r="BI36" s="1421"/>
      <c r="BJ36" s="1421"/>
      <c r="BK36" s="1419"/>
      <c r="BL36" s="1450">
        <f t="shared" ref="BL36:BU36" si="16">IF(ISERROR(BL35/BL37),"NA",BL35/BL37)</f>
        <v>0.82538987756968263</v>
      </c>
      <c r="BM36" s="1419">
        <f t="shared" si="16"/>
        <v>0.57214557387090081</v>
      </c>
      <c r="BN36" s="1419">
        <f t="shared" si="16"/>
        <v>0.50260093185345511</v>
      </c>
      <c r="BO36" s="1450">
        <f t="shared" si="16"/>
        <v>0.82836947226551483</v>
      </c>
      <c r="BP36" s="1419">
        <f t="shared" si="16"/>
        <v>0.9458687905637555</v>
      </c>
      <c r="BQ36" s="1419">
        <v>1.83</v>
      </c>
      <c r="BR36" s="1419">
        <f t="shared" si="16"/>
        <v>2.3202115448082088</v>
      </c>
      <c r="BS36" s="1419">
        <f t="shared" si="16"/>
        <v>2.6508369907311367</v>
      </c>
      <c r="BT36" s="1419">
        <f t="shared" si="16"/>
        <v>2.952372144252001</v>
      </c>
      <c r="BU36" s="1420">
        <f t="shared" si="16"/>
        <v>3.2530741458969894</v>
      </c>
      <c r="BV36" s="1451"/>
      <c r="BW36" s="536"/>
      <c r="BX36"/>
      <c r="BY36"/>
      <c r="BZ36"/>
      <c r="CA36"/>
      <c r="CB36"/>
      <c r="CC36"/>
    </row>
    <row r="37" spans="1:81">
      <c r="A37" s="434" t="s">
        <v>197</v>
      </c>
      <c r="B37" s="421"/>
      <c r="C37" s="1452"/>
      <c r="D37" s="1452"/>
      <c r="E37" s="1452"/>
      <c r="F37" s="1452"/>
      <c r="G37" s="1408"/>
      <c r="H37" s="1408"/>
      <c r="I37" s="1408"/>
      <c r="J37" s="1408"/>
      <c r="K37" s="1408"/>
      <c r="L37" s="1408"/>
      <c r="M37" s="1408"/>
      <c r="N37" s="1408"/>
      <c r="O37" s="1408"/>
      <c r="P37" s="1408"/>
      <c r="Q37" s="1408"/>
      <c r="R37" s="1408"/>
      <c r="S37" s="1408"/>
      <c r="T37" s="1408"/>
      <c r="U37" s="1408"/>
      <c r="V37" s="1408"/>
      <c r="W37" s="1453">
        <v>71.508025000000004</v>
      </c>
      <c r="X37" s="1453">
        <f>W37</f>
        <v>71.508025000000004</v>
      </c>
      <c r="Y37" s="1453">
        <f>X37</f>
        <v>71.508025000000004</v>
      </c>
      <c r="Z37" s="1453">
        <f>Y37</f>
        <v>71.508025000000004</v>
      </c>
      <c r="AA37" s="1454"/>
      <c r="AB37" s="1453">
        <v>71.508025000000004</v>
      </c>
      <c r="AC37" s="1453">
        <f>AB37</f>
        <v>71.508025000000004</v>
      </c>
      <c r="AD37" s="1453">
        <f>AC37</f>
        <v>71.508025000000004</v>
      </c>
      <c r="AE37" s="1453">
        <f>AD37</f>
        <v>71.508025000000004</v>
      </c>
      <c r="AF37" s="1454"/>
      <c r="AG37" s="1453">
        <v>71.508025000000004</v>
      </c>
      <c r="AH37" s="1453">
        <f>AG37</f>
        <v>71.508025000000004</v>
      </c>
      <c r="AI37" s="1453">
        <f>AH37</f>
        <v>71.508025000000004</v>
      </c>
      <c r="AJ37" s="1453">
        <f>AI37</f>
        <v>71.508025000000004</v>
      </c>
      <c r="AK37" s="1454"/>
      <c r="AL37" s="1453">
        <v>70.633025000000004</v>
      </c>
      <c r="AM37" s="1453">
        <v>71.133025000000004</v>
      </c>
      <c r="AN37" s="1453">
        <v>71.633025000000004</v>
      </c>
      <c r="AO37" s="1453">
        <v>72.633025000000004</v>
      </c>
      <c r="AP37" s="1454"/>
      <c r="AQ37" s="1453">
        <v>72.400000000000006</v>
      </c>
      <c r="AR37" s="1453">
        <v>73.7</v>
      </c>
      <c r="AS37" s="1455">
        <v>73.565011999999996</v>
      </c>
      <c r="AT37" s="1455">
        <v>75.448762000000002</v>
      </c>
      <c r="AU37" s="1455"/>
      <c r="AV37" s="1456">
        <v>75.5</v>
      </c>
      <c r="AW37" s="1456">
        <v>75.5</v>
      </c>
      <c r="AX37" s="1456">
        <v>75.5</v>
      </c>
      <c r="AY37" s="1456">
        <v>76.28</v>
      </c>
      <c r="AZ37" s="1456"/>
      <c r="BA37" s="1456">
        <v>76.5</v>
      </c>
      <c r="BB37" s="1456">
        <v>76.510999999999996</v>
      </c>
      <c r="BC37" s="1455">
        <v>76.310999999999993</v>
      </c>
      <c r="BD37" s="1457">
        <v>76.310999999999993</v>
      </c>
      <c r="BE37" s="1453">
        <v>44.668281999999998</v>
      </c>
      <c r="BF37" s="1458">
        <v>44.7</v>
      </c>
      <c r="BG37" s="1458">
        <v>44.7</v>
      </c>
      <c r="BH37" s="1458">
        <v>44.7</v>
      </c>
      <c r="BI37" s="1458">
        <v>44.7</v>
      </c>
      <c r="BJ37" s="1458">
        <v>44.7</v>
      </c>
      <c r="BK37" s="1454"/>
      <c r="BL37" s="1459">
        <v>71.508025000000004</v>
      </c>
      <c r="BM37" s="1458">
        <v>71.508025000000004</v>
      </c>
      <c r="BN37" s="1458">
        <v>71.508025000000004</v>
      </c>
      <c r="BO37" s="1460">
        <v>71.508025000000004</v>
      </c>
      <c r="BP37" s="1461">
        <v>74.258713999999998</v>
      </c>
      <c r="BQ37" s="1461">
        <v>75.864999999999995</v>
      </c>
      <c r="BR37" s="1461">
        <v>76.408249999999995</v>
      </c>
      <c r="BS37" s="1461">
        <v>76.310999999999993</v>
      </c>
      <c r="BT37" s="1461">
        <v>76.210999999999999</v>
      </c>
      <c r="BU37" s="1462">
        <v>76.111000000000004</v>
      </c>
      <c r="BV37" s="1461"/>
    </row>
    <row r="38" spans="1:81" hidden="1" outlineLevel="1">
      <c r="A38" s="434" t="s">
        <v>198</v>
      </c>
      <c r="B38" s="421"/>
      <c r="C38" s="1452"/>
      <c r="D38" s="1452"/>
      <c r="E38" s="1452"/>
      <c r="F38" s="1452"/>
      <c r="G38" s="1408"/>
      <c r="H38" s="1408"/>
      <c r="I38" s="1408"/>
      <c r="J38" s="1408"/>
      <c r="K38" s="1408"/>
      <c r="L38" s="1408"/>
      <c r="M38" s="1408"/>
      <c r="N38" s="1408"/>
      <c r="O38" s="1408"/>
      <c r="P38" s="1408"/>
      <c r="Q38" s="1408"/>
      <c r="R38" s="1408"/>
      <c r="S38" s="1408"/>
      <c r="T38" s="1408"/>
      <c r="U38" s="1408"/>
      <c r="V38" s="1408"/>
      <c r="W38" s="1408"/>
      <c r="X38" s="1408"/>
      <c r="Y38" s="1408"/>
      <c r="Z38" s="1408"/>
      <c r="AA38" s="1408"/>
      <c r="AB38" s="1408"/>
      <c r="AC38" s="1408"/>
      <c r="AD38" s="1408"/>
      <c r="AE38" s="1408"/>
      <c r="AF38" s="1408"/>
      <c r="AG38" s="1408"/>
      <c r="AH38" s="1408"/>
      <c r="AI38" s="1408"/>
      <c r="AJ38" s="1408"/>
      <c r="AK38" s="1408"/>
      <c r="AL38" s="1453">
        <f>AL37</f>
        <v>70.633025000000004</v>
      </c>
      <c r="AM38" s="1453">
        <f t="shared" ref="AM38:AO39" si="17">AM37</f>
        <v>71.133025000000004</v>
      </c>
      <c r="AN38" s="1453">
        <f t="shared" si="17"/>
        <v>71.633025000000004</v>
      </c>
      <c r="AO38" s="1453">
        <f t="shared" si="17"/>
        <v>72.633025000000004</v>
      </c>
      <c r="AP38" s="421"/>
      <c r="AQ38" s="1453">
        <f t="shared" ref="AQ38:AT39" si="18">AQ37</f>
        <v>72.400000000000006</v>
      </c>
      <c r="AR38" s="1453">
        <f t="shared" si="18"/>
        <v>73.7</v>
      </c>
      <c r="AS38" s="1463">
        <f t="shared" si="18"/>
        <v>73.565011999999996</v>
      </c>
      <c r="AT38" s="1463">
        <f t="shared" si="18"/>
        <v>75.448762000000002</v>
      </c>
      <c r="AU38" s="421"/>
      <c r="AV38" s="1463">
        <f t="shared" ref="AV38:AY39" si="19">AV37</f>
        <v>75.5</v>
      </c>
      <c r="AW38" s="1463">
        <f t="shared" si="19"/>
        <v>75.5</v>
      </c>
      <c r="AX38" s="1463">
        <f t="shared" si="19"/>
        <v>75.5</v>
      </c>
      <c r="AY38" s="1463">
        <f t="shared" si="19"/>
        <v>76.28</v>
      </c>
      <c r="AZ38" s="421"/>
      <c r="BA38" s="1463">
        <f t="shared" ref="BA38:BD39" si="20">BA37</f>
        <v>76.5</v>
      </c>
      <c r="BB38" s="1463">
        <f t="shared" si="20"/>
        <v>76.510999999999996</v>
      </c>
      <c r="BC38" s="1463">
        <f t="shared" si="20"/>
        <v>76.310999999999993</v>
      </c>
      <c r="BD38" s="1464">
        <f t="shared" si="20"/>
        <v>76.310999999999993</v>
      </c>
      <c r="BE38" s="1465">
        <v>40</v>
      </c>
      <c r="BF38" s="1410">
        <v>40</v>
      </c>
      <c r="BG38" s="1410">
        <v>40</v>
      </c>
      <c r="BH38" s="1410">
        <v>40</v>
      </c>
      <c r="BI38" s="1410">
        <v>40</v>
      </c>
      <c r="BJ38" s="1410">
        <v>40</v>
      </c>
      <c r="BK38" s="1408"/>
      <c r="BL38" s="1459">
        <f t="shared" ref="BL38:BN39" si="21">BM38</f>
        <v>71.508025000000004</v>
      </c>
      <c r="BM38" s="1458">
        <f t="shared" si="21"/>
        <v>71.508025000000004</v>
      </c>
      <c r="BN38" s="1458">
        <f t="shared" si="21"/>
        <v>71.508025000000004</v>
      </c>
      <c r="BO38" s="1466">
        <f t="shared" ref="BO38:BU39" si="22">BO37</f>
        <v>71.508025000000004</v>
      </c>
      <c r="BP38" s="1463">
        <f t="shared" si="22"/>
        <v>74.258713999999998</v>
      </c>
      <c r="BQ38" s="1463">
        <f t="shared" si="22"/>
        <v>75.864999999999995</v>
      </c>
      <c r="BR38" s="1463">
        <f t="shared" si="22"/>
        <v>76.408249999999995</v>
      </c>
      <c r="BS38" s="1463">
        <f t="shared" si="22"/>
        <v>76.310999999999993</v>
      </c>
      <c r="BT38" s="1463">
        <f t="shared" si="22"/>
        <v>76.210999999999999</v>
      </c>
      <c r="BU38" s="1464">
        <f t="shared" si="22"/>
        <v>76.111000000000004</v>
      </c>
      <c r="BV38" s="493"/>
    </row>
    <row r="39" spans="1:81" hidden="1" outlineLevel="1">
      <c r="A39" s="434" t="s">
        <v>201</v>
      </c>
      <c r="B39" s="421"/>
      <c r="C39" s="1452"/>
      <c r="D39" s="1452"/>
      <c r="E39" s="1452"/>
      <c r="F39" s="1452"/>
      <c r="G39" s="1408"/>
      <c r="H39" s="1452"/>
      <c r="I39" s="1408"/>
      <c r="J39" s="1408"/>
      <c r="K39" s="1408"/>
      <c r="L39" s="1408"/>
      <c r="M39" s="1408"/>
      <c r="N39" s="1408"/>
      <c r="O39" s="1408"/>
      <c r="P39" s="1408"/>
      <c r="Q39" s="1408"/>
      <c r="R39" s="1408"/>
      <c r="S39" s="1408"/>
      <c r="T39" s="1408"/>
      <c r="U39" s="1408"/>
      <c r="V39" s="1408"/>
      <c r="W39" s="1408"/>
      <c r="X39" s="1408"/>
      <c r="Y39" s="1408"/>
      <c r="Z39" s="1408"/>
      <c r="AA39" s="1408"/>
      <c r="AB39" s="1408"/>
      <c r="AC39" s="1408"/>
      <c r="AD39" s="1408"/>
      <c r="AE39" s="1408"/>
      <c r="AF39" s="1408"/>
      <c r="AG39" s="1408"/>
      <c r="AH39" s="1408"/>
      <c r="AI39" s="1408"/>
      <c r="AJ39" s="1408"/>
      <c r="AK39" s="1408"/>
      <c r="AL39" s="1453">
        <f>AL38</f>
        <v>70.633025000000004</v>
      </c>
      <c r="AM39" s="1453">
        <f t="shared" si="17"/>
        <v>71.133025000000004</v>
      </c>
      <c r="AN39" s="1453">
        <f t="shared" si="17"/>
        <v>71.633025000000004</v>
      </c>
      <c r="AO39" s="1453">
        <f t="shared" si="17"/>
        <v>72.633025000000004</v>
      </c>
      <c r="AP39" s="421"/>
      <c r="AQ39" s="1453">
        <f t="shared" si="18"/>
        <v>72.400000000000006</v>
      </c>
      <c r="AR39" s="1453">
        <f t="shared" si="18"/>
        <v>73.7</v>
      </c>
      <c r="AS39" s="1463">
        <f t="shared" si="18"/>
        <v>73.565011999999996</v>
      </c>
      <c r="AT39" s="1463">
        <f t="shared" si="18"/>
        <v>75.448762000000002</v>
      </c>
      <c r="AU39" s="421"/>
      <c r="AV39" s="1463">
        <f t="shared" si="19"/>
        <v>75.5</v>
      </c>
      <c r="AW39" s="1463">
        <f t="shared" si="19"/>
        <v>75.5</v>
      </c>
      <c r="AX39" s="1463">
        <f t="shared" si="19"/>
        <v>75.5</v>
      </c>
      <c r="AY39" s="1463">
        <f t="shared" si="19"/>
        <v>76.28</v>
      </c>
      <c r="AZ39" s="421"/>
      <c r="BA39" s="1463">
        <f t="shared" si="20"/>
        <v>76.5</v>
      </c>
      <c r="BB39" s="1463">
        <f t="shared" si="20"/>
        <v>76.510999999999996</v>
      </c>
      <c r="BC39" s="1463">
        <f t="shared" si="20"/>
        <v>76.310999999999993</v>
      </c>
      <c r="BD39" s="1464">
        <f t="shared" si="20"/>
        <v>76.310999999999993</v>
      </c>
      <c r="BE39" s="1465">
        <v>40</v>
      </c>
      <c r="BF39" s="1410">
        <v>40</v>
      </c>
      <c r="BG39" s="1410">
        <v>40</v>
      </c>
      <c r="BH39" s="1410">
        <v>40</v>
      </c>
      <c r="BI39" s="1410">
        <v>40</v>
      </c>
      <c r="BJ39" s="1410">
        <v>40</v>
      </c>
      <c r="BK39" s="1408"/>
      <c r="BL39" s="1459">
        <f t="shared" si="21"/>
        <v>71.508025000000004</v>
      </c>
      <c r="BM39" s="1458">
        <f t="shared" si="21"/>
        <v>71.508025000000004</v>
      </c>
      <c r="BN39" s="1458">
        <f t="shared" si="21"/>
        <v>71.508025000000004</v>
      </c>
      <c r="BO39" s="1466">
        <f t="shared" si="22"/>
        <v>71.508025000000004</v>
      </c>
      <c r="BP39" s="1463">
        <f t="shared" si="22"/>
        <v>74.258713999999998</v>
      </c>
      <c r="BQ39" s="1463">
        <f t="shared" si="22"/>
        <v>75.864999999999995</v>
      </c>
      <c r="BR39" s="1463">
        <f t="shared" si="22"/>
        <v>76.408249999999995</v>
      </c>
      <c r="BS39" s="1463">
        <f t="shared" si="22"/>
        <v>76.310999999999993</v>
      </c>
      <c r="BT39" s="1463">
        <f t="shared" si="22"/>
        <v>76.210999999999999</v>
      </c>
      <c r="BU39" s="1464">
        <f t="shared" si="22"/>
        <v>76.111000000000004</v>
      </c>
      <c r="BV39" s="493"/>
    </row>
    <row r="40" spans="1:81" collapsed="1">
      <c r="A40" s="434"/>
      <c r="B40" s="421"/>
      <c r="C40" s="421"/>
      <c r="D40" s="421"/>
      <c r="E40" s="421"/>
      <c r="F40" s="421"/>
      <c r="G40" s="421"/>
      <c r="H40" s="421"/>
      <c r="I40" s="421"/>
      <c r="J40" s="421"/>
      <c r="K40" s="421"/>
      <c r="L40" s="421"/>
      <c r="M40" s="421"/>
      <c r="N40" s="421"/>
      <c r="O40" s="421"/>
      <c r="P40" s="421"/>
      <c r="Q40" s="421"/>
      <c r="R40" s="421"/>
      <c r="S40" s="421"/>
      <c r="T40" s="421"/>
      <c r="U40" s="421"/>
      <c r="V40" s="421"/>
      <c r="W40" s="421"/>
      <c r="X40" s="421"/>
      <c r="Y40" s="421"/>
      <c r="Z40" s="421"/>
      <c r="AA40" s="421"/>
      <c r="AB40" s="421"/>
      <c r="AC40" s="421"/>
      <c r="AD40" s="421"/>
      <c r="AE40" s="421"/>
      <c r="AF40" s="421"/>
      <c r="AG40" s="421"/>
      <c r="AH40" s="421"/>
      <c r="AI40" s="421"/>
      <c r="AJ40" s="421"/>
      <c r="AK40" s="421"/>
      <c r="AL40" s="421"/>
      <c r="AM40" s="421"/>
      <c r="AN40" s="421"/>
      <c r="AO40" s="421"/>
      <c r="AP40" s="421"/>
      <c r="AQ40" s="421"/>
      <c r="AR40" s="421"/>
      <c r="AS40" s="421"/>
      <c r="AT40" s="421"/>
      <c r="AU40" s="421"/>
      <c r="AV40" s="421"/>
      <c r="AW40" s="421"/>
      <c r="AX40" s="421"/>
      <c r="AY40" s="421"/>
      <c r="AZ40" s="421"/>
      <c r="BA40" s="421"/>
      <c r="BB40" s="421"/>
      <c r="BC40" s="421"/>
      <c r="BD40" s="435"/>
      <c r="BE40" s="433"/>
      <c r="BF40" s="433"/>
      <c r="BG40" s="433"/>
      <c r="BH40" s="433"/>
      <c r="BI40" s="433"/>
      <c r="BJ40" s="433"/>
      <c r="BK40" s="421"/>
      <c r="BL40" s="434"/>
      <c r="BM40" s="421"/>
      <c r="BN40" s="421"/>
      <c r="BO40" s="434"/>
      <c r="BP40" s="421"/>
      <c r="BQ40" s="421"/>
      <c r="BR40" s="421"/>
      <c r="BS40" s="421"/>
      <c r="BT40" s="421"/>
      <c r="BU40" s="435"/>
      <c r="BV40" s="421"/>
    </row>
    <row r="41" spans="1:81">
      <c r="A41" s="434"/>
      <c r="B41" s="421"/>
      <c r="C41" s="421"/>
      <c r="D41" s="421"/>
      <c r="E41" s="421"/>
      <c r="F41" s="421"/>
      <c r="G41" s="421"/>
      <c r="H41" s="421"/>
      <c r="I41" s="421"/>
      <c r="J41" s="421"/>
      <c r="K41" s="421"/>
      <c r="L41" s="421"/>
      <c r="M41" s="421"/>
      <c r="N41" s="421"/>
      <c r="O41" s="421"/>
      <c r="P41" s="421"/>
      <c r="Q41" s="421"/>
      <c r="R41" s="421"/>
      <c r="S41" s="421"/>
      <c r="T41" s="421"/>
      <c r="U41" s="421"/>
      <c r="V41" s="421"/>
      <c r="W41" s="421"/>
      <c r="X41" s="421"/>
      <c r="Y41" s="421"/>
      <c r="Z41" s="421"/>
      <c r="AA41" s="421"/>
      <c r="AB41" s="421"/>
      <c r="AC41" s="421"/>
      <c r="AD41" s="421"/>
      <c r="AE41" s="421"/>
      <c r="AF41" s="421"/>
      <c r="AG41" s="421"/>
      <c r="AH41" s="421"/>
      <c r="AI41" s="421"/>
      <c r="AJ41" s="421"/>
      <c r="AK41" s="421"/>
      <c r="AL41" s="421"/>
      <c r="AM41" s="421"/>
      <c r="AN41" s="421"/>
      <c r="AO41" s="421"/>
      <c r="AP41" s="421"/>
      <c r="AQ41" s="421"/>
      <c r="AR41" s="421"/>
      <c r="AS41" s="421"/>
      <c r="AT41" s="421"/>
      <c r="AU41" s="421"/>
      <c r="AV41" s="421"/>
      <c r="AW41" s="421"/>
      <c r="AX41" s="421"/>
      <c r="AY41" s="421"/>
      <c r="AZ41" s="421"/>
      <c r="BA41" s="421"/>
      <c r="BB41" s="421"/>
      <c r="BC41" s="421"/>
      <c r="BD41" s="435"/>
      <c r="BE41" s="433"/>
      <c r="BF41" s="433"/>
      <c r="BG41" s="433"/>
      <c r="BH41" s="433"/>
      <c r="BI41" s="433"/>
      <c r="BJ41" s="433"/>
      <c r="BK41" s="421"/>
      <c r="BL41" s="434"/>
      <c r="BM41" s="421"/>
      <c r="BN41" s="421"/>
      <c r="BO41" s="434"/>
      <c r="BP41" s="421"/>
      <c r="BQ41" s="421"/>
      <c r="BR41" s="421"/>
      <c r="BS41" s="421"/>
      <c r="BT41" s="421"/>
      <c r="BU41" s="435"/>
      <c r="BV41" s="421"/>
    </row>
    <row r="42" spans="1:81">
      <c r="A42" s="1233" t="s">
        <v>203</v>
      </c>
      <c r="B42" s="421"/>
      <c r="C42" s="421"/>
      <c r="D42" s="421"/>
      <c r="E42" s="421"/>
      <c r="F42" s="421"/>
      <c r="G42" s="421"/>
      <c r="H42" s="421"/>
      <c r="I42" s="421"/>
      <c r="J42" s="421"/>
      <c r="K42" s="421"/>
      <c r="L42" s="421"/>
      <c r="M42" s="421"/>
      <c r="N42" s="421"/>
      <c r="O42" s="421"/>
      <c r="P42" s="421"/>
      <c r="Q42" s="421"/>
      <c r="R42" s="421"/>
      <c r="S42" s="421"/>
      <c r="T42" s="421"/>
      <c r="U42" s="421"/>
      <c r="V42" s="421"/>
      <c r="W42" s="421"/>
      <c r="X42" s="421"/>
      <c r="Y42" s="421"/>
      <c r="Z42" s="421"/>
      <c r="AA42" s="421"/>
      <c r="AB42" s="421"/>
      <c r="AC42" s="421"/>
      <c r="AD42" s="421"/>
      <c r="AE42" s="421"/>
      <c r="AF42" s="421"/>
      <c r="AG42" s="421"/>
      <c r="AH42" s="421"/>
      <c r="AI42" s="421"/>
      <c r="AJ42" s="421"/>
      <c r="AK42" s="421"/>
      <c r="AL42" s="421"/>
      <c r="AM42" s="421"/>
      <c r="AN42" s="421"/>
      <c r="AO42" s="421"/>
      <c r="AP42" s="421"/>
      <c r="AQ42" s="421"/>
      <c r="AR42" s="421"/>
      <c r="AS42" s="421"/>
      <c r="AT42" s="421"/>
      <c r="AU42" s="421"/>
      <c r="AV42" s="502"/>
      <c r="AW42" s="502"/>
      <c r="AX42" s="502"/>
      <c r="AY42" s="502"/>
      <c r="AZ42" s="421"/>
      <c r="BA42" s="502"/>
      <c r="BB42" s="502"/>
      <c r="BC42" s="502"/>
      <c r="BD42" s="1231"/>
      <c r="BE42" s="433"/>
      <c r="BF42" s="433"/>
      <c r="BG42" s="433"/>
      <c r="BH42" s="433"/>
      <c r="BI42" s="433"/>
      <c r="BJ42" s="433"/>
      <c r="BK42" s="421"/>
      <c r="BL42" s="434"/>
      <c r="BM42" s="421"/>
      <c r="BN42" s="421"/>
      <c r="BO42" s="434"/>
      <c r="BP42" s="421"/>
      <c r="BQ42" s="421"/>
      <c r="BR42" s="421"/>
      <c r="BS42" s="421"/>
      <c r="BT42" s="421"/>
      <c r="BU42" s="435"/>
      <c r="BV42" s="421"/>
    </row>
    <row r="43" spans="1:81">
      <c r="A43" s="434" t="s">
        <v>204</v>
      </c>
      <c r="B43" s="421"/>
      <c r="C43" s="1467"/>
      <c r="D43" s="1467"/>
      <c r="E43" s="1467"/>
      <c r="F43" s="1467"/>
      <c r="G43" s="1467"/>
      <c r="H43" s="1467"/>
      <c r="I43" s="1467"/>
      <c r="J43" s="1467"/>
      <c r="K43" s="1467"/>
      <c r="L43" s="1467"/>
      <c r="M43" s="1467"/>
      <c r="N43" s="1467"/>
      <c r="O43" s="1467"/>
      <c r="P43" s="1467"/>
      <c r="Q43" s="1467"/>
      <c r="R43" s="1467"/>
      <c r="S43" s="1467"/>
      <c r="T43" s="1467"/>
      <c r="U43" s="1467"/>
      <c r="V43" s="1467"/>
      <c r="W43" s="1467">
        <f>W12/W10</f>
        <v>0.33231049475750052</v>
      </c>
      <c r="X43" s="1467">
        <f>X12/X10</f>
        <v>0.39477558496842974</v>
      </c>
      <c r="Y43" s="1467">
        <f>Y12/Y10</f>
        <v>0.39995346032779511</v>
      </c>
      <c r="Z43" s="1467">
        <f>Z12/Z10</f>
        <v>0.39279101113960563</v>
      </c>
      <c r="AA43" s="1467"/>
      <c r="AB43" s="1467">
        <f>AB12/AB10</f>
        <v>0.38262369254636869</v>
      </c>
      <c r="AC43" s="1467">
        <f>AC12/AC10</f>
        <v>0.35589982847341339</v>
      </c>
      <c r="AD43" s="1467">
        <f>AD12/AD10</f>
        <v>0.38556326950101716</v>
      </c>
      <c r="AE43" s="1467">
        <f>AE12/AE10</f>
        <v>0.40798728606686269</v>
      </c>
      <c r="AF43" s="1467"/>
      <c r="AG43" s="1467">
        <f>AG12/AG10</f>
        <v>0.3786300656239876</v>
      </c>
      <c r="AH43" s="1467">
        <f>AH12/AH10</f>
        <v>0.36087018449635655</v>
      </c>
      <c r="AI43" s="1467">
        <f>AI12/AI10</f>
        <v>0.39820933987490303</v>
      </c>
      <c r="AJ43" s="1467">
        <f>AJ12/AJ10</f>
        <v>0.40123564423243036</v>
      </c>
      <c r="AK43" s="1467"/>
      <c r="AL43" s="1467">
        <f>AL12/AL10</f>
        <v>0.36902364402501026</v>
      </c>
      <c r="AM43" s="1467">
        <f>AM12/AM10</f>
        <v>0.37102408405621468</v>
      </c>
      <c r="AN43" s="1467">
        <f>AN12/AN10</f>
        <v>0.38590473405375675</v>
      </c>
      <c r="AO43" s="1467">
        <f>AO12/AO10</f>
        <v>0.4137522724419348</v>
      </c>
      <c r="AP43" s="421"/>
      <c r="AQ43" s="1467">
        <f>AQ12/AQ10</f>
        <v>0.37310370060575371</v>
      </c>
      <c r="AR43" s="1467">
        <f>AR12/AR10</f>
        <v>0.37884395579022595</v>
      </c>
      <c r="AS43" s="1467">
        <f>AS12/AS10</f>
        <v>0.38972683940471697</v>
      </c>
      <c r="AT43" s="1467">
        <f>AT12/AT10</f>
        <v>0.41665186464279913</v>
      </c>
      <c r="AU43" s="421"/>
      <c r="AV43" s="1467">
        <f>AV12/AV10</f>
        <v>0.38094461515826455</v>
      </c>
      <c r="AW43" s="1467">
        <f>AW12/AW10</f>
        <v>0.38190998111310948</v>
      </c>
      <c r="AX43" s="1467">
        <f>AX12/AX10</f>
        <v>0.39636222241424002</v>
      </c>
      <c r="AY43" s="1467">
        <f>AY12/AY10</f>
        <v>0.42186416509914759</v>
      </c>
      <c r="AZ43" s="421"/>
      <c r="BA43" s="1467">
        <f t="shared" ref="BA43:BJ43" si="23">BA12/BA10</f>
        <v>0.39738423865589123</v>
      </c>
      <c r="BB43" s="1467">
        <f t="shared" si="23"/>
        <v>0.39179859082797164</v>
      </c>
      <c r="BC43" s="1467">
        <f t="shared" si="23"/>
        <v>0.39900000000000002</v>
      </c>
      <c r="BD43" s="1468">
        <f t="shared" si="23"/>
        <v>0.42399999999999993</v>
      </c>
      <c r="BE43" s="1469">
        <f t="shared" si="23"/>
        <v>0.38269136631281553</v>
      </c>
      <c r="BF43" s="1469">
        <f t="shared" si="23"/>
        <v>0.37898176158807939</v>
      </c>
      <c r="BG43" s="1469">
        <f t="shared" si="23"/>
        <v>0.37091801481838349</v>
      </c>
      <c r="BH43" s="1469">
        <f t="shared" si="23"/>
        <v>0.38251620954514487</v>
      </c>
      <c r="BI43" s="1469">
        <f t="shared" si="23"/>
        <v>0.38803138926621206</v>
      </c>
      <c r="BJ43" s="1469">
        <f t="shared" si="23"/>
        <v>0.38405490110649509</v>
      </c>
      <c r="BK43" s="1467"/>
      <c r="BL43" s="1470">
        <f t="shared" ref="BL43:BU43" si="24">BL12/BL10</f>
        <v>0.380709548969972</v>
      </c>
      <c r="BM43" s="1467">
        <f t="shared" si="24"/>
        <v>0.38621518082887463</v>
      </c>
      <c r="BN43" s="1467">
        <f t="shared" si="24"/>
        <v>0.38677171058401189</v>
      </c>
      <c r="BO43" s="1470">
        <f t="shared" si="24"/>
        <v>0.38730639699926162</v>
      </c>
      <c r="BP43" s="1467">
        <f t="shared" si="24"/>
        <v>0.39108861134594375</v>
      </c>
      <c r="BQ43" s="1467">
        <f t="shared" si="24"/>
        <v>0.39748431409039997</v>
      </c>
      <c r="BR43" s="1467">
        <f t="shared" si="24"/>
        <v>0.40476689761137929</v>
      </c>
      <c r="BS43" s="1467">
        <f t="shared" si="24"/>
        <v>0.40700000000000003</v>
      </c>
      <c r="BT43" s="1467">
        <f t="shared" si="24"/>
        <v>0.40788999999999997</v>
      </c>
      <c r="BU43" s="1468">
        <f t="shared" si="24"/>
        <v>0.40789999999999998</v>
      </c>
      <c r="BV43" s="1467"/>
    </row>
    <row r="44" spans="1:81">
      <c r="A44" s="434" t="s">
        <v>205</v>
      </c>
      <c r="B44" s="421"/>
      <c r="C44" s="1467"/>
      <c r="D44" s="1467"/>
      <c r="E44" s="1467"/>
      <c r="F44" s="1467"/>
      <c r="G44" s="1467"/>
      <c r="H44" s="1467"/>
      <c r="I44" s="1467"/>
      <c r="J44" s="1467"/>
      <c r="K44" s="1467"/>
      <c r="L44" s="1467"/>
      <c r="M44" s="1467"/>
      <c r="N44" s="1467"/>
      <c r="O44" s="1467"/>
      <c r="P44" s="1467"/>
      <c r="Q44" s="1467"/>
      <c r="R44" s="1467"/>
      <c r="S44" s="1467"/>
      <c r="T44" s="1467"/>
      <c r="U44" s="1467"/>
      <c r="V44" s="1467"/>
      <c r="W44" s="1467">
        <f>W13/W$10</f>
        <v>0.31577641158349629</v>
      </c>
      <c r="X44" s="1467">
        <f>X13/X10</f>
        <v>0.38024160530002371</v>
      </c>
      <c r="Y44" s="1467">
        <f>Y13/Y10</f>
        <v>0.32276179711912556</v>
      </c>
      <c r="Z44" s="1467">
        <f>Z13/Z10</f>
        <v>0.27131473427427316</v>
      </c>
      <c r="AA44" s="1467"/>
      <c r="AB44" s="1467">
        <f>AB13/AB10</f>
        <v>0.31131647363632503</v>
      </c>
      <c r="AC44" s="1467">
        <f>AC13/AC10</f>
        <v>0.37293859348198971</v>
      </c>
      <c r="AD44" s="1467">
        <f>AD13/AD10</f>
        <v>0.33281596297306182</v>
      </c>
      <c r="AE44" s="1467">
        <f>AE13/AE10</f>
        <v>0.265624736950205</v>
      </c>
      <c r="AF44" s="1467"/>
      <c r="AG44" s="1467">
        <f>AG13/AG10</f>
        <v>0.31087493985992609</v>
      </c>
      <c r="AH44" s="1467">
        <f>AH13/AH10</f>
        <v>0.34878092743546663</v>
      </c>
      <c r="AI44" s="1467">
        <f>AI13/AI10</f>
        <v>0.35289535676888889</v>
      </c>
      <c r="AJ44" s="1467">
        <f>AJ13/AJ10</f>
        <v>0.27270788238185101</v>
      </c>
      <c r="AK44" s="1467"/>
      <c r="AL44" s="1467">
        <f>AL13/AL10</f>
        <v>0.31311427792532048</v>
      </c>
      <c r="AM44" s="1467">
        <f>AM13/AM10</f>
        <v>0.34989570387875946</v>
      </c>
      <c r="AN44" s="1467">
        <f>AN13/AN10</f>
        <v>0.34570917660424394</v>
      </c>
      <c r="AO44" s="1467">
        <f>AO13/AO10</f>
        <v>0.27292722089662252</v>
      </c>
      <c r="AP44" s="421"/>
      <c r="AQ44" s="1467">
        <f>AQ13/AQ10</f>
        <v>0.30819075367355891</v>
      </c>
      <c r="AR44" s="1467">
        <f>AR13/AR10</f>
        <v>0.34334242138411597</v>
      </c>
      <c r="AS44" s="1467">
        <f>AS13/AS10</f>
        <v>0.34048691312933188</v>
      </c>
      <c r="AT44" s="1467">
        <f>AT13/AT10</f>
        <v>0.28043502211309945</v>
      </c>
      <c r="AU44" s="421"/>
      <c r="AV44" s="1467">
        <f>AV13/AV10</f>
        <v>0.30756938283334917</v>
      </c>
      <c r="AW44" s="1467">
        <f>AW13/AW10</f>
        <v>0.33540855956557281</v>
      </c>
      <c r="AX44" s="1467">
        <f>AX13/AX10</f>
        <v>0.34279184308303812</v>
      </c>
      <c r="AY44" s="1467">
        <f>AY13/AY10</f>
        <v>0.28133747867523201</v>
      </c>
      <c r="AZ44" s="421"/>
      <c r="BA44" s="1467">
        <f t="shared" ref="BA44:BJ44" si="25">BA13/BA10</f>
        <v>0.31923936168863937</v>
      </c>
      <c r="BB44" s="1467">
        <f t="shared" si="25"/>
        <v>0.33350812519991818</v>
      </c>
      <c r="BC44" s="1467">
        <f t="shared" si="25"/>
        <v>0.34399999999999997</v>
      </c>
      <c r="BD44" s="1468">
        <f t="shared" si="25"/>
        <v>0.28339999999999999</v>
      </c>
      <c r="BE44" s="1469">
        <f t="shared" si="25"/>
        <v>0.31471034559923916</v>
      </c>
      <c r="BF44" s="1469">
        <f t="shared" si="25"/>
        <v>0.2993146532326616</v>
      </c>
      <c r="BG44" s="1469">
        <f t="shared" si="25"/>
        <v>0.30309915938492815</v>
      </c>
      <c r="BH44" s="1469">
        <f t="shared" si="25"/>
        <v>0.30870935264967775</v>
      </c>
      <c r="BI44" s="1469">
        <f t="shared" si="25"/>
        <v>0.31858574819369195</v>
      </c>
      <c r="BJ44" s="1469">
        <f t="shared" si="25"/>
        <v>0.31227482361795916</v>
      </c>
      <c r="BK44" s="1467"/>
      <c r="BL44" s="1470">
        <f>BL13/BL$10</f>
        <v>0.31620414236623434</v>
      </c>
      <c r="BM44" s="1467">
        <f t="shared" ref="BM44:BU44" si="26">BM13/BM10</f>
        <v>0.31378988784069778</v>
      </c>
      <c r="BN44" s="1467">
        <f t="shared" si="26"/>
        <v>0.31626482109859178</v>
      </c>
      <c r="BO44" s="1470">
        <f t="shared" si="26"/>
        <v>0.31620391583440183</v>
      </c>
      <c r="BP44" s="1467">
        <f t="shared" si="26"/>
        <v>0.31435054928251888</v>
      </c>
      <c r="BQ44" s="1467">
        <f t="shared" si="26"/>
        <v>0.31397740830223297</v>
      </c>
      <c r="BR44" s="1467">
        <f t="shared" si="26"/>
        <v>0.31726354166468362</v>
      </c>
      <c r="BS44" s="1467">
        <f t="shared" si="26"/>
        <v>0.31979999999999997</v>
      </c>
      <c r="BT44" s="1467">
        <f t="shared" si="26"/>
        <v>0.31950000000000001</v>
      </c>
      <c r="BU44" s="1468">
        <f t="shared" si="26"/>
        <v>0.31969999999999998</v>
      </c>
      <c r="BV44" s="1467"/>
    </row>
    <row r="45" spans="1:81" hidden="1" outlineLevel="1">
      <c r="A45" s="434" t="s">
        <v>380</v>
      </c>
      <c r="B45" s="421"/>
      <c r="C45" s="1467"/>
      <c r="D45" s="1467"/>
      <c r="E45" s="1467"/>
      <c r="F45" s="1467"/>
      <c r="G45" s="1467"/>
      <c r="H45" s="1467"/>
      <c r="I45" s="1467"/>
      <c r="J45" s="1467"/>
      <c r="K45" s="1467"/>
      <c r="L45" s="1467"/>
      <c r="M45" s="1467"/>
      <c r="N45" s="1467"/>
      <c r="O45" s="1467"/>
      <c r="P45" s="1467"/>
      <c r="Q45" s="1467"/>
      <c r="R45" s="1467"/>
      <c r="S45" s="1467"/>
      <c r="T45" s="1467"/>
      <c r="U45" s="1467"/>
      <c r="V45" s="1467"/>
      <c r="W45" s="1467" t="e">
        <f>#REF!/W$10</f>
        <v>#REF!</v>
      </c>
      <c r="X45" s="1467" t="e">
        <f>#REF!/X$10</f>
        <v>#REF!</v>
      </c>
      <c r="Y45" s="1467" t="e">
        <f>#REF!/Y$10</f>
        <v>#REF!</v>
      </c>
      <c r="Z45" s="1467" t="e">
        <f>#REF!/Z$10</f>
        <v>#REF!</v>
      </c>
      <c r="AA45" s="1467"/>
      <c r="AB45" s="1467" t="e">
        <f>#REF!/AB$10</f>
        <v>#REF!</v>
      </c>
      <c r="AC45" s="1467" t="e">
        <f>#REF!/AC$10</f>
        <v>#REF!</v>
      </c>
      <c r="AD45" s="1467" t="e">
        <f>#REF!/AD$10</f>
        <v>#REF!</v>
      </c>
      <c r="AE45" s="1467" t="e">
        <f>#REF!/AE$10</f>
        <v>#REF!</v>
      </c>
      <c r="AF45" s="1467"/>
      <c r="AG45" s="1467" t="e">
        <f>#REF!/AG$10</f>
        <v>#REF!</v>
      </c>
      <c r="AH45" s="1467" t="e">
        <f>#REF!/AH$10</f>
        <v>#REF!</v>
      </c>
      <c r="AI45" s="1467" t="e">
        <f>#REF!/AI$10</f>
        <v>#REF!</v>
      </c>
      <c r="AJ45" s="1467" t="e">
        <f>#REF!/AJ$10</f>
        <v>#REF!</v>
      </c>
      <c r="AK45" s="1467"/>
      <c r="AL45" s="1467" t="e">
        <f>#REF!/AL$10</f>
        <v>#REF!</v>
      </c>
      <c r="AM45" s="1467" t="e">
        <f>#REF!/AM$10</f>
        <v>#REF!</v>
      </c>
      <c r="AN45" s="1467" t="e">
        <f>#REF!/AN$10</f>
        <v>#REF!</v>
      </c>
      <c r="AO45" s="1467" t="e">
        <f>#REF!/AO$10</f>
        <v>#REF!</v>
      </c>
      <c r="AP45" s="421"/>
      <c r="AQ45" s="1467" t="e">
        <f>#REF!/AQ$10</f>
        <v>#REF!</v>
      </c>
      <c r="AR45" s="1467" t="e">
        <f>#REF!/AR$10</f>
        <v>#REF!</v>
      </c>
      <c r="AS45" s="1467" t="e">
        <f>#REF!/AS$10</f>
        <v>#REF!</v>
      </c>
      <c r="AT45" s="1467" t="e">
        <f>#REF!/AT$10</f>
        <v>#REF!</v>
      </c>
      <c r="AU45" s="421"/>
      <c r="AV45" s="1467">
        <f t="shared" ref="AV45:AY46" si="27">AV20/AV$10</f>
        <v>-8.4066831580057594E-3</v>
      </c>
      <c r="AW45" s="1467">
        <f t="shared" si="27"/>
        <v>-9.1157274806651332E-3</v>
      </c>
      <c r="AX45" s="1467">
        <f t="shared" si="27"/>
        <v>-9.090987643653332E-3</v>
      </c>
      <c r="AY45" s="1467">
        <f t="shared" si="27"/>
        <v>-1.1016843032203598E-2</v>
      </c>
      <c r="AZ45" s="421"/>
      <c r="BA45" s="1467">
        <f t="shared" ref="BA45:BD46" si="28">BA20/BA$10</f>
        <v>-7.5499193193238889E-3</v>
      </c>
      <c r="BB45" s="1467">
        <f t="shared" si="28"/>
        <v>-7.6419004070902566E-3</v>
      </c>
      <c r="BC45" s="1467">
        <f t="shared" si="28"/>
        <v>-8.4608435929757215E-3</v>
      </c>
      <c r="BD45" s="1468">
        <f t="shared" si="28"/>
        <v>-8.1364987389617519E-3</v>
      </c>
      <c r="BE45" s="1469"/>
      <c r="BF45" s="1469"/>
      <c r="BG45" s="1469"/>
      <c r="BH45" s="1469"/>
      <c r="BI45" s="1469"/>
      <c r="BJ45" s="1469"/>
      <c r="BK45" s="1467"/>
      <c r="BL45" s="1470" t="e">
        <f>#REF!/BL$10</f>
        <v>#REF!</v>
      </c>
      <c r="BM45" s="1467" t="e">
        <f>#REF!/BM$10</f>
        <v>#REF!</v>
      </c>
      <c r="BN45" s="1467" t="e">
        <f>#REF!/BN$10</f>
        <v>#REF!</v>
      </c>
      <c r="BO45" s="1470">
        <f t="shared" ref="BO45:BU46" si="29">BO20/BO$10</f>
        <v>-1.0203495544674871E-2</v>
      </c>
      <c r="BP45" s="1467">
        <f t="shared" si="29"/>
        <v>-9.8075597012582498E-3</v>
      </c>
      <c r="BQ45" s="1467">
        <f t="shared" si="29"/>
        <v>-9.5301455266909706E-3</v>
      </c>
      <c r="BR45" s="1467">
        <f t="shared" si="29"/>
        <v>-7.9705354426106712E-3</v>
      </c>
      <c r="BS45" s="1467">
        <f t="shared" si="29"/>
        <v>-7.9705354426106712E-3</v>
      </c>
      <c r="BT45" s="1467">
        <f t="shared" si="29"/>
        <v>-7.9705354426106712E-3</v>
      </c>
      <c r="BU45" s="1468">
        <f t="shared" si="29"/>
        <v>-7.9705354426106712E-3</v>
      </c>
      <c r="BV45" s="1467"/>
    </row>
    <row r="46" spans="1:81" collapsed="1">
      <c r="A46" s="434" t="s">
        <v>190</v>
      </c>
      <c r="B46" s="421"/>
      <c r="C46" s="1467"/>
      <c r="D46" s="1467"/>
      <c r="E46" s="1467"/>
      <c r="F46" s="1467"/>
      <c r="G46" s="1467"/>
      <c r="H46" s="1467"/>
      <c r="I46" s="1467"/>
      <c r="J46" s="1467"/>
      <c r="K46" s="1467"/>
      <c r="L46" s="1467"/>
      <c r="M46" s="1467"/>
      <c r="N46" s="1467"/>
      <c r="O46" s="1467"/>
      <c r="P46" s="1467"/>
      <c r="Q46" s="1467"/>
      <c r="R46" s="1467"/>
      <c r="S46" s="1467"/>
      <c r="T46" s="1467"/>
      <c r="U46" s="1467"/>
      <c r="V46" s="1467"/>
      <c r="W46" s="1467">
        <f>W21/W$10</f>
        <v>4.7803547527055831E-2</v>
      </c>
      <c r="X46" s="1467">
        <f>X21/X$10</f>
        <v>5.3733498055573786E-2</v>
      </c>
      <c r="Y46" s="1467">
        <f>Y21/Y$10</f>
        <v>4.1507426860497909E-2</v>
      </c>
      <c r="Z46" s="1467">
        <f>Z21/Z$10</f>
        <v>3.8260181381468299E-2</v>
      </c>
      <c r="AA46" s="1467"/>
      <c r="AB46" s="1467">
        <f>AB21/AB$10</f>
        <v>4.1052758646127431E-2</v>
      </c>
      <c r="AC46" s="1467">
        <f>AC21/AC$10</f>
        <v>4.8721783876500856E-2</v>
      </c>
      <c r="AD46" s="1467">
        <f>AD21/AD$10</f>
        <v>4.3067586746928996E-2</v>
      </c>
      <c r="AE46" s="1467">
        <f>AE21/AE$10</f>
        <v>3.1619848011932766E-2</v>
      </c>
      <c r="AF46" s="1467"/>
      <c r="AG46" s="1467">
        <f>AG21/AG$10</f>
        <v>3.9415293176805893E-2</v>
      </c>
      <c r="AH46" s="1467">
        <f>AH21/AH$10</f>
        <v>4.7100330371627114E-2</v>
      </c>
      <c r="AI46" s="1467">
        <f>AI21/AI$10</f>
        <v>4.3607002847563546E-2</v>
      </c>
      <c r="AJ46" s="1467">
        <f>AJ21/AJ$10</f>
        <v>3.2354966298768648E-2</v>
      </c>
      <c r="AK46" s="1467"/>
      <c r="AL46" s="1467">
        <f>AL21/AL$10</f>
        <v>4.0652344246100078E-2</v>
      </c>
      <c r="AM46" s="1467">
        <f>AM21/AM$10</f>
        <v>4.6233131008008577E-2</v>
      </c>
      <c r="AN46" s="1467">
        <f>AN21/AN$10</f>
        <v>4.2221160691491628E-2</v>
      </c>
      <c r="AO46" s="1467">
        <f>AO21/AO$10</f>
        <v>3.6457414410915663E-2</v>
      </c>
      <c r="AP46" s="421"/>
      <c r="AQ46" s="1467">
        <f>AQ21/AQ$10</f>
        <v>4.1260427324030895E-2</v>
      </c>
      <c r="AR46" s="1467">
        <f>AR21/AR$10</f>
        <v>4.2239209417712517E-2</v>
      </c>
      <c r="AS46" s="1467">
        <f>AS21/AS$10</f>
        <v>3.8582360577997972E-2</v>
      </c>
      <c r="AT46" s="1467">
        <f>AT21/AT$10</f>
        <v>3.1390783173209161E-2</v>
      </c>
      <c r="AU46" s="421"/>
      <c r="AV46" s="1467">
        <f t="shared" si="27"/>
        <v>3.6516114508153646E-2</v>
      </c>
      <c r="AW46" s="1467">
        <f t="shared" si="27"/>
        <v>3.8855632672499793E-2</v>
      </c>
      <c r="AX46" s="1467">
        <f t="shared" si="27"/>
        <v>3.6795990667933987E-2</v>
      </c>
      <c r="AY46" s="1467">
        <f t="shared" si="27"/>
        <v>2.9110075523677052E-2</v>
      </c>
      <c r="AZ46" s="421"/>
      <c r="BA46" s="1467">
        <f t="shared" si="28"/>
        <v>3.56322043110276E-2</v>
      </c>
      <c r="BB46" s="1467">
        <f t="shared" si="28"/>
        <v>3.6484306312258678E-2</v>
      </c>
      <c r="BC46" s="1467">
        <f t="shared" si="28"/>
        <v>3.062019586029309E-2</v>
      </c>
      <c r="BD46" s="1468">
        <f t="shared" si="28"/>
        <v>2.315772718012191E-2</v>
      </c>
      <c r="BE46" s="1469"/>
      <c r="BF46" s="1469"/>
      <c r="BG46" s="1469"/>
      <c r="BH46" s="1469"/>
      <c r="BI46" s="1469"/>
      <c r="BJ46" s="1469"/>
      <c r="BK46" s="1467"/>
      <c r="BL46" s="1470">
        <f>BL21/BL$10</f>
        <v>4.4391659858855487E-2</v>
      </c>
      <c r="BM46" s="1467">
        <f>BM21/BM$10</f>
        <v>3.9993165471350844E-2</v>
      </c>
      <c r="BN46" s="1467">
        <f>BN21/BN$10</f>
        <v>3.9715796077666211E-2</v>
      </c>
      <c r="BO46" s="1470">
        <f t="shared" si="29"/>
        <v>4.0908658844089979E-2</v>
      </c>
      <c r="BP46" s="1467">
        <f t="shared" si="29"/>
        <v>3.7988681204733234E-2</v>
      </c>
      <c r="BQ46" s="1467">
        <f t="shared" si="29"/>
        <v>3.4807266032362165E-2</v>
      </c>
      <c r="BR46" s="1467">
        <f t="shared" si="29"/>
        <v>3.0758841372796733E-2</v>
      </c>
      <c r="BS46" s="1467">
        <f t="shared" si="29"/>
        <v>2.9600000000000001E-2</v>
      </c>
      <c r="BT46" s="1467">
        <f t="shared" si="29"/>
        <v>2.9500000000000002E-2</v>
      </c>
      <c r="BU46" s="1468">
        <f t="shared" si="29"/>
        <v>2.8400000000000002E-2</v>
      </c>
      <c r="BV46" s="1467"/>
    </row>
    <row r="47" spans="1:81" hidden="1">
      <c r="A47" s="434" t="s">
        <v>368</v>
      </c>
      <c r="B47" s="421"/>
      <c r="C47" s="1467"/>
      <c r="D47" s="1467"/>
      <c r="E47" s="1467"/>
      <c r="F47" s="1467"/>
      <c r="G47" s="1467"/>
      <c r="H47" s="1467"/>
      <c r="I47" s="1467"/>
      <c r="J47" s="1467"/>
      <c r="K47" s="1467"/>
      <c r="L47" s="1467"/>
      <c r="M47" s="1467"/>
      <c r="N47" s="1467"/>
      <c r="O47" s="1467"/>
      <c r="P47" s="1467"/>
      <c r="Q47" s="1467"/>
      <c r="R47" s="1467"/>
      <c r="S47" s="1467"/>
      <c r="T47" s="1467"/>
      <c r="U47" s="1467"/>
      <c r="V47" s="1467"/>
      <c r="W47" s="1467">
        <f>W19/W$10</f>
        <v>3.5731883769876981E-2</v>
      </c>
      <c r="X47" s="1467">
        <f>X19/X$10</f>
        <v>1.7546913027227675E-4</v>
      </c>
      <c r="Y47" s="1467">
        <f>Y19/Y$10</f>
        <v>8.7428098499038268E-3</v>
      </c>
      <c r="Z47" s="1467">
        <f>Z19/Z$10</f>
        <v>3.701053756122049E-2</v>
      </c>
      <c r="AA47" s="1467"/>
      <c r="AB47" s="1467">
        <f>AB19/AB$10</f>
        <v>1.2831432090651608E-3</v>
      </c>
      <c r="AC47" s="1467">
        <f>AC19/AC$10</f>
        <v>1.7331046312178387E-3</v>
      </c>
      <c r="AD47" s="1467">
        <f>AD19/AD$10</f>
        <v>2.936426369108795E-4</v>
      </c>
      <c r="AE47" s="1467">
        <f>AE19/AE$10</f>
        <v>5.6785085371232691E-3</v>
      </c>
      <c r="AF47" s="1467"/>
      <c r="AG47" s="1467">
        <f>AG19/AG$10</f>
        <v>4.0656304455693314E-2</v>
      </c>
      <c r="AH47" s="1467">
        <f>AH19/AH$10</f>
        <v>6.5733996009322516E-3</v>
      </c>
      <c r="AI47" s="1467">
        <f>AI19/AI$10</f>
        <v>4.796013633586784E-4</v>
      </c>
      <c r="AJ47" s="1467">
        <f>AJ19/AJ$10</f>
        <v>-8.7588328368640603E-5</v>
      </c>
      <c r="AK47" s="1467"/>
      <c r="AL47" s="1467">
        <f>AL19/AL$10</f>
        <v>1.0178927314892447E-3</v>
      </c>
      <c r="AM47" s="1467">
        <f>AM19/AM$10</f>
        <v>8.9101681502022911E-3</v>
      </c>
      <c r="AN47" s="1467">
        <f>AN19/AN$10</f>
        <v>2.1696594552471794E-3</v>
      </c>
      <c r="AO47" s="1467">
        <f>AO19/AO$10</f>
        <v>9.0294359966589487E-3</v>
      </c>
      <c r="AP47" s="421"/>
      <c r="AQ47" s="1467">
        <f>AQ19/AQ$10</f>
        <v>9.4834486837521749E-3</v>
      </c>
      <c r="AR47" s="1467">
        <f>AR19/AR$10</f>
        <v>1.1727215044638372E-2</v>
      </c>
      <c r="AS47" s="1467">
        <f>AS19/AS$10</f>
        <v>1.2416134492936604E-2</v>
      </c>
      <c r="AT47" s="1467">
        <f>AT19/AT$10</f>
        <v>1.5526760934948289E-2</v>
      </c>
      <c r="AU47" s="421"/>
      <c r="AV47" s="1467">
        <f>AV19/AV$10</f>
        <v>4.3890242486499228E-3</v>
      </c>
      <c r="AW47" s="1467">
        <f>AW19/AW$10</f>
        <v>2.5958694150238458E-3</v>
      </c>
      <c r="AX47" s="1467">
        <f>AX19/AX$10</f>
        <v>6.1803335349520441E-2</v>
      </c>
      <c r="AY47" s="1467">
        <f>AY19/AY$10</f>
        <v>2.0823206733442757E-3</v>
      </c>
      <c r="AZ47" s="421"/>
      <c r="BA47" s="1467">
        <f>BA19/BA$10</f>
        <v>2.6059562540836933E-3</v>
      </c>
      <c r="BB47" s="1467">
        <f>BB19/BB$10</f>
        <v>4.4659321912432769E-4</v>
      </c>
      <c r="BC47" s="1467">
        <f>BC19/BC$10</f>
        <v>2.4173838837073494E-3</v>
      </c>
      <c r="BD47" s="1468">
        <f>BD19/BD$10</f>
        <v>1.8776535551450198E-3</v>
      </c>
      <c r="BE47" s="1469"/>
      <c r="BF47" s="1469"/>
      <c r="BG47" s="1469"/>
      <c r="BH47" s="1469"/>
      <c r="BI47" s="1469"/>
      <c r="BJ47" s="1469"/>
      <c r="BK47" s="1467"/>
      <c r="BL47" s="1470">
        <f t="shared" ref="BL47:BU47" si="30">BL19/BL$10</f>
        <v>2.2380052422511589E-2</v>
      </c>
      <c r="BM47" s="1467">
        <f t="shared" si="30"/>
        <v>2.5640382799006537E-3</v>
      </c>
      <c r="BN47" s="1467">
        <f t="shared" si="30"/>
        <v>1.1237543894426091E-2</v>
      </c>
      <c r="BO47" s="1470">
        <f t="shared" si="30"/>
        <v>5.445134641629378E-3</v>
      </c>
      <c r="BP47" s="1467">
        <f t="shared" si="30"/>
        <v>1.2397281266664305E-2</v>
      </c>
      <c r="BQ47" s="1467">
        <f t="shared" si="30"/>
        <v>1.7089790200959104E-2</v>
      </c>
      <c r="BR47" s="1467">
        <f t="shared" si="30"/>
        <v>1.8571332095494168E-3</v>
      </c>
      <c r="BS47" s="1467">
        <f t="shared" si="30"/>
        <v>0</v>
      </c>
      <c r="BT47" s="1467">
        <f t="shared" si="30"/>
        <v>0</v>
      </c>
      <c r="BU47" s="1468">
        <f t="shared" si="30"/>
        <v>0</v>
      </c>
      <c r="BV47" s="1467"/>
    </row>
    <row r="48" spans="1:81">
      <c r="A48" s="434" t="s">
        <v>863</v>
      </c>
      <c r="B48" s="421"/>
      <c r="C48" s="1467"/>
      <c r="D48" s="1467"/>
      <c r="E48" s="1467"/>
      <c r="F48" s="1467"/>
      <c r="G48" s="1467"/>
      <c r="H48" s="1467"/>
      <c r="I48" s="1467"/>
      <c r="J48" s="1467"/>
      <c r="K48" s="1467"/>
      <c r="L48" s="1467"/>
      <c r="M48" s="1467"/>
      <c r="N48" s="1467"/>
      <c r="O48" s="1467"/>
      <c r="P48" s="1467"/>
      <c r="Q48" s="1467"/>
      <c r="R48" s="1467"/>
      <c r="S48" s="1467"/>
      <c r="T48" s="1467"/>
      <c r="U48" s="1467"/>
      <c r="V48" s="1467"/>
      <c r="W48" s="1467">
        <f>W22/W10</f>
        <v>-5.4976669883367503E-2</v>
      </c>
      <c r="X48" s="1467">
        <f>X22/X10</f>
        <v>-1.6562574003749143E-2</v>
      </c>
      <c r="Y48" s="1467">
        <f>Y22/Y10</f>
        <v>3.9030278298069238E-2</v>
      </c>
      <c r="Z48" s="1467">
        <f>Z22/Z10</f>
        <v>5.5992796906528704E-2</v>
      </c>
      <c r="AA48" s="1467"/>
      <c r="AB48" s="1467">
        <f>AB22/AB10</f>
        <v>4.0423481967814139E-2</v>
      </c>
      <c r="AC48" s="1467">
        <f>AC22/AC10</f>
        <v>-5.3396912521440791E-2</v>
      </c>
      <c r="AD48" s="1467">
        <f>AD22/AD10</f>
        <v>2.2716520661022064E-2</v>
      </c>
      <c r="AE48" s="1467">
        <f>AE22/AE10</f>
        <v>0.11421748367828606</v>
      </c>
      <c r="AF48" s="1467"/>
      <c r="AG48" s="1467">
        <f>AG22/AG10</f>
        <v>-1.4896440676323783E-3</v>
      </c>
      <c r="AH48" s="1467">
        <f>AH22/AH10</f>
        <v>-2.9728404523104018E-2</v>
      </c>
      <c r="AI48" s="1467">
        <f>AI22/AI10</f>
        <v>1.2396193011173239E-2</v>
      </c>
      <c r="AJ48" s="1467">
        <f>AJ22/AJ10</f>
        <v>0.10748223295089147</v>
      </c>
      <c r="AK48" s="1467"/>
      <c r="AL48" s="1467">
        <f>AL22/AL10</f>
        <v>2.421447789069503E-2</v>
      </c>
      <c r="AM48" s="1467">
        <f>AM22/AM10</f>
        <v>-2.2790421440890423E-2</v>
      </c>
      <c r="AN48" s="1467">
        <f>AN22/AN10</f>
        <v>5.9298147605941695E-3</v>
      </c>
      <c r="AO48" s="1467">
        <f>AO22/AO10</f>
        <v>0.10508048734465941</v>
      </c>
      <c r="AP48" s="421"/>
      <c r="AQ48" s="1467">
        <f>AQ22/AQ10</f>
        <v>2.4028101734253075E-2</v>
      </c>
      <c r="AR48" s="1467">
        <f>AR22/AR10</f>
        <v>-8.3981656373920046E-3</v>
      </c>
      <c r="AS48" s="1467">
        <f>AS22/AS10</f>
        <v>7.6881020420816459E-3</v>
      </c>
      <c r="AT48" s="1467">
        <f>AT22/AT10</f>
        <v>9.9055143722030795E-2</v>
      </c>
      <c r="AU48" s="421"/>
      <c r="AV48" s="1467">
        <f>AV22/AV10</f>
        <v>4.08767767261176E-2</v>
      </c>
      <c r="AW48" s="1467">
        <f>AW22/AW10</f>
        <v>1.4165646940678159E-2</v>
      </c>
      <c r="AX48" s="1467">
        <f>AX22/AX10</f>
        <v>-3.5937959042599249E-2</v>
      </c>
      <c r="AY48" s="1467">
        <f>AY22/AY10</f>
        <v>0.12035113325909783</v>
      </c>
      <c r="AZ48" s="421"/>
      <c r="BA48" s="1467">
        <f t="shared" ref="BA48:BJ48" si="31">BA22/BA10</f>
        <v>4.7456635721464482E-2</v>
      </c>
      <c r="BB48" s="1467">
        <f t="shared" si="31"/>
        <v>2.9001466503760748E-2</v>
      </c>
      <c r="BC48" s="1467">
        <f t="shared" si="31"/>
        <v>3.042326384897533E-2</v>
      </c>
      <c r="BD48" s="1468">
        <f t="shared" si="31"/>
        <v>0.12370111800369474</v>
      </c>
      <c r="BE48" s="1469">
        <f t="shared" si="31"/>
        <v>3.8639701254563001E-2</v>
      </c>
      <c r="BF48" s="1469">
        <f t="shared" si="31"/>
        <v>5.1824153707685387E-2</v>
      </c>
      <c r="BG48" s="1469">
        <f t="shared" si="31"/>
        <v>3.6943957650565344E-2</v>
      </c>
      <c r="BH48" s="1469">
        <f t="shared" si="31"/>
        <v>2.3224359281680727E-2</v>
      </c>
      <c r="BI48" s="1469">
        <f t="shared" si="31"/>
        <v>2.0769439478640742E-2</v>
      </c>
      <c r="BJ48" s="1469">
        <f t="shared" si="31"/>
        <v>2.7089347020342647E-2</v>
      </c>
      <c r="BK48" s="1467"/>
      <c r="BL48" s="1470">
        <f t="shared" ref="BL48:BU48" si="32">BL22/BL10</f>
        <v>9.8920950099831619E-3</v>
      </c>
      <c r="BM48" s="1467">
        <f t="shared" si="32"/>
        <v>4.1678361849595606E-2</v>
      </c>
      <c r="BN48" s="1467">
        <f t="shared" si="32"/>
        <v>3.0513209971422938E-2</v>
      </c>
      <c r="BO48" s="1470">
        <f t="shared" si="32"/>
        <v>3.4952183223815311E-2</v>
      </c>
      <c r="BP48" s="1467">
        <f t="shared" si="32"/>
        <v>3.6159659293285587E-2</v>
      </c>
      <c r="BQ48" s="1467">
        <f t="shared" si="32"/>
        <v>4.1139995081536741E-2</v>
      </c>
      <c r="BR48" s="1467">
        <f t="shared" si="32"/>
        <v>6.2857916806960151E-2</v>
      </c>
      <c r="BS48" s="1467">
        <f t="shared" si="32"/>
        <v>6.5570535442610711E-2</v>
      </c>
      <c r="BT48" s="1467">
        <f t="shared" si="32"/>
        <v>6.6860535442610627E-2</v>
      </c>
      <c r="BU48" s="1468">
        <f t="shared" si="32"/>
        <v>6.7770535442610649E-2</v>
      </c>
      <c r="BV48" s="1467"/>
    </row>
    <row r="49" spans="1:74">
      <c r="A49" s="434" t="s">
        <v>207</v>
      </c>
      <c r="B49" s="421"/>
      <c r="C49" s="1467"/>
      <c r="D49" s="1467"/>
      <c r="E49" s="1467"/>
      <c r="F49" s="1467"/>
      <c r="G49" s="1467"/>
      <c r="H49" s="1467"/>
      <c r="I49" s="1467"/>
      <c r="J49" s="1467"/>
      <c r="K49" s="1467"/>
      <c r="L49" s="1467"/>
      <c r="M49" s="1467"/>
      <c r="N49" s="1467"/>
      <c r="O49" s="1467"/>
      <c r="P49" s="1467"/>
      <c r="Q49" s="1467"/>
      <c r="R49" s="1467"/>
      <c r="S49" s="1467"/>
      <c r="T49" s="1467"/>
      <c r="U49" s="1467"/>
      <c r="V49" s="1467"/>
      <c r="W49" s="1467">
        <f>W24/W10</f>
        <v>-8.0177773922555845E-2</v>
      </c>
      <c r="X49" s="1467">
        <f>X24/X10</f>
        <v>-4.0480585695984846E-2</v>
      </c>
      <c r="Y49" s="1467">
        <f>Y24/Y10</f>
        <v>1.543145485766409E-2</v>
      </c>
      <c r="Z49" s="1467">
        <f>Z24/Z10</f>
        <v>3.2632764606942893E-2</v>
      </c>
      <c r="AA49" s="1467"/>
      <c r="AB49" s="1467">
        <f>AB24/AB10</f>
        <v>9.837058695977792E-3</v>
      </c>
      <c r="AC49" s="1467">
        <f>AC24/AC10</f>
        <v>-8.9152658662092585E-2</v>
      </c>
      <c r="AD49" s="1467">
        <f>AD24/AD10</f>
        <v>-6.3307954219716019E-3</v>
      </c>
      <c r="AE49" s="1467">
        <f>AE24/AE10</f>
        <v>9.6575049579625136E-2</v>
      </c>
      <c r="AF49" s="1467"/>
      <c r="AG49" s="1467">
        <f>AG24/AG10</f>
        <v>-3.4698804517582379E-2</v>
      </c>
      <c r="AH49" s="1467">
        <f>AH24/AH10</f>
        <v>-7.0454491024757149E-2</v>
      </c>
      <c r="AI49" s="1467">
        <f>AI24/AI10</f>
        <v>-2.6341353766651147E-2</v>
      </c>
      <c r="AJ49" s="1467">
        <f>AJ24/AJ10</f>
        <v>8.2223543256063805E-2</v>
      </c>
      <c r="AK49" s="1467"/>
      <c r="AL49" s="1467">
        <f>AL24/AL10</f>
        <v>-5.7705731832538576E-3</v>
      </c>
      <c r="AM49" s="1467">
        <f>AM24/AM10</f>
        <v>-5.4768033748878411E-2</v>
      </c>
      <c r="AN49" s="1467">
        <f>AN24/AN10</f>
        <v>-2.2313673886453656E-2</v>
      </c>
      <c r="AO49" s="1467">
        <f>AO24/AO10</f>
        <v>8.3491259136274851E-2</v>
      </c>
      <c r="AP49" s="421"/>
      <c r="AQ49" s="1467">
        <f>AQ24/AQ10</f>
        <v>-8.110557610881905E-3</v>
      </c>
      <c r="AR49" s="1467">
        <f>AR24/AR10</f>
        <v>-4.2693902186078256E-2</v>
      </c>
      <c r="AS49" s="1467">
        <f>AS24/AS10</f>
        <v>-2.3048336217311009E-2</v>
      </c>
      <c r="AT49" s="1467">
        <f>AT24/AT10</f>
        <v>7.8527172393738395E-2</v>
      </c>
      <c r="AU49" s="421"/>
      <c r="AV49" s="1467">
        <f>AV24/AV10</f>
        <v>1.7343381764455088E-2</v>
      </c>
      <c r="AW49" s="1467">
        <f>AW24/AW10</f>
        <v>-1.0313526214064983E-2</v>
      </c>
      <c r="AX49" s="1467">
        <f>AX24/AX10</f>
        <v>-5.0302428065324555E-2</v>
      </c>
      <c r="AY49" s="1467">
        <f>AY24/AY10</f>
        <v>0.11023710045093389</v>
      </c>
      <c r="AZ49" s="421"/>
      <c r="BA49" s="1467">
        <f t="shared" ref="BA49:BJ49" si="33">BA24/BA10</f>
        <v>3.4944157476507975E-2</v>
      </c>
      <c r="BB49" s="1467">
        <f t="shared" si="33"/>
        <v>1.6243408161731521E-2</v>
      </c>
      <c r="BC49" s="1467">
        <f t="shared" si="33"/>
        <v>1.8336344430438582E-2</v>
      </c>
      <c r="BD49" s="1468">
        <f t="shared" si="33"/>
        <v>0.11306108119120629</v>
      </c>
      <c r="BE49" s="1469" t="e">
        <f t="shared" si="33"/>
        <v>#REF!</v>
      </c>
      <c r="BF49" s="1469" t="e">
        <f t="shared" si="33"/>
        <v>#REF!</v>
      </c>
      <c r="BG49" s="1469" t="e">
        <f t="shared" si="33"/>
        <v>#REF!</v>
      </c>
      <c r="BH49" s="1469" t="e">
        <f t="shared" si="33"/>
        <v>#REF!</v>
      </c>
      <c r="BI49" s="1469" t="e">
        <f t="shared" si="33"/>
        <v>#REF!</v>
      </c>
      <c r="BJ49" s="1469" t="e">
        <f t="shared" si="33"/>
        <v>#REF!</v>
      </c>
      <c r="BK49" s="1467"/>
      <c r="BL49" s="1470">
        <f t="shared" ref="BL49:BU49" si="34">BL24/BL10</f>
        <v>-1.407187345475938E-2</v>
      </c>
      <c r="BM49" s="1467">
        <f t="shared" si="34"/>
        <v>1.4615753970048995E-2</v>
      </c>
      <c r="BN49" s="1467">
        <f t="shared" si="34"/>
        <v>-2.988738845094601E-3</v>
      </c>
      <c r="BO49" s="1470">
        <f t="shared" si="34"/>
        <v>7.5581708442996678E-3</v>
      </c>
      <c r="BP49" s="1467">
        <f t="shared" si="34"/>
        <v>7.3084083737492232E-3</v>
      </c>
      <c r="BQ49" s="1467">
        <f t="shared" si="34"/>
        <v>2.3745708807039974E-2</v>
      </c>
      <c r="BR49" s="1467">
        <f t="shared" si="34"/>
        <v>5.0972380409259124E-2</v>
      </c>
      <c r="BS49" s="1467">
        <f t="shared" si="34"/>
        <v>5.6597701974516183E-2</v>
      </c>
      <c r="BT49" s="1467">
        <f t="shared" si="34"/>
        <v>5.9718084763879492E-2</v>
      </c>
      <c r="BU49" s="1468">
        <f t="shared" si="34"/>
        <v>6.2437353049712409E-2</v>
      </c>
      <c r="BV49" s="1467"/>
    </row>
    <row r="50" spans="1:74">
      <c r="A50" s="434" t="s">
        <v>208</v>
      </c>
      <c r="B50" s="421"/>
      <c r="C50" s="1467"/>
      <c r="D50" s="1467"/>
      <c r="E50" s="1467"/>
      <c r="F50" s="1467"/>
      <c r="G50" s="1467"/>
      <c r="H50" s="1467"/>
      <c r="I50" s="1467"/>
      <c r="J50" s="1467"/>
      <c r="K50" s="1467"/>
      <c r="L50" s="1467"/>
      <c r="M50" s="1467"/>
      <c r="N50" s="1467"/>
      <c r="O50" s="1467"/>
      <c r="P50" s="1467"/>
      <c r="Q50" s="1467"/>
      <c r="R50" s="1467"/>
      <c r="S50" s="1467"/>
      <c r="T50" s="1467"/>
      <c r="U50" s="1467"/>
      <c r="V50" s="1467"/>
      <c r="W50" s="1467">
        <f>W25/W24</f>
        <v>0.53307989361542263</v>
      </c>
      <c r="X50" s="1467">
        <f>X25/X24</f>
        <v>0.55878206935438279</v>
      </c>
      <c r="Y50" s="1467">
        <f>Y25/Y24</f>
        <v>0.44205912940128256</v>
      </c>
      <c r="Z50" s="1467">
        <f>Z25/Z24</f>
        <v>0.42780499822078555</v>
      </c>
      <c r="AA50" s="1467"/>
      <c r="AB50" s="1467">
        <f>AB25/AB24</f>
        <v>0.40768094534711874</v>
      </c>
      <c r="AC50" s="1467">
        <f>AC25/AC24</f>
        <v>0.37695859627520412</v>
      </c>
      <c r="AD50" s="1467">
        <f>AD25/AD24</f>
        <v>0.48555126081353606</v>
      </c>
      <c r="AE50" s="1467">
        <f>AE25/AE24</f>
        <v>0.39807373834219556</v>
      </c>
      <c r="AF50" s="1467"/>
      <c r="AG50" s="1467">
        <f>AG25/AG24</f>
        <v>0.34682672622371158</v>
      </c>
      <c r="AH50" s="1467">
        <f>AH25/AH24</f>
        <v>0.41384739243223867</v>
      </c>
      <c r="AI50" s="1467">
        <f>AI25/AI24</f>
        <v>0.5658583981074683</v>
      </c>
      <c r="AJ50" s="1467">
        <f>AJ25/AJ24</f>
        <v>0.42964935641366986</v>
      </c>
      <c r="AK50" s="1467"/>
      <c r="AL50" s="1467">
        <f>AL25/AL24</f>
        <v>0.30290396024379845</v>
      </c>
      <c r="AM50" s="1467">
        <f>AM25/AM24</f>
        <v>0.33898878572985108</v>
      </c>
      <c r="AN50" s="1467">
        <f>AN25/AN24</f>
        <v>0.65764218851672951</v>
      </c>
      <c r="AO50" s="1467">
        <f>AO25/AO24</f>
        <v>0.35574623048928999</v>
      </c>
      <c r="AP50" s="421"/>
      <c r="AQ50" s="1467">
        <f>AQ25/AQ24</f>
        <v>0.35702056318954828</v>
      </c>
      <c r="AR50" s="1467">
        <f>AR25/AR24</f>
        <v>0.34460879829478119</v>
      </c>
      <c r="AS50" s="1467">
        <f>AS25/AS24</f>
        <v>0.31294069696352145</v>
      </c>
      <c r="AT50" s="1467">
        <f>AT25/AT24</f>
        <v>0.39314925985664756</v>
      </c>
      <c r="AU50" s="421"/>
      <c r="AV50" s="1467">
        <f>AV25/AV24</f>
        <v>0.39789452166802991</v>
      </c>
      <c r="AW50" s="1467">
        <f>AW25/AW24</f>
        <v>0.39886648703892424</v>
      </c>
      <c r="AX50" s="1467">
        <f>AX25/AX24</f>
        <v>0.41241947951558805</v>
      </c>
      <c r="AY50" s="1467">
        <f>AY25/AY24</f>
        <v>0.36396892672619102</v>
      </c>
      <c r="AZ50" s="421"/>
      <c r="BA50" s="1467">
        <f t="shared" ref="BA50:BI50" si="35">BA25/BA24</f>
        <v>0.37846205945671324</v>
      </c>
      <c r="BB50" s="1467">
        <f t="shared" si="35"/>
        <v>0.41353707091358821</v>
      </c>
      <c r="BC50" s="1467">
        <f t="shared" si="35"/>
        <v>0.39</v>
      </c>
      <c r="BD50" s="1468">
        <f t="shared" si="35"/>
        <v>0.39200000000000002</v>
      </c>
      <c r="BE50" s="1469" t="e">
        <f t="shared" si="35"/>
        <v>#REF!</v>
      </c>
      <c r="BF50" s="1469" t="e">
        <f t="shared" si="35"/>
        <v>#REF!</v>
      </c>
      <c r="BG50" s="1469" t="e">
        <f t="shared" si="35"/>
        <v>#REF!</v>
      </c>
      <c r="BH50" s="1469" t="e">
        <f t="shared" si="35"/>
        <v>#REF!</v>
      </c>
      <c r="BI50" s="1469" t="e">
        <f t="shared" si="35"/>
        <v>#REF!</v>
      </c>
      <c r="BJ50" s="1471" t="s">
        <v>312</v>
      </c>
      <c r="BK50" s="1467"/>
      <c r="BL50" s="1470">
        <f t="shared" ref="BL50:BU50" si="36">BL25/BL24</f>
        <v>0.6001734780328376</v>
      </c>
      <c r="BM50" s="1467">
        <f t="shared" si="36"/>
        <v>0.412611403214381</v>
      </c>
      <c r="BN50" s="1467">
        <f t="shared" si="36"/>
        <v>0.36010070318604559</v>
      </c>
      <c r="BO50" s="1470">
        <f t="shared" si="36"/>
        <v>0.17783124954398619</v>
      </c>
      <c r="BP50" s="1467">
        <f t="shared" si="36"/>
        <v>0.50089622349960117</v>
      </c>
      <c r="BQ50" s="1467">
        <f t="shared" si="36"/>
        <v>0.3418442321822201</v>
      </c>
      <c r="BR50" s="1467">
        <f t="shared" si="36"/>
        <v>0.39122189136839103</v>
      </c>
      <c r="BS50" s="1467">
        <f t="shared" si="36"/>
        <v>0.39122189136839103</v>
      </c>
      <c r="BT50" s="1467">
        <f t="shared" si="36"/>
        <v>0.39100000000000001</v>
      </c>
      <c r="BU50" s="1468">
        <f t="shared" si="36"/>
        <v>0.39200000000000002</v>
      </c>
      <c r="BV50" s="1467"/>
    </row>
    <row r="51" spans="1:74">
      <c r="A51" s="434" t="s">
        <v>864</v>
      </c>
      <c r="B51" s="421"/>
      <c r="C51" s="1467"/>
      <c r="D51" s="1467"/>
      <c r="E51" s="1467"/>
      <c r="F51" s="1467"/>
      <c r="G51" s="1467"/>
      <c r="H51" s="1467"/>
      <c r="I51" s="1467"/>
      <c r="J51" s="1467"/>
      <c r="K51" s="1467"/>
      <c r="L51" s="1467"/>
      <c r="M51" s="1467"/>
      <c r="N51" s="1467"/>
      <c r="O51" s="1467"/>
      <c r="P51" s="1467"/>
      <c r="Q51" s="1467"/>
      <c r="R51" s="1467"/>
      <c r="S51" s="1467"/>
      <c r="T51" s="1467"/>
      <c r="U51" s="1467"/>
      <c r="V51" s="1467"/>
      <c r="W51" s="1467">
        <f>W26/W10</f>
        <v>-3.7436614729598368E-2</v>
      </c>
      <c r="X51" s="1467">
        <f>X26/X10</f>
        <v>-1.7860760252105007E-2</v>
      </c>
      <c r="Y51" s="1467">
        <f>Y26/Y10</f>
        <v>8.6098393578899098E-3</v>
      </c>
      <c r="Z51" s="1467">
        <f>Z26/Z10</f>
        <v>1.8672304802330376E-2</v>
      </c>
      <c r="AA51" s="1467"/>
      <c r="AB51" s="1467">
        <f>AB26/AB10</f>
        <v>5.8266773073664714E-3</v>
      </c>
      <c r="AC51" s="1467">
        <f>AC26/AC10</f>
        <v>-5.5545797598627746E-2</v>
      </c>
      <c r="AD51" s="1467">
        <f>AD26/AD10</f>
        <v>-3.2568697228807287E-3</v>
      </c>
      <c r="AE51" s="1467">
        <f>AE26/AE10</f>
        <v>5.8131058562880873E-2</v>
      </c>
      <c r="AF51" s="1467"/>
      <c r="AG51" s="1467">
        <f>AG26/AG10</f>
        <v>-2.2664331742872752E-2</v>
      </c>
      <c r="AH51" s="1467">
        <f>AH26/AH10</f>
        <v>-4.1297083629020834E-2</v>
      </c>
      <c r="AI51" s="1467">
        <f>AI26/AI10</f>
        <v>-1.1435877520271802E-2</v>
      </c>
      <c r="AJ51" s="1467">
        <f>AJ26/AJ10</f>
        <v>4.689625081404445E-2</v>
      </c>
      <c r="AK51" s="1467"/>
      <c r="AL51" s="1467">
        <f>AL26/AL10</f>
        <v>-4.0226437131696017E-3</v>
      </c>
      <c r="AM51" s="1467">
        <f>AM26/AM10</f>
        <v>-3.6202284491534613E-2</v>
      </c>
      <c r="AN51" s="1467">
        <f>AN26/AN10</f>
        <v>-7.6392605579176757E-3</v>
      </c>
      <c r="AO51" s="1467">
        <f>AO26/AO10</f>
        <v>5.3789558419740577E-2</v>
      </c>
      <c r="AP51" s="421"/>
      <c r="AQ51" s="1467">
        <f>AQ26/AQ10</f>
        <v>-5.21492176486357E-3</v>
      </c>
      <c r="AR51" s="1467">
        <f>AR26/AR10</f>
        <v>-2.7981207859218895E-2</v>
      </c>
      <c r="AS51" s="1467">
        <f>AS26/AS10</f>
        <v>-1.583557381761613E-2</v>
      </c>
      <c r="AT51" s="1467">
        <f>AT26/AT10</f>
        <v>4.7654272688504778E-2</v>
      </c>
      <c r="AU51" s="421"/>
      <c r="AV51" s="1467">
        <f>AV26/AV10</f>
        <v>1.0442545173181198E-2</v>
      </c>
      <c r="AW51" s="1467">
        <f>AW26/AW10</f>
        <v>-6.1998062440770272E-3</v>
      </c>
      <c r="AX51" s="1467">
        <f>AX26/AX10</f>
        <v>-2.9556726864253091E-2</v>
      </c>
      <c r="AY51" s="1467">
        <f>AY26/AY10</f>
        <v>7.0114221314400163E-2</v>
      </c>
      <c r="AZ51" s="421"/>
      <c r="BA51" s="1467">
        <f t="shared" ref="BA51:BJ51" si="37">BA26/BA10</f>
        <v>2.1719119671969066E-2</v>
      </c>
      <c r="BB51" s="1467">
        <f t="shared" si="37"/>
        <v>9.5261567288751955E-3</v>
      </c>
      <c r="BC51" s="1467">
        <f t="shared" si="37"/>
        <v>1.1185170102567536E-2</v>
      </c>
      <c r="BD51" s="1468">
        <f t="shared" si="37"/>
        <v>6.8741137364253427E-2</v>
      </c>
      <c r="BE51" s="1469" t="e">
        <f t="shared" si="37"/>
        <v>#REF!</v>
      </c>
      <c r="BF51" s="1469" t="e">
        <f t="shared" si="37"/>
        <v>#REF!</v>
      </c>
      <c r="BG51" s="1469" t="e">
        <f t="shared" si="37"/>
        <v>#REF!</v>
      </c>
      <c r="BH51" s="1469" t="e">
        <f t="shared" si="37"/>
        <v>#REF!</v>
      </c>
      <c r="BI51" s="1469" t="e">
        <f t="shared" si="37"/>
        <v>#REF!</v>
      </c>
      <c r="BJ51" s="1469" t="e">
        <f t="shared" si="37"/>
        <v>#REF!</v>
      </c>
      <c r="BK51" s="1467"/>
      <c r="BL51" s="1470">
        <f t="shared" ref="BL51:BU51" si="38">BL26/BL10</f>
        <v>-5.6263082209784812E-3</v>
      </c>
      <c r="BM51" s="1467">
        <f t="shared" si="38"/>
        <v>8.5851272154309193E-3</v>
      </c>
      <c r="BN51" s="1467">
        <f t="shared" si="38"/>
        <v>-1.9124918853365854E-3</v>
      </c>
      <c r="BO51" s="1470">
        <f t="shared" si="38"/>
        <v>6.214091878790933E-3</v>
      </c>
      <c r="BP51" s="1467">
        <f t="shared" si="38"/>
        <v>3.6476542195453751E-3</v>
      </c>
      <c r="BQ51" s="1467">
        <f t="shared" si="38"/>
        <v>1.5628375212274812E-2</v>
      </c>
      <c r="BR51" s="1467">
        <f t="shared" si="38"/>
        <v>3.1030869337999648E-2</v>
      </c>
      <c r="BS51" s="1467">
        <f t="shared" si="38"/>
        <v>3.4455441960941441E-2</v>
      </c>
      <c r="BT51" s="1467">
        <f t="shared" si="38"/>
        <v>3.636831362120261E-2</v>
      </c>
      <c r="BU51" s="1468">
        <f t="shared" si="38"/>
        <v>3.7961910654225141E-2</v>
      </c>
      <c r="BV51" s="1467"/>
    </row>
    <row r="52" spans="1:74">
      <c r="A52" s="1434" t="s">
        <v>857</v>
      </c>
      <c r="B52" s="421"/>
      <c r="C52" s="1467"/>
      <c r="D52" s="1467"/>
      <c r="E52" s="1467"/>
      <c r="F52" s="1467"/>
      <c r="G52" s="1467"/>
      <c r="H52" s="1467"/>
      <c r="I52" s="1467"/>
      <c r="J52" s="1467"/>
      <c r="K52" s="1467"/>
      <c r="L52" s="1467"/>
      <c r="M52" s="1467"/>
      <c r="N52" s="1467"/>
      <c r="O52" s="1467"/>
      <c r="P52" s="1467"/>
      <c r="Q52" s="1467"/>
      <c r="R52" s="1467"/>
      <c r="S52" s="1467"/>
      <c r="T52" s="1467"/>
      <c r="U52" s="1467"/>
      <c r="V52" s="1467"/>
      <c r="W52" s="1467"/>
      <c r="X52" s="1467"/>
      <c r="Y52" s="1467"/>
      <c r="Z52" s="1467"/>
      <c r="AA52" s="1467"/>
      <c r="AB52" s="1467"/>
      <c r="AC52" s="1467"/>
      <c r="AD52" s="1467"/>
      <c r="AE52" s="1467"/>
      <c r="AF52" s="1467"/>
      <c r="AG52" s="1467"/>
      <c r="AH52" s="1467"/>
      <c r="AI52" s="1467"/>
      <c r="AJ52" s="1467"/>
      <c r="AK52" s="1467"/>
      <c r="AL52" s="1467"/>
      <c r="AM52" s="1467"/>
      <c r="AN52" s="1467"/>
      <c r="AO52" s="1467"/>
      <c r="AP52" s="421"/>
      <c r="AQ52" s="1467"/>
      <c r="AR52" s="1467"/>
      <c r="AS52" s="1467"/>
      <c r="AT52" s="1467"/>
      <c r="AU52" s="421"/>
      <c r="AV52" s="1467"/>
      <c r="AW52" s="1467"/>
      <c r="AX52" s="1467"/>
      <c r="AY52" s="1467"/>
      <c r="AZ52" s="421"/>
      <c r="BA52" s="1467"/>
      <c r="BB52" s="1467"/>
      <c r="BC52" s="1467"/>
      <c r="BD52" s="1468"/>
      <c r="BE52" s="1469"/>
      <c r="BF52" s="1469"/>
      <c r="BG52" s="1469"/>
      <c r="BH52" s="1469"/>
      <c r="BI52" s="1469"/>
      <c r="BJ52" s="1469"/>
      <c r="BK52" s="1467"/>
      <c r="BL52" s="1470"/>
      <c r="BM52" s="1467"/>
      <c r="BN52" s="1467"/>
      <c r="BO52" s="1470"/>
      <c r="BP52" s="1467"/>
      <c r="BQ52" s="1467"/>
      <c r="BR52" s="1467"/>
      <c r="BS52" s="1467"/>
      <c r="BT52" s="1467"/>
      <c r="BU52" s="1468"/>
      <c r="BV52" s="1467"/>
    </row>
    <row r="53" spans="1:74">
      <c r="A53" s="434" t="s">
        <v>865</v>
      </c>
      <c r="B53" s="421"/>
      <c r="C53" s="1467"/>
      <c r="D53" s="1467"/>
      <c r="E53" s="1467"/>
      <c r="F53" s="1467"/>
      <c r="G53" s="1467"/>
      <c r="H53" s="1467"/>
      <c r="I53" s="1467"/>
      <c r="J53" s="1467"/>
      <c r="K53" s="1467"/>
      <c r="L53" s="1467"/>
      <c r="M53" s="1467"/>
      <c r="N53" s="1467"/>
      <c r="O53" s="1467"/>
      <c r="P53" s="1467"/>
      <c r="Q53" s="1467"/>
      <c r="R53" s="1467"/>
      <c r="S53" s="1467"/>
      <c r="T53" s="1467"/>
      <c r="U53" s="1467"/>
      <c r="V53" s="1467"/>
      <c r="W53" s="1467"/>
      <c r="X53" s="1467"/>
      <c r="Y53" s="1467"/>
      <c r="Z53" s="1467"/>
      <c r="AA53" s="1467"/>
      <c r="AB53" s="1467"/>
      <c r="AC53" s="1467"/>
      <c r="AD53" s="1467"/>
      <c r="AE53" s="1467"/>
      <c r="AF53" s="1467"/>
      <c r="AG53" s="1467"/>
      <c r="AH53" s="1467"/>
      <c r="AI53" s="1467"/>
      <c r="AJ53" s="1467"/>
      <c r="AK53" s="1467"/>
      <c r="AL53" s="1467"/>
      <c r="AM53" s="1467"/>
      <c r="AN53" s="1467"/>
      <c r="AO53" s="1467"/>
      <c r="AP53" s="421"/>
      <c r="AQ53" s="1467"/>
      <c r="AR53" s="1467"/>
      <c r="AS53" s="1467"/>
      <c r="AT53" s="1467"/>
      <c r="AU53" s="421"/>
      <c r="AV53" s="1467">
        <f>AV31/AV10</f>
        <v>4.5265800974767519E-2</v>
      </c>
      <c r="AW53" s="1467">
        <f>AW31/AW10</f>
        <v>1.6761516355702003E-2</v>
      </c>
      <c r="AX53" s="1467">
        <f>AX31/AX10</f>
        <v>2.5865376306921196E-2</v>
      </c>
      <c r="AY53" s="1467">
        <f>AY31/AY10</f>
        <v>0.12243345393244209</v>
      </c>
      <c r="AZ53" s="421"/>
      <c r="BA53" s="1467">
        <f t="shared" ref="BA53:BU53" si="39">BA31/BA10</f>
        <v>5.0062591975548174E-2</v>
      </c>
      <c r="BB53" s="1467">
        <f t="shared" si="39"/>
        <v>2.944805972288508E-2</v>
      </c>
      <c r="BC53" s="1467">
        <f t="shared" si="39"/>
        <v>3.042326384897533E-2</v>
      </c>
      <c r="BD53" s="1468">
        <f t="shared" si="39"/>
        <v>0.12370111800369474</v>
      </c>
      <c r="BE53" s="1469">
        <f t="shared" si="39"/>
        <v>0</v>
      </c>
      <c r="BF53" s="1469">
        <f t="shared" si="39"/>
        <v>0</v>
      </c>
      <c r="BG53" s="1469">
        <f t="shared" si="39"/>
        <v>0</v>
      </c>
      <c r="BH53" s="1469">
        <f t="shared" si="39"/>
        <v>0</v>
      </c>
      <c r="BI53" s="1469">
        <f t="shared" si="39"/>
        <v>0</v>
      </c>
      <c r="BJ53" s="1469">
        <f t="shared" si="39"/>
        <v>0</v>
      </c>
      <c r="BK53" s="1467" t="e">
        <f t="shared" si="39"/>
        <v>#DIV/0!</v>
      </c>
      <c r="BL53" s="1470">
        <f t="shared" si="39"/>
        <v>0</v>
      </c>
      <c r="BM53" s="1467">
        <f t="shared" si="39"/>
        <v>0</v>
      </c>
      <c r="BN53" s="1467">
        <f t="shared" si="39"/>
        <v>0</v>
      </c>
      <c r="BO53" s="1470">
        <f t="shared" si="39"/>
        <v>4.0397317865444683E-2</v>
      </c>
      <c r="BP53" s="1467">
        <f t="shared" si="39"/>
        <v>4.8556940559949892E-2</v>
      </c>
      <c r="BQ53" s="1467">
        <f t="shared" si="39"/>
        <v>5.8229785282495845E-2</v>
      </c>
      <c r="BR53" s="1467">
        <f t="shared" si="39"/>
        <v>6.4715050016509568E-2</v>
      </c>
      <c r="BS53" s="1467">
        <f t="shared" si="39"/>
        <v>6.5570535442610711E-2</v>
      </c>
      <c r="BT53" s="1467">
        <f t="shared" si="39"/>
        <v>6.6860535442610627E-2</v>
      </c>
      <c r="BU53" s="1468">
        <f t="shared" si="39"/>
        <v>6.7770535442610649E-2</v>
      </c>
      <c r="BV53" s="1467"/>
    </row>
    <row r="54" spans="1:74">
      <c r="A54" s="434" t="s">
        <v>379</v>
      </c>
      <c r="B54" s="421"/>
      <c r="C54" s="1467"/>
      <c r="D54" s="1467"/>
      <c r="E54" s="1467"/>
      <c r="F54" s="1467"/>
      <c r="G54" s="1467"/>
      <c r="H54" s="1467"/>
      <c r="I54" s="1467"/>
      <c r="J54" s="1467"/>
      <c r="K54" s="1467"/>
      <c r="L54" s="1467"/>
      <c r="M54" s="1467"/>
      <c r="N54" s="1467"/>
      <c r="O54" s="1467"/>
      <c r="P54" s="1467"/>
      <c r="Q54" s="1467"/>
      <c r="R54" s="1467"/>
      <c r="S54" s="1467"/>
      <c r="T54" s="1467"/>
      <c r="U54" s="1467"/>
      <c r="V54" s="1467"/>
      <c r="W54" s="1467"/>
      <c r="X54" s="1467"/>
      <c r="Y54" s="1467"/>
      <c r="Z54" s="1467"/>
      <c r="AA54" s="1467"/>
      <c r="AB54" s="1467"/>
      <c r="AC54" s="1467"/>
      <c r="AD54" s="1467"/>
      <c r="AE54" s="1467"/>
      <c r="AF54" s="1467"/>
      <c r="AG54" s="1467"/>
      <c r="AH54" s="1467"/>
      <c r="AI54" s="1467"/>
      <c r="AJ54" s="1467"/>
      <c r="AK54" s="1467"/>
      <c r="AL54" s="1467"/>
      <c r="AM54" s="1467"/>
      <c r="AN54" s="1467"/>
      <c r="AO54" s="1467"/>
      <c r="AP54" s="421"/>
      <c r="AQ54" s="1467"/>
      <c r="AR54" s="1467"/>
      <c r="AS54" s="1467"/>
      <c r="AT54" s="1467"/>
      <c r="AU54" s="421"/>
      <c r="AV54" s="1467">
        <f>AV33/AV10</f>
        <v>8.1781915482921158E-2</v>
      </c>
      <c r="AW54" s="1467">
        <f>AW33/AW10</f>
        <v>5.56171490282018E-2</v>
      </c>
      <c r="AX54" s="1467">
        <f>AX33/AX10</f>
        <v>6.2661366974855179E-2</v>
      </c>
      <c r="AY54" s="1467">
        <f>AY33/AY10</f>
        <v>0.15154352945611915</v>
      </c>
      <c r="AZ54" s="421"/>
      <c r="BA54" s="1467">
        <f t="shared" ref="BA54:BU54" si="40">BA33/BA10</f>
        <v>8.5694796286575781E-2</v>
      </c>
      <c r="BB54" s="1467">
        <f t="shared" si="40"/>
        <v>6.5932366035143755E-2</v>
      </c>
      <c r="BC54" s="1467">
        <f t="shared" si="40"/>
        <v>6.1043459709268416E-2</v>
      </c>
      <c r="BD54" s="1468">
        <f t="shared" si="40"/>
        <v>0.14685884518381664</v>
      </c>
      <c r="BE54" s="1469">
        <f t="shared" si="40"/>
        <v>0</v>
      </c>
      <c r="BF54" s="1469">
        <f t="shared" si="40"/>
        <v>0</v>
      </c>
      <c r="BG54" s="1469">
        <f t="shared" si="40"/>
        <v>0</v>
      </c>
      <c r="BH54" s="1469">
        <f t="shared" si="40"/>
        <v>0</v>
      </c>
      <c r="BI54" s="1469">
        <f t="shared" si="40"/>
        <v>0</v>
      </c>
      <c r="BJ54" s="1469">
        <f t="shared" si="40"/>
        <v>0</v>
      </c>
      <c r="BK54" s="1467" t="e">
        <f t="shared" si="40"/>
        <v>#DIV/0!</v>
      </c>
      <c r="BL54" s="1470">
        <f t="shared" si="40"/>
        <v>0</v>
      </c>
      <c r="BM54" s="1467">
        <f t="shared" si="40"/>
        <v>0</v>
      </c>
      <c r="BN54" s="1467">
        <f t="shared" si="40"/>
        <v>0</v>
      </c>
      <c r="BO54" s="1470">
        <f t="shared" si="40"/>
        <v>8.1305976709534655E-2</v>
      </c>
      <c r="BP54" s="1467">
        <f t="shared" si="40"/>
        <v>8.6545621764683126E-2</v>
      </c>
      <c r="BQ54" s="1467">
        <f t="shared" si="40"/>
        <v>9.303705131485801E-2</v>
      </c>
      <c r="BR54" s="1467">
        <f t="shared" si="40"/>
        <v>9.5473891389306315E-2</v>
      </c>
      <c r="BS54" s="1467">
        <f t="shared" si="40"/>
        <v>9.5170535442610713E-2</v>
      </c>
      <c r="BT54" s="1467">
        <f t="shared" si="40"/>
        <v>9.6360535442610626E-2</v>
      </c>
      <c r="BU54" s="1468">
        <f t="shared" si="40"/>
        <v>9.6170535442610644E-2</v>
      </c>
      <c r="BV54" s="1467"/>
    </row>
    <row r="55" spans="1:74">
      <c r="A55" s="434" t="s">
        <v>866</v>
      </c>
      <c r="B55" s="421"/>
      <c r="C55" s="1467"/>
      <c r="D55" s="1467"/>
      <c r="E55" s="1467"/>
      <c r="F55" s="1467"/>
      <c r="G55" s="1467"/>
      <c r="H55" s="1467"/>
      <c r="I55" s="1467"/>
      <c r="J55" s="1467"/>
      <c r="K55" s="1467"/>
      <c r="L55" s="1467"/>
      <c r="M55" s="1467"/>
      <c r="N55" s="1467"/>
      <c r="O55" s="1467"/>
      <c r="P55" s="1467"/>
      <c r="Q55" s="1467"/>
      <c r="R55" s="1467"/>
      <c r="S55" s="1467"/>
      <c r="T55" s="1467"/>
      <c r="U55" s="1467"/>
      <c r="V55" s="1467"/>
      <c r="W55" s="1467" t="e">
        <f>#REF!/W10</f>
        <v>#REF!</v>
      </c>
      <c r="X55" s="1467" t="e">
        <f>#REF!/X10</f>
        <v>#REF!</v>
      </c>
      <c r="Y55" s="1467" t="e">
        <f>#REF!/Y10</f>
        <v>#REF!</v>
      </c>
      <c r="Z55" s="1467" t="e">
        <f>#REF!/Z10</f>
        <v>#REF!</v>
      </c>
      <c r="AA55" s="1467"/>
      <c r="AB55" s="1467" t="e">
        <f>#REF!/AB10</f>
        <v>#REF!</v>
      </c>
      <c r="AC55" s="1467" t="e">
        <f>#REF!/AC10</f>
        <v>#REF!</v>
      </c>
      <c r="AD55" s="1467" t="e">
        <f>#REF!/AD10</f>
        <v>#REF!</v>
      </c>
      <c r="AE55" s="1467" t="e">
        <f>#REF!/AE10</f>
        <v>#REF!</v>
      </c>
      <c r="AF55" s="1467"/>
      <c r="AG55" s="1467" t="e">
        <f>#REF!/AG10</f>
        <v>#REF!</v>
      </c>
      <c r="AH55" s="1467" t="e">
        <f>#REF!/AH10</f>
        <v>#REF!</v>
      </c>
      <c r="AI55" s="1467" t="e">
        <f>#REF!/AI10</f>
        <v>#REF!</v>
      </c>
      <c r="AJ55" s="1467" t="e">
        <f>#REF!/AJ10</f>
        <v>#REF!</v>
      </c>
      <c r="AK55" s="1467"/>
      <c r="AL55" s="1467" t="e">
        <f>#REF!/AL10</f>
        <v>#REF!</v>
      </c>
      <c r="AM55" s="1467" t="e">
        <f>#REF!/AM10</f>
        <v>#REF!</v>
      </c>
      <c r="AN55" s="1467" t="e">
        <f>#REF!/AN10</f>
        <v>#REF!</v>
      </c>
      <c r="AO55" s="1467" t="e">
        <f>#REF!/AO10</f>
        <v>#REF!</v>
      </c>
      <c r="AP55" s="421"/>
      <c r="AQ55" s="1467" t="e">
        <f>#REF!/AQ10</f>
        <v>#REF!</v>
      </c>
      <c r="AR55" s="1467" t="e">
        <f>#REF!/AR10</f>
        <v>#REF!</v>
      </c>
      <c r="AS55" s="1467" t="e">
        <f>#REF!/AS10</f>
        <v>#REF!</v>
      </c>
      <c r="AT55" s="1467" t="e">
        <f>#REF!/AT10</f>
        <v>#REF!</v>
      </c>
      <c r="AU55" s="421"/>
      <c r="AV55" s="1467">
        <f>AV35/AV10</f>
        <v>1.6503156605383981E-2</v>
      </c>
      <c r="AW55" s="1467">
        <f>AW35/AW10</f>
        <v>-8.4037559135337586E-4</v>
      </c>
      <c r="AX55" s="1467">
        <f>AX35/AX10</f>
        <v>1.0298971744577815E-2</v>
      </c>
      <c r="AY55" s="1467">
        <f>AY35/AY10</f>
        <v>7.3336331480137545E-2</v>
      </c>
      <c r="AZ55" s="421"/>
      <c r="BA55" s="1467">
        <f t="shared" ref="BA55:BU55" si="41">BA35/BA10</f>
        <v>2.6547281242947356E-2</v>
      </c>
      <c r="BB55" s="1467">
        <f t="shared" si="41"/>
        <v>1.2984413809256731E-2</v>
      </c>
      <c r="BC55" s="1467">
        <f t="shared" si="41"/>
        <v>1.4134378440690503E-2</v>
      </c>
      <c r="BD55" s="1468">
        <f t="shared" si="41"/>
        <v>7.1024364087309763E-2</v>
      </c>
      <c r="BE55" s="1469" t="e">
        <f t="shared" si="41"/>
        <v>#REF!</v>
      </c>
      <c r="BF55" s="1469" t="e">
        <f t="shared" si="41"/>
        <v>#REF!</v>
      </c>
      <c r="BG55" s="1469" t="e">
        <f t="shared" si="41"/>
        <v>#REF!</v>
      </c>
      <c r="BH55" s="1469" t="e">
        <f t="shared" si="41"/>
        <v>#REF!</v>
      </c>
      <c r="BI55" s="1469" t="e">
        <f t="shared" si="41"/>
        <v>#REF!</v>
      </c>
      <c r="BJ55" s="1469" t="e">
        <f t="shared" si="41"/>
        <v>#REF!</v>
      </c>
      <c r="BK55" s="1467" t="e">
        <f t="shared" si="41"/>
        <v>#DIV/0!</v>
      </c>
      <c r="BL55" s="1470">
        <f t="shared" si="41"/>
        <v>1.6753744201533107E-2</v>
      </c>
      <c r="BM55" s="1467">
        <f t="shared" si="41"/>
        <v>1.1149165495331572E-2</v>
      </c>
      <c r="BN55" s="1467">
        <f t="shared" si="41"/>
        <v>9.3250520090895038E-3</v>
      </c>
      <c r="BO55" s="1470">
        <f t="shared" si="41"/>
        <v>1.4528959642360117E-2</v>
      </c>
      <c r="BP55" s="1467">
        <f t="shared" si="41"/>
        <v>1.5864246732300313E-2</v>
      </c>
      <c r="BQ55" s="1467">
        <f t="shared" si="41"/>
        <v>2.8784848807106442E-2</v>
      </c>
      <c r="BR55" s="1467">
        <f t="shared" si="41"/>
        <v>3.4317147271970924E-2</v>
      </c>
      <c r="BS55" s="1467">
        <f t="shared" si="41"/>
        <v>3.7137796858878087E-2</v>
      </c>
      <c r="BT55" s="1467">
        <f t="shared" si="41"/>
        <v>3.889488932202291E-2</v>
      </c>
      <c r="BU55" s="1468">
        <f t="shared" si="41"/>
        <v>4.0339308588657773E-2</v>
      </c>
      <c r="BV55" s="1467"/>
    </row>
    <row r="56" spans="1:74">
      <c r="A56" s="434"/>
      <c r="B56" s="421"/>
      <c r="C56" s="421"/>
      <c r="D56" s="421"/>
      <c r="E56" s="421"/>
      <c r="F56" s="421"/>
      <c r="G56" s="421"/>
      <c r="H56" s="421"/>
      <c r="I56" s="421"/>
      <c r="J56" s="421"/>
      <c r="K56" s="421"/>
      <c r="L56" s="421"/>
      <c r="M56" s="421"/>
      <c r="N56" s="421"/>
      <c r="O56" s="421"/>
      <c r="P56" s="421"/>
      <c r="Q56" s="421"/>
      <c r="R56" s="421"/>
      <c r="S56" s="421"/>
      <c r="T56" s="421"/>
      <c r="U56" s="421"/>
      <c r="V56" s="421"/>
      <c r="W56" s="421"/>
      <c r="X56" s="421"/>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1"/>
      <c r="AW56" s="421"/>
      <c r="AX56" s="421"/>
      <c r="AY56" s="421"/>
      <c r="AZ56" s="421"/>
      <c r="BA56" s="421"/>
      <c r="BB56" s="421"/>
      <c r="BC56" s="421"/>
      <c r="BD56" s="435"/>
      <c r="BE56" s="433"/>
      <c r="BF56" s="433"/>
      <c r="BG56" s="433"/>
      <c r="BH56" s="433"/>
      <c r="BI56" s="433"/>
      <c r="BJ56" s="433"/>
      <c r="BK56" s="421"/>
      <c r="BL56" s="434"/>
      <c r="BM56" s="421"/>
      <c r="BN56" s="421"/>
      <c r="BO56" s="434"/>
      <c r="BP56" s="421"/>
      <c r="BQ56" s="421"/>
      <c r="BR56" s="421"/>
      <c r="BS56" s="502"/>
      <c r="BT56" s="421"/>
      <c r="BU56" s="435"/>
      <c r="BV56" s="421"/>
    </row>
    <row r="57" spans="1:74">
      <c r="A57" s="1233" t="s">
        <v>210</v>
      </c>
      <c r="B57" s="421"/>
      <c r="C57" s="421"/>
      <c r="D57" s="421"/>
      <c r="E57" s="421"/>
      <c r="F57" s="421"/>
      <c r="G57" s="421"/>
      <c r="H57" s="421"/>
      <c r="I57" s="421"/>
      <c r="J57" s="421"/>
      <c r="K57" s="421"/>
      <c r="L57" s="421"/>
      <c r="M57" s="421"/>
      <c r="N57" s="421"/>
      <c r="O57" s="421"/>
      <c r="P57" s="421"/>
      <c r="Q57" s="421"/>
      <c r="R57" s="421"/>
      <c r="S57" s="421"/>
      <c r="T57" s="421"/>
      <c r="U57" s="421"/>
      <c r="V57" s="421"/>
      <c r="W57" s="421"/>
      <c r="X57" s="421"/>
      <c r="Y57" s="421"/>
      <c r="Z57" s="421"/>
      <c r="AA57" s="421"/>
      <c r="AB57" s="421"/>
      <c r="AC57" s="421"/>
      <c r="AD57" s="421"/>
      <c r="AE57" s="421"/>
      <c r="AF57" s="421"/>
      <c r="AG57" s="421"/>
      <c r="AH57" s="421"/>
      <c r="AI57" s="421"/>
      <c r="AJ57" s="421"/>
      <c r="AK57" s="421"/>
      <c r="AL57" s="421"/>
      <c r="AM57" s="421"/>
      <c r="AN57" s="421"/>
      <c r="AO57" s="421"/>
      <c r="AP57" s="421"/>
      <c r="AQ57" s="421"/>
      <c r="AR57" s="421"/>
      <c r="AS57" s="421"/>
      <c r="AT57" s="421"/>
      <c r="AU57" s="502"/>
      <c r="AV57" s="502"/>
      <c r="AW57" s="502"/>
      <c r="AX57" s="502"/>
      <c r="AY57" s="502"/>
      <c r="AZ57" s="421"/>
      <c r="BA57" s="502"/>
      <c r="BB57" s="502"/>
      <c r="BC57" s="421"/>
      <c r="BD57" s="435"/>
      <c r="BE57" s="433"/>
      <c r="BF57" s="433"/>
      <c r="BG57" s="433"/>
      <c r="BH57" s="433"/>
      <c r="BI57" s="433"/>
      <c r="BJ57" s="433"/>
      <c r="BK57" s="421"/>
      <c r="BL57" s="434"/>
      <c r="BM57" s="421"/>
      <c r="BN57" s="421"/>
      <c r="BO57" s="434"/>
      <c r="BP57" s="421"/>
      <c r="BQ57" s="421"/>
      <c r="BR57" s="421"/>
      <c r="BS57" s="421"/>
      <c r="BT57" s="421"/>
      <c r="BU57" s="435"/>
      <c r="BV57" s="421"/>
    </row>
    <row r="58" spans="1:74">
      <c r="A58" s="434" t="s">
        <v>98</v>
      </c>
      <c r="B58" s="421"/>
      <c r="C58" s="1427"/>
      <c r="D58" s="1427"/>
      <c r="E58" s="1427"/>
      <c r="F58" s="1427"/>
      <c r="G58" s="421"/>
      <c r="H58" s="1467"/>
      <c r="I58" s="1467"/>
      <c r="J58" s="1467"/>
      <c r="K58" s="1467"/>
      <c r="L58" s="1467"/>
      <c r="M58" s="1467"/>
      <c r="N58" s="1467"/>
      <c r="O58" s="1467"/>
      <c r="P58" s="1467"/>
      <c r="Q58" s="1467"/>
      <c r="R58" s="1467"/>
      <c r="S58" s="1467"/>
      <c r="T58" s="1467"/>
      <c r="U58" s="1467"/>
      <c r="V58" s="1467"/>
      <c r="W58" s="1472" t="s">
        <v>313</v>
      </c>
      <c r="X58" s="1472" t="s">
        <v>313</v>
      </c>
      <c r="Y58" s="1472" t="s">
        <v>313</v>
      </c>
      <c r="Z58" s="1472" t="s">
        <v>313</v>
      </c>
      <c r="AA58" s="1467"/>
      <c r="AB58" s="1467">
        <f>((AB10/W10)-1)</f>
        <v>7.7869459774975391E-2</v>
      </c>
      <c r="AC58" s="1467">
        <f>((AC10/X10)-1)</f>
        <v>3.9618932405867335E-2</v>
      </c>
      <c r="AD58" s="1467">
        <f>((AD10/Y10)-1)</f>
        <v>-1.6263666730095161E-2</v>
      </c>
      <c r="AE58" s="1467">
        <f>((AE10/Z10)-1)</f>
        <v>6.115930144999826E-2</v>
      </c>
      <c r="AF58" s="1467"/>
      <c r="AG58" s="1467">
        <f>((AG10/AB10)-1)</f>
        <v>3.8452940611035435E-2</v>
      </c>
      <c r="AH58" s="1467">
        <f>((AH10/AC10)-1)</f>
        <v>8.8643567753001529E-2</v>
      </c>
      <c r="AI58" s="1467">
        <f>((AI10/AD10)-1)</f>
        <v>4.716576592953059E-2</v>
      </c>
      <c r="AJ58" s="1467">
        <f>((AJ10/AE10)-1)</f>
        <v>3.7923783741923289E-2</v>
      </c>
      <c r="AK58" s="1467"/>
      <c r="AL58" s="1467">
        <f>((AL10/AG10)-1)</f>
        <v>5.7412422264582874E-2</v>
      </c>
      <c r="AM58" s="1467">
        <f>((AM10/AH10)-1)</f>
        <v>8.928255026476517E-2</v>
      </c>
      <c r="AN58" s="1467">
        <f>((AN10/AI10)-1)</f>
        <v>7.7037588094760689E-2</v>
      </c>
      <c r="AO58" s="1467">
        <f>((AO10/AJ10)-1)</f>
        <v>2.3921611998303893E-2</v>
      </c>
      <c r="AP58" s="421"/>
      <c r="AQ58" s="1467">
        <f>((AQ10/AL10)-1)</f>
        <v>8.4069406697496074E-2</v>
      </c>
      <c r="AR58" s="1467">
        <f>((AR10/AM10)-1)</f>
        <v>0.11500991512676628</v>
      </c>
      <c r="AS58" s="1467">
        <f>((AS10/AN10)-1)</f>
        <v>9.9812775918825203E-2</v>
      </c>
      <c r="AT58" s="1467">
        <f>((AT10/AO10)-1)</f>
        <v>5.6821822220536333E-2</v>
      </c>
      <c r="AU58" s="421"/>
      <c r="AV58" s="1467">
        <f>((AV10/AQ10)-1)</f>
        <v>5.9394174551325118E-2</v>
      </c>
      <c r="AW58" s="1467">
        <f>((AW10/AR10)-1)</f>
        <v>8.3035292345022826E-2</v>
      </c>
      <c r="AX58" s="1467">
        <f>((AX10/AS10)-1)</f>
        <v>8.7175035838354509E-2</v>
      </c>
      <c r="AY58" s="1467">
        <f>((AY10/AT10)-1)</f>
        <v>0.11323360891329171</v>
      </c>
      <c r="AZ58" s="421"/>
      <c r="BA58" s="1467">
        <f>((BA10/AV10)-1)</f>
        <v>4.8561114415090589E-2</v>
      </c>
      <c r="BB58" s="1467">
        <f>((BB10/AW10)-1)</f>
        <v>9.6434296906517281E-2</v>
      </c>
      <c r="BC58" s="1467">
        <f>((BC10/AX10)-1)</f>
        <v>7.2333019755409289E-2</v>
      </c>
      <c r="BD58" s="1468">
        <f>((BD10/AY10)-1)</f>
        <v>7.5656192236598807E-2</v>
      </c>
      <c r="BE58" s="1473" t="s">
        <v>90</v>
      </c>
      <c r="BF58" s="1469">
        <f>((BF10/BE10)-1)</f>
        <v>0.11884082294857268</v>
      </c>
      <c r="BG58" s="1469">
        <f>((BG10/BF10)-1)</f>
        <v>8.4602355117755934E-2</v>
      </c>
      <c r="BH58" s="1469">
        <f>((BH10/BG10)-1)</f>
        <v>-8.3297940328835862E-3</v>
      </c>
      <c r="BI58" s="1469">
        <f>((BI10/BH10)-1)</f>
        <v>-5.134753874963871E-3</v>
      </c>
      <c r="BJ58" s="1469">
        <f>((BJ10/BI10)-1)</f>
        <v>4.3047652536979841E-2</v>
      </c>
      <c r="BK58" s="1467"/>
      <c r="BL58" s="1474" t="s">
        <v>313</v>
      </c>
      <c r="BM58" s="1467">
        <f t="shared" ref="BM58:BU58" si="42">((BM10/BL10)-1)</f>
        <v>4.1638257419851943E-2</v>
      </c>
      <c r="BN58" s="1467">
        <f t="shared" si="42"/>
        <v>5.0286652339954108E-2</v>
      </c>
      <c r="BO58" s="1470">
        <f t="shared" si="42"/>
        <v>5.7834048081879086E-2</v>
      </c>
      <c r="BP58" s="1467">
        <f t="shared" si="42"/>
        <v>8.596170996477448E-2</v>
      </c>
      <c r="BQ58" s="1467">
        <f t="shared" si="42"/>
        <v>8.7410217452139616E-2</v>
      </c>
      <c r="BR58" s="1467">
        <f t="shared" si="42"/>
        <v>7.301151950101592E-2</v>
      </c>
      <c r="BS58" s="1467">
        <f t="shared" si="42"/>
        <v>5.43805177898109E-2</v>
      </c>
      <c r="BT58" s="1467">
        <f t="shared" si="42"/>
        <v>6.2043214879911268E-2</v>
      </c>
      <c r="BU58" s="1468">
        <f t="shared" si="42"/>
        <v>6.1003265677318064E-2</v>
      </c>
      <c r="BV58" s="1467"/>
    </row>
    <row r="59" spans="1:74">
      <c r="A59" s="434" t="s">
        <v>211</v>
      </c>
      <c r="B59" s="421"/>
      <c r="C59" s="1427"/>
      <c r="D59" s="1427"/>
      <c r="E59" s="1427"/>
      <c r="F59" s="1427"/>
      <c r="G59" s="421"/>
      <c r="H59" s="1427"/>
      <c r="I59" s="1427"/>
      <c r="J59" s="1427"/>
      <c r="K59" s="1427"/>
      <c r="L59" s="421"/>
      <c r="M59" s="1467"/>
      <c r="N59" s="1467"/>
      <c r="O59" s="1467"/>
      <c r="P59" s="1467"/>
      <c r="Q59" s="1467"/>
      <c r="R59" s="1467"/>
      <c r="S59" s="1467"/>
      <c r="T59" s="1467"/>
      <c r="U59" s="1467"/>
      <c r="V59" s="1467"/>
      <c r="W59" s="1467">
        <v>-0.02</v>
      </c>
      <c r="X59" s="1467">
        <v>-7.0000000000000007E-2</v>
      </c>
      <c r="Y59" s="1467">
        <v>0</v>
      </c>
      <c r="Z59" s="1467">
        <v>-7.0000000000000007E-2</v>
      </c>
      <c r="AA59" s="1467"/>
      <c r="AB59" s="1467">
        <v>3.3000000000000002E-2</v>
      </c>
      <c r="AC59" s="1467">
        <v>3.0000000000000001E-3</v>
      </c>
      <c r="AD59" s="1467">
        <v>-5.5999999999999994E-2</v>
      </c>
      <c r="AE59" s="1467">
        <v>1.2E-2</v>
      </c>
      <c r="AF59" s="1467"/>
      <c r="AG59" s="1467">
        <v>5.0000000000000001E-3</v>
      </c>
      <c r="AH59" s="1467">
        <v>0.04</v>
      </c>
      <c r="AI59" s="1467">
        <v>1.4999999999999999E-2</v>
      </c>
      <c r="AJ59" s="1467">
        <v>-1.7000000000000001E-2</v>
      </c>
      <c r="AK59" s="1467"/>
      <c r="AL59" s="1467">
        <v>6.0000000000000001E-3</v>
      </c>
      <c r="AM59" s="1467">
        <v>2.8999999999999998E-2</v>
      </c>
      <c r="AN59" s="1467">
        <v>2.1000000000000001E-2</v>
      </c>
      <c r="AO59" s="1467">
        <v>-3.0000000000000001E-3</v>
      </c>
      <c r="AP59" s="421"/>
      <c r="AQ59" s="1467">
        <v>3.4000000000000002E-2</v>
      </c>
      <c r="AR59" s="1467">
        <v>7.8E-2</v>
      </c>
      <c r="AS59" s="1467">
        <v>3.9E-2</v>
      </c>
      <c r="AT59" s="1467">
        <v>0.04</v>
      </c>
      <c r="AU59" s="421"/>
      <c r="AV59" s="1467">
        <v>2.7000000000000003E-2</v>
      </c>
      <c r="AW59" s="1467">
        <v>4.7E-2</v>
      </c>
      <c r="AX59" s="1467">
        <v>5.2000000000000005E-2</v>
      </c>
      <c r="AY59" s="1467">
        <v>6.7000000000000004E-2</v>
      </c>
      <c r="AZ59" s="421"/>
      <c r="BA59" s="1467">
        <v>8.0000000000000002E-3</v>
      </c>
      <c r="BB59" s="1467">
        <v>5.5999999999999994E-2</v>
      </c>
      <c r="BC59" s="1467">
        <v>0.03</v>
      </c>
      <c r="BD59" s="1468">
        <v>0.03</v>
      </c>
      <c r="BE59" s="1473" t="s">
        <v>90</v>
      </c>
      <c r="BF59" s="1473" t="s">
        <v>90</v>
      </c>
      <c r="BG59" s="1469">
        <v>4.2999999999999997E-2</v>
      </c>
      <c r="BH59" s="1469">
        <v>-2.1999999999999999E-2</v>
      </c>
      <c r="BI59" s="1469">
        <v>-5.1999999999999998E-2</v>
      </c>
      <c r="BJ59" s="1469">
        <v>-2.5000000000000001E-2</v>
      </c>
      <c r="BK59" s="1467"/>
      <c r="BL59" s="1474" t="s">
        <v>313</v>
      </c>
      <c r="BM59" s="1467">
        <v>-2E-3</v>
      </c>
      <c r="BN59" s="1467">
        <v>6.9999999999999993E-3</v>
      </c>
      <c r="BO59" s="1470">
        <v>1.2E-2</v>
      </c>
      <c r="BP59" s="1467">
        <v>4.7E-2</v>
      </c>
      <c r="BQ59" s="1467">
        <v>4.9000000000000002E-2</v>
      </c>
      <c r="BR59" s="1467">
        <v>0.03</v>
      </c>
      <c r="BS59" s="1467">
        <v>0.03</v>
      </c>
      <c r="BT59" s="1467">
        <v>0.03</v>
      </c>
      <c r="BU59" s="1468">
        <v>0.03</v>
      </c>
      <c r="BV59" s="1467"/>
    </row>
    <row r="60" spans="1:74">
      <c r="A60" s="434" t="s">
        <v>189</v>
      </c>
      <c r="B60" s="421"/>
      <c r="C60" s="1427"/>
      <c r="D60" s="1427"/>
      <c r="E60" s="1427"/>
      <c r="F60" s="1427"/>
      <c r="G60" s="421"/>
      <c r="H60" s="1467"/>
      <c r="I60" s="1467"/>
      <c r="J60" s="1467"/>
      <c r="K60" s="1467"/>
      <c r="L60" s="1467"/>
      <c r="M60" s="1467"/>
      <c r="N60" s="1467"/>
      <c r="O60" s="1467"/>
      <c r="P60" s="1467"/>
      <c r="Q60" s="1467"/>
      <c r="R60" s="1467"/>
      <c r="S60" s="1467"/>
      <c r="T60" s="1467"/>
      <c r="U60" s="1467"/>
      <c r="V60" s="1467"/>
      <c r="W60" s="1472" t="s">
        <v>313</v>
      </c>
      <c r="X60" s="1472" t="s">
        <v>313</v>
      </c>
      <c r="Y60" s="1472" t="s">
        <v>313</v>
      </c>
      <c r="Z60" s="1472" t="s">
        <v>313</v>
      </c>
      <c r="AA60" s="1467"/>
      <c r="AB60" s="1467">
        <f>((AB13/W13)-1)</f>
        <v>6.2645932211149669E-2</v>
      </c>
      <c r="AC60" s="1467">
        <f>((AC13/X13)-1)</f>
        <v>1.9651760892320569E-2</v>
      </c>
      <c r="AD60" s="1467">
        <f>((AD13/Y13)-1)</f>
        <v>1.4380134176702697E-2</v>
      </c>
      <c r="AE60" s="1467">
        <f>((AE13/Z13)-1)</f>
        <v>3.8904728354986151E-2</v>
      </c>
      <c r="AF60" s="1467"/>
      <c r="AG60" s="1467">
        <f>((AG13/AB13)-1)</f>
        <v>3.6980124080882248E-2</v>
      </c>
      <c r="AH60" s="1467">
        <f>((AH13/AC13)-1)</f>
        <v>1.8125020696963201E-2</v>
      </c>
      <c r="AI60" s="1467">
        <f>((AI13/AD13)-1)</f>
        <v>0.11034318565356527</v>
      </c>
      <c r="AJ60" s="1467">
        <f>((AJ13/AE13)-1)</f>
        <v>6.5601044495640304E-2</v>
      </c>
      <c r="AK60" s="1467"/>
      <c r="AL60" s="1467">
        <f>((AL13/AG13)-1)</f>
        <v>6.5029324061379068E-2</v>
      </c>
      <c r="AM60" s="1467">
        <f>((AM13/AH13)-1)</f>
        <v>9.2764124031007755E-2</v>
      </c>
      <c r="AN60" s="1467">
        <f>((AN13/AI13)-1)</f>
        <v>5.5105346698871793E-2</v>
      </c>
      <c r="AO60" s="1467">
        <f>((AO13/AJ13)-1)</f>
        <v>2.4745150517457182E-2</v>
      </c>
      <c r="AP60" s="421"/>
      <c r="AQ60" s="1467">
        <f>((AQ13/AL13)-1)</f>
        <v>6.7023099994928836E-2</v>
      </c>
      <c r="AR60" s="1467">
        <f>((AR13/AM13)-1)</f>
        <v>9.4126620827485352E-2</v>
      </c>
      <c r="AS60" s="1467">
        <f>((AS13/AN13)-1)</f>
        <v>8.3199065674455452E-2</v>
      </c>
      <c r="AT60" s="1467">
        <f>((AT13/AO13)-1)</f>
        <v>8.5893338562513799E-2</v>
      </c>
      <c r="AU60" s="421"/>
      <c r="AV60" s="1467">
        <f>((AV13/AQ13)-1)</f>
        <v>5.7258235557348769E-2</v>
      </c>
      <c r="AW60" s="1467">
        <f>((AW13/AR13)-1)</f>
        <v>5.8008812018381706E-2</v>
      </c>
      <c r="AX60" s="1467">
        <f>((AX13/AS13)-1)</f>
        <v>9.4534679361786056E-2</v>
      </c>
      <c r="AY60" s="1467">
        <f>((AY13/AT13)-1)</f>
        <v>0.11681606080528528</v>
      </c>
      <c r="AZ60" s="421"/>
      <c r="BA60" s="1467">
        <f>((BA13/AV13)-1)</f>
        <v>8.8346238412084555E-2</v>
      </c>
      <c r="BB60" s="1467">
        <f>((BB13/AW13)-1)</f>
        <v>9.0221869232571139E-2</v>
      </c>
      <c r="BC60" s="1467">
        <f>((BC13/AX13)-1)</f>
        <v>7.6112417023010748E-2</v>
      </c>
      <c r="BD60" s="1468">
        <f>((BD13/AY13)-1)</f>
        <v>8.354196645002232E-2</v>
      </c>
      <c r="BE60" s="1473" t="s">
        <v>90</v>
      </c>
      <c r="BF60" s="1469">
        <f>((BF13/BE13)-1)</f>
        <v>6.4106908547106434E-2</v>
      </c>
      <c r="BG60" s="1469">
        <f>((BG13/BF13)-1)</f>
        <v>9.8315964663344246E-2</v>
      </c>
      <c r="BH60" s="1469">
        <f>((BH13/BG13)-1)</f>
        <v>1.002545816134659E-2</v>
      </c>
      <c r="BI60" s="1469">
        <f>((BI13/BH13)-1)</f>
        <v>2.6693509828060513E-2</v>
      </c>
      <c r="BJ60" s="1469">
        <f>((BJ13/BI13)-1)</f>
        <v>2.2385726818777263E-2</v>
      </c>
      <c r="BK60" s="1467"/>
      <c r="BL60" s="1474" t="s">
        <v>313</v>
      </c>
      <c r="BM60" s="1467">
        <f t="shared" ref="BM60:BU60" si="43">((BM13/BL13)-1)</f>
        <v>3.3685231067542842E-2</v>
      </c>
      <c r="BN60" s="1467">
        <f t="shared" si="43"/>
        <v>5.8570505538939166E-2</v>
      </c>
      <c r="BO60" s="1470">
        <f t="shared" si="43"/>
        <v>5.7630333796035549E-2</v>
      </c>
      <c r="BP60" s="1467">
        <f t="shared" si="43"/>
        <v>7.9596560739587874E-2</v>
      </c>
      <c r="BQ60" s="1467">
        <f t="shared" si="43"/>
        <v>8.6119437730459047E-2</v>
      </c>
      <c r="BR60" s="1467">
        <f t="shared" si="43"/>
        <v>8.424181460916591E-2</v>
      </c>
      <c r="BS60" s="1467">
        <f t="shared" si="43"/>
        <v>6.2810078397092184E-2</v>
      </c>
      <c r="BT60" s="1467">
        <f t="shared" si="43"/>
        <v>6.1046926685840219E-2</v>
      </c>
      <c r="BU60" s="1468">
        <f t="shared" si="43"/>
        <v>6.1667430475863982E-2</v>
      </c>
      <c r="BV60" s="1467"/>
    </row>
    <row r="61" spans="1:74">
      <c r="A61" s="434" t="s">
        <v>191</v>
      </c>
      <c r="B61" s="421"/>
      <c r="C61" s="1427"/>
      <c r="D61" s="1427"/>
      <c r="E61" s="1427"/>
      <c r="F61" s="1427"/>
      <c r="G61" s="421"/>
      <c r="H61" s="1467"/>
      <c r="I61" s="1467"/>
      <c r="J61" s="1467"/>
      <c r="K61" s="1467"/>
      <c r="L61" s="1467"/>
      <c r="M61" s="1467"/>
      <c r="N61" s="1467"/>
      <c r="O61" s="1467"/>
      <c r="P61" s="1467"/>
      <c r="Q61" s="1467"/>
      <c r="R61" s="1467"/>
      <c r="S61" s="1467"/>
      <c r="T61" s="1467"/>
      <c r="U61" s="1467"/>
      <c r="V61" s="1467"/>
      <c r="W61" s="1472" t="s">
        <v>313</v>
      </c>
      <c r="X61" s="1472" t="s">
        <v>313</v>
      </c>
      <c r="Y61" s="1472" t="s">
        <v>313</v>
      </c>
      <c r="Z61" s="1472" t="s">
        <v>313</v>
      </c>
      <c r="AA61" s="1467"/>
      <c r="AB61" s="1467">
        <f>((AB22/W22)-1)</f>
        <v>-1.7925404860517609</v>
      </c>
      <c r="AC61" s="1467">
        <f>((AC22/X22)-1)</f>
        <v>2.3516795865632867</v>
      </c>
      <c r="AD61" s="1467">
        <f>((AD22/Y22)-1)</f>
        <v>-0.42744280301917925</v>
      </c>
      <c r="AE61" s="1467">
        <f>((AE22/Z22)-1)</f>
        <v>1.164616734465973</v>
      </c>
      <c r="AF61" s="1467"/>
      <c r="AG61" s="1467">
        <f>((AG22/AB22)-1)</f>
        <v>-1.0382679865066626</v>
      </c>
      <c r="AH61" s="1467">
        <f>((AH22/AC22)-1)</f>
        <v>-0.39390435073111651</v>
      </c>
      <c r="AI61" s="1467">
        <f>((AI22/AD22)-1)</f>
        <v>-0.42857142857142616</v>
      </c>
      <c r="AJ61" s="1467">
        <f>((AJ22/AE22)-1)</f>
        <v>-2.3281179756646009E-2</v>
      </c>
      <c r="AK61" s="1467"/>
      <c r="AL61" s="1467">
        <f>((AL22/AG22)-1)</f>
        <v>-18.18846151011617</v>
      </c>
      <c r="AM61" s="1467">
        <f>((AM22/AH22)-1)</f>
        <v>-0.16493304006784149</v>
      </c>
      <c r="AN61" s="1467">
        <f>((AN22/AI22)-1)</f>
        <v>-0.48479074326750971</v>
      </c>
      <c r="AO61" s="1467">
        <f>((AO22/AJ22)-1)</f>
        <v>1.0415585678305028E-3</v>
      </c>
      <c r="AP61" s="421"/>
      <c r="AQ61" s="1467">
        <f>((AQ22/AL22)-1)</f>
        <v>7.5725444451081758E-2</v>
      </c>
      <c r="AR61" s="1467">
        <f>((AR22/AM22)-1)</f>
        <v>-0.58912396688864699</v>
      </c>
      <c r="AS61" s="1467">
        <f>((AS22/AN22)-1)</f>
        <v>0.42592529274923963</v>
      </c>
      <c r="AT61" s="1467">
        <f>((AT22/AO22)-1)</f>
        <v>-3.7766274791252163E-3</v>
      </c>
      <c r="AU61" s="421"/>
      <c r="AV61" s="1467">
        <f>((AV22/AQ22)-1)</f>
        <v>0.80224886747302238</v>
      </c>
      <c r="AW61" s="1467">
        <f>((AW22/AR22)-1)</f>
        <v>-2.826815073442404</v>
      </c>
      <c r="AX61" s="1467">
        <f>((AX22/AS22)-1)</f>
        <v>-6.081989247311844</v>
      </c>
      <c r="AY61" s="1467">
        <f>((AY22/AT22)-1)</f>
        <v>0.35256909818638515</v>
      </c>
      <c r="AZ61" s="421"/>
      <c r="BA61" s="1467">
        <f>((BA22/AV22)-1)</f>
        <v>0.21734605377276828</v>
      </c>
      <c r="BB61" s="1467">
        <f>((BB22/AW22)-1)</f>
        <v>1.2447405803964315</v>
      </c>
      <c r="BC61" s="1467">
        <f>((BC22/AX22)-1)</f>
        <v>-1.9077830590022216</v>
      </c>
      <c r="BD61" s="1468">
        <f>((BD22/AY22)-1)</f>
        <v>0.10559718021771047</v>
      </c>
      <c r="BE61" s="1473" t="s">
        <v>90</v>
      </c>
      <c r="BF61" s="1469">
        <f>((BF22/BE22)-1)</f>
        <v>0.50060629094726194</v>
      </c>
      <c r="BG61" s="1469">
        <f>((BG22/BF22)-1)</f>
        <v>-0.22681798720368485</v>
      </c>
      <c r="BH61" s="1469">
        <f>((BH22/BG22)-1)</f>
        <v>-0.37659886441629775</v>
      </c>
      <c r="BI61" s="1469">
        <f>((BI22/BH22)-1)</f>
        <v>-0.11029650944576608</v>
      </c>
      <c r="BJ61" s="1469">
        <f>((BJ22/BI22)-1)</f>
        <v>0.36043535731361054</v>
      </c>
      <c r="BK61" s="1467"/>
      <c r="BL61" s="1474" t="s">
        <v>313</v>
      </c>
      <c r="BM61" s="1467">
        <f t="shared" ref="BM61:BU61" si="44">((BM22/BL22)-1)</f>
        <v>3.3887342534936593</v>
      </c>
      <c r="BN61" s="1467">
        <f t="shared" si="44"/>
        <v>-0.23107301412944437</v>
      </c>
      <c r="BO61" s="1470">
        <f>((BO22/BN22)-1)</f>
        <v>0.21172467608539458</v>
      </c>
      <c r="BP61" s="1467">
        <f t="shared" si="44"/>
        <v>0.12347790083464916</v>
      </c>
      <c r="BQ61" s="1467">
        <f t="shared" si="44"/>
        <v>0.23718120889210814</v>
      </c>
      <c r="BR61" s="1467">
        <f t="shared" si="44"/>
        <v>0.63945738671161112</v>
      </c>
      <c r="BS61" s="1467">
        <f t="shared" si="44"/>
        <v>9.988206138068656E-2</v>
      </c>
      <c r="BT61" s="1467">
        <f t="shared" si="44"/>
        <v>8.2937290823428489E-2</v>
      </c>
      <c r="BU61" s="1468">
        <f t="shared" si="44"/>
        <v>7.5443966239686633E-2</v>
      </c>
      <c r="BV61" s="1467"/>
    </row>
    <row r="62" spans="1:74" hidden="1">
      <c r="A62" s="434" t="s">
        <v>311</v>
      </c>
      <c r="B62" s="421"/>
      <c r="C62" s="1427"/>
      <c r="D62" s="1427"/>
      <c r="E62" s="1427"/>
      <c r="F62" s="1427"/>
      <c r="G62" s="421"/>
      <c r="H62" s="1467"/>
      <c r="I62" s="1467"/>
      <c r="J62" s="1467"/>
      <c r="K62" s="1467"/>
      <c r="L62" s="1467"/>
      <c r="M62" s="1467"/>
      <c r="N62" s="1467"/>
      <c r="O62" s="1467"/>
      <c r="P62" s="1467"/>
      <c r="Q62" s="1467"/>
      <c r="R62" s="1467"/>
      <c r="S62" s="1467"/>
      <c r="T62" s="1467"/>
      <c r="U62" s="1467"/>
      <c r="V62" s="1467"/>
      <c r="W62" s="1472"/>
      <c r="X62" s="1472"/>
      <c r="Y62" s="1472"/>
      <c r="Z62" s="1472"/>
      <c r="AA62" s="1467"/>
      <c r="AB62" s="1467"/>
      <c r="AC62" s="1467"/>
      <c r="AD62" s="1467"/>
      <c r="AE62" s="1467"/>
      <c r="AF62" s="1467"/>
      <c r="AG62" s="1467"/>
      <c r="AH62" s="1467"/>
      <c r="AI62" s="1467"/>
      <c r="AJ62" s="1467"/>
      <c r="AK62" s="1467"/>
      <c r="AL62" s="1467"/>
      <c r="AM62" s="1467"/>
      <c r="AN62" s="1467"/>
      <c r="AO62" s="1467"/>
      <c r="AP62" s="421"/>
      <c r="AQ62" s="1467"/>
      <c r="AR62" s="1467"/>
      <c r="AS62" s="1467"/>
      <c r="AT62" s="1467"/>
      <c r="AU62" s="421"/>
      <c r="AV62" s="1467"/>
      <c r="AW62" s="1467"/>
      <c r="AX62" s="1467"/>
      <c r="AY62" s="1467"/>
      <c r="AZ62" s="421"/>
      <c r="BA62" s="1467"/>
      <c r="BB62" s="1467"/>
      <c r="BC62" s="1467"/>
      <c r="BD62" s="1468"/>
      <c r="BE62" s="1473"/>
      <c r="BF62" s="1469"/>
      <c r="BG62" s="1469"/>
      <c r="BH62" s="1469"/>
      <c r="BI62" s="1469"/>
      <c r="BJ62" s="1469"/>
      <c r="BK62" s="1467"/>
      <c r="BL62" s="1474"/>
      <c r="BM62" s="1467"/>
      <c r="BN62" s="1467"/>
      <c r="BO62" s="1470"/>
      <c r="BP62" s="1467"/>
      <c r="BQ62" s="1467"/>
      <c r="BR62" s="1467"/>
      <c r="BS62" s="1467"/>
      <c r="BT62" s="1467"/>
      <c r="BU62" s="1468"/>
      <c r="BV62" s="1467"/>
    </row>
    <row r="63" spans="1:74">
      <c r="A63" s="434" t="s">
        <v>859</v>
      </c>
      <c r="B63" s="421"/>
      <c r="C63" s="1427"/>
      <c r="D63" s="1427"/>
      <c r="E63" s="1427"/>
      <c r="F63" s="1427"/>
      <c r="G63" s="421"/>
      <c r="H63" s="1467"/>
      <c r="I63" s="1467"/>
      <c r="J63" s="1467"/>
      <c r="K63" s="1467"/>
      <c r="L63" s="1467"/>
      <c r="M63" s="1467"/>
      <c r="N63" s="1467"/>
      <c r="O63" s="1467"/>
      <c r="P63" s="1467"/>
      <c r="Q63" s="1467"/>
      <c r="R63" s="1467"/>
      <c r="S63" s="1467"/>
      <c r="T63" s="1467"/>
      <c r="U63" s="1467"/>
      <c r="V63" s="1467"/>
      <c r="W63" s="1472"/>
      <c r="X63" s="1472"/>
      <c r="Y63" s="1472"/>
      <c r="Z63" s="1472"/>
      <c r="AA63" s="1467"/>
      <c r="AB63" s="1467"/>
      <c r="AC63" s="1467"/>
      <c r="AD63" s="1467"/>
      <c r="AE63" s="1467"/>
      <c r="AF63" s="1467"/>
      <c r="AG63" s="1467"/>
      <c r="AH63" s="1467"/>
      <c r="AI63" s="1467"/>
      <c r="AJ63" s="1467"/>
      <c r="AK63" s="1467"/>
      <c r="AL63" s="1467"/>
      <c r="AM63" s="1467"/>
      <c r="AN63" s="1467"/>
      <c r="AO63" s="1467"/>
      <c r="AP63" s="421"/>
      <c r="AQ63" s="1467"/>
      <c r="AR63" s="1467"/>
      <c r="AS63" s="1467"/>
      <c r="AT63" s="1467"/>
      <c r="AU63" s="421"/>
      <c r="AV63" s="1467">
        <f>AV31/AQ31-1</f>
        <v>0.4309790284517323</v>
      </c>
      <c r="AW63" s="1467">
        <f>AW31/AR31-1</f>
        <v>4.4530022074557207</v>
      </c>
      <c r="AX63" s="1467">
        <f>AX31/AS31-1</f>
        <v>0.39871968599597696</v>
      </c>
      <c r="AY63" s="1467">
        <f>AY31/AT31-1</f>
        <v>0.18951623453075528</v>
      </c>
      <c r="AZ63" s="421"/>
      <c r="BA63" s="1467">
        <f>BA31/AV31-1</f>
        <v>0.15967653508772073</v>
      </c>
      <c r="BB63" s="1467">
        <f>BB31/AW31-1</f>
        <v>0.92630916990626622</v>
      </c>
      <c r="BC63" s="1467">
        <f>BC31/AX31-1</f>
        <v>0.2612950226151407</v>
      </c>
      <c r="BD63" s="1468">
        <f>BD31/AY31-1</f>
        <v>8.6793431807338894E-2</v>
      </c>
      <c r="BE63" s="1473"/>
      <c r="BF63" s="1469"/>
      <c r="BG63" s="1469"/>
      <c r="BH63" s="1469"/>
      <c r="BI63" s="1469"/>
      <c r="BJ63" s="1469"/>
      <c r="BK63" s="1467"/>
      <c r="BL63" s="1474"/>
      <c r="BM63" s="1467"/>
      <c r="BN63" s="1467"/>
      <c r="BO63" s="1470"/>
      <c r="BP63" s="1467">
        <f t="shared" ref="BP63:BU63" si="45">BP31/BO31-1</f>
        <v>0.3053088914659472</v>
      </c>
      <c r="BQ63" s="1467">
        <f t="shared" si="45"/>
        <v>0.3040290995692736</v>
      </c>
      <c r="BR63" s="1467">
        <f t="shared" si="45"/>
        <v>0.19251674750161207</v>
      </c>
      <c r="BS63" s="1467">
        <f t="shared" si="45"/>
        <v>6.8318653761336279E-2</v>
      </c>
      <c r="BT63" s="1467">
        <f t="shared" si="45"/>
        <v>8.2937290823428489E-2</v>
      </c>
      <c r="BU63" s="1468">
        <f t="shared" si="45"/>
        <v>7.5443966239686633E-2</v>
      </c>
      <c r="BV63" s="1467"/>
    </row>
    <row r="64" spans="1:74">
      <c r="A64" s="434" t="s">
        <v>366</v>
      </c>
      <c r="B64" s="421"/>
      <c r="C64" s="1427"/>
      <c r="D64" s="1427"/>
      <c r="E64" s="1427"/>
      <c r="F64" s="1427"/>
      <c r="G64" s="421"/>
      <c r="H64" s="1427"/>
      <c r="I64" s="1427"/>
      <c r="J64" s="1427"/>
      <c r="K64" s="1427"/>
      <c r="L64" s="1467"/>
      <c r="M64" s="1467"/>
      <c r="N64" s="1467"/>
      <c r="O64" s="1467"/>
      <c r="P64" s="1467"/>
      <c r="Q64" s="1467"/>
      <c r="R64" s="1467"/>
      <c r="S64" s="1467"/>
      <c r="T64" s="1467"/>
      <c r="U64" s="1467"/>
      <c r="V64" s="1467"/>
      <c r="W64" s="1472" t="s">
        <v>313</v>
      </c>
      <c r="X64" s="1472" t="s">
        <v>313</v>
      </c>
      <c r="Y64" s="1472" t="s">
        <v>313</v>
      </c>
      <c r="Z64" s="1472" t="s">
        <v>313</v>
      </c>
      <c r="AA64" s="1467"/>
      <c r="AB64" s="1475">
        <f>IF(ISERROR(((AB36/W36)-1)),"NA",((AB36/W36)-1))</f>
        <v>-1.5052031893113147</v>
      </c>
      <c r="AC64" s="1475">
        <f>IF(ISERROR(((AC36/X36)-1)),"NA",((AC36/X36)-1))</f>
        <v>2.1879333282422313</v>
      </c>
      <c r="AD64" s="1475">
        <f>IF(ISERROR(((AD36/Y36)-1)),"NA",((AD36/Y36)-1))</f>
        <v>-1.2110269437905892</v>
      </c>
      <c r="AE64" s="1475">
        <f>IF(ISERROR(((AE36/Z36)-1)),"NA",((AE36/Z36)-1))</f>
        <v>0.93182659121457623</v>
      </c>
      <c r="AF64" s="1467"/>
      <c r="AG64" s="1475">
        <f>IF(ISERROR(((AG36/AB36)-1)),"NA",((AG36/AB36)-1))</f>
        <v>-0.41343636729761835</v>
      </c>
      <c r="AH64" s="1475">
        <f>IF(ISERROR(((AH36/AC36)-1)),"NA",((AH36/AC36)-1))</f>
        <v>-0.25933700724064668</v>
      </c>
      <c r="AI64" s="1475">
        <f>IF(ISERROR(((AI36/AD36)-1)),"NA",((AI36/AD36)-1))</f>
        <v>2.7993501064151567</v>
      </c>
      <c r="AJ64" s="1475">
        <f>IF(ISERROR(((AJ36/AE36)-1)),"NA",((AJ36/AE36)-1))</f>
        <v>-0.20762019260683229</v>
      </c>
      <c r="AK64" s="1467"/>
      <c r="AL64" s="1475">
        <f>IF(ISERROR(((AL36/AG36)-1)),"NA",((AL36/AG36)-1))</f>
        <v>-0.75437411692315537</v>
      </c>
      <c r="AM64" s="1475">
        <f>IF(ISERROR(((AM36/AH36)-1)),"NA",((AM36/AH36)-1))</f>
        <v>-0.25441744929320287</v>
      </c>
      <c r="AN64" s="1475">
        <f>IF(ISERROR(((AN36/AI36)-1)),"NA",((AN36/AI36)-1))</f>
        <v>-0.83084300223035157</v>
      </c>
      <c r="AO64" s="1475">
        <f>IF(ISERROR(((AO36/AJ36)-1)),"NA",((AO36/AJ36)-1))</f>
        <v>9.9959703741252959E-2</v>
      </c>
      <c r="AP64" s="421"/>
      <c r="AQ64" s="1475">
        <f>IF(ISERROR(((AQ36/AL36)-1)),"NA",((AQ36/AL36)-1))</f>
        <v>4.2296436109465203</v>
      </c>
      <c r="AR64" s="1475">
        <f>IF(ISERROR(((AR36/AM36)-1)),"NA",((AR36/AM36)-1))</f>
        <v>-0.3061219068878227</v>
      </c>
      <c r="AS64" s="1475">
        <f>IF(ISERROR(((AS36/AN36)-1)),"NA",((AS36/AN36)-1))</f>
        <v>1.0923373734499591</v>
      </c>
      <c r="AT64" s="1475">
        <f>IF(ISERROR(((AT36/AO36)-1)),"NA",((AT36/AO36)-1))</f>
        <v>-8.0236646235370968E-3</v>
      </c>
      <c r="AU64" s="421"/>
      <c r="AV64" s="1475">
        <f>IF(ISERROR(((AV36/AQ36)-1)),"NA",((AV36/AQ36)-1))</f>
        <v>2.9276989386346002</v>
      </c>
      <c r="AW64" s="1475">
        <f>IF(ISERROR(((AW36/AR36)-1)),"NA",((AW36/AR36)-1))</f>
        <v>-0.94533913353859123</v>
      </c>
      <c r="AX64" s="1475">
        <f>IF(ISERROR(((AX36/AS36)-1)),"NA",((AX36/AS36)-1))</f>
        <v>-4.190529721373963</v>
      </c>
      <c r="AY64" s="1475">
        <f>IF(ISERROR(((AY36/AT36)-1)),"NA",((AY36/AT36)-1))</f>
        <v>0.27808635367154833</v>
      </c>
      <c r="AZ64" s="421"/>
      <c r="BA64" s="1475">
        <f>IF(ISERROR(((BA36/AV36)-1)),"NA",((BA36/AV36)-1))</f>
        <v>0.66468587434974458</v>
      </c>
      <c r="BB64" s="1475">
        <f>IF(ISERROR(((BB36/AW36)-1)),"NA",((BB36/AW36)-1))</f>
        <v>-17.716856074843189</v>
      </c>
      <c r="BC64" s="1475">
        <f>IF(ISERROR(((BC36/AX36)-1)),"NA",((BC36/AX36)-1))</f>
        <v>0.4560367433048178</v>
      </c>
      <c r="BD64" s="1476">
        <f>IF(ISERROR(((BD36/AY36)-1)),"NA",((BD36/AY36)-1))</f>
        <v>4.1322359996962321E-2</v>
      </c>
      <c r="BE64" s="1473" t="s">
        <v>90</v>
      </c>
      <c r="BF64" s="1471" t="s">
        <v>90</v>
      </c>
      <c r="BG64" s="1471" t="s">
        <v>90</v>
      </c>
      <c r="BH64" s="1471" t="s">
        <v>90</v>
      </c>
      <c r="BI64" s="1471" t="s">
        <v>90</v>
      </c>
      <c r="BJ64" s="1471" t="s">
        <v>90</v>
      </c>
      <c r="BK64" s="1467"/>
      <c r="BL64" s="1474" t="s">
        <v>313</v>
      </c>
      <c r="BM64" s="1472" t="s">
        <v>313</v>
      </c>
      <c r="BN64" s="1472" t="s">
        <v>313</v>
      </c>
      <c r="BO64" s="1474" t="s">
        <v>313</v>
      </c>
      <c r="BP64" s="1472">
        <f t="shared" ref="BP64:BU64" si="46">+BP36/BO36-1</f>
        <v>0.14184409521622121</v>
      </c>
      <c r="BQ64" s="1472">
        <f t="shared" si="46"/>
        <v>0.9347292333319146</v>
      </c>
      <c r="BR64" s="1472">
        <f t="shared" si="46"/>
        <v>0.26787516109738174</v>
      </c>
      <c r="BS64" s="1472">
        <f t="shared" si="46"/>
        <v>0.14249797466215863</v>
      </c>
      <c r="BT64" s="1472">
        <f t="shared" si="46"/>
        <v>0.11375092266148612</v>
      </c>
      <c r="BU64" s="1477">
        <f t="shared" si="46"/>
        <v>0.10185098183859642</v>
      </c>
      <c r="BV64" s="1472"/>
    </row>
    <row r="65" spans="1:74">
      <c r="A65" s="525" t="s">
        <v>340</v>
      </c>
      <c r="B65" s="18"/>
      <c r="C65" s="1478"/>
      <c r="D65" s="1478"/>
      <c r="E65" s="1478"/>
      <c r="F65" s="1478"/>
      <c r="G65" s="18"/>
      <c r="H65" s="1479"/>
      <c r="I65" s="1479"/>
      <c r="J65" s="1479"/>
      <c r="K65" s="1479"/>
      <c r="L65" s="1479"/>
      <c r="M65" s="1479"/>
      <c r="N65" s="1479"/>
      <c r="O65" s="1479"/>
      <c r="P65" s="1479"/>
      <c r="Q65" s="1479"/>
      <c r="R65" s="1479"/>
      <c r="S65" s="1479"/>
      <c r="T65" s="1479"/>
      <c r="U65" s="1479"/>
      <c r="V65" s="1479"/>
      <c r="W65" s="1480" t="s">
        <v>313</v>
      </c>
      <c r="X65" s="1480" t="s">
        <v>313</v>
      </c>
      <c r="Y65" s="1480" t="s">
        <v>313</v>
      </c>
      <c r="Z65" s="1480" t="s">
        <v>313</v>
      </c>
      <c r="AA65" s="1479"/>
      <c r="AB65" s="1479" t="e">
        <f>((#REF!/#REF!)-1)</f>
        <v>#REF!</v>
      </c>
      <c r="AC65" s="1479" t="e">
        <f>((#REF!/#REF!)-1)</f>
        <v>#REF!</v>
      </c>
      <c r="AD65" s="1479" t="e">
        <f>((#REF!/#REF!)-1)</f>
        <v>#REF!</v>
      </c>
      <c r="AE65" s="1479" t="e">
        <f>((#REF!/#REF!)-1)</f>
        <v>#REF!</v>
      </c>
      <c r="AF65" s="1479"/>
      <c r="AG65" s="1479" t="e">
        <f>((#REF!/#REF!)-1)</f>
        <v>#REF!</v>
      </c>
      <c r="AH65" s="1479" t="e">
        <f>((#REF!/#REF!)-1)</f>
        <v>#REF!</v>
      </c>
      <c r="AI65" s="1479" t="e">
        <f>((#REF!/#REF!)-1)</f>
        <v>#REF!</v>
      </c>
      <c r="AJ65" s="1479" t="e">
        <f>((#REF!/#REF!)-1)</f>
        <v>#REF!</v>
      </c>
      <c r="AK65" s="1479"/>
      <c r="AL65" s="1479" t="e">
        <f>((#REF!/#REF!)-1)</f>
        <v>#REF!</v>
      </c>
      <c r="AM65" s="1479" t="e">
        <f>((#REF!/#REF!)-1)</f>
        <v>#REF!</v>
      </c>
      <c r="AN65" s="1479" t="e">
        <f>((#REF!/#REF!)-1)</f>
        <v>#REF!</v>
      </c>
      <c r="AO65" s="1479" t="e">
        <f>((#REF!/#REF!)-1)</f>
        <v>#REF!</v>
      </c>
      <c r="AP65" s="18"/>
      <c r="AQ65" s="1479" t="e">
        <f>((#REF!/#REF!)-1)</f>
        <v>#REF!</v>
      </c>
      <c r="AR65" s="1479" t="e">
        <f>((#REF!/#REF!)-1)</f>
        <v>#REF!</v>
      </c>
      <c r="AS65" s="1479" t="e">
        <f>((#REF!/#REF!)-1)</f>
        <v>#REF!</v>
      </c>
      <c r="AT65" s="1479" t="e">
        <f>((#REF!/#REF!)-1)</f>
        <v>#REF!</v>
      </c>
      <c r="AU65" s="18"/>
      <c r="AV65" s="1479">
        <f>AV33/AQ33-1</f>
        <v>0.15871329691400748</v>
      </c>
      <c r="AW65" s="1479">
        <f>AW33/AR33-1</f>
        <v>0.3218704600616169</v>
      </c>
      <c r="AX65" s="1479">
        <f>AX33/AS33-1</f>
        <v>0.16080804200281573</v>
      </c>
      <c r="AY65" s="1479">
        <f>AY33/AT33-1</f>
        <v>0.15571859853774739</v>
      </c>
      <c r="AZ65" s="18"/>
      <c r="BA65" s="1479">
        <f>BA33/AV33-1</f>
        <v>9.8729842205653728E-2</v>
      </c>
      <c r="BB65" s="1479">
        <f>BB33/AW33-1</f>
        <v>0.29978808083941177</v>
      </c>
      <c r="BC65" s="1479">
        <f>BC33/AX33-1</f>
        <v>4.4645539134581691E-2</v>
      </c>
      <c r="BD65" s="1481">
        <f>BD33/AY33-1</f>
        <v>4.2404296466052482E-2</v>
      </c>
      <c r="BE65" s="1482" t="s">
        <v>90</v>
      </c>
      <c r="BF65" s="1483" t="e">
        <f>((#REF!/#REF!)-1)</f>
        <v>#REF!</v>
      </c>
      <c r="BG65" s="1483" t="e">
        <f>((#REF!/#REF!)-1)</f>
        <v>#REF!</v>
      </c>
      <c r="BH65" s="1483" t="e">
        <f>((#REF!/#REF!)-1)</f>
        <v>#REF!</v>
      </c>
      <c r="BI65" s="1483" t="e">
        <f>((#REF!/#REF!)-1)</f>
        <v>#REF!</v>
      </c>
      <c r="BJ65" s="1483" t="e">
        <f>((#REF!/#REF!)-1)</f>
        <v>#REF!</v>
      </c>
      <c r="BK65" s="1467"/>
      <c r="BL65" s="1484" t="s">
        <v>313</v>
      </c>
      <c r="BM65" s="1479" t="e">
        <f>((#REF!/#REF!)-1)</f>
        <v>#REF!</v>
      </c>
      <c r="BN65" s="1479" t="e">
        <f>((#REF!/#REF!)-1)</f>
        <v>#REF!</v>
      </c>
      <c r="BO65" s="1485" t="e">
        <f>((#REF!/#REF!)-1)</f>
        <v>#REF!</v>
      </c>
      <c r="BP65" s="1479">
        <f t="shared" ref="BP65:BU65" si="47">BP33/BO33-1</f>
        <v>0.15594492809922</v>
      </c>
      <c r="BQ65" s="1479">
        <f t="shared" si="47"/>
        <v>0.1689723655400448</v>
      </c>
      <c r="BR65" s="1479">
        <f t="shared" si="47"/>
        <v>0.10111599437539476</v>
      </c>
      <c r="BS65" s="1479">
        <f t="shared" si="47"/>
        <v>5.1030360008483377E-2</v>
      </c>
      <c r="BT65" s="1479">
        <f t="shared" si="47"/>
        <v>7.5322865139619166E-2</v>
      </c>
      <c r="BU65" s="1481">
        <f t="shared" si="47"/>
        <v>5.8911220219572069E-2</v>
      </c>
      <c r="BV65" s="1467"/>
    </row>
    <row r="66" spans="1:74">
      <c r="BP66" s="421"/>
      <c r="BQ66" s="421"/>
      <c r="BS66" s="421"/>
      <c r="BT66" s="421"/>
    </row>
    <row r="67" spans="1:74">
      <c r="BE67" s="419" t="s">
        <v>309</v>
      </c>
      <c r="BF67" s="419"/>
      <c r="BG67" s="419"/>
      <c r="BH67" s="419"/>
      <c r="BI67" s="419"/>
      <c r="BJ67" s="419"/>
      <c r="BL67" s="419" t="str">
        <f>BL6</f>
        <v>Fiscal Year Ending January 31,</v>
      </c>
      <c r="BM67" s="420"/>
      <c r="BN67" s="420"/>
      <c r="BO67" s="420"/>
      <c r="BP67" s="511"/>
      <c r="BQ67" s="511"/>
      <c r="BR67" s="420"/>
      <c r="BS67" s="511"/>
      <c r="BT67" s="511"/>
      <c r="BU67" s="512"/>
      <c r="BV67" s="511"/>
    </row>
    <row r="68" spans="1:74">
      <c r="A68" s="513" t="s">
        <v>213</v>
      </c>
      <c r="B68" s="514"/>
      <c r="C68" s="514"/>
      <c r="D68" s="514"/>
      <c r="E68" s="514"/>
      <c r="F68" s="514"/>
      <c r="G68" s="514"/>
      <c r="H68" s="514"/>
      <c r="I68" s="514"/>
      <c r="J68" s="514"/>
      <c r="K68" s="514"/>
      <c r="L68" s="514"/>
      <c r="M68" s="514"/>
      <c r="N68" s="514"/>
      <c r="O68" s="514"/>
      <c r="P68" s="514"/>
      <c r="Q68" s="514"/>
      <c r="R68" s="514"/>
      <c r="S68" s="515"/>
      <c r="T68" s="515"/>
      <c r="U68" s="515"/>
      <c r="V68" s="515"/>
      <c r="Y68" s="515"/>
      <c r="Z68" s="515"/>
      <c r="AQ68" s="515" t="s">
        <v>83</v>
      </c>
      <c r="AR68" s="515" t="s">
        <v>84</v>
      </c>
      <c r="AS68" s="515" t="s">
        <v>242</v>
      </c>
      <c r="AU68" s="515"/>
      <c r="AV68" s="515" t="s">
        <v>247</v>
      </c>
      <c r="AW68" s="515" t="s">
        <v>611</v>
      </c>
      <c r="AX68" s="515" t="s">
        <v>626</v>
      </c>
      <c r="AY68" s="516" t="s">
        <v>38</v>
      </c>
      <c r="AZ68" s="421"/>
      <c r="BA68" s="421"/>
      <c r="BB68" s="513" t="s">
        <v>213</v>
      </c>
      <c r="BC68" s="514"/>
      <c r="BD68" s="514"/>
      <c r="BE68" s="515" t="str">
        <f t="shared" ref="BE68:BJ68" si="48">BE7</f>
        <v>2004A</v>
      </c>
      <c r="BF68" s="515" t="str">
        <f t="shared" si="48"/>
        <v>2005A</v>
      </c>
      <c r="BG68" s="515" t="str">
        <f t="shared" si="48"/>
        <v>2006A</v>
      </c>
      <c r="BH68" s="515" t="str">
        <f t="shared" si="48"/>
        <v>2007A</v>
      </c>
      <c r="BI68" s="515" t="str">
        <f t="shared" si="48"/>
        <v>2008A</v>
      </c>
      <c r="BJ68" s="515" t="str">
        <f t="shared" si="48"/>
        <v>2009A</v>
      </c>
      <c r="BK68" s="515"/>
      <c r="BL68" s="515" t="str">
        <f>BL7</f>
        <v>2009R</v>
      </c>
      <c r="BM68" s="515" t="s">
        <v>84</v>
      </c>
      <c r="BN68" s="515" t="s">
        <v>242</v>
      </c>
      <c r="BO68" s="515" t="s">
        <v>247</v>
      </c>
      <c r="BP68" s="515" t="s">
        <v>611</v>
      </c>
      <c r="BQ68" s="515" t="s">
        <v>626</v>
      </c>
      <c r="BR68" s="515" t="s">
        <v>38</v>
      </c>
      <c r="BS68" s="515" t="s">
        <v>244</v>
      </c>
      <c r="BT68" s="515" t="s">
        <v>245</v>
      </c>
      <c r="BU68" s="516" t="s">
        <v>341</v>
      </c>
      <c r="BV68" s="430"/>
    </row>
    <row r="69" spans="1:74">
      <c r="A69" s="434" t="s">
        <v>231</v>
      </c>
      <c r="B69" s="421"/>
      <c r="C69" s="421"/>
      <c r="D69" s="421"/>
      <c r="E69" s="421"/>
      <c r="F69" s="421"/>
      <c r="G69" s="421"/>
      <c r="H69" s="421"/>
      <c r="I69" s="421"/>
      <c r="J69" s="421"/>
      <c r="K69" s="421"/>
      <c r="L69" s="421"/>
      <c r="M69" s="421"/>
      <c r="N69" s="421"/>
      <c r="O69" s="421"/>
      <c r="P69" s="421"/>
      <c r="Q69" s="421"/>
      <c r="R69" s="421"/>
      <c r="S69" s="421"/>
      <c r="T69" s="421"/>
      <c r="U69" s="421"/>
      <c r="V69" s="421"/>
      <c r="Y69" s="517"/>
      <c r="Z69" s="517"/>
      <c r="AQ69" s="518" t="s">
        <v>90</v>
      </c>
      <c r="AR69" s="517">
        <v>3.1991432385603726</v>
      </c>
      <c r="AS69" s="517">
        <v>3.1904728478323081</v>
      </c>
      <c r="AU69" s="517"/>
      <c r="AV69" s="517">
        <v>3.5382000249716503</v>
      </c>
      <c r="AW69" s="517">
        <v>3.5034063242950677</v>
      </c>
      <c r="AX69" s="517">
        <v>3.7753617223283116</v>
      </c>
      <c r="AY69" s="519">
        <v>3.6472383668807877</v>
      </c>
      <c r="AZ69" s="421"/>
      <c r="BA69" s="421"/>
      <c r="BB69" s="434" t="s">
        <v>214</v>
      </c>
      <c r="BC69" s="421"/>
      <c r="BD69" s="421"/>
      <c r="BE69" s="1486">
        <v>349</v>
      </c>
      <c r="BF69" s="1486">
        <v>362</v>
      </c>
      <c r="BG69" s="1486">
        <v>368</v>
      </c>
      <c r="BH69" s="1486">
        <v>379</v>
      </c>
      <c r="BI69" s="1486">
        <v>397</v>
      </c>
      <c r="BJ69" s="1486">
        <v>433</v>
      </c>
      <c r="BK69" s="1486"/>
      <c r="BL69" s="1486">
        <v>442</v>
      </c>
      <c r="BM69" s="1486">
        <v>460</v>
      </c>
      <c r="BN69" s="1486">
        <v>477</v>
      </c>
      <c r="BO69" s="1486">
        <v>500</v>
      </c>
      <c r="BP69" s="1486">
        <v>521</v>
      </c>
      <c r="BQ69" s="1486">
        <v>542</v>
      </c>
      <c r="BR69" s="1486">
        <v>567</v>
      </c>
      <c r="BS69" s="1486">
        <v>592</v>
      </c>
      <c r="BT69" s="1486">
        <v>617</v>
      </c>
      <c r="BU69" s="1487">
        <v>642</v>
      </c>
      <c r="BV69" s="1486"/>
    </row>
    <row r="70" spans="1:74">
      <c r="A70" s="434" t="s">
        <v>232</v>
      </c>
      <c r="B70" s="421"/>
      <c r="C70" s="421"/>
      <c r="D70" s="421"/>
      <c r="E70" s="421"/>
      <c r="F70" s="421"/>
      <c r="G70" s="421"/>
      <c r="H70" s="421"/>
      <c r="I70" s="421"/>
      <c r="J70" s="421"/>
      <c r="K70" s="421"/>
      <c r="L70" s="421"/>
      <c r="M70" s="421"/>
      <c r="N70" s="421"/>
      <c r="O70" s="421"/>
      <c r="P70" s="421"/>
      <c r="Q70" s="421"/>
      <c r="R70" s="421"/>
      <c r="S70" s="421"/>
      <c r="T70" s="421"/>
      <c r="U70" s="421"/>
      <c r="V70" s="421"/>
      <c r="Y70" s="1467"/>
      <c r="Z70" s="1467"/>
      <c r="AQ70" s="1467">
        <v>0.22795229049641691</v>
      </c>
      <c r="AR70" s="1467">
        <v>0.29564067379871728</v>
      </c>
      <c r="AS70" s="1467">
        <v>0.4049555887784716</v>
      </c>
      <c r="AU70" s="1467"/>
      <c r="AV70" s="1467">
        <v>0.7356856172540025</v>
      </c>
      <c r="AW70" s="1467">
        <v>0.75409414875592307</v>
      </c>
      <c r="AX70" s="1467">
        <v>0.78822834306232481</v>
      </c>
      <c r="AY70" s="1468">
        <v>0.75</v>
      </c>
      <c r="AZ70" s="421"/>
      <c r="BA70" s="421"/>
      <c r="BB70" s="434" t="s">
        <v>215</v>
      </c>
      <c r="BC70" s="421"/>
      <c r="BD70" s="421"/>
      <c r="BE70" s="1416">
        <v>27.315000000000001</v>
      </c>
      <c r="BF70" s="1416">
        <v>29.3</v>
      </c>
      <c r="BG70" s="1416">
        <v>29.44</v>
      </c>
      <c r="BH70" s="1416">
        <v>30.32</v>
      </c>
      <c r="BI70" s="1416">
        <v>31.76</v>
      </c>
      <c r="BJ70" s="1416">
        <v>34.64</v>
      </c>
      <c r="BK70" s="1416"/>
      <c r="BL70" s="1416">
        <v>35.36</v>
      </c>
      <c r="BM70" s="1416">
        <v>36.800000000000004</v>
      </c>
      <c r="BN70" s="1416">
        <v>38.160000000000004</v>
      </c>
      <c r="BO70" s="1416">
        <v>42</v>
      </c>
      <c r="BP70" s="1416">
        <v>43.360000000000007</v>
      </c>
      <c r="BQ70" s="1416">
        <v>44.632000000000005</v>
      </c>
      <c r="BR70" s="1416">
        <v>46.132000000000005</v>
      </c>
      <c r="BS70" s="1416">
        <v>47.632000000000005</v>
      </c>
      <c r="BT70" s="1416">
        <v>49.132000000000005</v>
      </c>
      <c r="BU70" s="1488">
        <v>50.632000000000005</v>
      </c>
      <c r="BV70" s="1416"/>
    </row>
    <row r="71" spans="1:74">
      <c r="A71" s="434" t="s">
        <v>233</v>
      </c>
      <c r="B71" s="421"/>
      <c r="C71" s="421"/>
      <c r="D71" s="421"/>
      <c r="E71" s="421"/>
      <c r="F71" s="421"/>
      <c r="G71" s="421"/>
      <c r="H71" s="421"/>
      <c r="I71" s="421"/>
      <c r="J71" s="421"/>
      <c r="K71" s="421"/>
      <c r="L71" s="421"/>
      <c r="M71" s="421"/>
      <c r="N71" s="421"/>
      <c r="O71" s="421"/>
      <c r="P71" s="421"/>
      <c r="Q71" s="421"/>
      <c r="R71" s="421"/>
      <c r="S71" s="421"/>
      <c r="T71" s="421"/>
      <c r="U71" s="421"/>
      <c r="V71" s="421"/>
      <c r="Y71" s="1467"/>
      <c r="Z71" s="1467"/>
      <c r="AQ71" s="1467">
        <v>0.90145759838454242</v>
      </c>
      <c r="AR71" s="1467">
        <v>0.87978435655409004</v>
      </c>
      <c r="AS71" s="1467">
        <v>1.0738560942844322</v>
      </c>
      <c r="AV71" s="1467">
        <v>1.0639060481017033</v>
      </c>
      <c r="AW71" s="1467">
        <v>1.1177631666480137</v>
      </c>
      <c r="AX71" s="1467">
        <v>1.055678721342145</v>
      </c>
      <c r="AY71" s="1468">
        <v>0.92629432237994536</v>
      </c>
      <c r="AZ71" s="421"/>
      <c r="BA71" s="421"/>
      <c r="BB71" s="434" t="s">
        <v>216</v>
      </c>
      <c r="BC71" s="421"/>
      <c r="BD71" s="421"/>
      <c r="BE71" s="1489" t="s">
        <v>313</v>
      </c>
      <c r="BF71" s="1467">
        <f t="shared" ref="BF71:BQ71" si="49">BF70/BE70-1</f>
        <v>7.2670693758008387E-2</v>
      </c>
      <c r="BG71" s="1467">
        <f t="shared" si="49"/>
        <v>4.778156996587013E-3</v>
      </c>
      <c r="BH71" s="1467">
        <f t="shared" si="49"/>
        <v>2.9891304347825942E-2</v>
      </c>
      <c r="BI71" s="1467">
        <f t="shared" si="49"/>
        <v>4.7493403693931402E-2</v>
      </c>
      <c r="BJ71" s="1467">
        <f t="shared" si="49"/>
        <v>9.0680100755667459E-2</v>
      </c>
      <c r="BK71" s="1467"/>
      <c r="BL71" s="1467">
        <f>BL70/BI70-1</f>
        <v>0.11335012594458438</v>
      </c>
      <c r="BM71" s="1467">
        <f t="shared" si="49"/>
        <v>4.0723981900452566E-2</v>
      </c>
      <c r="BN71" s="1467">
        <f t="shared" si="49"/>
        <v>3.6956521739130332E-2</v>
      </c>
      <c r="BO71" s="1467">
        <f t="shared" si="49"/>
        <v>0.10062893081761004</v>
      </c>
      <c r="BP71" s="1467">
        <f t="shared" si="49"/>
        <v>3.2380952380952621E-2</v>
      </c>
      <c r="BQ71" s="1467">
        <f t="shared" si="49"/>
        <v>2.933579335793346E-2</v>
      </c>
      <c r="BR71" s="1467">
        <f>BR70/BQ70-1</f>
        <v>3.3608173507797101E-2</v>
      </c>
      <c r="BS71" s="1467">
        <f>BS70/BR70-1</f>
        <v>3.2515390618226059E-2</v>
      </c>
      <c r="BT71" s="1467">
        <f>BT70/BS70-1</f>
        <v>3.1491434329862233E-2</v>
      </c>
      <c r="BU71" s="1468">
        <f>BU70/BT70-1</f>
        <v>3.0530000814133373E-2</v>
      </c>
      <c r="BV71" s="1467"/>
    </row>
    <row r="72" spans="1:74">
      <c r="A72" s="525" t="s">
        <v>234</v>
      </c>
      <c r="B72" s="1479"/>
      <c r="C72" s="18"/>
      <c r="D72" s="18"/>
      <c r="E72" s="18"/>
      <c r="F72" s="18"/>
      <c r="G72" s="18"/>
      <c r="H72" s="18"/>
      <c r="I72" s="18"/>
      <c r="J72" s="18"/>
      <c r="K72" s="18"/>
      <c r="L72" s="18"/>
      <c r="M72" s="18"/>
      <c r="N72" s="18"/>
      <c r="O72" s="18"/>
      <c r="P72" s="18"/>
      <c r="Q72" s="18"/>
      <c r="R72" s="18"/>
      <c r="S72" s="18"/>
      <c r="T72" s="18"/>
      <c r="U72" s="18"/>
      <c r="V72" s="18"/>
      <c r="Y72" s="1479"/>
      <c r="Z72" s="1479"/>
      <c r="AQ72" s="18" t="s">
        <v>90</v>
      </c>
      <c r="AR72" s="1479">
        <v>0.18126849350315019</v>
      </c>
      <c r="AS72" s="1479">
        <v>-0.16383037078636606</v>
      </c>
      <c r="AU72" s="18"/>
      <c r="AV72" s="1479">
        <v>-0.26499173629545159</v>
      </c>
      <c r="AW72" s="1479">
        <v>-0.13998621807512276</v>
      </c>
      <c r="AX72" s="1479">
        <v>-0.60951210383561549</v>
      </c>
      <c r="AY72" s="1481">
        <v>11.287465806209916</v>
      </c>
      <c r="AZ72" s="421"/>
      <c r="BA72" s="421"/>
      <c r="BB72" s="434" t="s">
        <v>217</v>
      </c>
      <c r="BC72" s="421"/>
      <c r="BD72" s="421"/>
      <c r="BE72" s="1486">
        <v>78266.475644699138</v>
      </c>
      <c r="BF72" s="1486">
        <v>80939.226519337026</v>
      </c>
      <c r="BG72" s="1486">
        <v>80000</v>
      </c>
      <c r="BH72" s="1486">
        <v>80000</v>
      </c>
      <c r="BI72" s="1486">
        <v>80000</v>
      </c>
      <c r="BJ72" s="1486">
        <v>80000</v>
      </c>
      <c r="BK72" s="1486"/>
      <c r="BL72" s="1486">
        <v>80000</v>
      </c>
      <c r="BM72" s="1486">
        <v>80000.000000000015</v>
      </c>
      <c r="BN72" s="1486">
        <v>80000</v>
      </c>
      <c r="BO72" s="1486">
        <v>84000</v>
      </c>
      <c r="BP72" s="1486">
        <v>83224.568138195798</v>
      </c>
      <c r="BQ72" s="1486">
        <v>82346.863468634692</v>
      </c>
      <c r="BR72" s="1486">
        <v>81361.552028218706</v>
      </c>
      <c r="BS72" s="1486">
        <v>80459.459459459467</v>
      </c>
      <c r="BT72" s="1486">
        <v>79630.470016207459</v>
      </c>
      <c r="BU72" s="1487">
        <v>78866.043613707181</v>
      </c>
      <c r="BV72" s="1486"/>
    </row>
    <row r="73" spans="1:74">
      <c r="AG73" s="421"/>
      <c r="AH73" s="421"/>
      <c r="AI73" s="421"/>
      <c r="AJ73" s="421"/>
      <c r="AM73" s="421"/>
      <c r="AN73" s="421"/>
      <c r="AO73" s="421"/>
      <c r="AP73" s="421"/>
      <c r="AQ73" s="421"/>
      <c r="AR73" s="421"/>
      <c r="AS73" s="421"/>
      <c r="AT73" s="421"/>
      <c r="AU73" s="421"/>
      <c r="AV73" s="421"/>
      <c r="AW73" s="421"/>
      <c r="AX73" s="421"/>
      <c r="AY73" s="421"/>
      <c r="AZ73" s="421"/>
      <c r="BA73" s="421"/>
      <c r="BB73" s="525" t="s">
        <v>218</v>
      </c>
      <c r="BC73" s="18"/>
      <c r="BD73" s="18"/>
      <c r="BE73" s="1490">
        <v>107.29845687778094</v>
      </c>
      <c r="BF73" s="1490">
        <v>112.02833171421001</v>
      </c>
      <c r="BG73" s="1490">
        <v>117.08590398365679</v>
      </c>
      <c r="BH73" s="1490">
        <v>113.90251004016064</v>
      </c>
      <c r="BI73" s="1490">
        <v>109.3240012886598</v>
      </c>
      <c r="BJ73" s="1490">
        <v>106.68617469879518</v>
      </c>
      <c r="BK73" s="1490"/>
      <c r="BL73" s="1491" t="s">
        <v>90</v>
      </c>
      <c r="BM73" s="1490">
        <v>101.70737250554323</v>
      </c>
      <c r="BN73" s="1490">
        <v>102.83175026680895</v>
      </c>
      <c r="BO73" s="1490">
        <v>101.72240945783446</v>
      </c>
      <c r="BP73" s="1490">
        <v>103.73390437495118</v>
      </c>
      <c r="BQ73" s="1490">
        <v>109.43067551595597</v>
      </c>
      <c r="BR73" s="1490">
        <v>112.80216127614678</v>
      </c>
      <c r="BS73" s="1490">
        <v>116.18442154933248</v>
      </c>
      <c r="BT73" s="1490">
        <v>119.56729444587997</v>
      </c>
      <c r="BU73" s="1492">
        <v>123.04644815255607</v>
      </c>
      <c r="BV73" s="1493"/>
    </row>
    <row r="74" spans="1:74">
      <c r="A74" s="544" t="s">
        <v>618</v>
      </c>
      <c r="B74" s="545"/>
      <c r="C74" s="545"/>
      <c r="D74" s="545"/>
      <c r="E74" s="545"/>
      <c r="F74" s="545"/>
      <c r="G74" s="545"/>
      <c r="H74" s="545"/>
      <c r="I74" s="545"/>
      <c r="J74" s="545"/>
      <c r="K74" s="545"/>
      <c r="L74" s="545"/>
      <c r="M74" s="545"/>
      <c r="N74" s="545"/>
      <c r="O74" s="545"/>
      <c r="P74" s="545"/>
      <c r="Q74" s="545"/>
      <c r="R74" s="545"/>
      <c r="S74" s="545"/>
      <c r="T74" s="545"/>
      <c r="U74" s="545"/>
      <c r="V74" s="545"/>
      <c r="W74" s="545"/>
      <c r="X74" s="545"/>
      <c r="Y74" s="545"/>
      <c r="Z74" s="545"/>
      <c r="AA74" s="545"/>
      <c r="AB74" s="545"/>
      <c r="AC74" s="545"/>
      <c r="AD74" s="545"/>
      <c r="AE74" s="545"/>
      <c r="AF74" s="545"/>
      <c r="AG74" s="545"/>
      <c r="AH74" s="545"/>
      <c r="AI74" s="545"/>
      <c r="AJ74" s="545"/>
      <c r="AK74" s="545"/>
      <c r="AL74" s="545"/>
      <c r="AM74" s="545"/>
      <c r="AN74" s="545"/>
      <c r="AO74" s="545"/>
      <c r="AP74" s="545"/>
      <c r="AQ74" s="545"/>
      <c r="AR74" s="545"/>
      <c r="AS74" s="545"/>
      <c r="AT74" s="545"/>
      <c r="AU74" s="545"/>
      <c r="AV74" s="545" t="s">
        <v>619</v>
      </c>
      <c r="AW74" s="545" t="s">
        <v>620</v>
      </c>
      <c r="AX74" s="545" t="s">
        <v>621</v>
      </c>
      <c r="AY74" s="546" t="s">
        <v>622</v>
      </c>
      <c r="BA74" s="421"/>
    </row>
    <row r="75" spans="1:74">
      <c r="A75" s="434" t="s">
        <v>204</v>
      </c>
      <c r="B75" s="421"/>
      <c r="C75" s="421"/>
      <c r="D75" s="421"/>
      <c r="E75" s="421"/>
      <c r="F75" s="421"/>
      <c r="G75" s="421"/>
      <c r="H75" s="421"/>
      <c r="I75" s="421"/>
      <c r="J75" s="421"/>
      <c r="K75" s="421"/>
      <c r="L75" s="421"/>
      <c r="M75" s="421"/>
      <c r="N75" s="421"/>
      <c r="O75" s="421"/>
      <c r="P75" s="421"/>
      <c r="Q75" s="421"/>
      <c r="R75" s="421"/>
      <c r="S75" s="421"/>
      <c r="T75" s="421"/>
      <c r="U75" s="421"/>
      <c r="V75" s="421"/>
      <c r="W75" s="421"/>
      <c r="X75" s="421"/>
      <c r="Y75" s="421"/>
      <c r="Z75" s="421"/>
      <c r="AA75" s="421"/>
      <c r="AB75" s="421"/>
      <c r="AC75" s="421"/>
      <c r="AD75" s="421"/>
      <c r="AE75" s="421"/>
      <c r="AF75" s="421"/>
      <c r="AG75" s="421"/>
      <c r="AH75" s="421"/>
      <c r="AI75" s="421"/>
      <c r="AJ75" s="421"/>
      <c r="AK75" s="421"/>
      <c r="AL75" s="421"/>
      <c r="AM75" s="421"/>
      <c r="AN75" s="421"/>
      <c r="AO75" s="421"/>
      <c r="AP75" s="421"/>
      <c r="AQ75" s="421"/>
      <c r="AR75" s="421"/>
      <c r="AS75" s="421"/>
      <c r="AT75" s="421"/>
      <c r="AU75" s="421"/>
      <c r="AV75" s="538">
        <f t="shared" ref="AV75:AY76" si="50">(AV43-AQ43)*10000</f>
        <v>78.409145525108471</v>
      </c>
      <c r="AW75" s="538">
        <f t="shared" si="50"/>
        <v>30.660253228835256</v>
      </c>
      <c r="AX75" s="538">
        <f t="shared" si="50"/>
        <v>66.353830095230435</v>
      </c>
      <c r="AY75" s="539">
        <f t="shared" si="50"/>
        <v>52.123004563484621</v>
      </c>
      <c r="BA75" s="421"/>
    </row>
    <row r="76" spans="1:74">
      <c r="A76" s="434" t="s">
        <v>205</v>
      </c>
      <c r="B76" s="421"/>
      <c r="C76" s="421"/>
      <c r="D76" s="421"/>
      <c r="E76" s="421"/>
      <c r="F76" s="421"/>
      <c r="G76" s="421"/>
      <c r="H76" s="421"/>
      <c r="I76" s="421"/>
      <c r="J76" s="421"/>
      <c r="K76" s="421"/>
      <c r="L76" s="421"/>
      <c r="M76" s="421"/>
      <c r="N76" s="421"/>
      <c r="O76" s="421"/>
      <c r="P76" s="421"/>
      <c r="Q76" s="421"/>
      <c r="R76" s="421"/>
      <c r="S76" s="421"/>
      <c r="T76" s="421"/>
      <c r="U76" s="421"/>
      <c r="V76" s="421"/>
      <c r="W76" s="421"/>
      <c r="X76" s="421"/>
      <c r="Y76" s="421"/>
      <c r="Z76" s="421"/>
      <c r="AA76" s="421"/>
      <c r="AB76" s="421"/>
      <c r="AC76" s="421"/>
      <c r="AD76" s="421"/>
      <c r="AE76" s="421"/>
      <c r="AF76" s="421"/>
      <c r="AG76" s="421"/>
      <c r="AH76" s="421"/>
      <c r="AI76" s="421"/>
      <c r="AJ76" s="421"/>
      <c r="AK76" s="421"/>
      <c r="AL76" s="421"/>
      <c r="AM76" s="421"/>
      <c r="AN76" s="421"/>
      <c r="AO76" s="421"/>
      <c r="AP76" s="421"/>
      <c r="AQ76" s="421"/>
      <c r="AR76" s="421"/>
      <c r="AS76" s="421"/>
      <c r="AT76" s="421"/>
      <c r="AU76" s="421"/>
      <c r="AV76" s="1494">
        <f t="shared" si="50"/>
        <v>-6.2137084020974509</v>
      </c>
      <c r="AW76" s="1494">
        <f t="shared" si="50"/>
        <v>-79.338618185431642</v>
      </c>
      <c r="AX76" s="1494">
        <f t="shared" si="50"/>
        <v>23.04929953706236</v>
      </c>
      <c r="AY76" s="1495">
        <f t="shared" si="50"/>
        <v>9.0245656213255856</v>
      </c>
      <c r="BA76" s="421"/>
    </row>
    <row r="77" spans="1:74">
      <c r="A77" s="525" t="s">
        <v>206</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496">
        <f>(AV48-AQ48)*10000</f>
        <v>168.48674991864524</v>
      </c>
      <c r="AW77" s="1496">
        <f>(AW48-AR48)*10000</f>
        <v>225.63812578070164</v>
      </c>
      <c r="AX77" s="1496">
        <f>(AX48-AS48)*10000</f>
        <v>-436.26061084680896</v>
      </c>
      <c r="AY77" s="1497">
        <f>(AY48-AT48)*10000</f>
        <v>212.95989537067032</v>
      </c>
      <c r="BA77" s="421"/>
    </row>
    <row r="78" spans="1:74">
      <c r="AM78" s="421"/>
      <c r="AN78" s="421"/>
      <c r="AO78" s="421"/>
      <c r="AP78" s="421"/>
      <c r="AQ78" s="421"/>
      <c r="AV78" s="421"/>
      <c r="BA78" s="421"/>
    </row>
    <row r="79" spans="1:74">
      <c r="AM79" s="421"/>
      <c r="AN79" s="421"/>
      <c r="AO79" s="421"/>
      <c r="AP79" s="421"/>
      <c r="AQ79" s="421"/>
      <c r="AV79" s="421"/>
      <c r="BA79" s="421"/>
    </row>
    <row r="80" spans="1:74">
      <c r="AM80" s="421"/>
      <c r="AN80" s="421"/>
      <c r="AO80" s="421"/>
      <c r="AP80" s="421"/>
      <c r="AQ80" s="421"/>
      <c r="AV80" s="421"/>
      <c r="BA80" s="421"/>
    </row>
    <row r="81" spans="1:74">
      <c r="AM81" s="421"/>
      <c r="AN81" s="421"/>
      <c r="AO81" s="421"/>
      <c r="AP81" s="421"/>
      <c r="AQ81" s="421"/>
      <c r="AV81" s="421"/>
      <c r="BA81" s="421"/>
    </row>
    <row r="82" spans="1:74">
      <c r="AM82" s="421"/>
      <c r="AN82" s="421"/>
      <c r="AO82" s="421"/>
      <c r="AP82" s="421"/>
      <c r="AQ82" s="421"/>
      <c r="AV82" s="421"/>
      <c r="BA82" s="421"/>
    </row>
    <row r="83" spans="1:74">
      <c r="AM83" s="421"/>
      <c r="AN83" s="421"/>
      <c r="AO83" s="421"/>
      <c r="AP83" s="421"/>
      <c r="AQ83" s="421"/>
      <c r="AV83" s="421"/>
      <c r="BA83" s="421"/>
    </row>
    <row r="84" spans="1:74">
      <c r="AM84" s="421"/>
      <c r="AN84" s="421"/>
      <c r="AO84" s="421"/>
      <c r="AP84" s="421"/>
      <c r="AQ84" s="421"/>
      <c r="AV84" s="421"/>
      <c r="BA84" s="421"/>
    </row>
    <row r="85" spans="1:74">
      <c r="A85" s="1498" t="s">
        <v>78</v>
      </c>
      <c r="AM85" s="421"/>
      <c r="AN85" s="421"/>
      <c r="AO85" s="421"/>
      <c r="AP85" s="421"/>
      <c r="AQ85" s="421"/>
      <c r="AV85" s="421"/>
      <c r="BA85" s="421"/>
    </row>
    <row r="87" spans="1:74">
      <c r="A87" s="17" t="s">
        <v>6</v>
      </c>
      <c r="C87" s="1499"/>
      <c r="D87" s="1499"/>
      <c r="E87" s="1499"/>
      <c r="F87" s="1499"/>
      <c r="G87" s="1499"/>
      <c r="H87" s="1499"/>
      <c r="I87" s="1499"/>
      <c r="J87" s="1499"/>
      <c r="K87" s="1499"/>
      <c r="L87" s="1499"/>
      <c r="M87" s="1499"/>
      <c r="N87" s="1499"/>
      <c r="O87" s="1499"/>
      <c r="P87" s="1499"/>
      <c r="Q87" s="1499"/>
      <c r="R87" s="1499"/>
      <c r="S87" s="1499"/>
      <c r="T87" s="1499"/>
      <c r="U87" s="1499"/>
      <c r="V87" s="1499"/>
      <c r="W87" s="1499">
        <v>34.64</v>
      </c>
      <c r="X87" s="1499">
        <v>34.64</v>
      </c>
      <c r="Y87" s="1499">
        <v>35.36</v>
      </c>
      <c r="Z87" s="1499">
        <v>35.36</v>
      </c>
      <c r="AA87" s="1499"/>
      <c r="AB87" s="1499">
        <v>35.92</v>
      </c>
      <c r="AC87" s="1499">
        <v>35.76</v>
      </c>
      <c r="AD87" s="1499">
        <v>36.72</v>
      </c>
      <c r="AE87" s="1499">
        <v>36.800000000000004</v>
      </c>
      <c r="AF87" s="1499"/>
      <c r="AG87" s="1499">
        <v>36.96</v>
      </c>
      <c r="AH87" s="1499">
        <v>36.96</v>
      </c>
      <c r="AI87" s="1499">
        <v>37.76</v>
      </c>
      <c r="AJ87" s="1499">
        <v>38.160000000000004</v>
      </c>
      <c r="AK87" s="1499"/>
      <c r="AL87" s="1499">
        <v>38.56</v>
      </c>
      <c r="AM87" s="1499">
        <v>38.56</v>
      </c>
      <c r="AN87" s="1499">
        <v>39.76</v>
      </c>
      <c r="AO87" s="1499">
        <v>40</v>
      </c>
      <c r="AP87" s="1499"/>
      <c r="AQ87" s="1499">
        <v>40.240000000000009</v>
      </c>
      <c r="AR87" s="1499">
        <v>40.240000000000009</v>
      </c>
      <c r="AS87" s="1499">
        <v>40.240000000000009</v>
      </c>
      <c r="AT87" s="1499">
        <v>41.680000000000007</v>
      </c>
      <c r="AU87" s="1499"/>
      <c r="AV87" s="1499">
        <v>41.84</v>
      </c>
      <c r="AW87" s="1499">
        <v>41.84</v>
      </c>
      <c r="AX87" s="1499">
        <v>43.2</v>
      </c>
      <c r="AY87" s="1499">
        <v>43.360000000000007</v>
      </c>
      <c r="AZ87" s="1499"/>
      <c r="BA87" s="1499">
        <v>41.84</v>
      </c>
      <c r="BB87" s="1499">
        <v>41.84</v>
      </c>
      <c r="BC87" s="1499">
        <v>43.2</v>
      </c>
      <c r="BD87" s="1499">
        <v>43.360000000000007</v>
      </c>
      <c r="BE87" s="1499">
        <v>27.315000000000001</v>
      </c>
      <c r="BF87" s="1499">
        <v>29.3</v>
      </c>
      <c r="BG87" s="1499">
        <v>29.44</v>
      </c>
      <c r="BH87" s="1499">
        <v>30.32</v>
      </c>
      <c r="BI87" s="1499">
        <v>31.76</v>
      </c>
      <c r="BJ87" s="1499">
        <v>34.64</v>
      </c>
      <c r="BK87" s="1499"/>
      <c r="BL87" s="1499">
        <v>35.36</v>
      </c>
      <c r="BM87" s="1499">
        <v>36.800000000000004</v>
      </c>
      <c r="BN87" s="1499">
        <v>38.160000000000004</v>
      </c>
      <c r="BO87" s="1499">
        <v>42</v>
      </c>
      <c r="BP87" s="1499">
        <v>43.360000000000007</v>
      </c>
      <c r="BQ87" s="1499">
        <v>44.632000000000005</v>
      </c>
      <c r="BR87" s="1499">
        <v>46.132000000000005</v>
      </c>
      <c r="BS87" s="1499">
        <v>47.632000000000005</v>
      </c>
      <c r="BT87" s="1499">
        <v>49.132000000000005</v>
      </c>
      <c r="BU87" s="1499">
        <v>50.632000000000005</v>
      </c>
      <c r="BV87" s="1499"/>
    </row>
    <row r="88" spans="1:74">
      <c r="A88" s="17" t="s">
        <v>100</v>
      </c>
      <c r="C88" s="1500"/>
      <c r="D88" s="1500"/>
      <c r="E88" s="1500"/>
      <c r="F88" s="1500"/>
      <c r="G88" s="1500"/>
      <c r="H88" s="1500"/>
      <c r="I88" s="1500"/>
      <c r="J88" s="1500"/>
      <c r="K88" s="1500"/>
      <c r="L88" s="1500"/>
      <c r="M88" s="1500"/>
      <c r="N88" s="1500"/>
      <c r="O88" s="1500"/>
      <c r="P88" s="1500"/>
      <c r="Q88" s="1500"/>
      <c r="R88" s="1500"/>
      <c r="S88" s="1500"/>
      <c r="T88" s="1500"/>
      <c r="U88" s="1500"/>
      <c r="V88" s="1500"/>
      <c r="W88" s="1500">
        <v>433</v>
      </c>
      <c r="X88" s="1500">
        <v>433</v>
      </c>
      <c r="Y88" s="1500">
        <v>442</v>
      </c>
      <c r="Z88" s="1500">
        <v>442</v>
      </c>
      <c r="AA88" s="1500"/>
      <c r="AB88" s="1500">
        <v>449</v>
      </c>
      <c r="AC88" s="1500">
        <v>447</v>
      </c>
      <c r="AD88" s="1500">
        <v>459</v>
      </c>
      <c r="AE88" s="1500">
        <v>460</v>
      </c>
      <c r="AF88" s="1500"/>
      <c r="AG88" s="1500">
        <v>462</v>
      </c>
      <c r="AH88" s="1500">
        <v>462</v>
      </c>
      <c r="AI88" s="1500">
        <v>472</v>
      </c>
      <c r="AJ88" s="1500">
        <v>477</v>
      </c>
      <c r="AK88" s="1500"/>
      <c r="AL88" s="1500">
        <v>482</v>
      </c>
      <c r="AM88" s="1500">
        <v>482</v>
      </c>
      <c r="AN88" s="1500">
        <v>497</v>
      </c>
      <c r="AO88" s="1500">
        <v>500</v>
      </c>
      <c r="AQ88" s="1500">
        <v>503</v>
      </c>
      <c r="AR88" s="1500">
        <v>503</v>
      </c>
      <c r="AS88" s="1500">
        <v>503</v>
      </c>
      <c r="AT88" s="1500">
        <v>521</v>
      </c>
      <c r="AV88" s="1500">
        <v>523</v>
      </c>
      <c r="AW88" s="1500">
        <v>523</v>
      </c>
      <c r="AX88" s="1500">
        <v>540</v>
      </c>
      <c r="AY88" s="1500">
        <v>542</v>
      </c>
      <c r="BA88" s="1500">
        <v>523</v>
      </c>
      <c r="BB88" s="1500">
        <v>523</v>
      </c>
      <c r="BC88" s="1500">
        <v>540</v>
      </c>
      <c r="BD88" s="1500">
        <v>542</v>
      </c>
      <c r="BE88" s="1500">
        <f>BE69</f>
        <v>349</v>
      </c>
      <c r="BF88" s="1500">
        <f t="shared" ref="BF88:BT88" si="51">BF69</f>
        <v>362</v>
      </c>
      <c r="BG88" s="1500">
        <f t="shared" si="51"/>
        <v>368</v>
      </c>
      <c r="BH88" s="1500">
        <f t="shared" si="51"/>
        <v>379</v>
      </c>
      <c r="BI88" s="1500">
        <f t="shared" si="51"/>
        <v>397</v>
      </c>
      <c r="BJ88" s="1500">
        <f>BJ69</f>
        <v>433</v>
      </c>
      <c r="BK88" s="1500"/>
      <c r="BL88" s="1500">
        <f t="shared" si="51"/>
        <v>442</v>
      </c>
      <c r="BM88" s="1500">
        <f t="shared" si="51"/>
        <v>460</v>
      </c>
      <c r="BN88" s="1500">
        <f t="shared" si="51"/>
        <v>477</v>
      </c>
      <c r="BO88" s="1500">
        <f t="shared" si="51"/>
        <v>500</v>
      </c>
      <c r="BP88" s="1500">
        <f t="shared" si="51"/>
        <v>521</v>
      </c>
      <c r="BQ88" s="1500">
        <f t="shared" si="51"/>
        <v>542</v>
      </c>
      <c r="BR88" s="1500">
        <f t="shared" si="51"/>
        <v>567</v>
      </c>
      <c r="BS88" s="1500">
        <f t="shared" si="51"/>
        <v>592</v>
      </c>
      <c r="BT88" s="1500">
        <f t="shared" si="51"/>
        <v>617</v>
      </c>
      <c r="BU88" s="1500">
        <f>BU69</f>
        <v>642</v>
      </c>
      <c r="BV88" s="1500"/>
    </row>
    <row r="89" spans="1:74">
      <c r="A89" s="17" t="s">
        <v>7</v>
      </c>
      <c r="C89" s="1501"/>
      <c r="D89" s="1501"/>
      <c r="E89" s="1501"/>
      <c r="F89" s="1501"/>
      <c r="G89" s="1501"/>
      <c r="H89" s="1501"/>
      <c r="I89" s="1501"/>
      <c r="J89" s="1501"/>
      <c r="K89" s="1501"/>
      <c r="L89" s="1501"/>
      <c r="M89" s="1501"/>
      <c r="N89" s="1501"/>
      <c r="O89" s="1501"/>
      <c r="P89" s="1501"/>
      <c r="Q89" s="1501"/>
      <c r="R89" s="1501"/>
      <c r="S89" s="1501"/>
      <c r="T89" s="1501"/>
      <c r="U89" s="1501"/>
      <c r="V89" s="1501"/>
      <c r="W89" s="1502">
        <v>0.35</v>
      </c>
      <c r="X89" s="1502">
        <v>0.35</v>
      </c>
      <c r="Y89" s="1502">
        <v>0.35</v>
      </c>
      <c r="Z89" s="1502">
        <v>0.35</v>
      </c>
      <c r="AA89" s="1502"/>
      <c r="AB89" s="1502">
        <v>0.35</v>
      </c>
      <c r="AC89" s="1502">
        <v>0.35</v>
      </c>
      <c r="AD89" s="1502">
        <v>0.35</v>
      </c>
      <c r="AE89" s="1502">
        <v>0.35</v>
      </c>
      <c r="AF89" s="1502"/>
      <c r="AG89" s="1502">
        <v>0.35</v>
      </c>
      <c r="AH89" s="1502">
        <v>0.35</v>
      </c>
      <c r="AI89" s="1502">
        <v>0.35</v>
      </c>
      <c r="AJ89" s="1502">
        <v>0.35</v>
      </c>
      <c r="AK89" s="1502"/>
      <c r="AL89" s="1502">
        <v>0.35</v>
      </c>
      <c r="AM89" s="1502">
        <v>0.35</v>
      </c>
      <c r="AN89" s="1502">
        <v>0.35</v>
      </c>
      <c r="AO89" s="1502">
        <v>0.35</v>
      </c>
      <c r="AP89" s="534"/>
      <c r="AQ89" s="1502">
        <v>0.39</v>
      </c>
      <c r="AR89" s="1502">
        <v>0.35</v>
      </c>
      <c r="AS89" s="1502">
        <v>0.39</v>
      </c>
      <c r="AT89" s="1502">
        <v>0.39</v>
      </c>
      <c r="AU89" s="534"/>
      <c r="AV89" s="1502">
        <v>0.39</v>
      </c>
      <c r="AW89" s="1502">
        <v>0.39</v>
      </c>
      <c r="AX89" s="1502">
        <v>0.39</v>
      </c>
      <c r="AY89" s="1502">
        <v>0.39</v>
      </c>
      <c r="AZ89" s="534"/>
      <c r="BA89" s="1502">
        <v>0.39</v>
      </c>
      <c r="BB89" s="1502">
        <v>0.39</v>
      </c>
      <c r="BC89" s="1502">
        <v>0.39</v>
      </c>
      <c r="BD89" s="1502">
        <v>0.39</v>
      </c>
      <c r="BE89" s="1502">
        <v>0.35</v>
      </c>
      <c r="BF89" s="1502">
        <v>0.35</v>
      </c>
      <c r="BG89" s="1502">
        <v>0.35</v>
      </c>
      <c r="BH89" s="1502">
        <v>0.35</v>
      </c>
      <c r="BI89" s="1502">
        <v>0.35</v>
      </c>
      <c r="BJ89" s="1502">
        <v>0.35</v>
      </c>
      <c r="BK89" s="1501"/>
      <c r="BL89" s="1502">
        <v>0.35</v>
      </c>
      <c r="BM89" s="1502">
        <v>0.35</v>
      </c>
      <c r="BN89" s="1502">
        <v>0.35</v>
      </c>
      <c r="BO89" s="1502">
        <v>0.35</v>
      </c>
      <c r="BP89" s="1502">
        <v>0.35</v>
      </c>
      <c r="BQ89" s="1502">
        <v>0.39</v>
      </c>
      <c r="BR89" s="1502">
        <v>0.39</v>
      </c>
      <c r="BS89" s="1502">
        <v>0.39</v>
      </c>
      <c r="BT89" s="1502">
        <v>0.39</v>
      </c>
      <c r="BU89" s="1502">
        <v>0.39</v>
      </c>
      <c r="BV89" s="1502"/>
    </row>
    <row r="91" spans="1:74" customFormat="1"/>
    <row r="95" spans="1:74">
      <c r="A95" s="1" t="s">
        <v>614</v>
      </c>
      <c r="AL95" s="535">
        <f>AL59+AG59</f>
        <v>1.0999999999999999E-2</v>
      </c>
      <c r="AM95" s="535">
        <f>AM59+AH59</f>
        <v>6.9000000000000006E-2</v>
      </c>
      <c r="AN95" s="535">
        <f>AN59+AI59</f>
        <v>3.6000000000000004E-2</v>
      </c>
      <c r="AO95" s="535">
        <f>AO59+AJ59</f>
        <v>-0.02</v>
      </c>
      <c r="AQ95" s="535">
        <f>AQ59+AL59</f>
        <v>0.04</v>
      </c>
      <c r="AR95" s="535">
        <f>AR59+AM59</f>
        <v>0.107</v>
      </c>
      <c r="AS95" s="535">
        <f>AS59+AN59</f>
        <v>0.06</v>
      </c>
      <c r="AT95" s="535">
        <f>AT59+AO59</f>
        <v>3.6999999999999998E-2</v>
      </c>
      <c r="AV95" s="535">
        <f>AV59+AQ59</f>
        <v>6.1000000000000006E-2</v>
      </c>
      <c r="AW95" s="535">
        <f>AW59+AR59</f>
        <v>0.125</v>
      </c>
      <c r="AX95" s="535">
        <f>AX59+AS59</f>
        <v>9.0999999999999998E-2</v>
      </c>
      <c r="AY95" s="535">
        <f>AY59+AT59</f>
        <v>0.10700000000000001</v>
      </c>
    </row>
  </sheetData>
  <printOptions horizontalCentered="1" verticalCentered="1"/>
  <pageMargins left="0" right="0" top="0" bottom="0" header="0" footer="0"/>
  <pageSetup scale="80"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pageSetUpPr fitToPage="1"/>
  </sheetPr>
  <dimension ref="A1:AU155"/>
  <sheetViews>
    <sheetView topLeftCell="D1" zoomScaleNormal="100" workbookViewId="0">
      <pane ySplit="9" topLeftCell="A108" activePane="bottomLeft" state="frozen"/>
      <selection pane="bottomLeft" activeCell="AR108" sqref="AR108"/>
    </sheetView>
  </sheetViews>
  <sheetFormatPr defaultRowHeight="12.75" outlineLevelRow="2" outlineLevelCol="1"/>
  <cols>
    <col min="1" max="1" width="9.140625" style="1282"/>
    <col min="2" max="2" width="1.7109375" style="1282" customWidth="1"/>
    <col min="3" max="3" width="9.140625" style="1282"/>
    <col min="4" max="4" width="1.85546875" style="1282" customWidth="1"/>
    <col min="5" max="5" width="9.140625" style="1282"/>
    <col min="6" max="6" width="1.85546875" style="1282" customWidth="1"/>
    <col min="7" max="7" width="9.140625" style="1282"/>
    <col min="8" max="8" width="1.85546875" style="1282" customWidth="1"/>
    <col min="9" max="9" width="9.140625" style="1282"/>
    <col min="10" max="10" width="4.85546875" style="1282" customWidth="1"/>
    <col min="11" max="11" width="9.140625" style="1282"/>
    <col min="12" max="12" width="1.7109375" style="1282" customWidth="1"/>
    <col min="13" max="13" width="9.140625" style="1282"/>
    <col min="14" max="14" width="1.85546875" style="1282" customWidth="1"/>
    <col min="15" max="15" width="9.140625" style="1282"/>
    <col min="16" max="16" width="5.7109375" style="1282" customWidth="1"/>
    <col min="17" max="17" width="1.7109375" style="1282" customWidth="1"/>
    <col min="18" max="18" width="9.5703125" style="1282" hidden="1" customWidth="1" outlineLevel="1"/>
    <col min="19" max="19" width="9.140625" style="1282" collapsed="1"/>
    <col min="20" max="20" width="1.7109375" style="1282" customWidth="1"/>
    <col min="21" max="21" width="9.140625" style="1282"/>
    <col min="22" max="22" width="1.7109375" style="1282" customWidth="1"/>
    <col min="23" max="23" width="9.140625" style="1282"/>
    <col min="24" max="24" width="1.7109375" style="1282" customWidth="1"/>
    <col min="25" max="25" width="9.140625" style="1282"/>
    <col min="26" max="26" width="1.7109375" style="1282" customWidth="1"/>
    <col min="27" max="27" width="9.140625" style="1282"/>
    <col min="28" max="28" width="1.7109375" style="1282" customWidth="1"/>
    <col min="29" max="29" width="9.140625" style="1282"/>
    <col min="30" max="30" width="1.85546875" style="1282" customWidth="1"/>
    <col min="31" max="31" width="9.140625" style="1282"/>
    <col min="32" max="32" width="2.42578125" style="1282" bestFit="1" customWidth="1"/>
    <col min="33" max="33" width="1.7109375" style="1282" customWidth="1"/>
    <col min="34" max="34" width="9.140625" style="1282"/>
    <col min="35" max="35" width="1.7109375" style="1282" customWidth="1"/>
    <col min="36" max="36" width="9.140625" style="1282"/>
    <col min="37" max="37" width="1.7109375" style="1282" customWidth="1"/>
    <col min="38" max="38" width="9.140625" style="1282"/>
    <col min="39" max="39" width="1.85546875" style="1282" customWidth="1"/>
    <col min="40" max="44" width="9.140625" style="1282" hidden="1" customWidth="1" outlineLevel="1"/>
    <col min="45" max="45" width="1.5703125" style="1282" hidden="1" customWidth="1" outlineLevel="1"/>
    <col min="46" max="46" width="9.140625" style="1282" hidden="1" customWidth="1" outlineLevel="1"/>
    <col min="47" max="47" width="9.140625" style="1282" collapsed="1"/>
    <col min="48" max="16384" width="9.140625" style="1282"/>
  </cols>
  <sheetData>
    <row r="1" spans="1:45" ht="12" customHeight="1">
      <c r="A1" s="1283" t="s">
        <v>441</v>
      </c>
      <c r="AN1" s="1282" t="s">
        <v>400</v>
      </c>
    </row>
    <row r="2" spans="1:45" s="1352" customFormat="1" ht="12" customHeight="1">
      <c r="A2" s="1246" t="s">
        <v>1072</v>
      </c>
    </row>
    <row r="3" spans="1:45" ht="10.5" customHeight="1"/>
    <row r="4" spans="1:45" ht="10.5" customHeight="1"/>
    <row r="5" spans="1:45" ht="10.5" customHeight="1">
      <c r="A5" s="1813"/>
      <c r="B5" s="1813"/>
      <c r="C5" s="1813"/>
      <c r="D5" s="1813"/>
      <c r="E5" s="1813"/>
      <c r="F5" s="1813"/>
      <c r="G5" s="1813"/>
      <c r="H5" s="1813"/>
      <c r="I5" s="1814" t="s">
        <v>75</v>
      </c>
      <c r="J5" s="1815"/>
      <c r="K5" s="1815"/>
      <c r="L5" s="1815"/>
      <c r="M5" s="1815"/>
      <c r="N5" s="1815"/>
      <c r="O5" s="1815"/>
      <c r="P5" s="1815"/>
      <c r="Q5" s="1815"/>
      <c r="R5" s="1815"/>
      <c r="S5" s="1815"/>
      <c r="T5" s="1815"/>
      <c r="U5" s="1815"/>
      <c r="V5" s="1815"/>
      <c r="W5" s="1816"/>
      <c r="X5" s="1817"/>
      <c r="Y5" s="1814" t="s">
        <v>74</v>
      </c>
      <c r="Z5" s="1815"/>
      <c r="AA5" s="1815"/>
      <c r="AB5" s="1815"/>
      <c r="AC5" s="1815"/>
      <c r="AD5" s="1815"/>
      <c r="AE5" s="1818"/>
      <c r="AF5" s="1815"/>
      <c r="AG5" s="1815"/>
      <c r="AH5" s="1815"/>
      <c r="AI5" s="1815"/>
      <c r="AJ5" s="1819"/>
      <c r="AK5" s="1819"/>
      <c r="AL5" s="1820"/>
    </row>
    <row r="6" spans="1:45" ht="10.5" customHeight="1">
      <c r="A6" s="1821"/>
      <c r="B6" s="1821"/>
      <c r="C6" s="1822"/>
      <c r="D6" s="1823" t="s">
        <v>98</v>
      </c>
      <c r="E6" s="1822"/>
      <c r="F6" s="1821"/>
      <c r="G6" s="1824" t="s">
        <v>57</v>
      </c>
      <c r="H6" s="1821"/>
      <c r="I6" s="1821"/>
      <c r="J6" s="1821"/>
      <c r="K6" s="1821"/>
      <c r="L6" s="1821"/>
      <c r="M6" s="1821"/>
      <c r="N6" s="1821"/>
      <c r="O6" s="2269" t="s">
        <v>58</v>
      </c>
      <c r="P6" s="2269"/>
      <c r="Q6" s="1825"/>
      <c r="R6" s="1825"/>
      <c r="S6" s="1826"/>
      <c r="T6" s="1827"/>
      <c r="U6" s="1828" t="s">
        <v>76</v>
      </c>
      <c r="V6" s="1829"/>
      <c r="W6" s="1829"/>
      <c r="X6" s="1830"/>
      <c r="Y6" s="1831"/>
      <c r="Z6" s="1831"/>
      <c r="AA6" s="1831"/>
      <c r="AB6" s="1821"/>
      <c r="AC6" s="1821"/>
      <c r="AD6" s="1821"/>
      <c r="AE6" s="2269" t="s">
        <v>58</v>
      </c>
      <c r="AF6" s="2269"/>
      <c r="AG6" s="1825"/>
      <c r="AH6" s="1826"/>
      <c r="AI6" s="1827"/>
      <c r="AJ6" s="1828" t="s">
        <v>77</v>
      </c>
      <c r="AK6" s="1829"/>
      <c r="AL6" s="1829"/>
    </row>
    <row r="7" spans="1:45" ht="10.5" customHeight="1">
      <c r="A7" s="1821"/>
      <c r="B7" s="1821"/>
      <c r="C7" s="1821"/>
      <c r="D7" s="1821"/>
      <c r="E7" s="1824" t="s">
        <v>99</v>
      </c>
      <c r="F7" s="1821"/>
      <c r="G7" s="1823" t="s">
        <v>59</v>
      </c>
      <c r="H7" s="1821"/>
      <c r="I7" s="1832" t="s">
        <v>60</v>
      </c>
      <c r="J7" s="1833"/>
      <c r="K7" s="1833"/>
      <c r="L7" s="1834"/>
      <c r="M7" s="1835"/>
      <c r="N7" s="1821"/>
      <c r="O7" s="1836" t="s">
        <v>61</v>
      </c>
      <c r="P7" s="1836"/>
      <c r="Q7" s="1825" t="s">
        <v>264</v>
      </c>
      <c r="R7" s="1825"/>
      <c r="S7" s="1837" t="s">
        <v>1</v>
      </c>
      <c r="T7" s="1838"/>
      <c r="U7" s="1837" t="s">
        <v>69</v>
      </c>
      <c r="V7" s="1830"/>
      <c r="W7" s="1839" t="s">
        <v>70</v>
      </c>
      <c r="X7" s="1830"/>
      <c r="Y7" s="1828"/>
      <c r="Z7" s="1828" t="s">
        <v>72</v>
      </c>
      <c r="AA7" s="1828"/>
      <c r="AB7" s="1834"/>
      <c r="AC7" s="1835"/>
      <c r="AD7" s="1821"/>
      <c r="AE7" s="1836" t="s">
        <v>61</v>
      </c>
      <c r="AF7" s="1836"/>
      <c r="AG7" s="1825"/>
      <c r="AH7" s="1821"/>
      <c r="AI7" s="1838"/>
      <c r="AJ7" s="1840" t="s">
        <v>73</v>
      </c>
      <c r="AK7" s="1830"/>
      <c r="AL7" s="1839" t="s">
        <v>70</v>
      </c>
    </row>
    <row r="8" spans="1:45" s="2151" customFormat="1">
      <c r="B8" s="2152"/>
      <c r="C8" s="1634" t="s">
        <v>1035</v>
      </c>
      <c r="D8" s="1531"/>
      <c r="E8" s="1634" t="s">
        <v>100</v>
      </c>
      <c r="F8" s="1531"/>
      <c r="G8" s="1531" t="s">
        <v>1036</v>
      </c>
      <c r="I8" s="1634" t="s">
        <v>1035</v>
      </c>
      <c r="J8" s="1531"/>
      <c r="K8" s="1634" t="s">
        <v>62</v>
      </c>
      <c r="L8" s="1531"/>
      <c r="M8" s="1634" t="s">
        <v>102</v>
      </c>
      <c r="O8" s="2156" t="s">
        <v>1037</v>
      </c>
      <c r="P8" s="1303"/>
      <c r="R8" s="1634" t="s">
        <v>1035</v>
      </c>
      <c r="T8" s="1634" t="s">
        <v>68</v>
      </c>
      <c r="V8" s="1634" t="s">
        <v>71</v>
      </c>
      <c r="W8" s="2153"/>
      <c r="Y8" s="1634" t="s">
        <v>1035</v>
      </c>
      <c r="Z8" s="1531"/>
      <c r="AA8" s="1634" t="s">
        <v>62</v>
      </c>
      <c r="AB8" s="1531"/>
      <c r="AC8" s="1634" t="s">
        <v>102</v>
      </c>
      <c r="AE8" s="1634" t="s">
        <v>1038</v>
      </c>
      <c r="AF8" s="1303"/>
      <c r="AH8" s="1634" t="s">
        <v>1035</v>
      </c>
      <c r="AJ8" s="1634" t="s">
        <v>1039</v>
      </c>
      <c r="AL8" s="1634" t="s">
        <v>71</v>
      </c>
      <c r="AM8" s="2153"/>
      <c r="AQ8" s="1531"/>
    </row>
    <row r="9" spans="1:45" s="2151" customFormat="1">
      <c r="B9" s="2152"/>
      <c r="C9" s="2154" t="s">
        <v>1040</v>
      </c>
      <c r="D9" s="1531"/>
      <c r="E9" s="2154" t="s">
        <v>1041</v>
      </c>
      <c r="F9" s="1531"/>
      <c r="G9" s="2154" t="s">
        <v>1042</v>
      </c>
      <c r="I9" s="2154" t="s">
        <v>1043</v>
      </c>
      <c r="J9" s="1531"/>
      <c r="K9" s="2154" t="s">
        <v>1044</v>
      </c>
      <c r="L9" s="1531"/>
      <c r="M9" s="2154" t="s">
        <v>1045</v>
      </c>
      <c r="O9" s="2155" t="s">
        <v>1046</v>
      </c>
      <c r="P9" s="2155"/>
      <c r="R9" s="2154" t="s">
        <v>1047</v>
      </c>
      <c r="T9" s="2154" t="s">
        <v>1048</v>
      </c>
      <c r="V9" s="2154" t="s">
        <v>1049</v>
      </c>
      <c r="W9" s="2153"/>
      <c r="Y9" s="2154" t="s">
        <v>1050</v>
      </c>
      <c r="Z9" s="1531"/>
      <c r="AA9" s="2154" t="s">
        <v>1051</v>
      </c>
      <c r="AB9" s="1531"/>
      <c r="AC9" s="2154" t="s">
        <v>1052</v>
      </c>
      <c r="AE9" s="2155" t="s">
        <v>1053</v>
      </c>
      <c r="AF9" s="2155"/>
      <c r="AH9" s="2154" t="s">
        <v>1054</v>
      </c>
      <c r="AJ9" s="2154" t="s">
        <v>1055</v>
      </c>
      <c r="AL9" s="2154" t="s">
        <v>1056</v>
      </c>
      <c r="AM9" s="2153"/>
      <c r="AO9" s="1283"/>
      <c r="AQ9" s="1531"/>
      <c r="AS9" s="1531"/>
    </row>
    <row r="10" spans="1:45" ht="10.5" hidden="1" customHeight="1" outlineLevel="2">
      <c r="A10" s="1841" t="s">
        <v>254</v>
      </c>
    </row>
    <row r="11" spans="1:45" ht="10.5" hidden="1" customHeight="1" outlineLevel="2">
      <c r="A11" s="1282" t="s">
        <v>63</v>
      </c>
      <c r="C11" s="1842" t="s">
        <v>90</v>
      </c>
      <c r="E11" s="1843">
        <f>'qtrP&amp;L'!E11</f>
        <v>3</v>
      </c>
      <c r="G11" s="1842" t="s">
        <v>90</v>
      </c>
      <c r="I11" s="1842" t="s">
        <v>90</v>
      </c>
      <c r="K11" s="1348" t="s">
        <v>90</v>
      </c>
      <c r="M11" s="1348" t="s">
        <v>90</v>
      </c>
      <c r="O11" s="1348" t="s">
        <v>90</v>
      </c>
      <c r="R11" s="1291">
        <f>'qtrP&amp;L'!C11</f>
        <v>456.27600000000001</v>
      </c>
      <c r="S11" s="1291">
        <f>R11-AP11</f>
        <v>451.55099999999999</v>
      </c>
      <c r="U11" s="1348" t="s">
        <v>90</v>
      </c>
      <c r="W11" s="1348" t="s">
        <v>90</v>
      </c>
      <c r="Y11" s="1348" t="s">
        <v>90</v>
      </c>
      <c r="AA11" s="1348" t="s">
        <v>90</v>
      </c>
      <c r="AC11" s="1348" t="s">
        <v>90</v>
      </c>
      <c r="AE11" s="1348" t="s">
        <v>90</v>
      </c>
      <c r="AF11" s="1282" t="s">
        <v>102</v>
      </c>
      <c r="AH11" s="1291">
        <f>S11</f>
        <v>451.55099999999999</v>
      </c>
      <c r="AJ11" s="1348" t="s">
        <v>90</v>
      </c>
      <c r="AL11" s="1348" t="s">
        <v>90</v>
      </c>
      <c r="AN11" s="1284"/>
      <c r="AP11" s="1284">
        <v>4.7249999999999996</v>
      </c>
      <c r="AQ11" s="1348" t="s">
        <v>90</v>
      </c>
      <c r="AR11" s="1291">
        <f>SUM(AP11,AN11)</f>
        <v>4.7249999999999996</v>
      </c>
      <c r="AS11" s="1291"/>
    </row>
    <row r="12" spans="1:45" ht="10.5" hidden="1" customHeight="1" outlineLevel="2">
      <c r="A12" s="1282" t="s">
        <v>64</v>
      </c>
      <c r="C12" s="1842" t="s">
        <v>90</v>
      </c>
      <c r="E12" s="1843">
        <f>'qtrP&amp;L'!E12</f>
        <v>-5.9</v>
      </c>
      <c r="G12" s="1842" t="s">
        <v>90</v>
      </c>
      <c r="I12" s="1842" t="s">
        <v>90</v>
      </c>
      <c r="K12" s="1348" t="s">
        <v>90</v>
      </c>
      <c r="M12" s="1348" t="s">
        <v>90</v>
      </c>
      <c r="O12" s="1348" t="s">
        <v>90</v>
      </c>
      <c r="R12" s="1312">
        <f>'qtrP&amp;L'!C12</f>
        <v>750.52200000000005</v>
      </c>
      <c r="S12" s="1312">
        <f t="shared" ref="S12:S64" si="0">R12-AP12</f>
        <v>744.2360000000001</v>
      </c>
      <c r="U12" s="1348" t="s">
        <v>90</v>
      </c>
      <c r="W12" s="1348" t="s">
        <v>90</v>
      </c>
      <c r="Y12" s="1348" t="s">
        <v>90</v>
      </c>
      <c r="AA12" s="1348" t="s">
        <v>90</v>
      </c>
      <c r="AC12" s="1348" t="s">
        <v>90</v>
      </c>
      <c r="AE12" s="1348" t="s">
        <v>90</v>
      </c>
      <c r="AH12" s="1312">
        <f>S12</f>
        <v>744.2360000000001</v>
      </c>
      <c r="AJ12" s="1348" t="s">
        <v>90</v>
      </c>
      <c r="AL12" s="1348" t="s">
        <v>90</v>
      </c>
      <c r="AN12" s="1288"/>
      <c r="AP12" s="1288">
        <v>6.2859999999999996</v>
      </c>
      <c r="AQ12" s="1348" t="s">
        <v>90</v>
      </c>
      <c r="AR12" s="1312">
        <f>SUM(AP12,AN12)</f>
        <v>6.2859999999999996</v>
      </c>
      <c r="AS12" s="1312"/>
    </row>
    <row r="13" spans="1:45" ht="10.5" hidden="1" customHeight="1" outlineLevel="2">
      <c r="A13" s="1282" t="s">
        <v>65</v>
      </c>
      <c r="C13" s="1842" t="s">
        <v>90</v>
      </c>
      <c r="E13" s="1843">
        <f>'qtrP&amp;L'!E13</f>
        <v>-0.4</v>
      </c>
      <c r="G13" s="1842" t="s">
        <v>90</v>
      </c>
      <c r="I13" s="1842" t="s">
        <v>90</v>
      </c>
      <c r="K13" s="1348" t="s">
        <v>90</v>
      </c>
      <c r="M13" s="1348" t="s">
        <v>90</v>
      </c>
      <c r="O13" s="1348" t="s">
        <v>90</v>
      </c>
      <c r="R13" s="1312">
        <f>'qtrP&amp;L'!C13</f>
        <v>787.54899999999998</v>
      </c>
      <c r="S13" s="1312">
        <f t="shared" si="0"/>
        <v>776.53800000000001</v>
      </c>
      <c r="U13" s="1348" t="s">
        <v>90</v>
      </c>
      <c r="W13" s="1348" t="s">
        <v>90</v>
      </c>
      <c r="Y13" s="1348" t="s">
        <v>90</v>
      </c>
      <c r="AA13" s="1348" t="s">
        <v>90</v>
      </c>
      <c r="AC13" s="1348" t="s">
        <v>90</v>
      </c>
      <c r="AE13" s="1348" t="s">
        <v>90</v>
      </c>
      <c r="AH13" s="1312">
        <f>S13</f>
        <v>776.53800000000001</v>
      </c>
      <c r="AJ13" s="1348" t="s">
        <v>90</v>
      </c>
      <c r="AL13" s="1348" t="s">
        <v>90</v>
      </c>
      <c r="AN13" s="1288"/>
      <c r="AP13" s="1288">
        <v>11.010999999999999</v>
      </c>
      <c r="AQ13" s="1348" t="s">
        <v>90</v>
      </c>
      <c r="AR13" s="1312">
        <f>SUM(AP13,AN13)</f>
        <v>11.010999999999999</v>
      </c>
      <c r="AS13" s="1312"/>
    </row>
    <row r="14" spans="1:45" ht="10.5" hidden="1" customHeight="1" outlineLevel="2">
      <c r="A14" s="1282" t="s">
        <v>66</v>
      </c>
      <c r="C14" s="1844" t="s">
        <v>90</v>
      </c>
      <c r="E14" s="1845">
        <f>'qtrP&amp;L'!E14</f>
        <v>5</v>
      </c>
      <c r="G14" s="1844" t="s">
        <v>90</v>
      </c>
      <c r="I14" s="1846">
        <v>319</v>
      </c>
      <c r="K14" s="1847" t="s">
        <v>90</v>
      </c>
      <c r="M14" s="1847" t="s">
        <v>90</v>
      </c>
      <c r="O14" s="1847" t="s">
        <v>90</v>
      </c>
      <c r="R14" s="1290">
        <f>'qtrP&amp;L'!C14</f>
        <v>608.79100000000005</v>
      </c>
      <c r="S14" s="1290">
        <f t="shared" si="0"/>
        <v>601.59900000000005</v>
      </c>
      <c r="U14" s="1847" t="s">
        <v>90</v>
      </c>
      <c r="W14" s="1847" t="s">
        <v>90</v>
      </c>
      <c r="Y14" s="1848">
        <f>Y15</f>
        <v>24.001000000000001</v>
      </c>
      <c r="AA14" s="1847" t="s">
        <v>90</v>
      </c>
      <c r="AC14" s="1847" t="s">
        <v>90</v>
      </c>
      <c r="AE14" s="1847" t="s">
        <v>90</v>
      </c>
      <c r="AH14" s="1290">
        <f>S14</f>
        <v>601.59900000000005</v>
      </c>
      <c r="AJ14" s="1847" t="s">
        <v>90</v>
      </c>
      <c r="AL14" s="1847" t="s">
        <v>90</v>
      </c>
      <c r="AN14" s="1289"/>
      <c r="AP14" s="1289">
        <v>7.1920000000000002</v>
      </c>
      <c r="AQ14" s="1847" t="s">
        <v>90</v>
      </c>
      <c r="AR14" s="1290">
        <f>SUM(AP14,AN14)</f>
        <v>7.1920000000000002</v>
      </c>
      <c r="AS14" s="1540"/>
    </row>
    <row r="15" spans="1:45" ht="10.5" hidden="1" customHeight="1" outlineLevel="2">
      <c r="A15" s="1795" t="s">
        <v>67</v>
      </c>
      <c r="C15" s="1842" t="s">
        <v>90</v>
      </c>
      <c r="E15" s="1843">
        <f>'qtrP&amp;L'!E15</f>
        <v>-0.3</v>
      </c>
      <c r="G15" s="1842" t="s">
        <v>90</v>
      </c>
      <c r="I15" s="1849">
        <f>I14</f>
        <v>319</v>
      </c>
      <c r="K15" s="1348" t="s">
        <v>90</v>
      </c>
      <c r="M15" s="1348" t="s">
        <v>90</v>
      </c>
      <c r="O15" s="1348" t="s">
        <v>90</v>
      </c>
      <c r="R15" s="1291">
        <f>'qtrP&amp;L'!C15</f>
        <v>2553.7570000000001</v>
      </c>
      <c r="S15" s="1291">
        <f t="shared" si="0"/>
        <v>2533.7080000000001</v>
      </c>
      <c r="U15" s="1348" t="s">
        <v>90</v>
      </c>
      <c r="W15" s="1348" t="s">
        <v>90</v>
      </c>
      <c r="Y15" s="1325">
        <f>yrSales!D31</f>
        <v>24.001000000000001</v>
      </c>
      <c r="Z15" s="1325"/>
      <c r="AA15" s="1348" t="s">
        <v>90</v>
      </c>
      <c r="AC15" s="1348" t="s">
        <v>90</v>
      </c>
      <c r="AE15" s="1348" t="s">
        <v>90</v>
      </c>
      <c r="AH15" s="1291">
        <f>SUM(AH11:AH14)</f>
        <v>2573.924</v>
      </c>
      <c r="AJ15" s="1348" t="s">
        <v>90</v>
      </c>
      <c r="AL15" s="1348" t="s">
        <v>90</v>
      </c>
      <c r="AN15" s="1291"/>
      <c r="AP15" s="1291">
        <f>yrSales!D10</f>
        <v>20.048999999999999</v>
      </c>
      <c r="AQ15" s="1348" t="s">
        <v>90</v>
      </c>
      <c r="AR15" s="1291">
        <f>SUM(AP15,AN15)</f>
        <v>20.048999999999999</v>
      </c>
      <c r="AS15" s="1291"/>
    </row>
    <row r="16" spans="1:45" ht="10.5" hidden="1" customHeight="1" outlineLevel="2">
      <c r="A16" s="1795"/>
      <c r="C16" s="1843"/>
      <c r="E16" s="1843"/>
      <c r="I16" s="1849"/>
      <c r="K16" s="1849"/>
      <c r="M16" s="1850"/>
      <c r="O16" s="1654"/>
      <c r="R16" s="1843"/>
      <c r="S16" s="1843"/>
      <c r="U16" s="1654"/>
      <c r="W16" s="1851"/>
      <c r="Y16" s="1325"/>
      <c r="AA16" s="1325"/>
      <c r="AH16" s="1291"/>
      <c r="AJ16" s="1291"/>
      <c r="AL16" s="1851"/>
      <c r="AN16" s="1291"/>
      <c r="AP16" s="1291"/>
      <c r="AS16" s="1291"/>
    </row>
    <row r="17" spans="1:45" ht="10.5" hidden="1" customHeight="1" outlineLevel="2">
      <c r="A17" s="1841" t="s">
        <v>255</v>
      </c>
      <c r="M17" s="1850"/>
      <c r="R17" s="1843"/>
      <c r="S17" s="1843"/>
      <c r="Y17" s="1325"/>
    </row>
    <row r="18" spans="1:45" ht="10.5" hidden="1" customHeight="1" outlineLevel="2">
      <c r="A18" s="1282" t="s">
        <v>63</v>
      </c>
      <c r="C18" s="1843">
        <f>(S18/S11-1)*100</f>
        <v>12.081248851181826</v>
      </c>
      <c r="D18" s="1282" t="s">
        <v>102</v>
      </c>
      <c r="E18" s="1843">
        <f>'qtrP&amp;L'!I11</f>
        <v>1.7</v>
      </c>
      <c r="F18" s="1282" t="s">
        <v>102</v>
      </c>
      <c r="G18" s="1843">
        <f>C18-E18</f>
        <v>10.381248851181827</v>
      </c>
      <c r="H18" s="1282" t="s">
        <v>102</v>
      </c>
      <c r="I18" s="1852">
        <v>324</v>
      </c>
      <c r="J18" s="1849"/>
      <c r="K18" s="1849">
        <f>AVERAGEA(I18,I15)</f>
        <v>321.5</v>
      </c>
      <c r="M18" s="1348" t="s">
        <v>90</v>
      </c>
      <c r="O18" s="1348" t="s">
        <v>90</v>
      </c>
      <c r="R18" s="1291">
        <f>'qtrP&amp;L'!G11</f>
        <v>512.31500000000005</v>
      </c>
      <c r="S18" s="1291">
        <f t="shared" si="0"/>
        <v>506.10400000000004</v>
      </c>
      <c r="U18" s="1291">
        <f>S18/K18</f>
        <v>1.5741959564541215</v>
      </c>
      <c r="W18" s="1348" t="s">
        <v>90</v>
      </c>
      <c r="X18" s="1282" t="s">
        <v>102</v>
      </c>
      <c r="Y18" s="1853">
        <f>Y19/I19*I18</f>
        <v>24.662686567164176</v>
      </c>
      <c r="AA18" s="1325">
        <f>AVERAGEA(Y18,Y14)</f>
        <v>24.331843283582089</v>
      </c>
      <c r="AC18" s="1348" t="s">
        <v>90</v>
      </c>
      <c r="AE18" s="1348" t="s">
        <v>90</v>
      </c>
      <c r="AF18" s="1282" t="s">
        <v>102</v>
      </c>
      <c r="AH18" s="1291">
        <f>S18</f>
        <v>506.10400000000004</v>
      </c>
      <c r="AJ18" s="1291">
        <f>AH18/AA18</f>
        <v>20.800068211087556</v>
      </c>
      <c r="AL18" s="1348" t="s">
        <v>90</v>
      </c>
      <c r="AN18" s="1284"/>
      <c r="AP18" s="1284">
        <v>6.2110000000000003</v>
      </c>
      <c r="AQ18" s="1854">
        <f>AP18/AP11-1</f>
        <v>0.31449735449735461</v>
      </c>
      <c r="AR18" s="1291">
        <f>SUM(AP18,AN18)</f>
        <v>6.2110000000000003</v>
      </c>
      <c r="AS18" s="1291"/>
    </row>
    <row r="19" spans="1:45" ht="10.5" hidden="1" customHeight="1" outlineLevel="2">
      <c r="A19" s="1282" t="s">
        <v>64</v>
      </c>
      <c r="C19" s="1843">
        <f>(S19/S12-1)*100</f>
        <v>5.1785992615245524</v>
      </c>
      <c r="E19" s="1843">
        <f>'qtrP&amp;L'!I12</f>
        <v>-1.3</v>
      </c>
      <c r="G19" s="1843">
        <f>C19-E19</f>
        <v>6.4785992615245522</v>
      </c>
      <c r="I19" s="1852">
        <v>333</v>
      </c>
      <c r="J19" s="1849"/>
      <c r="K19" s="1849">
        <f>AVERAGEA(I18:I19)</f>
        <v>328.5</v>
      </c>
      <c r="M19" s="1348" t="s">
        <v>90</v>
      </c>
      <c r="O19" s="1348" t="s">
        <v>90</v>
      </c>
      <c r="R19" s="1312">
        <f>'qtrP&amp;L'!G12</f>
        <v>790.79100000000005</v>
      </c>
      <c r="S19" s="1312">
        <f t="shared" si="0"/>
        <v>782.77700000000004</v>
      </c>
      <c r="U19" s="1312">
        <f>S19/K19</f>
        <v>2.3828828006088281</v>
      </c>
      <c r="W19" s="1348" t="s">
        <v>90</v>
      </c>
      <c r="Y19" s="1853">
        <f>Y20/I20*I19</f>
        <v>25.34776119402985</v>
      </c>
      <c r="AA19" s="1325">
        <f>AVERAGEA(Y18:Y19)</f>
        <v>25.005223880597015</v>
      </c>
      <c r="AC19" s="1348" t="s">
        <v>90</v>
      </c>
      <c r="AE19" s="1348" t="s">
        <v>90</v>
      </c>
      <c r="AH19" s="1312">
        <f>S19</f>
        <v>782.77700000000004</v>
      </c>
      <c r="AJ19" s="1312">
        <f>AH19/AA19</f>
        <v>31.30453875309637</v>
      </c>
      <c r="AL19" s="1348" t="s">
        <v>90</v>
      </c>
      <c r="AN19" s="1288"/>
      <c r="AP19" s="1288">
        <v>8.0139999999999993</v>
      </c>
      <c r="AQ19" s="1854">
        <f>AP19/AP12-1</f>
        <v>0.27489659560929036</v>
      </c>
      <c r="AR19" s="1312">
        <f>SUM(AP19,AN19)</f>
        <v>8.0139999999999993</v>
      </c>
      <c r="AS19" s="1312"/>
    </row>
    <row r="20" spans="1:45" ht="10.5" hidden="1" customHeight="1" outlineLevel="2">
      <c r="A20" s="1282" t="s">
        <v>65</v>
      </c>
      <c r="C20" s="1843">
        <f>(S20/S13-1)*100</f>
        <v>3.0105416605497703</v>
      </c>
      <c r="E20" s="1843">
        <f>'qtrP&amp;L'!I13</f>
        <v>-2.5</v>
      </c>
      <c r="G20" s="1843">
        <f>C20-E20</f>
        <v>5.5105416605497703</v>
      </c>
      <c r="I20" s="1852">
        <v>331</v>
      </c>
      <c r="J20" s="1849"/>
      <c r="K20" s="1849">
        <f>AVERAGEA(I19:I20)</f>
        <v>332</v>
      </c>
      <c r="M20" s="1348" t="s">
        <v>90</v>
      </c>
      <c r="O20" s="1348" t="s">
        <v>90</v>
      </c>
      <c r="R20" s="1312">
        <f>'qtrP&amp;L'!G13</f>
        <v>807.65</v>
      </c>
      <c r="S20" s="1312">
        <f t="shared" si="0"/>
        <v>799.91599999999994</v>
      </c>
      <c r="U20" s="1312">
        <f>S20/K20</f>
        <v>2.4093855421686747</v>
      </c>
      <c r="W20" s="1348" t="s">
        <v>90</v>
      </c>
      <c r="Y20" s="1853">
        <f>Y21/I21*I20</f>
        <v>25.1955223880597</v>
      </c>
      <c r="AA20" s="1325">
        <f>AVERAGEA(Y19:Y20)</f>
        <v>25.271641791044775</v>
      </c>
      <c r="AC20" s="1348" t="s">
        <v>90</v>
      </c>
      <c r="AE20" s="1348" t="s">
        <v>90</v>
      </c>
      <c r="AH20" s="1312">
        <f>S20</f>
        <v>799.91599999999994</v>
      </c>
      <c r="AJ20" s="1312">
        <f>AH20/AA20</f>
        <v>31.652712024568864</v>
      </c>
      <c r="AL20" s="1348" t="s">
        <v>90</v>
      </c>
      <c r="AN20" s="1288"/>
      <c r="AP20" s="1288">
        <v>7.734</v>
      </c>
      <c r="AQ20" s="1854">
        <f>AP20/AP13-1</f>
        <v>-0.29761147942966115</v>
      </c>
      <c r="AR20" s="1312">
        <f>SUM(AP20,AN20)</f>
        <v>7.734</v>
      </c>
      <c r="AS20" s="1312"/>
    </row>
    <row r="21" spans="1:45" ht="10.5" hidden="1" customHeight="1" outlineLevel="2">
      <c r="A21" s="1282" t="s">
        <v>66</v>
      </c>
      <c r="C21" s="1845">
        <f>(S21/S14-1)*100</f>
        <v>0.17420241722476693</v>
      </c>
      <c r="E21" s="1845">
        <f>'qtrP&amp;L'!I14</f>
        <v>-4.0999999999999996</v>
      </c>
      <c r="G21" s="1845">
        <f>C21-E21</f>
        <v>4.2742024172247666</v>
      </c>
      <c r="I21" s="1846">
        <v>335</v>
      </c>
      <c r="J21" s="1855"/>
      <c r="K21" s="1856">
        <f>AVERAGEA(I20:I21)</f>
        <v>333</v>
      </c>
      <c r="M21" s="1847" t="s">
        <v>90</v>
      </c>
      <c r="O21" s="1847" t="s">
        <v>90</v>
      </c>
      <c r="R21" s="1290">
        <f>'qtrP&amp;L'!G14</f>
        <v>609.39800000000002</v>
      </c>
      <c r="S21" s="1290">
        <f t="shared" si="0"/>
        <v>602.64700000000005</v>
      </c>
      <c r="U21" s="1290">
        <f>S21/K21</f>
        <v>1.8097507507507509</v>
      </c>
      <c r="W21" s="1847" t="s">
        <v>90</v>
      </c>
      <c r="Y21" s="1848">
        <f>Y22/I22*I21</f>
        <v>25.5</v>
      </c>
      <c r="AA21" s="1391">
        <f>AVERAGEA(Y20:Y21)</f>
        <v>25.34776119402985</v>
      </c>
      <c r="AC21" s="1847" t="s">
        <v>90</v>
      </c>
      <c r="AE21" s="1847" t="s">
        <v>90</v>
      </c>
      <c r="AH21" s="1290">
        <f>S21</f>
        <v>602.64700000000005</v>
      </c>
      <c r="AJ21" s="1290">
        <f>AH21/AA21</f>
        <v>23.775156921627513</v>
      </c>
      <c r="AL21" s="1847" t="s">
        <v>90</v>
      </c>
      <c r="AN21" s="1289"/>
      <c r="AP21" s="1289">
        <v>6.7510000000000003</v>
      </c>
      <c r="AQ21" s="1854">
        <f>AP21/AP14-1</f>
        <v>-6.131813125695218E-2</v>
      </c>
      <c r="AR21" s="1290">
        <f>SUM(AP21,AN21)</f>
        <v>6.7510000000000003</v>
      </c>
      <c r="AS21" s="1540"/>
    </row>
    <row r="22" spans="1:45" ht="10.5" hidden="1" customHeight="1" outlineLevel="2">
      <c r="A22" s="1795" t="s">
        <v>67</v>
      </c>
      <c r="C22" s="1843">
        <f>(S22/S15-1)*100</f>
        <v>4.7899757983161484</v>
      </c>
      <c r="E22" s="1843">
        <f>'qtrP&amp;L'!I15</f>
        <v>-1.7</v>
      </c>
      <c r="G22" s="1843">
        <f>C22-E22</f>
        <v>6.4899757983161486</v>
      </c>
      <c r="I22" s="1849">
        <f>I21</f>
        <v>335</v>
      </c>
      <c r="J22" s="1849"/>
      <c r="K22" s="1849">
        <f>AVERAGEA(K18:K21)</f>
        <v>328.75</v>
      </c>
      <c r="M22" s="1348" t="s">
        <v>90</v>
      </c>
      <c r="O22" s="1348" t="s">
        <v>90</v>
      </c>
      <c r="R22" s="1291">
        <f>'qtrP&amp;L'!G15</f>
        <v>2678.1280000000002</v>
      </c>
      <c r="S22" s="1291">
        <f t="shared" si="0"/>
        <v>2655.0720000000001</v>
      </c>
      <c r="U22" s="1291">
        <f>SUM(U18:U21)</f>
        <v>8.1762150499823747</v>
      </c>
      <c r="W22" s="1348" t="s">
        <v>90</v>
      </c>
      <c r="Y22" s="1857">
        <f>yrSales!E31</f>
        <v>25.5</v>
      </c>
      <c r="Z22" s="1348"/>
      <c r="AA22" s="1325">
        <f>AVERAGEA(AA18:AA21)</f>
        <v>24.989117537313433</v>
      </c>
      <c r="AC22" s="1348" t="s">
        <v>90</v>
      </c>
      <c r="AE22" s="1348" t="s">
        <v>90</v>
      </c>
      <c r="AH22" s="1291">
        <f>SUM(AH18:AH21)</f>
        <v>2691.444</v>
      </c>
      <c r="AJ22" s="1291">
        <f>SUM(AJ18:AJ21)</f>
        <v>107.5324759103803</v>
      </c>
      <c r="AL22" s="1348" t="s">
        <v>90</v>
      </c>
      <c r="AN22" s="1291"/>
      <c r="AP22" s="1291">
        <f>yrSales!E10</f>
        <v>23.056000000000001</v>
      </c>
      <c r="AQ22" s="1854">
        <f>AP22/AP15-1</f>
        <v>0.14998254277021306</v>
      </c>
      <c r="AR22" s="1291">
        <f>SUM(AP22,AN22)</f>
        <v>23.056000000000001</v>
      </c>
      <c r="AS22" s="1291"/>
    </row>
    <row r="23" spans="1:45" ht="10.5" hidden="1" customHeight="1" outlineLevel="2">
      <c r="A23" s="1795"/>
      <c r="C23" s="1843"/>
      <c r="E23" s="1843"/>
      <c r="I23" s="1849"/>
      <c r="K23" s="1849"/>
      <c r="M23" s="1850"/>
      <c r="O23" s="1654"/>
      <c r="R23" s="1843"/>
      <c r="S23" s="1843"/>
      <c r="W23" s="1851"/>
      <c r="Y23" s="1325"/>
      <c r="AA23" s="1325"/>
      <c r="AE23" s="1654"/>
      <c r="AH23" s="1291"/>
      <c r="AJ23" s="1291"/>
      <c r="AL23" s="1851"/>
      <c r="AN23" s="1291"/>
      <c r="AP23" s="1291"/>
      <c r="AS23" s="1291"/>
    </row>
    <row r="24" spans="1:45" ht="10.5" hidden="1" customHeight="1" outlineLevel="2">
      <c r="A24" s="1841" t="s">
        <v>166</v>
      </c>
      <c r="M24" s="1850"/>
      <c r="R24" s="1843"/>
      <c r="S24" s="1843"/>
      <c r="Y24" s="1325"/>
    </row>
    <row r="25" spans="1:45" ht="10.5" hidden="1" customHeight="1" outlineLevel="2">
      <c r="A25" s="1282" t="s">
        <v>63</v>
      </c>
      <c r="C25" s="1843">
        <f>(S25/S18-1)*100</f>
        <v>3.8270790193319693</v>
      </c>
      <c r="D25" s="1282" t="s">
        <v>102</v>
      </c>
      <c r="E25" s="1843">
        <f>'qtrP&amp;L'!M11</f>
        <v>-1.6</v>
      </c>
      <c r="F25" s="1282" t="s">
        <v>102</v>
      </c>
      <c r="G25" s="1843">
        <f>C25-E25</f>
        <v>5.4270790193319698</v>
      </c>
      <c r="H25" s="1282" t="s">
        <v>102</v>
      </c>
      <c r="I25" s="1852">
        <v>337</v>
      </c>
      <c r="J25" s="1855">
        <f>I25-I21</f>
        <v>2</v>
      </c>
      <c r="K25" s="1849">
        <f>AVERAGEA(I25,I21)</f>
        <v>336</v>
      </c>
      <c r="M25" s="1292">
        <f>(K25/K18-1)*100</f>
        <v>4.510108864696738</v>
      </c>
      <c r="N25" s="1282" t="s">
        <v>102</v>
      </c>
      <c r="O25" s="1654">
        <f>(G25/M25)*100</f>
        <v>120.33144170449839</v>
      </c>
      <c r="Q25" s="1282" t="s">
        <v>102</v>
      </c>
      <c r="R25" s="1291">
        <f>'qtrP&amp;L'!K11</f>
        <v>531.52099999999996</v>
      </c>
      <c r="S25" s="1291">
        <f t="shared" si="0"/>
        <v>525.47299999999996</v>
      </c>
      <c r="U25" s="1291">
        <f>S25/K25</f>
        <v>1.563907738095238</v>
      </c>
      <c r="W25" s="1851">
        <f>(U25/U18-1)*100</f>
        <v>-0.65355385501419949</v>
      </c>
      <c r="X25" s="1282" t="s">
        <v>102</v>
      </c>
      <c r="Y25" s="1853">
        <f>Y26/I26*I25</f>
        <v>26.375802292263611</v>
      </c>
      <c r="AA25" s="1325">
        <f>AVERAGEA(Y25,Y21)</f>
        <v>25.937901146131807</v>
      </c>
      <c r="AC25" s="1292">
        <f>(AA25/AA18-1)*100</f>
        <v>6.6006419810923589</v>
      </c>
      <c r="AE25" s="1654">
        <f>(G25/AC25)*100</f>
        <v>82.220472415833513</v>
      </c>
      <c r="AF25" s="1282" t="s">
        <v>102</v>
      </c>
      <c r="AH25" s="1291">
        <f>S25</f>
        <v>525.47299999999996</v>
      </c>
      <c r="AJ25" s="1291">
        <f>AH25/AA25</f>
        <v>20.258886678591772</v>
      </c>
      <c r="AL25" s="1851">
        <f>(AJ25/AJ18-1)*100</f>
        <v>-2.6018257584718207</v>
      </c>
      <c r="AN25" s="1284"/>
      <c r="AP25" s="1288">
        <v>6.048</v>
      </c>
      <c r="AQ25" s="1854">
        <f>AP25/AP18-1</f>
        <v>-2.6243761069071003E-2</v>
      </c>
      <c r="AR25" s="1291">
        <f>SUM(AP25,AN25)</f>
        <v>6.048</v>
      </c>
      <c r="AS25" s="1291"/>
    </row>
    <row r="26" spans="1:45" ht="10.5" hidden="1" customHeight="1" outlineLevel="2">
      <c r="A26" s="1282" t="s">
        <v>64</v>
      </c>
      <c r="C26" s="1843">
        <f>(S26/S19-1)*100</f>
        <v>0.49592668154532227</v>
      </c>
      <c r="E26" s="1843">
        <f>'qtrP&amp;L'!M12</f>
        <v>-5.9</v>
      </c>
      <c r="G26" s="1843">
        <f>C26-E26</f>
        <v>6.3959266815453226</v>
      </c>
      <c r="I26" s="1852">
        <v>344</v>
      </c>
      <c r="J26" s="1855">
        <f>I26-I25</f>
        <v>7</v>
      </c>
      <c r="K26" s="1849">
        <f>AVERAGEA(I25:I26)</f>
        <v>340.5</v>
      </c>
      <c r="M26" s="1292">
        <f>(K26/K19-1)*100</f>
        <v>3.6529680365296802</v>
      </c>
      <c r="O26" s="1654">
        <f>(G26/M26)*100</f>
        <v>175.08849290730322</v>
      </c>
      <c r="R26" s="1312">
        <f>'qtrP&amp;L'!K12</f>
        <v>794.06500000000005</v>
      </c>
      <c r="S26" s="1312">
        <f t="shared" si="0"/>
        <v>786.65900000000011</v>
      </c>
      <c r="U26" s="1312">
        <f>S26/K26</f>
        <v>2.3103054331864907</v>
      </c>
      <c r="W26" s="1851">
        <f>(U26/U19-1)*100</f>
        <v>-3.0457799856456913</v>
      </c>
      <c r="Y26" s="1853">
        <f>Y27/I27*I26</f>
        <v>26.923667621776506</v>
      </c>
      <c r="AA26" s="1325">
        <f>AVERAGEA(Y25:Y26)</f>
        <v>26.649734957020058</v>
      </c>
      <c r="AC26" s="1292">
        <f>(AA26/AA19-1)*100</f>
        <v>6.576670076124036</v>
      </c>
      <c r="AE26" s="1654">
        <f>(G26/AC26)*100</f>
        <v>97.2517490996715</v>
      </c>
      <c r="AH26" s="1312">
        <f>S26</f>
        <v>786.65900000000011</v>
      </c>
      <c r="AJ26" s="1312">
        <f>AH26/AA26</f>
        <v>29.518454921548059</v>
      </c>
      <c r="AL26" s="1851">
        <f>(AJ26/AJ19-1)*100</f>
        <v>-5.705510774764722</v>
      </c>
      <c r="AN26" s="1288"/>
      <c r="AP26" s="1288">
        <v>7.4059999999999997</v>
      </c>
      <c r="AQ26" s="1854">
        <f>AP26/AP19-1</f>
        <v>-7.5867232343398983E-2</v>
      </c>
      <c r="AR26" s="1312">
        <f>SUM(AP26,AN26)</f>
        <v>7.4059999999999997</v>
      </c>
      <c r="AS26" s="1312"/>
    </row>
    <row r="27" spans="1:45" ht="10.5" hidden="1" customHeight="1" outlineLevel="2">
      <c r="A27" s="1282" t="s">
        <v>65</v>
      </c>
      <c r="C27" s="1843">
        <f>(S27/S20-1)*100</f>
        <v>6.3877957185504375</v>
      </c>
      <c r="E27" s="1843">
        <f>'qtrP&amp;L'!M13</f>
        <v>1.7</v>
      </c>
      <c r="G27" s="1843">
        <f>C27-E27</f>
        <v>4.6877957185504373</v>
      </c>
      <c r="I27" s="1852">
        <v>341</v>
      </c>
      <c r="J27" s="1855">
        <f>I27-I26</f>
        <v>-3</v>
      </c>
      <c r="K27" s="1849">
        <f>AVERAGEA(I26:I27)</f>
        <v>342.5</v>
      </c>
      <c r="M27" s="1292">
        <f>(K27/K20-1)*100</f>
        <v>3.1626506024096335</v>
      </c>
      <c r="O27" s="1654">
        <f>(G27/M27)*100</f>
        <v>148.22363605321408</v>
      </c>
      <c r="R27" s="1312">
        <f>'qtrP&amp;L'!K13</f>
        <v>857.77599999999995</v>
      </c>
      <c r="S27" s="1312">
        <f t="shared" si="0"/>
        <v>851.01299999999992</v>
      </c>
      <c r="U27" s="1312">
        <f>S27/K27</f>
        <v>2.4847094890510948</v>
      </c>
      <c r="W27" s="1851">
        <f>(U27/U20-1)*100</f>
        <v>3.1262720541861189</v>
      </c>
      <c r="Y27" s="1853">
        <f>Y28/I28*I27</f>
        <v>26.688868194842406</v>
      </c>
      <c r="AA27" s="1325">
        <f>AVERAGEA(Y26:Y27)</f>
        <v>26.806267908309458</v>
      </c>
      <c r="AC27" s="1292">
        <f>(AA27/AA20-1)*100</f>
        <v>6.07252243425076</v>
      </c>
      <c r="AE27" s="1654">
        <f>(G27/AC27)*100</f>
        <v>77.196844792370484</v>
      </c>
      <c r="AH27" s="1312">
        <f>S27</f>
        <v>851.01299999999992</v>
      </c>
      <c r="AJ27" s="1312">
        <f>AH27/AA27</f>
        <v>31.746791567960166</v>
      </c>
      <c r="AL27" s="1851">
        <f>(AJ27/AJ20-1)*100</f>
        <v>0.29722427360499015</v>
      </c>
      <c r="AN27" s="1288"/>
      <c r="AP27" s="1288">
        <v>6.7629999999999999</v>
      </c>
      <c r="AQ27" s="1854">
        <f>AP27/AP20-1</f>
        <v>-0.12554952159296617</v>
      </c>
      <c r="AR27" s="1312">
        <f>SUM(AP27,AN27)</f>
        <v>6.7629999999999999</v>
      </c>
      <c r="AS27" s="1312"/>
    </row>
    <row r="28" spans="1:45" ht="10.5" hidden="1" customHeight="1" outlineLevel="2">
      <c r="A28" s="1282" t="s">
        <v>66</v>
      </c>
      <c r="C28" s="1845">
        <f>(S28/S21-1)*100</f>
        <v>12.514125184394853</v>
      </c>
      <c r="E28" s="1845">
        <f>'qtrP&amp;L'!M14</f>
        <v>3.9</v>
      </c>
      <c r="G28" s="1845">
        <f>C28-E28</f>
        <v>8.6141251843948528</v>
      </c>
      <c r="I28" s="1846">
        <v>349</v>
      </c>
      <c r="J28" s="1855">
        <f>I28-I27</f>
        <v>8</v>
      </c>
      <c r="K28" s="1856">
        <f>AVERAGEA(I27:I28)</f>
        <v>345</v>
      </c>
      <c r="M28" s="1315">
        <f>(K28/K21-1)*100</f>
        <v>3.6036036036036112</v>
      </c>
      <c r="O28" s="1858">
        <f>(G28/M28)*100</f>
        <v>239.04197386695665</v>
      </c>
      <c r="R28" s="1290">
        <f>'qtrP&amp;L'!K14</f>
        <v>684.82</v>
      </c>
      <c r="S28" s="1290">
        <f t="shared" si="0"/>
        <v>678.0630000000001</v>
      </c>
      <c r="U28" s="1290">
        <f>S28/K28</f>
        <v>1.9654000000000003</v>
      </c>
      <c r="W28" s="1859">
        <f>(U28/U21-1)*100</f>
        <v>8.6005903953724214</v>
      </c>
      <c r="Y28" s="1848">
        <f>Y29/I29*I28</f>
        <v>27.315000000000001</v>
      </c>
      <c r="AA28" s="1391">
        <f>AVERAGEA(Y27:Y28)</f>
        <v>27.001934097421206</v>
      </c>
      <c r="AC28" s="1315">
        <f>(AA28/AA21-1)*100</f>
        <v>6.5259132383689966</v>
      </c>
      <c r="AE28" s="1858">
        <f>(G28/AC28)*100</f>
        <v>131.99876967024707</v>
      </c>
      <c r="AH28" s="1290">
        <f>S28</f>
        <v>678.0630000000001</v>
      </c>
      <c r="AJ28" s="1290">
        <f>AH28/AA28</f>
        <v>25.111645615961926</v>
      </c>
      <c r="AL28" s="1859">
        <f>(AJ28/AJ21-1)*100</f>
        <v>5.6213664487684278</v>
      </c>
      <c r="AN28" s="1289"/>
      <c r="AP28" s="1289">
        <v>6.7569999999999997</v>
      </c>
      <c r="AQ28" s="1854">
        <f>AP28/AP21-1</f>
        <v>8.8875722115222544E-4</v>
      </c>
      <c r="AR28" s="1290">
        <f>SUM(AP28,AN28)</f>
        <v>6.7569999999999997</v>
      </c>
      <c r="AS28" s="1540"/>
    </row>
    <row r="29" spans="1:45" ht="10.5" hidden="1" customHeight="1" outlineLevel="2">
      <c r="A29" s="1795" t="s">
        <v>67</v>
      </c>
      <c r="C29" s="1843">
        <f>(S29/S22-1)*100</f>
        <v>6.7196671126056096</v>
      </c>
      <c r="E29" s="1843">
        <f>'qtrP&amp;L'!M15</f>
        <v>-0.3</v>
      </c>
      <c r="G29" s="1843">
        <f>C29-E29</f>
        <v>7.0196671126056094</v>
      </c>
      <c r="I29" s="1849">
        <f>I28</f>
        <v>349</v>
      </c>
      <c r="J29" s="1849">
        <f>I28-I21</f>
        <v>14</v>
      </c>
      <c r="K29" s="1849">
        <f>AVERAGEA(K25:K28)</f>
        <v>341</v>
      </c>
      <c r="M29" s="1292">
        <f>(K29/K22-1)*100</f>
        <v>3.726235741444861</v>
      </c>
      <c r="O29" s="1654">
        <f>(G29/M29)*100</f>
        <v>188.38494394033452</v>
      </c>
      <c r="R29" s="1291">
        <f>'qtrP&amp;L'!K15</f>
        <v>2859.96</v>
      </c>
      <c r="S29" s="1291">
        <f t="shared" si="0"/>
        <v>2833.4839999999999</v>
      </c>
      <c r="U29" s="1291">
        <f>SUM(U25:U28)</f>
        <v>8.3243226603328235</v>
      </c>
      <c r="W29" s="1851">
        <f>(U29/U22-1)*100</f>
        <v>1.8114446531193984</v>
      </c>
      <c r="Y29" s="1857">
        <f>yrSales!F31</f>
        <v>27.315000000000001</v>
      </c>
      <c r="Z29" s="1348"/>
      <c r="AA29" s="1325">
        <f>AVERAGEA(AA25:AA28)</f>
        <v>26.598959527220636</v>
      </c>
      <c r="AC29" s="1292">
        <f>(AA29/AA22-1)*100</f>
        <v>6.4421722275842974</v>
      </c>
      <c r="AE29" s="1654">
        <f>(G29/AC29)*100</f>
        <v>108.96428820310913</v>
      </c>
      <c r="AH29" s="1291">
        <f>SUM(AH25:AH28)</f>
        <v>2841.2080000000001</v>
      </c>
      <c r="AJ29" s="1291">
        <f>SUM(AJ25:AJ28)</f>
        <v>106.63577878406193</v>
      </c>
      <c r="AL29" s="1851">
        <f>(AJ29/AJ22-1)*100</f>
        <v>-0.83388494380590705</v>
      </c>
      <c r="AN29" s="1291"/>
      <c r="AP29" s="1291">
        <f>yrSales!F10</f>
        <v>26.475999999999999</v>
      </c>
      <c r="AQ29" s="1854">
        <f>AP29/AP22-1</f>
        <v>0.14833448993754339</v>
      </c>
      <c r="AR29" s="1291">
        <f>SUM(AP29,AN29)</f>
        <v>26.475999999999999</v>
      </c>
      <c r="AS29" s="1291"/>
    </row>
    <row r="30" spans="1:45" ht="10.5" hidden="1" customHeight="1" outlineLevel="2">
      <c r="A30" s="1795"/>
      <c r="C30" s="1843"/>
      <c r="E30" s="1843"/>
      <c r="I30" s="1849"/>
      <c r="K30" s="1849"/>
      <c r="O30" s="1654"/>
      <c r="R30" s="1843"/>
      <c r="S30" s="1843"/>
      <c r="U30" s="1291"/>
      <c r="W30" s="1851"/>
      <c r="Y30" s="1325"/>
      <c r="AA30" s="1325"/>
      <c r="AE30" s="1654"/>
      <c r="AJ30" s="1291"/>
      <c r="AL30" s="1851"/>
      <c r="AN30" s="1291"/>
      <c r="AP30" s="1291"/>
      <c r="AS30" s="1291"/>
    </row>
    <row r="31" spans="1:45" ht="10.5" hidden="1" customHeight="1" outlineLevel="2">
      <c r="A31" s="1841" t="s">
        <v>96</v>
      </c>
      <c r="R31" s="1843"/>
      <c r="S31" s="1843"/>
      <c r="Y31" s="1325"/>
    </row>
    <row r="32" spans="1:45" ht="10.5" hidden="1" customHeight="1" outlineLevel="2">
      <c r="A32" s="1282" t="s">
        <v>63</v>
      </c>
      <c r="C32" s="1843">
        <f>(S32/S25-1)*100</f>
        <v>9.2691727262866017</v>
      </c>
      <c r="D32" s="1282" t="s">
        <v>102</v>
      </c>
      <c r="E32" s="1843">
        <f>'qtrP&amp;L'!Q11</f>
        <v>2.9</v>
      </c>
      <c r="F32" s="1282" t="s">
        <v>102</v>
      </c>
      <c r="G32" s="1843">
        <f>C32-E32</f>
        <v>6.3691727262866014</v>
      </c>
      <c r="H32" s="1282" t="s">
        <v>102</v>
      </c>
      <c r="I32" s="1852">
        <v>350</v>
      </c>
      <c r="J32" s="1860">
        <f>I32-I28</f>
        <v>1</v>
      </c>
      <c r="K32" s="1849">
        <f>AVERAGEA(I32,I28)</f>
        <v>349.5</v>
      </c>
      <c r="M32" s="1292">
        <f>(K32/K25-1)*100</f>
        <v>4.0178571428571397</v>
      </c>
      <c r="N32" s="1282" t="s">
        <v>102</v>
      </c>
      <c r="O32" s="1654">
        <f>(G32/M32)*100</f>
        <v>158.52163229868887</v>
      </c>
      <c r="Q32" s="1282" t="s">
        <v>102</v>
      </c>
      <c r="R32" s="1291">
        <f>'qtrP&amp;L'!O11</f>
        <v>580.55899999999997</v>
      </c>
      <c r="S32" s="1291">
        <f t="shared" si="0"/>
        <v>574.17999999999995</v>
      </c>
      <c r="U32" s="1291">
        <f>S32/K32</f>
        <v>1.6428612303290413</v>
      </c>
      <c r="W32" s="1851">
        <f>(U32/U25-1)*100</f>
        <v>5.0484750673313261</v>
      </c>
      <c r="X32" s="1282" t="s">
        <v>102</v>
      </c>
      <c r="Y32" s="1853">
        <f>Y33/I33*I32</f>
        <v>28.328729281767956</v>
      </c>
      <c r="AA32" s="1325">
        <f>AVERAGEA(Y32,Y28)</f>
        <v>27.82186464088398</v>
      </c>
      <c r="AC32" s="1292">
        <f>(AA32/AA25-1)*100</f>
        <v>7.2633613804682584</v>
      </c>
      <c r="AE32" s="1654">
        <f>(G32/AC32)*100</f>
        <v>87.689051840567927</v>
      </c>
      <c r="AF32" s="1282" t="s">
        <v>102</v>
      </c>
      <c r="AH32" s="1291">
        <f>S32</f>
        <v>574.17999999999995</v>
      </c>
      <c r="AJ32" s="1291">
        <f>AH32/AA32</f>
        <v>20.637725307463668</v>
      </c>
      <c r="AL32" s="1851">
        <f>(AJ32/AJ25-1)*100</f>
        <v>1.8699874029713071</v>
      </c>
      <c r="AN32" s="1284"/>
      <c r="AP32" s="1284">
        <v>6.3789999999999996</v>
      </c>
      <c r="AQ32" s="1854">
        <f>AP32/AP25-1</f>
        <v>5.4728835978835821E-2</v>
      </c>
      <c r="AR32" s="1291">
        <f>SUM(AP32,AN32)</f>
        <v>6.3789999999999996</v>
      </c>
      <c r="AS32" s="1291"/>
    </row>
    <row r="33" spans="1:45" ht="10.5" hidden="1" customHeight="1" outlineLevel="2">
      <c r="A33" s="1282" t="s">
        <v>64</v>
      </c>
      <c r="C33" s="1843">
        <f>(S33/S26-1)*100</f>
        <v>10.851715927739946</v>
      </c>
      <c r="E33" s="1843">
        <f>'qtrP&amp;L'!Q12</f>
        <v>4.8</v>
      </c>
      <c r="G33" s="1843">
        <f>C33-E33</f>
        <v>6.0517159277399459</v>
      </c>
      <c r="I33" s="1852">
        <v>360</v>
      </c>
      <c r="J33" s="1860">
        <f>I33-I32</f>
        <v>10</v>
      </c>
      <c r="K33" s="1849">
        <f>AVERAGEA(I32:I33)</f>
        <v>355</v>
      </c>
      <c r="M33" s="1292">
        <f>(K33/K26-1)*100</f>
        <v>4.2584434654919345</v>
      </c>
      <c r="O33" s="1654">
        <f>(G33/M33)*100</f>
        <v>142.11098437209975</v>
      </c>
      <c r="R33" s="1312">
        <f>'qtrP&amp;L'!O12</f>
        <v>879.96600000000001</v>
      </c>
      <c r="S33" s="1312">
        <f t="shared" si="0"/>
        <v>872.02499999999998</v>
      </c>
      <c r="U33" s="1312">
        <f>S33/K33</f>
        <v>2.4564084507042252</v>
      </c>
      <c r="W33" s="1851">
        <f>(U33/U26-1)*100</f>
        <v>6.3239697842125464</v>
      </c>
      <c r="Y33" s="1853">
        <f>Y34/I34*I33</f>
        <v>29.138121546961326</v>
      </c>
      <c r="AA33" s="1325">
        <f>AVERAGEA(Y32:Y33)</f>
        <v>28.733425414364639</v>
      </c>
      <c r="AC33" s="1292">
        <f>(AA33/AA26-1)*100</f>
        <v>7.8188036793052529</v>
      </c>
      <c r="AE33" s="1654">
        <f>(G33/AC33)*100</f>
        <v>77.399512456842729</v>
      </c>
      <c r="AH33" s="1312">
        <f>S33</f>
        <v>872.02499999999998</v>
      </c>
      <c r="AJ33" s="1312">
        <f>AH33/AA33</f>
        <v>30.348800653751862</v>
      </c>
      <c r="AL33" s="1851">
        <f>(AJ33/AJ26-1)*100</f>
        <v>2.8129715271704825</v>
      </c>
      <c r="AN33" s="1288"/>
      <c r="AP33" s="1288">
        <v>7.9409999999999998</v>
      </c>
      <c r="AQ33" s="1854">
        <f>AP33/AP26-1</f>
        <v>7.2238725357818057E-2</v>
      </c>
      <c r="AR33" s="1312">
        <f>SUM(AP33,AN33)</f>
        <v>7.9409999999999998</v>
      </c>
      <c r="AS33" s="1312"/>
    </row>
    <row r="34" spans="1:45" ht="10.5" hidden="1" customHeight="1" outlineLevel="2">
      <c r="A34" s="1282" t="s">
        <v>65</v>
      </c>
      <c r="C34" s="1843">
        <f>(S34/S27-1)*100</f>
        <v>13.759601792217047</v>
      </c>
      <c r="E34" s="1843">
        <f>'qtrP&amp;L'!Q13</f>
        <v>8.4</v>
      </c>
      <c r="G34" s="1843">
        <f>C34-E34</f>
        <v>5.3596017922170471</v>
      </c>
      <c r="I34" s="1852">
        <v>359</v>
      </c>
      <c r="J34" s="1860">
        <f>I34-I33</f>
        <v>-1</v>
      </c>
      <c r="K34" s="1849">
        <f>AVERAGEA(I33:I34)</f>
        <v>359.5</v>
      </c>
      <c r="M34" s="1292">
        <f>(K34/K27-1)*100</f>
        <v>4.963503649635026</v>
      </c>
      <c r="O34" s="1654">
        <f>(G34/M34)*100</f>
        <v>107.98021257849074</v>
      </c>
      <c r="R34" s="1312">
        <f>'qtrP&amp;L'!O13</f>
        <v>975.62099999999998</v>
      </c>
      <c r="S34" s="1312">
        <f t="shared" si="0"/>
        <v>968.10900000000004</v>
      </c>
      <c r="U34" s="1312">
        <f>S34/K34</f>
        <v>2.692931849791377</v>
      </c>
      <c r="W34" s="1851">
        <f>(U34/U27-1)*100</f>
        <v>8.3801491344487786</v>
      </c>
      <c r="Y34" s="1853">
        <f>Y35/I35*I34</f>
        <v>29.057182320441992</v>
      </c>
      <c r="AA34" s="1325">
        <f>AVERAGEA(Y33:Y34)</f>
        <v>29.097651933701659</v>
      </c>
      <c r="AC34" s="1292">
        <f>(AA34/AA27-1)*100</f>
        <v>8.5479412249025231</v>
      </c>
      <c r="AE34" s="1654">
        <f>(G34/AC34)*100</f>
        <v>62.7004988827373</v>
      </c>
      <c r="AH34" s="1312">
        <f>S34</f>
        <v>968.10900000000004</v>
      </c>
      <c r="AJ34" s="1312">
        <f>AH34/AA34</f>
        <v>33.271035140767182</v>
      </c>
      <c r="AL34" s="1851">
        <f>(AJ34/AJ27-1)*100</f>
        <v>4.8012523392925388</v>
      </c>
      <c r="AN34" s="1288"/>
      <c r="AP34" s="1288">
        <v>7.5119999999999996</v>
      </c>
      <c r="AQ34" s="1854">
        <f>AP34/AP27-1</f>
        <v>0.11074966730740798</v>
      </c>
      <c r="AR34" s="1312">
        <f>SUM(AP34,AN34)</f>
        <v>7.5119999999999996</v>
      </c>
      <c r="AS34" s="1312"/>
    </row>
    <row r="35" spans="1:45" ht="10.5" hidden="1" customHeight="1" outlineLevel="2">
      <c r="A35" s="1282" t="s">
        <v>66</v>
      </c>
      <c r="C35" s="1845">
        <f>(S35/S28-1)*100</f>
        <v>11.632252460317094</v>
      </c>
      <c r="E35" s="1845">
        <f>'qtrP&amp;L'!Q14</f>
        <v>7.9</v>
      </c>
      <c r="G35" s="1845">
        <f>C35-E35</f>
        <v>3.7322524603170937</v>
      </c>
      <c r="I35" s="1846">
        <v>362</v>
      </c>
      <c r="J35" s="1860">
        <f>I35-I34</f>
        <v>3</v>
      </c>
      <c r="K35" s="1856">
        <f>AVERAGEA(I34:I35)</f>
        <v>360.5</v>
      </c>
      <c r="M35" s="1315">
        <f>(K35/K28-1)*100</f>
        <v>4.4927536231884169</v>
      </c>
      <c r="O35" s="1858">
        <f>(G35/M35)*100</f>
        <v>83.072716052218979</v>
      </c>
      <c r="R35" s="1290">
        <f>'qtrP&amp;L'!O14</f>
        <v>763.69399999999996</v>
      </c>
      <c r="S35" s="1290">
        <f t="shared" si="0"/>
        <v>756.93700000000001</v>
      </c>
      <c r="U35" s="1290">
        <f>S35/K35</f>
        <v>2.0996865464632455</v>
      </c>
      <c r="W35" s="1859">
        <f>(U35/U28-1)*100</f>
        <v>6.8325300937847278</v>
      </c>
      <c r="Y35" s="1848">
        <f>Y36/I36*I35</f>
        <v>29.3</v>
      </c>
      <c r="AA35" s="1391">
        <f>AVERAGEA(Y34:Y35)</f>
        <v>29.178591160220996</v>
      </c>
      <c r="AC35" s="1315">
        <f>(AA35/AA28-1)*100</f>
        <v>8.0611153813891825</v>
      </c>
      <c r="AE35" s="1858">
        <f>(G35/AC35)*100</f>
        <v>46.299454650330404</v>
      </c>
      <c r="AH35" s="1290">
        <f>S35</f>
        <v>756.93700000000001</v>
      </c>
      <c r="AJ35" s="1290">
        <f>AH35/AA35</f>
        <v>25.941519789068082</v>
      </c>
      <c r="AL35" s="1859">
        <f>(AJ35/AJ28-1)*100</f>
        <v>3.304738310653188</v>
      </c>
      <c r="AN35" s="1289"/>
      <c r="AP35" s="1289">
        <v>6.7569999999999997</v>
      </c>
      <c r="AQ35" s="1854">
        <f>AP35/AP28-1</f>
        <v>0</v>
      </c>
      <c r="AR35" s="1290">
        <f>SUM(AP35,AN35)</f>
        <v>6.7569999999999997</v>
      </c>
      <c r="AS35" s="1540"/>
    </row>
    <row r="36" spans="1:45" ht="10.5" hidden="1" customHeight="1" outlineLevel="2">
      <c r="A36" s="1795" t="s">
        <v>67</v>
      </c>
      <c r="C36" s="1843">
        <f>(S36/S29-1)*100</f>
        <v>11.920236712118371</v>
      </c>
      <c r="E36" s="1843">
        <f>'qtrP&amp;L'!Q15</f>
        <v>6.3</v>
      </c>
      <c r="G36" s="1843">
        <f>C36-E36</f>
        <v>5.6202367121183707</v>
      </c>
      <c r="I36" s="1849">
        <f>I35</f>
        <v>362</v>
      </c>
      <c r="J36" s="1849">
        <f>I35-I28</f>
        <v>13</v>
      </c>
      <c r="K36" s="1849">
        <f>AVERAGEA(K32:K35)</f>
        <v>356.125</v>
      </c>
      <c r="M36" s="1292">
        <f>(K36/K29-1)*100</f>
        <v>4.4354838709677491</v>
      </c>
      <c r="O36" s="1654">
        <f>(G36/M36)*100</f>
        <v>126.71079132775942</v>
      </c>
      <c r="R36" s="1291">
        <f>'qtrP&amp;L'!O15</f>
        <v>3199.84</v>
      </c>
      <c r="S36" s="1291">
        <f t="shared" si="0"/>
        <v>3171.2420000000002</v>
      </c>
      <c r="U36" s="1291">
        <f>SUM(U32:U35)</f>
        <v>8.8918880772878879</v>
      </c>
      <c r="W36" s="1851">
        <f>(U36/U29-1)*100</f>
        <v>6.8181573458178768</v>
      </c>
      <c r="Y36" s="1857">
        <f>yrSales!G31</f>
        <v>29.3</v>
      </c>
      <c r="AA36" s="1325">
        <f>AVERAGEA(AA32:AA35)</f>
        <v>28.707883287292816</v>
      </c>
      <c r="AC36" s="1292">
        <f>(AA36/AA29-1)*100</f>
        <v>7.9285949433998137</v>
      </c>
      <c r="AE36" s="1654">
        <f>(G36/AC36)*100</f>
        <v>70.885658206022455</v>
      </c>
      <c r="AH36" s="1291">
        <f>SUM(AH32:AH35)</f>
        <v>3171.2509999999997</v>
      </c>
      <c r="AJ36" s="1291">
        <f>SUM(AJ32:AJ35)</f>
        <v>110.1990808910508</v>
      </c>
      <c r="AL36" s="1851">
        <f>(AJ36/AJ29-1)*100</f>
        <v>3.3415633548328882</v>
      </c>
      <c r="AN36" s="1291"/>
      <c r="AP36" s="1291">
        <f>yrSales!G10</f>
        <v>28.597999999999999</v>
      </c>
      <c r="AQ36" s="1854">
        <f>AP36/AP29-1</f>
        <v>8.0148058619126772E-2</v>
      </c>
      <c r="AR36" s="1291">
        <f>SUM(AP36,AN36)</f>
        <v>28.597999999999999</v>
      </c>
      <c r="AS36" s="1291"/>
    </row>
    <row r="37" spans="1:45" ht="10.5" hidden="1" customHeight="1" outlineLevel="2">
      <c r="C37" s="1843"/>
      <c r="E37" s="1843"/>
      <c r="I37" s="1849"/>
      <c r="K37" s="1849"/>
      <c r="O37" s="1654"/>
      <c r="R37" s="1843"/>
      <c r="S37" s="1843"/>
      <c r="W37" s="1851"/>
      <c r="Y37" s="1325"/>
      <c r="AA37" s="1325"/>
      <c r="AE37" s="1654"/>
      <c r="AJ37" s="1291"/>
      <c r="AL37" s="1851"/>
      <c r="AN37" s="1291"/>
      <c r="AP37" s="1291"/>
      <c r="AS37" s="1291"/>
    </row>
    <row r="38" spans="1:45" ht="10.5" hidden="1" customHeight="1" outlineLevel="2">
      <c r="A38" s="1841" t="s">
        <v>95</v>
      </c>
      <c r="R38" s="1843"/>
      <c r="S38" s="1843"/>
      <c r="Y38" s="1325"/>
    </row>
    <row r="39" spans="1:45" ht="10.5" hidden="1" customHeight="1" outlineLevel="2">
      <c r="A39" s="1282" t="s">
        <v>63</v>
      </c>
      <c r="C39" s="1843">
        <f>(S39/S32-1)*100</f>
        <v>13.352607196349609</v>
      </c>
      <c r="D39" s="1282" t="s">
        <v>102</v>
      </c>
      <c r="E39" s="1843">
        <f>'qtrP&amp;L'!U11</f>
        <v>8.9</v>
      </c>
      <c r="F39" s="1282" t="s">
        <v>102</v>
      </c>
      <c r="G39" s="1843">
        <f>C39-E39</f>
        <v>4.452607196349609</v>
      </c>
      <c r="H39" s="1282" t="s">
        <v>102</v>
      </c>
      <c r="I39" s="1861">
        <v>362</v>
      </c>
      <c r="J39" s="1855">
        <f>I39-I35</f>
        <v>0</v>
      </c>
      <c r="K39" s="1849">
        <f>AVERAGEA(I39,I35)</f>
        <v>362</v>
      </c>
      <c r="M39" s="1292">
        <f>(K39/K32-1)*100</f>
        <v>3.5765379113018581</v>
      </c>
      <c r="N39" s="1282" t="s">
        <v>102</v>
      </c>
      <c r="O39" s="1654">
        <f>(G39/M39)*100</f>
        <v>124.49489720993512</v>
      </c>
      <c r="Q39" s="1282" t="s">
        <v>102</v>
      </c>
      <c r="R39" s="1291">
        <f>'qtrP&amp;L'!S11</f>
        <v>658.17200000000003</v>
      </c>
      <c r="S39" s="1291">
        <f t="shared" si="0"/>
        <v>650.84800000000007</v>
      </c>
      <c r="U39" s="1291">
        <f>S39/K39</f>
        <v>1.7979226519337019</v>
      </c>
      <c r="W39" s="1851">
        <f>(U39/U32-1)*100</f>
        <v>9.4384978318347699</v>
      </c>
      <c r="X39" s="1282" t="s">
        <v>102</v>
      </c>
      <c r="Y39" s="1853">
        <f>Y40/I40*I39</f>
        <v>28.96</v>
      </c>
      <c r="AA39" s="1325">
        <f>AVERAGEA(Y39,Y35)</f>
        <v>29.130000000000003</v>
      </c>
      <c r="AC39" s="1292">
        <f>(AA39/AA32-1)*100</f>
        <v>4.7018248992331424</v>
      </c>
      <c r="AE39" s="1654">
        <f>(G39/AC39)*100</f>
        <v>94.699553721701108</v>
      </c>
      <c r="AF39" s="1282" t="s">
        <v>102</v>
      </c>
      <c r="AH39" s="1291">
        <f>S39</f>
        <v>650.84800000000007</v>
      </c>
      <c r="AJ39" s="1291">
        <f>AH39/AA39</f>
        <v>22.342876759354617</v>
      </c>
      <c r="AL39" s="1851">
        <f>(AJ39/AJ32-1)*100</f>
        <v>8.2623032649546744</v>
      </c>
      <c r="AN39" s="1284"/>
      <c r="AP39" s="1284">
        <v>7.3239999999999998</v>
      </c>
      <c r="AQ39" s="1854">
        <f>AP39/AP32-1</f>
        <v>0.14814234205988397</v>
      </c>
      <c r="AR39" s="1291">
        <f>SUM(AP39,AN39)</f>
        <v>7.3239999999999998</v>
      </c>
      <c r="AS39" s="1291"/>
    </row>
    <row r="40" spans="1:45" ht="10.5" hidden="1" customHeight="1" outlineLevel="2">
      <c r="A40" s="1282" t="s">
        <v>64</v>
      </c>
      <c r="C40" s="1843">
        <f>(S40/S33-1)*100</f>
        <v>8.4153550643616839</v>
      </c>
      <c r="E40" s="1843">
        <f>'qtrP&amp;L'!U12</f>
        <v>5.3</v>
      </c>
      <c r="G40" s="1843">
        <f>C40-E40</f>
        <v>3.1153550643616841</v>
      </c>
      <c r="I40" s="1861">
        <v>367</v>
      </c>
      <c r="J40" s="1855">
        <f>I40-I39</f>
        <v>5</v>
      </c>
      <c r="K40" s="1849">
        <f>AVERAGEA(I39:I40)</f>
        <v>364.5</v>
      </c>
      <c r="M40" s="1292">
        <f>(K40/K33-1)*100</f>
        <v>2.6760563380281654</v>
      </c>
      <c r="O40" s="1654">
        <f>(G40/M40)*100</f>
        <v>116.41589977351572</v>
      </c>
      <c r="R40" s="1312">
        <f>'qtrP&amp;L'!S12</f>
        <v>953.92600000000004</v>
      </c>
      <c r="S40" s="1312">
        <f t="shared" si="0"/>
        <v>945.40899999999999</v>
      </c>
      <c r="U40" s="1312">
        <f>S40/K40</f>
        <v>2.5937146776406035</v>
      </c>
      <c r="W40" s="1851">
        <f>(U40/U33-1)*100</f>
        <v>5.5897148089119275</v>
      </c>
      <c r="Y40" s="1853">
        <f>Y41/I41*I40</f>
        <v>29.36</v>
      </c>
      <c r="AA40" s="1325">
        <f>AVERAGEA(Y39:Y40)</f>
        <v>29.16</v>
      </c>
      <c r="AC40" s="1292">
        <f>(AA40/AA33-1)*100</f>
        <v>1.4845935682353595</v>
      </c>
      <c r="AE40" s="1654">
        <f>(G40/AC40)*100</f>
        <v>209.84565277786467</v>
      </c>
      <c r="AH40" s="1312">
        <f>S40</f>
        <v>945.40899999999999</v>
      </c>
      <c r="AJ40" s="1312">
        <f>AH40/AA40</f>
        <v>32.421433470507544</v>
      </c>
      <c r="AL40" s="1851">
        <f>(AJ40/AJ33-1)*100</f>
        <v>6.8293730628839588</v>
      </c>
      <c r="AN40" s="1288"/>
      <c r="AP40" s="1288">
        <v>8.5169999999999995</v>
      </c>
      <c r="AQ40" s="1854">
        <f>AP40/AP33-1</f>
        <v>7.2534945221004898E-2</v>
      </c>
      <c r="AR40" s="1312">
        <f>SUM(AP40,AN40)</f>
        <v>8.5169999999999995</v>
      </c>
      <c r="AS40" s="1312"/>
    </row>
    <row r="41" spans="1:45" ht="10.5" hidden="1" customHeight="1" outlineLevel="2">
      <c r="A41" s="1282" t="s">
        <v>65</v>
      </c>
      <c r="C41" s="1843">
        <f>(S41/S34-1)*100</f>
        <v>5.7383001294275537</v>
      </c>
      <c r="E41" s="1843">
        <f>'qtrP&amp;L'!U13</f>
        <v>3.5</v>
      </c>
      <c r="G41" s="1843">
        <f>C41-E41</f>
        <v>2.2383001294275537</v>
      </c>
      <c r="I41" s="1861">
        <v>366</v>
      </c>
      <c r="J41" s="1855">
        <f>I41-I40</f>
        <v>-1</v>
      </c>
      <c r="K41" s="1849">
        <f>AVERAGEA(I40:I41)</f>
        <v>366.5</v>
      </c>
      <c r="M41" s="1292">
        <f>(K41/K34-1)*100</f>
        <v>1.9471488178025131</v>
      </c>
      <c r="O41" s="1654">
        <f>(G41/M41)*100</f>
        <v>114.95269950417166</v>
      </c>
      <c r="R41" s="1312">
        <f>'qtrP&amp;L'!S13</f>
        <v>1032.03</v>
      </c>
      <c r="S41" s="1312">
        <f t="shared" si="0"/>
        <v>1023.6619999999999</v>
      </c>
      <c r="U41" s="1312">
        <f>S41/K41</f>
        <v>2.7930750341064119</v>
      </c>
      <c r="W41" s="1851">
        <f>(U41/U34-1)*100</f>
        <v>3.7187418732038457</v>
      </c>
      <c r="Y41" s="1853">
        <f>Y42/I42*I41</f>
        <v>29.28</v>
      </c>
      <c r="AA41" s="1325">
        <f>AVERAGEA(Y40:Y41)</f>
        <v>29.32</v>
      </c>
      <c r="AC41" s="1292">
        <f>(AA41/AA34-1)*100</f>
        <v>0.7641443605310716</v>
      </c>
      <c r="AE41" s="1654">
        <f>(G41/AC41)*100</f>
        <v>292.91587362785231</v>
      </c>
      <c r="AH41" s="1312">
        <f>S41</f>
        <v>1023.6619999999999</v>
      </c>
      <c r="AJ41" s="1312">
        <f>AH41/AA41</f>
        <v>34.913437926330147</v>
      </c>
      <c r="AL41" s="1851">
        <f>(AJ41/AJ34-1)*100</f>
        <v>4.936434284698632</v>
      </c>
      <c r="AN41" s="1288"/>
      <c r="AP41" s="1288">
        <v>8.3680000000000003</v>
      </c>
      <c r="AQ41" s="1854">
        <f>AP41/AP34-1</f>
        <v>0.1139510117145901</v>
      </c>
      <c r="AR41" s="1312">
        <f>SUM(AP41,AN41)</f>
        <v>8.3680000000000003</v>
      </c>
      <c r="AS41" s="1312"/>
    </row>
    <row r="42" spans="1:45" ht="10.5" hidden="1" customHeight="1" outlineLevel="2">
      <c r="A42" s="1282" t="s">
        <v>66</v>
      </c>
      <c r="C42" s="1845">
        <f>(S42/S35-1)*100</f>
        <v>8.1852254546944216</v>
      </c>
      <c r="E42" s="1845">
        <f>'qtrP&amp;L'!U14</f>
        <v>0.6</v>
      </c>
      <c r="G42" s="1845">
        <f>C42-E42</f>
        <v>7.585225454694422</v>
      </c>
      <c r="I42" s="1862">
        <v>368</v>
      </c>
      <c r="J42" s="1855">
        <f>I42-I41</f>
        <v>2</v>
      </c>
      <c r="K42" s="1856">
        <f>AVERAGEA(I41:I42)</f>
        <v>367</v>
      </c>
      <c r="M42" s="1315">
        <f>(K42/K35-1)*100</f>
        <v>1.8030513176144236</v>
      </c>
      <c r="O42" s="1858">
        <f>(G42/M42)*100</f>
        <v>420.68827329497543</v>
      </c>
      <c r="R42" s="1290">
        <f>'qtrP&amp;L'!S14</f>
        <v>826.42600000000039</v>
      </c>
      <c r="S42" s="1290">
        <f t="shared" si="0"/>
        <v>818.89400000000035</v>
      </c>
      <c r="U42" s="1290">
        <f>S42/K42</f>
        <v>2.2313188010899192</v>
      </c>
      <c r="W42" s="1859">
        <f>(U42/U35-1)*100</f>
        <v>6.2691383553606039</v>
      </c>
      <c r="Y42" s="1848">
        <f>Y43/I43*I42</f>
        <v>29.44</v>
      </c>
      <c r="AA42" s="1391">
        <f>AVERAGEA(Y41:Y42)</f>
        <v>29.36</v>
      </c>
      <c r="AC42" s="1315">
        <f>(AA42/AA35-1)*100</f>
        <v>0.62171898150558125</v>
      </c>
      <c r="AE42" s="1858">
        <f>(G42/AC42)*100</f>
        <v>1220.0408352220027</v>
      </c>
      <c r="AH42" s="1290">
        <f>S42</f>
        <v>818.89400000000035</v>
      </c>
      <c r="AJ42" s="1290">
        <f>AH42/AA42</f>
        <v>27.891485013623992</v>
      </c>
      <c r="AL42" s="1859">
        <f>(AJ42/AJ35-1)*100</f>
        <v>7.5167732669912279</v>
      </c>
      <c r="AN42" s="1289"/>
      <c r="AP42" s="1290">
        <f>AP43-SUM(AP39:AP41)</f>
        <v>7.532</v>
      </c>
      <c r="AQ42" s="1854">
        <f>AP42/AP35-1</f>
        <v>0.11469587094864586</v>
      </c>
      <c r="AR42" s="1290">
        <f>SUM(AP42,AN42)</f>
        <v>7.532</v>
      </c>
      <c r="AS42" s="1540"/>
    </row>
    <row r="43" spans="1:45" ht="10.5" hidden="1" customHeight="1" outlineLevel="2">
      <c r="A43" s="1795" t="s">
        <v>67</v>
      </c>
      <c r="C43" s="1843">
        <f>(S43/S36-1)*100</f>
        <v>8.4374197869478316</v>
      </c>
      <c r="E43" s="1843">
        <f>'qtrP&amp;L'!U15</f>
        <v>4.3</v>
      </c>
      <c r="G43" s="1843">
        <f>C43-E43</f>
        <v>4.1374197869478317</v>
      </c>
      <c r="I43" s="1849">
        <f>I42</f>
        <v>368</v>
      </c>
      <c r="J43" s="1849">
        <f>I42-I35</f>
        <v>6</v>
      </c>
      <c r="K43" s="1849">
        <f>AVERAGEA(K39:K42)</f>
        <v>365</v>
      </c>
      <c r="M43" s="1292">
        <f>(K43/K36-1)*100</f>
        <v>2.4921024921024992</v>
      </c>
      <c r="O43" s="1654">
        <f>(G43/M43)*100</f>
        <v>166.02125314104703</v>
      </c>
      <c r="R43" s="1291">
        <f>'qtrP&amp;L'!S15</f>
        <v>3470.5540000000001</v>
      </c>
      <c r="S43" s="1291">
        <f t="shared" si="0"/>
        <v>3438.8130000000001</v>
      </c>
      <c r="U43" s="1291">
        <f>SUM(U39:U42)</f>
        <v>9.4160311647706365</v>
      </c>
      <c r="W43" s="1851">
        <f>(U43/U36-1)*100</f>
        <v>5.8946208378571674</v>
      </c>
      <c r="Y43" s="1857">
        <f>yrSales!H31</f>
        <v>29.44</v>
      </c>
      <c r="Z43" s="1348"/>
      <c r="AA43" s="1325">
        <f>AVERAGEA(AA39:AA42)</f>
        <v>29.242500000000003</v>
      </c>
      <c r="AC43" s="1292">
        <f>(AA43/AA36-1)*100</f>
        <v>1.8622644775201147</v>
      </c>
      <c r="AE43" s="1654">
        <f>(G43/AC43)*100</f>
        <v>222.17143896002506</v>
      </c>
      <c r="AH43" s="1291">
        <f>SUM(AH39:AH42)</f>
        <v>3438.8130000000001</v>
      </c>
      <c r="AJ43" s="1291">
        <f>SUM(AJ39:AJ42)</f>
        <v>117.5692331698163</v>
      </c>
      <c r="AL43" s="1851">
        <f>(AJ43/AJ36-1)*100</f>
        <v>6.6880342550697414</v>
      </c>
      <c r="AN43" s="1291"/>
      <c r="AP43" s="1291">
        <f>yrSales!H10</f>
        <v>31.741</v>
      </c>
      <c r="AQ43" s="1854">
        <f>AP43/AP36-1</f>
        <v>0.10990279040492346</v>
      </c>
      <c r="AR43" s="1291">
        <f>SUM(AP43,AN43)</f>
        <v>31.741</v>
      </c>
      <c r="AS43" s="1291"/>
    </row>
    <row r="44" spans="1:45" ht="10.5" hidden="1" customHeight="1" outlineLevel="2">
      <c r="I44" s="1849"/>
      <c r="K44" s="1849"/>
      <c r="O44" s="1654"/>
      <c r="R44" s="1843"/>
      <c r="S44" s="1843"/>
      <c r="W44" s="1851"/>
      <c r="Y44" s="1325"/>
      <c r="AA44" s="1325"/>
      <c r="AE44" s="1654"/>
      <c r="AL44" s="1851"/>
    </row>
    <row r="45" spans="1:45" ht="10.5" hidden="1" customHeight="1" outlineLevel="1">
      <c r="A45" s="1841" t="s">
        <v>94</v>
      </c>
      <c r="I45" s="1849"/>
      <c r="K45" s="1849"/>
      <c r="O45" s="1654"/>
      <c r="R45" s="1843"/>
      <c r="S45" s="1843"/>
      <c r="W45" s="1851"/>
      <c r="Y45" s="1325"/>
      <c r="AA45" s="1325"/>
      <c r="AE45" s="1654"/>
      <c r="AH45" s="1291"/>
      <c r="AJ45" s="1291"/>
      <c r="AL45" s="1851"/>
    </row>
    <row r="46" spans="1:45" ht="10.5" hidden="1" customHeight="1" outlineLevel="1">
      <c r="A46" s="1282" t="s">
        <v>63</v>
      </c>
      <c r="C46" s="1843">
        <f>(S46/S39-1)*100</f>
        <v>0.92156694036087394</v>
      </c>
      <c r="D46" s="1282" t="s">
        <v>102</v>
      </c>
      <c r="E46" s="1843">
        <f>'qtrP&amp;L'!Y11</f>
        <v>-0.7</v>
      </c>
      <c r="F46" s="1282" t="s">
        <v>102</v>
      </c>
      <c r="G46" s="1843">
        <f>C46-E46</f>
        <v>1.6215669403608739</v>
      </c>
      <c r="H46" s="1282" t="s">
        <v>102</v>
      </c>
      <c r="I46" s="1861">
        <v>366</v>
      </c>
      <c r="J46" s="1855">
        <f>I46-I42</f>
        <v>-2</v>
      </c>
      <c r="K46" s="1849">
        <f>AVERAGEA(I46,I42)</f>
        <v>367</v>
      </c>
      <c r="M46" s="1292">
        <f>(K46/K39-1)*100</f>
        <v>1.3812154696132506</v>
      </c>
      <c r="N46" s="1282" t="s">
        <v>102</v>
      </c>
      <c r="O46" s="1654">
        <f>(G46/M46)*100</f>
        <v>117.40144648212805</v>
      </c>
      <c r="Q46" s="1282" t="s">
        <v>102</v>
      </c>
      <c r="R46" s="1291">
        <f>'qtrP&amp;L'!W11</f>
        <v>664.26599999999996</v>
      </c>
      <c r="S46" s="1291">
        <f t="shared" si="0"/>
        <v>656.846</v>
      </c>
      <c r="U46" s="1291">
        <f>S46/K46</f>
        <v>1.7897711171662125</v>
      </c>
      <c r="W46" s="1851">
        <f>(U46/U39-1)*100</f>
        <v>-0.45338628770944522</v>
      </c>
      <c r="X46" s="1282" t="s">
        <v>102</v>
      </c>
      <c r="Y46" s="1853">
        <f>Y47/I47*I46</f>
        <v>29.28</v>
      </c>
      <c r="AA46" s="1325">
        <f>AVERAGEA(Y46,Y42)</f>
        <v>29.36</v>
      </c>
      <c r="AC46" s="1292">
        <f>(AA46/AA39-1)*100</f>
        <v>0.78956402334362519</v>
      </c>
      <c r="AE46" s="1654">
        <f>(G46/AC46)*100</f>
        <v>205.37497814222897</v>
      </c>
      <c r="AF46" s="1282" t="s">
        <v>102</v>
      </c>
      <c r="AH46" s="1291">
        <f>S46</f>
        <v>656.846</v>
      </c>
      <c r="AJ46" s="1291">
        <f>AH46/AA46</f>
        <v>22.372138964577658</v>
      </c>
      <c r="AL46" s="1851">
        <f>(AJ46/AJ39-1)*100</f>
        <v>0.13096883422045735</v>
      </c>
      <c r="AN46" s="1863"/>
      <c r="AP46" s="1284">
        <v>7.42</v>
      </c>
      <c r="AQ46" s="1854">
        <f>AP46/AP39-1</f>
        <v>1.3107591480065572E-2</v>
      </c>
      <c r="AR46" s="1291">
        <f>SUM(AP46,AN46)</f>
        <v>7.42</v>
      </c>
      <c r="AS46" s="1291"/>
    </row>
    <row r="47" spans="1:45" ht="10.5" hidden="1" customHeight="1" outlineLevel="1">
      <c r="A47" s="1282" t="s">
        <v>64</v>
      </c>
      <c r="C47" s="1843">
        <f>(S47/S40-1)*100</f>
        <v>4.1630659323107722</v>
      </c>
      <c r="E47" s="1843">
        <f>'qtrP&amp;L'!Y12</f>
        <v>-2.4</v>
      </c>
      <c r="G47" s="1843">
        <f>C47-E47</f>
        <v>6.5630659323107725</v>
      </c>
      <c r="I47" s="1861">
        <f>348+7+17+1</f>
        <v>373</v>
      </c>
      <c r="J47" s="1855">
        <f>I47-I46</f>
        <v>7</v>
      </c>
      <c r="K47" s="1849">
        <f>AVERAGEA(I46:I47)</f>
        <v>369.5</v>
      </c>
      <c r="M47" s="1292">
        <f>(K47/K40-1)*100</f>
        <v>1.3717421124828544</v>
      </c>
      <c r="O47" s="1654">
        <f>(G47/M47)*100</f>
        <v>478.44750646545486</v>
      </c>
      <c r="R47" s="1312">
        <f>'qtrP&amp;L'!W12</f>
        <v>996.90099999999995</v>
      </c>
      <c r="S47" s="1312">
        <f t="shared" si="0"/>
        <v>984.76699999999994</v>
      </c>
      <c r="U47" s="1312">
        <f>S47/K47</f>
        <v>2.6651339648173207</v>
      </c>
      <c r="W47" s="1851">
        <f>(U47/U40-1)*100</f>
        <v>2.7535521849182176</v>
      </c>
      <c r="Y47" s="1853">
        <f>Y48/I48*I47</f>
        <v>29.84</v>
      </c>
      <c r="AA47" s="1325">
        <f>AVERAGEA(Y46:Y47)</f>
        <v>29.560000000000002</v>
      </c>
      <c r="AC47" s="1292">
        <f>(AA47/AA40-1)*100</f>
        <v>1.3717421124828544</v>
      </c>
      <c r="AE47" s="1654">
        <f>(G47/AC47)*100</f>
        <v>478.44750646545486</v>
      </c>
      <c r="AH47" s="1312">
        <f>S47</f>
        <v>984.76699999999994</v>
      </c>
      <c r="AJ47" s="1312">
        <f>AH47/AA47</f>
        <v>33.314174560216507</v>
      </c>
      <c r="AL47" s="1851">
        <f>(AJ47/AJ40-1)*100</f>
        <v>2.7535521849181954</v>
      </c>
      <c r="AN47" s="1863"/>
      <c r="AO47" s="1612"/>
      <c r="AP47" s="1288">
        <v>12.134</v>
      </c>
      <c r="AQ47" s="1854">
        <f>AP47/AP40-1</f>
        <v>0.42468005166138334</v>
      </c>
      <c r="AR47" s="1312">
        <f>SUM(AP47,AN47)</f>
        <v>12.134</v>
      </c>
      <c r="AS47" s="1312"/>
    </row>
    <row r="48" spans="1:45" ht="10.5" hidden="1" customHeight="1" outlineLevel="1">
      <c r="A48" s="1282" t="s">
        <v>65</v>
      </c>
      <c r="C48" s="1843">
        <f>(S48/S41-1)*100</f>
        <v>-3.5522467376926992</v>
      </c>
      <c r="E48" s="1843">
        <f>'qtrP&amp;L'!Y13</f>
        <v>-2.6</v>
      </c>
      <c r="G48" s="1843">
        <f>C48-E48</f>
        <v>-0.95224673769269907</v>
      </c>
      <c r="I48" s="1861">
        <f>358+4+17+1</f>
        <v>380</v>
      </c>
      <c r="J48" s="1855">
        <f>I48-I47</f>
        <v>7</v>
      </c>
      <c r="K48" s="1849">
        <f>AVERAGEA(I47:I48)</f>
        <v>376.5</v>
      </c>
      <c r="M48" s="1292">
        <f>(K48/K41-1)*100</f>
        <v>2.7285129604365688</v>
      </c>
      <c r="O48" s="1654">
        <f>(G48/M48)*100</f>
        <v>-34.899842936437338</v>
      </c>
      <c r="R48" s="1312">
        <f>'qtrP&amp;L'!W13</f>
        <v>998.11800000000005</v>
      </c>
      <c r="S48" s="1312">
        <f t="shared" si="0"/>
        <v>987.29900000000009</v>
      </c>
      <c r="U48" s="1312">
        <f>S48/K48</f>
        <v>2.6223081009296152</v>
      </c>
      <c r="W48" s="1851">
        <f>(U48/U41-1)*100</f>
        <v>-6.1139400514325981</v>
      </c>
      <c r="Y48" s="1853">
        <f>Y49/I49*I48</f>
        <v>30.400000000000002</v>
      </c>
      <c r="AA48" s="1325">
        <f>AVERAGEA(Y47:Y48)</f>
        <v>30.12</v>
      </c>
      <c r="AC48" s="1292">
        <f>(AA48/AA41-1)*100</f>
        <v>2.7285129604365688</v>
      </c>
      <c r="AE48" s="1654">
        <f>(G48/AC48)*100</f>
        <v>-34.899842936437338</v>
      </c>
      <c r="AH48" s="1312">
        <f>S48</f>
        <v>987.29900000000009</v>
      </c>
      <c r="AJ48" s="1312">
        <f>AH48/AA48</f>
        <v>32.77885126162019</v>
      </c>
      <c r="AL48" s="1851">
        <f>(AJ48/AJ41-1)*100</f>
        <v>-6.1139400514325981</v>
      </c>
      <c r="AN48" s="1863"/>
      <c r="AO48" s="1612"/>
      <c r="AP48" s="1288">
        <v>10.819000000000001</v>
      </c>
      <c r="AQ48" s="1854">
        <f>AP48/AP41-1</f>
        <v>0.29290152963671123</v>
      </c>
      <c r="AR48" s="1312">
        <f>SUM(AP48,AN48)</f>
        <v>10.819000000000001</v>
      </c>
      <c r="AS48" s="1312"/>
    </row>
    <row r="49" spans="1:45" ht="10.5" hidden="1" customHeight="1" outlineLevel="1">
      <c r="A49" s="1282" t="s">
        <v>66</v>
      </c>
      <c r="C49" s="1845">
        <f>(S49/S42-1)*100</f>
        <v>-5.4218250469535985</v>
      </c>
      <c r="E49" s="1845">
        <f>'qtrP&amp;L'!Y14</f>
        <v>-2.9</v>
      </c>
      <c r="G49" s="1845">
        <f>C49-E49</f>
        <v>-2.5218250469535985</v>
      </c>
      <c r="I49" s="1846">
        <v>379</v>
      </c>
      <c r="J49" s="1855">
        <f>I49-I48</f>
        <v>-1</v>
      </c>
      <c r="K49" s="1856">
        <f>AVERAGEA(I48:I49)</f>
        <v>379.5</v>
      </c>
      <c r="M49" s="1315">
        <f>(K49/K42-1)*100</f>
        <v>3.4059945504087086</v>
      </c>
      <c r="O49" s="1858">
        <f>(G49/M49)*100</f>
        <v>-74.04078337855789</v>
      </c>
      <c r="R49" s="1290">
        <f>'qtrP&amp;L'!W14</f>
        <v>782.36000000000013</v>
      </c>
      <c r="S49" s="1290">
        <f t="shared" si="0"/>
        <v>774.49500000000012</v>
      </c>
      <c r="U49" s="1290">
        <f>S49/K49</f>
        <v>2.0408300395256922</v>
      </c>
      <c r="W49" s="1859">
        <f>(U49/U42-1)*100</f>
        <v>-8.5370482008747537</v>
      </c>
      <c r="Y49" s="1848">
        <f>Y50/I50*I49</f>
        <v>30.32</v>
      </c>
      <c r="AA49" s="1391">
        <f>AVERAGEA(Y48:Y49)</f>
        <v>30.36</v>
      </c>
      <c r="AC49" s="1315">
        <f>(AA49/AA42-1)*100</f>
        <v>3.4059945504087086</v>
      </c>
      <c r="AE49" s="1858">
        <f>(G49/AC49)*100</f>
        <v>-74.04078337855789</v>
      </c>
      <c r="AH49" s="1290">
        <f>S49</f>
        <v>774.49500000000012</v>
      </c>
      <c r="AJ49" s="1290">
        <f>AH49/AA49</f>
        <v>25.510375494071152</v>
      </c>
      <c r="AL49" s="1859">
        <f>(AJ49/AJ42-1)*100</f>
        <v>-8.5370482008747643</v>
      </c>
      <c r="AN49" s="1864"/>
      <c r="AO49" s="1612"/>
      <c r="AP49" s="1290">
        <f>AP50-SUM(AP46:AP48)</f>
        <v>7.8649999999999949</v>
      </c>
      <c r="AQ49" s="1854">
        <f>AP49/AP42-1</f>
        <v>4.4211364843334433E-2</v>
      </c>
      <c r="AR49" s="1290">
        <f>SUM(AP49,AN49)</f>
        <v>7.8649999999999949</v>
      </c>
      <c r="AS49" s="1540"/>
    </row>
    <row r="50" spans="1:45" ht="10.5" hidden="1" customHeight="1" outlineLevel="1">
      <c r="A50" s="1795" t="s">
        <v>67</v>
      </c>
      <c r="C50" s="1843">
        <f>(S50/S43-1)*100</f>
        <v>-1.0295994577198542</v>
      </c>
      <c r="E50" s="1843">
        <f>'qtrP&amp;L'!Y15</f>
        <v>-2.2000000000000002</v>
      </c>
      <c r="G50" s="1843">
        <f>C50-E50</f>
        <v>1.170400542280146</v>
      </c>
      <c r="I50" s="1849">
        <f>I49</f>
        <v>379</v>
      </c>
      <c r="J50" s="1849">
        <f>I49-I42</f>
        <v>11</v>
      </c>
      <c r="K50" s="1849">
        <f>AVERAGEA(K46:K49)</f>
        <v>373.125</v>
      </c>
      <c r="M50" s="1292">
        <f>(K50/K43-1)*100</f>
        <v>2.2260273972602773</v>
      </c>
      <c r="O50" s="1654">
        <f>(G50/M50)*100</f>
        <v>52.577993591661865</v>
      </c>
      <c r="R50" s="1291">
        <f>'qtrP&amp;L'!W15</f>
        <v>3441.645</v>
      </c>
      <c r="S50" s="1291">
        <f t="shared" si="0"/>
        <v>3403.4070000000002</v>
      </c>
      <c r="U50" s="1291">
        <f>SUM(U46:U49)</f>
        <v>9.1180432224388408</v>
      </c>
      <c r="W50" s="1851">
        <f>(U50/U43-1)*100</f>
        <v>-3.1646872988982278</v>
      </c>
      <c r="Y50" s="1857">
        <f>yrSales!I31</f>
        <v>30.32</v>
      </c>
      <c r="Z50" s="1348"/>
      <c r="AA50" s="1325">
        <f>AVERAGEA(AA46:AA49)</f>
        <v>29.85</v>
      </c>
      <c r="AC50" s="1292">
        <f>(AA50/AA43-1)*100</f>
        <v>2.077455757886626</v>
      </c>
      <c r="AE50" s="1654">
        <f>(G50/AC50)*100</f>
        <v>56.338169312966848</v>
      </c>
      <c r="AH50" s="1291">
        <f>SUM(AH46:AH49)</f>
        <v>3403.4070000000002</v>
      </c>
      <c r="AJ50" s="1291">
        <f>SUM(AJ46:AJ49)</f>
        <v>113.97554028048552</v>
      </c>
      <c r="AL50" s="1851">
        <f>(AJ50/AJ43-1)*100</f>
        <v>-3.056660992370408</v>
      </c>
      <c r="AN50" s="1865"/>
      <c r="AO50" s="1291"/>
      <c r="AP50" s="1291">
        <f>yrSales!I10</f>
        <v>38.238</v>
      </c>
      <c r="AQ50" s="1854">
        <f>AP50/AP43-1</f>
        <v>0.20468794303897164</v>
      </c>
      <c r="AR50" s="1291">
        <f>SUM(AP50,AN50)</f>
        <v>38.238</v>
      </c>
      <c r="AS50" s="1291"/>
    </row>
    <row r="51" spans="1:45" ht="10.5" hidden="1" customHeight="1" outlineLevel="1">
      <c r="I51" s="1849"/>
      <c r="K51" s="1849"/>
      <c r="O51" s="1654"/>
      <c r="R51" s="1843"/>
      <c r="S51" s="1843"/>
      <c r="W51" s="1851"/>
      <c r="Y51" s="1325"/>
      <c r="AA51" s="1325"/>
      <c r="AE51" s="1654"/>
      <c r="AL51" s="1851"/>
      <c r="AO51" s="1612"/>
      <c r="AQ51" s="1612"/>
    </row>
    <row r="52" spans="1:45" ht="10.5" hidden="1" customHeight="1" outlineLevel="1">
      <c r="A52" s="1841" t="s">
        <v>93</v>
      </c>
      <c r="I52" s="1849"/>
      <c r="K52" s="1849"/>
      <c r="O52" s="1654"/>
      <c r="R52" s="1843"/>
      <c r="S52" s="1843"/>
      <c r="W52" s="1851"/>
      <c r="Y52" s="1325"/>
      <c r="AA52" s="1325"/>
      <c r="AE52" s="1654"/>
      <c r="AL52" s="1851"/>
      <c r="AO52" s="1612"/>
      <c r="AQ52" s="1612"/>
    </row>
    <row r="53" spans="1:45" ht="10.5" hidden="1" customHeight="1" outlineLevel="1">
      <c r="A53" s="1282" t="s">
        <v>63</v>
      </c>
      <c r="C53" s="1843">
        <f>(S53/S46-1)*100</f>
        <v>3.3376164275948916</v>
      </c>
      <c r="D53" s="1282" t="s">
        <v>102</v>
      </c>
      <c r="E53" s="1843">
        <f>'qtrP&amp;L'!AC11</f>
        <v>-2</v>
      </c>
      <c r="F53" s="1282" t="s">
        <v>102</v>
      </c>
      <c r="G53" s="1843">
        <f>C53-E53</f>
        <v>5.3376164275948916</v>
      </c>
      <c r="H53" s="1282" t="s">
        <v>102</v>
      </c>
      <c r="I53" s="1861">
        <v>384</v>
      </c>
      <c r="J53" s="1860">
        <f>I53-I49</f>
        <v>5</v>
      </c>
      <c r="K53" s="1849">
        <f>AVERAGEA(I53,I49)</f>
        <v>381.5</v>
      </c>
      <c r="M53" s="1292">
        <f>(K53/K46-1)*100</f>
        <v>3.9509536784741117</v>
      </c>
      <c r="N53" s="1282" t="s">
        <v>102</v>
      </c>
      <c r="O53" s="1654">
        <f>(G53/M53)*100</f>
        <v>135.09691233981562</v>
      </c>
      <c r="Q53" s="1282" t="s">
        <v>102</v>
      </c>
      <c r="R53" s="1291">
        <f>'qtrP&amp;L'!AA11</f>
        <v>685.54700000000003</v>
      </c>
      <c r="S53" s="1291">
        <f t="shared" si="0"/>
        <v>678.76900000000001</v>
      </c>
      <c r="U53" s="1291">
        <f>S53/K53</f>
        <v>1.7792110091743119</v>
      </c>
      <c r="W53" s="1851">
        <f>(U53/U46-1)*100</f>
        <v>-0.59002561224815731</v>
      </c>
      <c r="X53" s="1282" t="s">
        <v>102</v>
      </c>
      <c r="Y53" s="1853">
        <f>Y54/I54*I53</f>
        <v>30.72</v>
      </c>
      <c r="AA53" s="1325">
        <f>AVERAGEA(Y53,Y49)</f>
        <v>30.52</v>
      </c>
      <c r="AC53" s="1292">
        <f>(AA53/AA46-1)*100</f>
        <v>3.9509536784741117</v>
      </c>
      <c r="AE53" s="1654">
        <f>(G53/AC53)*100</f>
        <v>135.09691233981562</v>
      </c>
      <c r="AF53" s="1282" t="s">
        <v>102</v>
      </c>
      <c r="AH53" s="1291">
        <f>S53</f>
        <v>678.76900000000001</v>
      </c>
      <c r="AJ53" s="1291">
        <f>AH53/AA53</f>
        <v>22.2401376146789</v>
      </c>
      <c r="AL53" s="1851">
        <f>(AJ53/AJ46-1)*100</f>
        <v>-0.59002561224815731</v>
      </c>
      <c r="AN53" s="1863"/>
      <c r="AO53" s="1612"/>
      <c r="AP53" s="1284">
        <v>6.7779999999999996</v>
      </c>
      <c r="AQ53" s="1854">
        <f>AP53/AP46-1</f>
        <v>-8.6522911051213014E-2</v>
      </c>
      <c r="AR53" s="1291">
        <f>SUM(AP53,AN53)</f>
        <v>6.7779999999999996</v>
      </c>
      <c r="AS53" s="1291"/>
    </row>
    <row r="54" spans="1:45" ht="10.5" hidden="1" customHeight="1" outlineLevel="1">
      <c r="A54" s="1282" t="s">
        <v>64</v>
      </c>
      <c r="C54" s="1843">
        <f>(S54/S47-1)*100</f>
        <v>-3.8791917275863286</v>
      </c>
      <c r="E54" s="1843">
        <f>'qtrP&amp;L'!AC12</f>
        <v>-8</v>
      </c>
      <c r="G54" s="1843">
        <f>C54-E54</f>
        <v>4.1208082724136714</v>
      </c>
      <c r="I54" s="1861">
        <f>374+2+17+1</f>
        <v>394</v>
      </c>
      <c r="J54" s="1860">
        <f>I54-I53</f>
        <v>10</v>
      </c>
      <c r="K54" s="1849">
        <f>AVERAGEA(I53:I54)</f>
        <v>389</v>
      </c>
      <c r="M54" s="1292">
        <f>(K54/K47-1)*100</f>
        <v>5.2774018944519607</v>
      </c>
      <c r="O54" s="1654">
        <f>(G54/M54)*100</f>
        <v>78.084033674710369</v>
      </c>
      <c r="R54" s="1312">
        <f>'qtrP&amp;L'!AA12</f>
        <v>955.65099999999995</v>
      </c>
      <c r="S54" s="1312">
        <f t="shared" si="0"/>
        <v>946.56599999999992</v>
      </c>
      <c r="U54" s="1312">
        <f>S54/K54</f>
        <v>2.4333316195372747</v>
      </c>
      <c r="W54" s="1851">
        <f>(U54/U47-1)*100</f>
        <v>-8.6975870008821339</v>
      </c>
      <c r="Y54" s="1853">
        <f>Y55/I55*I54</f>
        <v>31.52</v>
      </c>
      <c r="AA54" s="1325">
        <f>AVERAGEA(Y53:Y54)</f>
        <v>31.119999999999997</v>
      </c>
      <c r="AC54" s="1292">
        <f>(AA54/AA47-1)*100</f>
        <v>5.2774018944519385</v>
      </c>
      <c r="AE54" s="1654">
        <f>(G54/AC54)*100</f>
        <v>78.084033674710682</v>
      </c>
      <c r="AH54" s="1312">
        <f>S54</f>
        <v>946.56599999999992</v>
      </c>
      <c r="AJ54" s="1312">
        <f>AH54/AA54</f>
        <v>30.416645244215939</v>
      </c>
      <c r="AL54" s="1851">
        <f>(AJ54/AJ47-1)*100</f>
        <v>-8.6975870008821232</v>
      </c>
      <c r="AN54" s="1863"/>
      <c r="AO54" s="1612"/>
      <c r="AP54" s="1288">
        <v>9.0850000000000009</v>
      </c>
      <c r="AQ54" s="1854">
        <f>AP54/AP47-1</f>
        <v>-0.25127740234053064</v>
      </c>
      <c r="AR54" s="1312">
        <f>SUM(AP54,AN54)</f>
        <v>9.0850000000000009</v>
      </c>
      <c r="AS54" s="1312"/>
    </row>
    <row r="55" spans="1:45" ht="10.5" hidden="1" customHeight="1" outlineLevel="1">
      <c r="A55" s="1282" t="s">
        <v>65</v>
      </c>
      <c r="C55" s="1843">
        <f>(S55/S48-1)*100</f>
        <v>-1.8839277665638754E-2</v>
      </c>
      <c r="E55" s="1843">
        <f>'qtrP&amp;L'!AC13</f>
        <v>-6</v>
      </c>
      <c r="G55" s="1843">
        <f>C55-E55</f>
        <v>5.9811607223343612</v>
      </c>
      <c r="I55" s="1861">
        <v>396</v>
      </c>
      <c r="J55" s="1860">
        <f>I55-I54</f>
        <v>2</v>
      </c>
      <c r="K55" s="1849">
        <f>AVERAGEA(I54:I55)</f>
        <v>395</v>
      </c>
      <c r="M55" s="1292">
        <f>(K55/K48-1)*100</f>
        <v>4.9136786188578974</v>
      </c>
      <c r="O55" s="1654">
        <f>(G55/M55)*100</f>
        <v>121.72470334912913</v>
      </c>
      <c r="R55" s="1312">
        <f>'qtrP&amp;L'!AA13</f>
        <v>995.21600000000001</v>
      </c>
      <c r="S55" s="1312">
        <f t="shared" si="0"/>
        <v>987.11300000000006</v>
      </c>
      <c r="U55" s="1312">
        <f>S55/K55</f>
        <v>2.4990202531645571</v>
      </c>
      <c r="W55" s="1851">
        <f>(U55/U48-1)*100</f>
        <v>-4.7015012355471235</v>
      </c>
      <c r="Y55" s="1853">
        <f>Y56/I56*I55</f>
        <v>31.68</v>
      </c>
      <c r="AA55" s="1325">
        <f>AVERAGEA(Y54:Y55)</f>
        <v>31.6</v>
      </c>
      <c r="AC55" s="1292">
        <f>(AA55/AA48-1)*100</f>
        <v>4.9136786188578974</v>
      </c>
      <c r="AE55" s="1654">
        <f>(G55/AC55)*100</f>
        <v>121.72470334912913</v>
      </c>
      <c r="AH55" s="1312">
        <f>S55</f>
        <v>987.11300000000006</v>
      </c>
      <c r="AJ55" s="1312">
        <f>AH55/AA55</f>
        <v>31.237753164556963</v>
      </c>
      <c r="AL55" s="1851">
        <f>(AJ55/AJ48-1)*100</f>
        <v>-4.7015012355471235</v>
      </c>
      <c r="AN55" s="1863"/>
      <c r="AO55" s="1612"/>
      <c r="AP55" s="1288">
        <v>8.1029999999999998</v>
      </c>
      <c r="AQ55" s="1854">
        <f>AP55/AP48-1</f>
        <v>-0.25103983732322777</v>
      </c>
      <c r="AR55" s="1312">
        <f>SUM(AP55,AN55)</f>
        <v>8.1029999999999998</v>
      </c>
      <c r="AS55" s="1312"/>
    </row>
    <row r="56" spans="1:45" ht="10.5" hidden="1" customHeight="1" outlineLevel="1">
      <c r="A56" s="1282" t="s">
        <v>66</v>
      </c>
      <c r="C56" s="1845">
        <f>(S56/S49-1)*100</f>
        <v>0.83589952162377301</v>
      </c>
      <c r="E56" s="1845">
        <f>'qtrP&amp;L'!AC14</f>
        <v>-3.1</v>
      </c>
      <c r="G56" s="1845">
        <f>C56-E56</f>
        <v>3.9358995216237731</v>
      </c>
      <c r="I56" s="1846">
        <v>397</v>
      </c>
      <c r="J56" s="1860">
        <f>I56-I55</f>
        <v>1</v>
      </c>
      <c r="K56" s="1856">
        <f>AVERAGEA(I55:I56)</f>
        <v>396.5</v>
      </c>
      <c r="M56" s="1315">
        <f>(K56/K49-1)*100</f>
        <v>4.4795783926218746</v>
      </c>
      <c r="O56" s="1858">
        <f>(G56/M56)*100</f>
        <v>87.863168732718862</v>
      </c>
      <c r="R56" s="1290">
        <f>'qtrP&amp;L'!AA14</f>
        <v>787.5590000000002</v>
      </c>
      <c r="S56" s="1290">
        <f t="shared" si="0"/>
        <v>780.96900000000016</v>
      </c>
      <c r="U56" s="1290">
        <f>S56/K56</f>
        <v>1.9696569987389663</v>
      </c>
      <c r="W56" s="1859">
        <f>(U56/U49-1)*100</f>
        <v>-3.4874555650536765</v>
      </c>
      <c r="Y56" s="1848">
        <f>Y57/I57*I56</f>
        <v>31.76</v>
      </c>
      <c r="AA56" s="1391">
        <f>AVERAGEA(Y55:Y56)</f>
        <v>31.72</v>
      </c>
      <c r="AC56" s="1315">
        <f>(AA56/AA49-1)*100</f>
        <v>4.4795783926218746</v>
      </c>
      <c r="AE56" s="1858">
        <f>(G56/AC56)*100</f>
        <v>87.863168732718862</v>
      </c>
      <c r="AH56" s="1290">
        <f>S56</f>
        <v>780.96900000000016</v>
      </c>
      <c r="AJ56" s="1290">
        <f>AH56/AA56</f>
        <v>24.620712484237082</v>
      </c>
      <c r="AL56" s="1859">
        <f>(AJ56/AJ49-1)*100</f>
        <v>-3.4874555650536654</v>
      </c>
      <c r="AN56" s="1864"/>
      <c r="AO56" s="1612"/>
      <c r="AP56" s="1290">
        <f>AP57-SUM(AP53:AP55)</f>
        <v>6.59</v>
      </c>
      <c r="AQ56" s="1854">
        <f>AP56/AP49-1</f>
        <v>-0.16211061665607063</v>
      </c>
      <c r="AR56" s="1290">
        <f>SUM(AP56,AN56)</f>
        <v>6.59</v>
      </c>
      <c r="AS56" s="1540"/>
    </row>
    <row r="57" spans="1:45" ht="10.5" hidden="1" customHeight="1" outlineLevel="1">
      <c r="A57" s="1795" t="s">
        <v>67</v>
      </c>
      <c r="C57" s="1843">
        <f>(S57/S50-1)*100</f>
        <v>-0.29352939569085024</v>
      </c>
      <c r="E57" s="1843">
        <f>'qtrP&amp;L'!AC15</f>
        <v>-5.2</v>
      </c>
      <c r="G57" s="1843">
        <f>C57-E57</f>
        <v>4.9064706043091499</v>
      </c>
      <c r="I57" s="1849">
        <f>I56</f>
        <v>397</v>
      </c>
      <c r="J57" s="1849">
        <f>I56-I49</f>
        <v>18</v>
      </c>
      <c r="K57" s="1849">
        <f>AVERAGEA(K53:K56)</f>
        <v>390.5</v>
      </c>
      <c r="M57" s="1292">
        <f>(K57/K50-1)*100</f>
        <v>4.6566164154103751</v>
      </c>
      <c r="O57" s="1654">
        <f>(G57/M57)*100</f>
        <v>105.36557376879745</v>
      </c>
      <c r="R57" s="1291">
        <f>'qtrP&amp;L'!AA15</f>
        <v>3423.973</v>
      </c>
      <c r="S57" s="1291">
        <f t="shared" si="0"/>
        <v>3393.4169999999999</v>
      </c>
      <c r="U57" s="1291">
        <f>SUM(U53:U56)</f>
        <v>8.6812198806151102</v>
      </c>
      <c r="W57" s="1851">
        <f>(U57/U50-1)*100</f>
        <v>-4.7907575251314949</v>
      </c>
      <c r="Y57" s="1857">
        <f>yrSales!J31</f>
        <v>31.76</v>
      </c>
      <c r="Z57" s="1348"/>
      <c r="AA57" s="1325">
        <f>AVERAGEA(AA53:AA56)</f>
        <v>31.240000000000002</v>
      </c>
      <c r="AC57" s="1292">
        <f>(AA57/AA50-1)*100</f>
        <v>4.6566164154103973</v>
      </c>
      <c r="AE57" s="1654">
        <f>(G57/AC57)*100</f>
        <v>105.36557376879693</v>
      </c>
      <c r="AH57" s="1291">
        <f>SUM(AH53:AH56)</f>
        <v>3393.4170000000004</v>
      </c>
      <c r="AJ57" s="1291">
        <f>SUM(AJ53:AJ56)</f>
        <v>108.51524850768888</v>
      </c>
      <c r="AL57" s="1851">
        <f>(AJ57/AJ50-1)*100</f>
        <v>-4.7907575251314949</v>
      </c>
      <c r="AN57" s="1865"/>
      <c r="AO57" s="1291"/>
      <c r="AP57" s="1291">
        <f>yrSales!J10</f>
        <v>30.556000000000001</v>
      </c>
      <c r="AQ57" s="1854">
        <f>AP57/AP50-1</f>
        <v>-0.20089962864166533</v>
      </c>
      <c r="AR57" s="1291">
        <f>SUM(AP57,AN57)</f>
        <v>30.556000000000001</v>
      </c>
      <c r="AS57" s="1291"/>
    </row>
    <row r="58" spans="1:45" ht="10.5" hidden="1" customHeight="1" outlineLevel="1">
      <c r="I58" s="1849"/>
      <c r="K58" s="1849"/>
      <c r="O58" s="1654"/>
      <c r="R58" s="1843"/>
      <c r="S58" s="1843"/>
      <c r="W58" s="1851"/>
      <c r="Y58" s="1325"/>
      <c r="AA58" s="1325"/>
      <c r="AE58" s="1654"/>
      <c r="AL58" s="1851"/>
      <c r="AO58" s="1612"/>
      <c r="AQ58" s="1612"/>
    </row>
    <row r="59" spans="1:45" ht="10.5" hidden="1" customHeight="1" outlineLevel="1">
      <c r="A59" s="1841" t="s">
        <v>83</v>
      </c>
      <c r="I59" s="1849"/>
      <c r="K59" s="1849"/>
      <c r="O59" s="1654"/>
      <c r="R59" s="1843"/>
      <c r="S59" s="1843"/>
      <c r="W59" s="1851"/>
      <c r="Y59" s="1325"/>
      <c r="AA59" s="1325"/>
      <c r="AE59" s="1654"/>
      <c r="AL59" s="1851"/>
      <c r="AO59" s="1612"/>
      <c r="AQ59" s="1612"/>
    </row>
    <row r="60" spans="1:45" ht="10.5" hidden="1" customHeight="1" outlineLevel="1">
      <c r="A60" s="1282" t="s">
        <v>63</v>
      </c>
      <c r="C60" s="1843">
        <f>(S60/S53-1)*100</f>
        <v>4.1644506452121366</v>
      </c>
      <c r="D60" s="1282" t="s">
        <v>102</v>
      </c>
      <c r="E60" s="1843">
        <f>'qtrP&amp;L'!AG11</f>
        <v>0.2</v>
      </c>
      <c r="F60" s="1282" t="s">
        <v>102</v>
      </c>
      <c r="G60" s="1843">
        <f>C60-E60</f>
        <v>3.9644506452121364</v>
      </c>
      <c r="H60" s="1282" t="s">
        <v>102</v>
      </c>
      <c r="I60" s="1861">
        <v>423</v>
      </c>
      <c r="J60" s="1860">
        <f>I60-I56</f>
        <v>26</v>
      </c>
      <c r="K60" s="1849">
        <f>AVERAGEA(I60,I56)</f>
        <v>410</v>
      </c>
      <c r="M60" s="1292">
        <f>(K60/K53-1)*100</f>
        <v>7.4705111402359137</v>
      </c>
      <c r="N60" s="1282" t="s">
        <v>102</v>
      </c>
      <c r="O60" s="1654">
        <f>(G60/M60)*100</f>
        <v>53.067997233278227</v>
      </c>
      <c r="Q60" s="1282" t="s">
        <v>102</v>
      </c>
      <c r="R60" s="1291">
        <f>'qtrP&amp;L'!AE11</f>
        <v>713.42499999999995</v>
      </c>
      <c r="S60" s="1291">
        <f t="shared" si="0"/>
        <v>707.03599999999994</v>
      </c>
      <c r="U60" s="1291">
        <f>S60/K60</f>
        <v>1.7244780487804876</v>
      </c>
      <c r="W60" s="1851">
        <f>(U60/U53-1)*100</f>
        <v>-3.076248972808715</v>
      </c>
      <c r="X60" s="1282" t="s">
        <v>102</v>
      </c>
      <c r="Y60" s="1853">
        <f>Y61/I61*I60</f>
        <v>33.840000000000003</v>
      </c>
      <c r="AA60" s="1325">
        <f>AVERAGEA(Y60,Y56)</f>
        <v>32.800000000000004</v>
      </c>
      <c r="AC60" s="1292">
        <f>(AA60/AA53-1)*100</f>
        <v>7.4705111402359359</v>
      </c>
      <c r="AE60" s="1654">
        <f>(G60/AC60)*100</f>
        <v>53.067997233278078</v>
      </c>
      <c r="AF60" s="1282" t="s">
        <v>102</v>
      </c>
      <c r="AH60" s="1291">
        <f>S60</f>
        <v>707.03599999999994</v>
      </c>
      <c r="AJ60" s="1291">
        <f>AH60/AA60</f>
        <v>21.555975609756093</v>
      </c>
      <c r="AL60" s="1851">
        <f>(AJ60/AJ53-1)*100</f>
        <v>-3.0762489728087261</v>
      </c>
      <c r="AN60" s="1863"/>
      <c r="AO60" s="1612"/>
      <c r="AP60" s="1284">
        <v>6.3890000000000002</v>
      </c>
      <c r="AQ60" s="1854">
        <f>AP60/AP53-1</f>
        <v>-5.7391560932428365E-2</v>
      </c>
      <c r="AR60" s="1291">
        <f>SUM(AP60,AN60)</f>
        <v>6.3890000000000002</v>
      </c>
      <c r="AS60" s="1291"/>
    </row>
    <row r="61" spans="1:45" ht="10.5" hidden="1" customHeight="1" outlineLevel="1">
      <c r="A61" s="1282" t="s">
        <v>64</v>
      </c>
      <c r="C61" s="1843">
        <f>(S61/S54-1)*100</f>
        <v>5.8974228949698171</v>
      </c>
      <c r="E61" s="1843">
        <f>'qtrP&amp;L'!AG12</f>
        <v>-2.1</v>
      </c>
      <c r="G61" s="1843">
        <f>C61-E61</f>
        <v>7.9974228949698176</v>
      </c>
      <c r="I61" s="1861">
        <v>427</v>
      </c>
      <c r="J61" s="1860">
        <f>I61-I60</f>
        <v>4</v>
      </c>
      <c r="K61" s="1849">
        <f>AVERAGEA(I60:I61)</f>
        <v>425</v>
      </c>
      <c r="M61" s="1292">
        <f>(K61/K54-1)*100</f>
        <v>9.2544987146529589</v>
      </c>
      <c r="O61" s="1654">
        <f>(G61/M61)*100</f>
        <v>86.416597392868283</v>
      </c>
      <c r="R61" s="1312">
        <f>'qtrP&amp;L'!AE12</f>
        <v>1010.292</v>
      </c>
      <c r="S61" s="1312">
        <f t="shared" si="0"/>
        <v>1002.389</v>
      </c>
      <c r="U61" s="1312">
        <f>S61/K61</f>
        <v>2.3585623529411763</v>
      </c>
      <c r="W61" s="1851">
        <f>(U61/U54-1)*100</f>
        <v>-3.0727117502511447</v>
      </c>
      <c r="Y61" s="1853">
        <f>Y62/I62*I61</f>
        <v>34.160000000000004</v>
      </c>
      <c r="AA61" s="1325">
        <f>AVERAGEA(Y60:Y61)</f>
        <v>34</v>
      </c>
      <c r="AC61" s="1292">
        <f>(AA61/AA54-1)*100</f>
        <v>9.2544987146529589</v>
      </c>
      <c r="AE61" s="1654">
        <f>(G61/AC61)*100</f>
        <v>86.416597392868283</v>
      </c>
      <c r="AH61" s="1312">
        <f>S61</f>
        <v>1002.389</v>
      </c>
      <c r="AJ61" s="1312">
        <f>AH61/AA61</f>
        <v>29.482029411764707</v>
      </c>
      <c r="AL61" s="1851">
        <f>(AJ61/AJ54-1)*100</f>
        <v>-3.0727117502511558</v>
      </c>
      <c r="AN61" s="1863"/>
      <c r="AO61" s="1612"/>
      <c r="AP61" s="1288">
        <v>7.9029999999999996</v>
      </c>
      <c r="AQ61" s="1854">
        <f>AP61/AP54-1</f>
        <v>-0.13010456796918013</v>
      </c>
      <c r="AR61" s="1312">
        <f>SUM(AP61,AN61)</f>
        <v>7.9029999999999996</v>
      </c>
      <c r="AS61" s="1312"/>
    </row>
    <row r="62" spans="1:45" ht="10.5" hidden="1" customHeight="1" outlineLevel="1">
      <c r="A62" s="1282" t="s">
        <v>65</v>
      </c>
      <c r="C62" s="1843">
        <f>(S62/S55-1)*100</f>
        <v>3.4409434380866077</v>
      </c>
      <c r="E62" s="1843">
        <f>'qtrP&amp;L'!AG13</f>
        <v>-4.3</v>
      </c>
      <c r="G62" s="1843">
        <f>C62-E62</f>
        <v>7.7409434380866076</v>
      </c>
      <c r="I62" s="1861">
        <v>427</v>
      </c>
      <c r="J62" s="1860">
        <f>I62-I61</f>
        <v>0</v>
      </c>
      <c r="K62" s="1849">
        <f>AVERAGEA(I61:I62)</f>
        <v>427</v>
      </c>
      <c r="M62" s="1292">
        <f>(K62/K55-1)*100</f>
        <v>8.1012658227848089</v>
      </c>
      <c r="O62" s="1654">
        <f>(G62/M62)*100</f>
        <v>95.552270563881578</v>
      </c>
      <c r="R62" s="1312">
        <f>'qtrP&amp;L'!AE13</f>
        <v>1029.375</v>
      </c>
      <c r="S62" s="1312">
        <f t="shared" si="0"/>
        <v>1021.079</v>
      </c>
      <c r="U62" s="1312">
        <f>S62/K62</f>
        <v>2.391285714285714</v>
      </c>
      <c r="W62" s="1851">
        <f>(U62/U55-1)*100</f>
        <v>-4.3110710584444707</v>
      </c>
      <c r="Y62" s="1853">
        <f>Y63/I63*I62</f>
        <v>34.160000000000004</v>
      </c>
      <c r="AA62" s="1325">
        <f>AVERAGEA(Y61:Y62)</f>
        <v>34.160000000000004</v>
      </c>
      <c r="AC62" s="1292">
        <f>(AA62/AA55-1)*100</f>
        <v>8.1012658227848089</v>
      </c>
      <c r="AE62" s="1654">
        <f>(G62/AC62)*100</f>
        <v>95.552270563881578</v>
      </c>
      <c r="AH62" s="1312">
        <f>S62</f>
        <v>1021.079</v>
      </c>
      <c r="AJ62" s="1312">
        <f>AH62/AA62</f>
        <v>29.891071428571426</v>
      </c>
      <c r="AL62" s="1851">
        <f>(AJ62/AJ55-1)*100</f>
        <v>-4.3110710584444707</v>
      </c>
      <c r="AN62" s="1863"/>
      <c r="AO62" s="1612"/>
      <c r="AP62" s="1288">
        <v>8.2959999999999994</v>
      </c>
      <c r="AQ62" s="1854">
        <f>AP62/AP55-1</f>
        <v>2.3818338886832047E-2</v>
      </c>
      <c r="AR62" s="1312">
        <f>SUM(AP62,AN62)</f>
        <v>8.2959999999999994</v>
      </c>
      <c r="AS62" s="1312"/>
    </row>
    <row r="63" spans="1:45" ht="10.5" hidden="1" customHeight="1" outlineLevel="1">
      <c r="A63" s="1282" t="s">
        <v>66</v>
      </c>
      <c r="C63" s="1845">
        <f>(S63/S56-1)*100</f>
        <v>3.9064290644058808</v>
      </c>
      <c r="E63" s="1845">
        <f>'qtrP&amp;L'!AG14</f>
        <v>-3.1</v>
      </c>
      <c r="G63" s="1845">
        <f>C63-E63</f>
        <v>7.0064290644058804</v>
      </c>
      <c r="I63" s="1846">
        <v>433</v>
      </c>
      <c r="J63" s="1860">
        <f>I63-I62</f>
        <v>6</v>
      </c>
      <c r="K63" s="1856">
        <f>AVERAGEA(I62:I63)</f>
        <v>430</v>
      </c>
      <c r="M63" s="1315">
        <f>(K63/K56-1)*100</f>
        <v>8.4489281210592626</v>
      </c>
      <c r="O63" s="1858">
        <f>(G63/M63)*100</f>
        <v>82.926839523490557</v>
      </c>
      <c r="R63" s="1290">
        <f>'qtrP&amp;L'!AE14</f>
        <v>818.27500000000009</v>
      </c>
      <c r="S63" s="1290">
        <f t="shared" si="0"/>
        <v>811.47700000000009</v>
      </c>
      <c r="U63" s="1290">
        <f>S63/K63</f>
        <v>1.8871558139534885</v>
      </c>
      <c r="W63" s="1859">
        <f>(U63/U56-1)*100</f>
        <v>-4.1886066882862121</v>
      </c>
      <c r="Y63" s="1848">
        <f>Y64/I64*I63</f>
        <v>34.64</v>
      </c>
      <c r="AA63" s="1391">
        <f>AVERAGEA(Y62:Y63)</f>
        <v>34.400000000000006</v>
      </c>
      <c r="AC63" s="1315">
        <f>(AA63/AA56-1)*100</f>
        <v>8.4489281210592857</v>
      </c>
      <c r="AE63" s="1858">
        <f>(G63/AC63)*100</f>
        <v>82.926839523490329</v>
      </c>
      <c r="AH63" s="1290">
        <f>S63</f>
        <v>811.47700000000009</v>
      </c>
      <c r="AJ63" s="1290">
        <f>AH63/AA63</f>
        <v>23.589447674418604</v>
      </c>
      <c r="AL63" s="1859">
        <f>(AJ63/AJ56-1)*100</f>
        <v>-4.1886066882862334</v>
      </c>
      <c r="AN63" s="1864"/>
      <c r="AO63" s="1612"/>
      <c r="AP63" s="1290">
        <f>AP64-SUM(AP60:AP62)</f>
        <v>6.7979999999999983</v>
      </c>
      <c r="AQ63" s="1854">
        <f>AP63/AP56-1</f>
        <v>3.156297420333809E-2</v>
      </c>
      <c r="AR63" s="1290">
        <f>SUM(AP63,AN63)</f>
        <v>6.7979999999999983</v>
      </c>
      <c r="AS63" s="1540"/>
    </row>
    <row r="64" spans="1:45" ht="10.5" hidden="1" customHeight="1" outlineLevel="1">
      <c r="A64" s="1795" t="s">
        <v>67</v>
      </c>
      <c r="C64" s="1843">
        <f>(S64/S57-1)*100</f>
        <v>4.378006003977708</v>
      </c>
      <c r="E64" s="1843">
        <f>'qtrP&amp;L'!AG15</f>
        <v>-2.5</v>
      </c>
      <c r="G64" s="1843">
        <f>C64-E64</f>
        <v>6.878006003977708</v>
      </c>
      <c r="I64" s="1849">
        <f>I63</f>
        <v>433</v>
      </c>
      <c r="J64" s="1849">
        <f>I63-I56</f>
        <v>36</v>
      </c>
      <c r="K64" s="1849">
        <f>AVERAGEA(K60:K63)</f>
        <v>423</v>
      </c>
      <c r="M64" s="1292">
        <f>(K64/K57-1)*100</f>
        <v>8.322663252240714</v>
      </c>
      <c r="O64" s="1654">
        <f>(G64/M64)*100</f>
        <v>82.641887524716793</v>
      </c>
      <c r="R64" s="1291">
        <f>'qtrP&amp;L'!AE15</f>
        <v>3571.3670000000002</v>
      </c>
      <c r="S64" s="1291">
        <f t="shared" si="0"/>
        <v>3541.9810000000002</v>
      </c>
      <c r="U64" s="1291">
        <f>SUM(U60:U63)</f>
        <v>8.3614819299608669</v>
      </c>
      <c r="W64" s="1851">
        <f>(U64/U57-1)*100</f>
        <v>-3.6830993230364761</v>
      </c>
      <c r="Y64" s="1857">
        <f>yrSales!K31</f>
        <v>34.64</v>
      </c>
      <c r="AA64" s="1325">
        <f>AVERAGEA(AA60:AA63)</f>
        <v>33.840000000000003</v>
      </c>
      <c r="AC64" s="1292">
        <f>(AA64/AA57-1)*100</f>
        <v>8.322663252240714</v>
      </c>
      <c r="AE64" s="1654">
        <f>(G64/AC64)*100</f>
        <v>82.641887524716793</v>
      </c>
      <c r="AH64" s="1291">
        <f>SUM(AH60:AH63)</f>
        <v>3541.9809999999998</v>
      </c>
      <c r="AJ64" s="1291">
        <f>SUM(AJ60:AJ63)</f>
        <v>104.51852412451083</v>
      </c>
      <c r="AL64" s="1851">
        <f>(AJ64/AJ57-1)*100</f>
        <v>-3.6830993230364872</v>
      </c>
      <c r="AN64" s="1865"/>
      <c r="AO64" s="1612"/>
      <c r="AP64" s="1291">
        <f>yrSales!K10</f>
        <v>29.385999999999999</v>
      </c>
      <c r="AQ64" s="1854">
        <f>AP64/AP57-1</f>
        <v>-3.8290352140332606E-2</v>
      </c>
      <c r="AR64" s="1291">
        <f>SUM(AP64,AN64)</f>
        <v>29.385999999999999</v>
      </c>
      <c r="AS64" s="1291"/>
    </row>
    <row r="65" spans="1:45" ht="10.5" hidden="1" customHeight="1" outlineLevel="1" collapsed="1" thickBot="1">
      <c r="I65" s="1849"/>
      <c r="K65" s="1849"/>
      <c r="O65" s="1654"/>
      <c r="W65" s="1851"/>
      <c r="Y65" s="1866"/>
      <c r="AA65" s="1325"/>
      <c r="AE65" s="1654"/>
      <c r="AL65" s="1851"/>
      <c r="AO65" s="1612"/>
      <c r="AQ65" s="1612"/>
    </row>
    <row r="66" spans="1:45" ht="13.5" hidden="1" outlineLevel="1" collapsed="1" thickBot="1">
      <c r="A66" s="1867" t="s">
        <v>310</v>
      </c>
      <c r="B66" s="1868"/>
      <c r="C66" s="1868"/>
      <c r="D66" s="1868"/>
      <c r="E66" s="1868"/>
      <c r="F66" s="1868"/>
      <c r="G66" s="1868"/>
      <c r="H66" s="1868"/>
      <c r="I66" s="1869"/>
      <c r="J66" s="1868"/>
      <c r="K66" s="1869"/>
      <c r="L66" s="1868"/>
      <c r="M66" s="1868"/>
      <c r="N66" s="1868"/>
      <c r="O66" s="1870"/>
      <c r="P66" s="1868"/>
      <c r="Q66" s="1868"/>
      <c r="R66" s="1868"/>
      <c r="S66" s="1868"/>
      <c r="T66" s="1868"/>
      <c r="U66" s="1868"/>
      <c r="V66" s="1868"/>
      <c r="W66" s="1871"/>
      <c r="X66" s="1868"/>
      <c r="Y66" s="1872"/>
      <c r="Z66" s="1868"/>
      <c r="AA66" s="1873"/>
      <c r="AB66" s="1868"/>
      <c r="AC66" s="1868"/>
      <c r="AD66" s="1868"/>
      <c r="AE66" s="1870"/>
      <c r="AF66" s="1870"/>
      <c r="AG66" s="1870"/>
      <c r="AH66" s="1870"/>
      <c r="AI66" s="1868"/>
      <c r="AJ66" s="1868"/>
      <c r="AK66" s="1868"/>
      <c r="AL66" s="1871"/>
      <c r="AM66" s="1868"/>
      <c r="AN66" s="1868"/>
      <c r="AO66" s="1874"/>
      <c r="AP66" s="1874"/>
      <c r="AQ66" s="1874"/>
      <c r="AR66" s="1868"/>
    </row>
    <row r="67" spans="1:45" ht="11.25" hidden="1" customHeight="1" outlineLevel="1" collapsed="1">
      <c r="I67" s="1849"/>
      <c r="K67" s="1849"/>
      <c r="O67" s="1654"/>
      <c r="W67" s="1851"/>
      <c r="Y67" s="1866"/>
      <c r="AA67" s="1325"/>
      <c r="AE67" s="1654"/>
      <c r="AF67" s="1654"/>
      <c r="AG67" s="1654"/>
      <c r="AH67" s="1654"/>
      <c r="AL67" s="1851"/>
      <c r="AO67" s="1612"/>
      <c r="AQ67" s="1612"/>
    </row>
    <row r="68" spans="1:45" ht="10.5" hidden="1" customHeight="1" outlineLevel="1">
      <c r="A68" s="1841" t="s">
        <v>261</v>
      </c>
      <c r="I68" s="1849"/>
      <c r="K68" s="1849"/>
      <c r="O68" s="1654"/>
      <c r="W68" s="1851"/>
      <c r="Y68" s="1866"/>
      <c r="AA68" s="1325"/>
      <c r="AE68" s="1654"/>
      <c r="AL68" s="1851"/>
      <c r="AO68" s="1612"/>
      <c r="AQ68" s="1612"/>
    </row>
    <row r="69" spans="1:45" ht="10.5" hidden="1" customHeight="1" outlineLevel="1">
      <c r="A69" s="1282" t="s">
        <v>63</v>
      </c>
      <c r="C69" s="1875" t="s">
        <v>90</v>
      </c>
      <c r="D69" s="1282" t="s">
        <v>102</v>
      </c>
      <c r="E69" s="1843">
        <f>'qtrP&amp;L'!AK11</f>
        <v>-2</v>
      </c>
      <c r="F69" s="1282" t="s">
        <v>102</v>
      </c>
      <c r="G69" s="1875" t="s">
        <v>90</v>
      </c>
      <c r="H69" s="1282" t="s">
        <v>102</v>
      </c>
      <c r="I69" s="1852">
        <v>433</v>
      </c>
      <c r="J69" s="1875" t="s">
        <v>90</v>
      </c>
      <c r="K69" s="1875" t="s">
        <v>90</v>
      </c>
      <c r="M69" s="1875" t="s">
        <v>90</v>
      </c>
      <c r="N69" s="1282" t="s">
        <v>102</v>
      </c>
      <c r="O69" s="1875" t="s">
        <v>90</v>
      </c>
      <c r="P69" s="1282" t="s">
        <v>102</v>
      </c>
      <c r="S69" s="1291">
        <f>'qtrP&amp;L'!AI11</f>
        <v>830.04300000000001</v>
      </c>
      <c r="U69" s="1875" t="s">
        <v>90</v>
      </c>
      <c r="W69" s="1875" t="s">
        <v>90</v>
      </c>
      <c r="X69" s="1282" t="s">
        <v>102</v>
      </c>
      <c r="Y69" s="1325">
        <f>0.08*I69</f>
        <v>34.64</v>
      </c>
      <c r="AA69" s="1875" t="s">
        <v>90</v>
      </c>
      <c r="AC69" s="1875" t="s">
        <v>90</v>
      </c>
      <c r="AD69" s="1282" t="s">
        <v>102</v>
      </c>
      <c r="AE69" s="1875" t="s">
        <v>90</v>
      </c>
      <c r="AF69" s="1282" t="s">
        <v>102</v>
      </c>
      <c r="AH69" s="1875" t="s">
        <v>90</v>
      </c>
      <c r="AJ69" s="1875" t="s">
        <v>90</v>
      </c>
      <c r="AL69" s="1875" t="s">
        <v>90</v>
      </c>
      <c r="AM69" s="1282" t="s">
        <v>102</v>
      </c>
      <c r="AN69" s="1863" t="s">
        <v>90</v>
      </c>
      <c r="AO69" s="1612"/>
      <c r="AP69" s="1284">
        <v>7.06</v>
      </c>
      <c r="AQ69" s="1854"/>
      <c r="AR69" s="1291">
        <f>SUM(AP69,AN69)</f>
        <v>7.06</v>
      </c>
      <c r="AS69" s="1291"/>
    </row>
    <row r="70" spans="1:45" ht="10.5" hidden="1" customHeight="1" outlineLevel="1">
      <c r="A70" s="1282" t="s">
        <v>64</v>
      </c>
      <c r="C70" s="1875" t="s">
        <v>90</v>
      </c>
      <c r="E70" s="1843">
        <f>'qtrP&amp;L'!AK12</f>
        <v>-7</v>
      </c>
      <c r="G70" s="1875" t="s">
        <v>90</v>
      </c>
      <c r="I70" s="1852">
        <v>433</v>
      </c>
      <c r="J70" s="1875" t="s">
        <v>90</v>
      </c>
      <c r="K70" s="1875" t="s">
        <v>90</v>
      </c>
      <c r="M70" s="1875" t="s">
        <v>90</v>
      </c>
      <c r="O70" s="1875" t="s">
        <v>90</v>
      </c>
      <c r="S70" s="1312">
        <f>'qtrP&amp;L'!AI12</f>
        <v>700.97799999999995</v>
      </c>
      <c r="U70" s="1875" t="s">
        <v>90</v>
      </c>
      <c r="W70" s="1875" t="s">
        <v>90</v>
      </c>
      <c r="Y70" s="1325">
        <f>0.08*I70</f>
        <v>34.64</v>
      </c>
      <c r="AA70" s="1875" t="s">
        <v>90</v>
      </c>
      <c r="AC70" s="1875" t="s">
        <v>90</v>
      </c>
      <c r="AE70" s="1875" t="s">
        <v>90</v>
      </c>
      <c r="AH70" s="1875" t="s">
        <v>90</v>
      </c>
      <c r="AJ70" s="1875" t="s">
        <v>90</v>
      </c>
      <c r="AL70" s="1875" t="s">
        <v>90</v>
      </c>
      <c r="AN70" s="1863" t="s">
        <v>90</v>
      </c>
      <c r="AO70" s="1612"/>
      <c r="AP70" s="1288">
        <v>6.7240000000000002</v>
      </c>
      <c r="AQ70" s="1854"/>
      <c r="AR70" s="1312">
        <f>SUM(AP70,AN70)</f>
        <v>6.7240000000000002</v>
      </c>
      <c r="AS70" s="1312"/>
    </row>
    <row r="71" spans="1:45" ht="10.5" hidden="1" customHeight="1" outlineLevel="1">
      <c r="A71" s="1282" t="s">
        <v>65</v>
      </c>
      <c r="C71" s="1875" t="s">
        <v>90</v>
      </c>
      <c r="E71" s="1843">
        <f>'qtrP&amp;L'!AK13</f>
        <v>0</v>
      </c>
      <c r="G71" s="1875" t="s">
        <v>90</v>
      </c>
      <c r="I71" s="1852">
        <v>442</v>
      </c>
      <c r="J71" s="1875" t="s">
        <v>90</v>
      </c>
      <c r="K71" s="1875" t="s">
        <v>90</v>
      </c>
      <c r="M71" s="1875" t="s">
        <v>90</v>
      </c>
      <c r="O71" s="1875" t="s">
        <v>90</v>
      </c>
      <c r="S71" s="1312">
        <f>'qtrP&amp;L'!AI13</f>
        <v>872.37399999999991</v>
      </c>
      <c r="U71" s="1875" t="s">
        <v>90</v>
      </c>
      <c r="W71" s="1875" t="s">
        <v>90</v>
      </c>
      <c r="Y71" s="1325">
        <f>0.08*I71</f>
        <v>35.36</v>
      </c>
      <c r="AA71" s="1875" t="s">
        <v>90</v>
      </c>
      <c r="AC71" s="1875" t="s">
        <v>90</v>
      </c>
      <c r="AE71" s="1875" t="s">
        <v>90</v>
      </c>
      <c r="AH71" s="1875" t="s">
        <v>90</v>
      </c>
      <c r="AJ71" s="1875" t="s">
        <v>90</v>
      </c>
      <c r="AL71" s="1875" t="s">
        <v>90</v>
      </c>
      <c r="AN71" s="1863" t="s">
        <v>90</v>
      </c>
      <c r="AO71" s="1612"/>
      <c r="AP71" s="1288">
        <v>7.9880000000000004</v>
      </c>
      <c r="AQ71" s="1854"/>
      <c r="AR71" s="1312">
        <f>SUM(AP71,AN71)</f>
        <v>7.9880000000000004</v>
      </c>
      <c r="AS71" s="1312"/>
    </row>
    <row r="72" spans="1:45" ht="10.5" hidden="1" customHeight="1" outlineLevel="1">
      <c r="A72" s="1282" t="s">
        <v>66</v>
      </c>
      <c r="C72" s="1876" t="s">
        <v>90</v>
      </c>
      <c r="E72" s="1845">
        <f>'qtrP&amp;L'!AK14</f>
        <v>-7</v>
      </c>
      <c r="G72" s="1876" t="s">
        <v>90</v>
      </c>
      <c r="I72" s="1852">
        <v>442</v>
      </c>
      <c r="J72" s="1876" t="s">
        <v>90</v>
      </c>
      <c r="K72" s="1876" t="s">
        <v>90</v>
      </c>
      <c r="M72" s="1876" t="s">
        <v>90</v>
      </c>
      <c r="O72" s="1876" t="s">
        <v>90</v>
      </c>
      <c r="S72" s="1290">
        <f>'qtrP&amp;L'!AI14</f>
        <v>1119.5189999999998</v>
      </c>
      <c r="U72" s="1876" t="s">
        <v>90</v>
      </c>
      <c r="W72" s="1876" t="s">
        <v>90</v>
      </c>
      <c r="Y72" s="1325">
        <f>0.08*I72</f>
        <v>35.36</v>
      </c>
      <c r="AA72" s="1876" t="s">
        <v>90</v>
      </c>
      <c r="AC72" s="1876" t="s">
        <v>90</v>
      </c>
      <c r="AE72" s="1876" t="s">
        <v>90</v>
      </c>
      <c r="AH72" s="1876" t="s">
        <v>90</v>
      </c>
      <c r="AJ72" s="1876" t="s">
        <v>90</v>
      </c>
      <c r="AL72" s="1876" t="s">
        <v>90</v>
      </c>
      <c r="AN72" s="1864" t="s">
        <v>90</v>
      </c>
      <c r="AO72" s="1612"/>
      <c r="AP72" s="1290">
        <f>AP73-SUM(AP69:AP71)</f>
        <v>9.0680000000000014</v>
      </c>
      <c r="AQ72" s="1854"/>
      <c r="AR72" s="1290">
        <f>SUM(AP72,AN72)</f>
        <v>9.0680000000000014</v>
      </c>
      <c r="AS72" s="1540"/>
    </row>
    <row r="73" spans="1:45" ht="10.5" hidden="1" customHeight="1" outlineLevel="1">
      <c r="A73" s="1795" t="s">
        <v>67</v>
      </c>
      <c r="C73" s="1875" t="s">
        <v>90</v>
      </c>
      <c r="E73" s="1843">
        <f>'qtrP&amp;L'!AK15</f>
        <v>-4</v>
      </c>
      <c r="G73" s="1875" t="s">
        <v>90</v>
      </c>
      <c r="I73" s="1849"/>
      <c r="J73" s="1875" t="s">
        <v>90</v>
      </c>
      <c r="K73" s="1875" t="s">
        <v>90</v>
      </c>
      <c r="M73" s="1875" t="s">
        <v>90</v>
      </c>
      <c r="O73" s="1875" t="s">
        <v>90</v>
      </c>
      <c r="S73" s="1291">
        <f>SUM(S69:S72)</f>
        <v>3522.9139999999998</v>
      </c>
      <c r="U73" s="1875" t="s">
        <v>90</v>
      </c>
      <c r="W73" s="1875" t="s">
        <v>90</v>
      </c>
      <c r="Y73" s="1866"/>
      <c r="AA73" s="1875" t="s">
        <v>90</v>
      </c>
      <c r="AC73" s="1875" t="s">
        <v>90</v>
      </c>
      <c r="AE73" s="1875" t="s">
        <v>90</v>
      </c>
      <c r="AH73" s="1875" t="s">
        <v>90</v>
      </c>
      <c r="AJ73" s="1875" t="s">
        <v>90</v>
      </c>
      <c r="AL73" s="1875" t="s">
        <v>90</v>
      </c>
      <c r="AN73" s="1865" t="s">
        <v>90</v>
      </c>
      <c r="AO73" s="1854"/>
      <c r="AP73" s="1284">
        <v>30.84</v>
      </c>
      <c r="AQ73" s="1854"/>
      <c r="AR73" s="1291">
        <f>SUM(AP73,AN73)</f>
        <v>30.84</v>
      </c>
      <c r="AS73" s="1291"/>
    </row>
    <row r="74" spans="1:45" ht="10.5" customHeight="1" collapsed="1">
      <c r="I74" s="1849"/>
      <c r="K74" s="1849"/>
      <c r="O74" s="1654"/>
      <c r="W74" s="1851"/>
      <c r="Y74" s="1866"/>
      <c r="AA74" s="1325"/>
      <c r="AE74" s="1654"/>
      <c r="AL74" s="1851"/>
      <c r="AO74" s="1612"/>
      <c r="AQ74" s="1612"/>
    </row>
    <row r="75" spans="1:45" ht="10.5" customHeight="1">
      <c r="A75" s="1841" t="s">
        <v>84</v>
      </c>
      <c r="I75" s="1849"/>
      <c r="K75" s="1849"/>
      <c r="O75" s="1654"/>
      <c r="W75" s="1851"/>
      <c r="Y75" s="1866"/>
      <c r="AA75" s="1325"/>
      <c r="AE75" s="1654"/>
      <c r="AL75" s="1851"/>
      <c r="AO75" s="1612"/>
      <c r="AQ75" s="1612"/>
    </row>
    <row r="76" spans="1:45" ht="10.5" customHeight="1">
      <c r="A76" s="1282" t="s">
        <v>63</v>
      </c>
      <c r="C76" s="1843">
        <f>(S76/S69-1)*100</f>
        <v>7.7869459774975391</v>
      </c>
      <c r="D76" s="1282" t="s">
        <v>102</v>
      </c>
      <c r="E76" s="1843">
        <f>'qtrP&amp;L'!AO11</f>
        <v>3.3</v>
      </c>
      <c r="F76" s="1282" t="s">
        <v>102</v>
      </c>
      <c r="G76" s="1843">
        <f>C76-E76</f>
        <v>4.4869459774975393</v>
      </c>
      <c r="H76" s="1282" t="s">
        <v>102</v>
      </c>
      <c r="I76" s="1852">
        <v>449</v>
      </c>
      <c r="J76" s="1855">
        <f>I76-I72</f>
        <v>7</v>
      </c>
      <c r="K76" s="1849">
        <f>AVERAGEA(I76,I72)</f>
        <v>445.5</v>
      </c>
      <c r="M76" s="1875" t="s">
        <v>90</v>
      </c>
      <c r="N76" s="1282" t="s">
        <v>102</v>
      </c>
      <c r="O76" s="1875" t="s">
        <v>90</v>
      </c>
      <c r="P76" s="1282" t="s">
        <v>102</v>
      </c>
      <c r="S76" s="1291">
        <f>'qtrP&amp;L'!AM11</f>
        <v>894.678</v>
      </c>
      <c r="U76" s="1291">
        <f>S76/K76</f>
        <v>2.0082558922558924</v>
      </c>
      <c r="W76" s="1875" t="s">
        <v>90</v>
      </c>
      <c r="X76" s="1282" t="s">
        <v>102</v>
      </c>
      <c r="Y76" s="1325">
        <f>0.08*I76</f>
        <v>35.92</v>
      </c>
      <c r="AA76" s="1325">
        <f>AVERAGEA(Y76,Y72)</f>
        <v>35.64</v>
      </c>
      <c r="AC76" s="1875" t="s">
        <v>90</v>
      </c>
      <c r="AD76" s="1282" t="s">
        <v>102</v>
      </c>
      <c r="AE76" s="1875" t="s">
        <v>90</v>
      </c>
      <c r="AF76" s="1282" t="s">
        <v>102</v>
      </c>
      <c r="AH76" s="1291">
        <f>S76</f>
        <v>894.678</v>
      </c>
      <c r="AJ76" s="1291">
        <f>AH76/AA76</f>
        <v>25.103198653198653</v>
      </c>
      <c r="AL76" s="1875" t="s">
        <v>90</v>
      </c>
      <c r="AM76" s="1282" t="s">
        <v>102</v>
      </c>
      <c r="AN76" s="1863" t="s">
        <v>90</v>
      </c>
      <c r="AO76" s="1854"/>
      <c r="AP76" s="1284">
        <v>7.28</v>
      </c>
      <c r="AQ76" s="1854">
        <f>AP76/AP69-1</f>
        <v>3.1161473087818692E-2</v>
      </c>
      <c r="AR76" s="1291">
        <f>SUM(AP76,AN76)</f>
        <v>7.28</v>
      </c>
      <c r="AS76" s="1291"/>
    </row>
    <row r="77" spans="1:45" ht="10.5" customHeight="1">
      <c r="A77" s="1282" t="s">
        <v>64</v>
      </c>
      <c r="C77" s="1843">
        <f>(S77/S70-1)*100</f>
        <v>3.9618932405867335</v>
      </c>
      <c r="E77" s="1843">
        <f>'qtrP&amp;L'!AO12</f>
        <v>0.3</v>
      </c>
      <c r="G77" s="1843">
        <f>C77-E77</f>
        <v>3.6618932405867337</v>
      </c>
      <c r="I77" s="1852">
        <v>447</v>
      </c>
      <c r="J77" s="1855">
        <f>I77-I76</f>
        <v>-2</v>
      </c>
      <c r="K77" s="1849">
        <f>AVERAGEA(I76:I77)</f>
        <v>448</v>
      </c>
      <c r="M77" s="1875" t="s">
        <v>90</v>
      </c>
      <c r="O77" s="1875" t="s">
        <v>90</v>
      </c>
      <c r="S77" s="1312">
        <f>'qtrP&amp;L'!AM12</f>
        <v>728.75</v>
      </c>
      <c r="U77" s="1312">
        <f>S77/K77</f>
        <v>1.6266741071428572</v>
      </c>
      <c r="W77" s="1875" t="s">
        <v>90</v>
      </c>
      <c r="Y77" s="1325">
        <f>0.08*I77</f>
        <v>35.76</v>
      </c>
      <c r="AA77" s="1325">
        <f>AVERAGEA(Y76:Y77)</f>
        <v>35.840000000000003</v>
      </c>
      <c r="AC77" s="1875" t="s">
        <v>90</v>
      </c>
      <c r="AE77" s="1875" t="s">
        <v>90</v>
      </c>
      <c r="AH77" s="1312">
        <f>S77</f>
        <v>728.75</v>
      </c>
      <c r="AJ77" s="1312">
        <f>AH77/AA77</f>
        <v>20.333426339285712</v>
      </c>
      <c r="AL77" s="1875" t="s">
        <v>90</v>
      </c>
      <c r="AN77" s="1863" t="s">
        <v>90</v>
      </c>
      <c r="AO77" s="1854"/>
      <c r="AP77" s="1288">
        <v>6.7949999999999999</v>
      </c>
      <c r="AQ77" s="1854">
        <f>AP77/AP70-1</f>
        <v>1.0559190957763143E-2</v>
      </c>
      <c r="AR77" s="1312">
        <f>SUM(AP77,AN77)</f>
        <v>6.7949999999999999</v>
      </c>
      <c r="AS77" s="1312"/>
    </row>
    <row r="78" spans="1:45" ht="10.5" customHeight="1">
      <c r="A78" s="1282" t="s">
        <v>65</v>
      </c>
      <c r="C78" s="1843">
        <f>(S78/S71-1)*100</f>
        <v>-1.6263666730095161</v>
      </c>
      <c r="E78" s="1843">
        <f>'qtrP&amp;L'!AO13</f>
        <v>-5.6</v>
      </c>
      <c r="G78" s="1843">
        <f>C78-E78</f>
        <v>3.9736333269904835</v>
      </c>
      <c r="I78" s="1852">
        <v>459</v>
      </c>
      <c r="J78" s="1855">
        <f>I78-I77</f>
        <v>12</v>
      </c>
      <c r="K78" s="1849">
        <f>AVERAGEA(I77:I78)</f>
        <v>453</v>
      </c>
      <c r="M78" s="1875" t="s">
        <v>90</v>
      </c>
      <c r="O78" s="1875" t="s">
        <v>90</v>
      </c>
      <c r="S78" s="1312">
        <f>'qtrP&amp;L'!AM13</f>
        <v>858.18599999999992</v>
      </c>
      <c r="U78" s="1312">
        <f>S78/K78</f>
        <v>1.8944503311258276</v>
      </c>
      <c r="W78" s="1875" t="s">
        <v>90</v>
      </c>
      <c r="Y78" s="1325">
        <f>0.08*I78</f>
        <v>36.72</v>
      </c>
      <c r="AA78" s="1325">
        <f>AVERAGEA(Y77:Y78)</f>
        <v>36.239999999999995</v>
      </c>
      <c r="AC78" s="1875" t="s">
        <v>90</v>
      </c>
      <c r="AE78" s="1875" t="s">
        <v>90</v>
      </c>
      <c r="AH78" s="1312">
        <f>S78</f>
        <v>858.18599999999992</v>
      </c>
      <c r="AJ78" s="1312">
        <f>AH78/AA78</f>
        <v>23.680629139072849</v>
      </c>
      <c r="AL78" s="1875" t="s">
        <v>90</v>
      </c>
      <c r="AN78" s="1863" t="s">
        <v>90</v>
      </c>
      <c r="AO78" s="1854"/>
      <c r="AP78" s="1288">
        <v>7.85</v>
      </c>
      <c r="AQ78" s="1854">
        <f>AP78/AP71-1</f>
        <v>-1.7275913870806292E-2</v>
      </c>
      <c r="AR78" s="1312">
        <f>SUM(AP78,AN78)</f>
        <v>7.85</v>
      </c>
      <c r="AS78" s="1312"/>
    </row>
    <row r="79" spans="1:45" ht="10.5" customHeight="1">
      <c r="A79" s="1282" t="s">
        <v>66</v>
      </c>
      <c r="C79" s="1845">
        <f>(S79/S72-1)*100</f>
        <v>6.115930144999826</v>
      </c>
      <c r="E79" s="1845">
        <f>'qtrP&amp;L'!AO14</f>
        <v>1.2</v>
      </c>
      <c r="G79" s="1845">
        <f>C79-E79</f>
        <v>4.9159301449998258</v>
      </c>
      <c r="I79" s="1852">
        <v>460</v>
      </c>
      <c r="J79" s="1855">
        <f>I79-I78</f>
        <v>1</v>
      </c>
      <c r="K79" s="1856">
        <f>AVERAGEA(I78:I79)</f>
        <v>459.5</v>
      </c>
      <c r="M79" s="1876" t="s">
        <v>90</v>
      </c>
      <c r="O79" s="1876" t="s">
        <v>90</v>
      </c>
      <c r="S79" s="1290">
        <f>'qtrP&amp;L'!AM14</f>
        <v>1187.9880000000003</v>
      </c>
      <c r="U79" s="1290">
        <f>S79/K79</f>
        <v>2.5853928182807406</v>
      </c>
      <c r="W79" s="1876" t="s">
        <v>90</v>
      </c>
      <c r="Y79" s="1325">
        <f>0.08*I79</f>
        <v>36.800000000000004</v>
      </c>
      <c r="AA79" s="1391">
        <f>AVERAGEA(Y78:Y79)</f>
        <v>36.760000000000005</v>
      </c>
      <c r="AC79" s="1876" t="s">
        <v>90</v>
      </c>
      <c r="AE79" s="1876" t="s">
        <v>90</v>
      </c>
      <c r="AH79" s="1290">
        <f>S79</f>
        <v>1187.9880000000003</v>
      </c>
      <c r="AJ79" s="1290">
        <f>AH79/AA79</f>
        <v>32.317410228509253</v>
      </c>
      <c r="AL79" s="1876" t="s">
        <v>90</v>
      </c>
      <c r="AN79" s="1864" t="s">
        <v>90</v>
      </c>
      <c r="AO79" s="1854"/>
      <c r="AP79" s="1290">
        <f>AP80-SUM(AP76:AP78)</f>
        <v>9.5620000000000012</v>
      </c>
      <c r="AQ79" s="1854">
        <f>AP79/AP72-1</f>
        <v>5.4477282752536382E-2</v>
      </c>
      <c r="AR79" s="1290">
        <f>SUM(AP79,AN79)</f>
        <v>9.5620000000000012</v>
      </c>
      <c r="AS79" s="1540"/>
    </row>
    <row r="80" spans="1:45" ht="10.5" customHeight="1">
      <c r="A80" s="1795" t="s">
        <v>67</v>
      </c>
      <c r="C80" s="1843">
        <f>(S80/S73-1)*100</f>
        <v>4.1638257419851943</v>
      </c>
      <c r="E80" s="1843">
        <f>'qtrP&amp;L'!AO15</f>
        <v>-0.2</v>
      </c>
      <c r="G80" s="1843">
        <f>C80-E80</f>
        <v>4.3638257419851945</v>
      </c>
      <c r="I80" s="1849"/>
      <c r="J80" s="1849">
        <f>I79-I72</f>
        <v>18</v>
      </c>
      <c r="K80" s="1849">
        <f>AVERAGEA(K76:K79)</f>
        <v>451.5</v>
      </c>
      <c r="M80" s="1875" t="s">
        <v>90</v>
      </c>
      <c r="O80" s="1875" t="s">
        <v>90</v>
      </c>
      <c r="S80" s="1291">
        <f>SUM(S76:S79)</f>
        <v>3669.6019999999999</v>
      </c>
      <c r="U80" s="1291">
        <f>SUM(U76:U79)</f>
        <v>8.1147731488053179</v>
      </c>
      <c r="W80" s="1875" t="s">
        <v>90</v>
      </c>
      <c r="Y80" s="1866"/>
      <c r="AA80" s="1325">
        <f>AVERAGEA(AA76:AA79)</f>
        <v>36.120000000000005</v>
      </c>
      <c r="AC80" s="1875" t="s">
        <v>90</v>
      </c>
      <c r="AE80" s="1875" t="s">
        <v>90</v>
      </c>
      <c r="AH80" s="1291">
        <f>SUM(AH76:AH79)</f>
        <v>3669.6019999999999</v>
      </c>
      <c r="AJ80" s="1291">
        <f>SUM(AJ76:AJ79)</f>
        <v>101.43466436006648</v>
      </c>
      <c r="AL80" s="1875" t="s">
        <v>90</v>
      </c>
      <c r="AN80" s="1865" t="s">
        <v>90</v>
      </c>
      <c r="AO80" s="1854"/>
      <c r="AP80" s="1284">
        <v>31.486999999999998</v>
      </c>
      <c r="AQ80" s="1854">
        <f>AP80/AP73-1</f>
        <v>2.0979247730220418E-2</v>
      </c>
      <c r="AR80" s="1291">
        <f>SUM(AP80,AN80)</f>
        <v>31.486999999999998</v>
      </c>
      <c r="AS80" s="1291"/>
    </row>
    <row r="81" spans="1:45">
      <c r="I81" s="1849"/>
      <c r="K81" s="1849"/>
      <c r="O81" s="1654"/>
      <c r="W81" s="1851"/>
      <c r="Y81" s="1866"/>
      <c r="AA81" s="1325"/>
      <c r="AE81" s="1654"/>
      <c r="AL81" s="1851"/>
      <c r="AO81" s="1612"/>
      <c r="AQ81" s="1612"/>
    </row>
    <row r="82" spans="1:45">
      <c r="A82" s="1841" t="s">
        <v>242</v>
      </c>
      <c r="I82" s="1849"/>
      <c r="K82" s="1849"/>
      <c r="O82" s="1654"/>
      <c r="W82" s="1851"/>
      <c r="Y82" s="1866"/>
      <c r="AA82" s="1325"/>
      <c r="AE82" s="1654"/>
      <c r="AL82" s="1851"/>
      <c r="AO82" s="1612"/>
      <c r="AQ82" s="1612"/>
    </row>
    <row r="83" spans="1:45">
      <c r="A83" s="1282" t="s">
        <v>63</v>
      </c>
      <c r="C83" s="1843">
        <f>(S83/S76-1)*100</f>
        <v>3.8452940611035435</v>
      </c>
      <c r="D83" s="1282" t="s">
        <v>102</v>
      </c>
      <c r="E83" s="1843">
        <f>'qtrP&amp;L'!AS11</f>
        <v>0.5</v>
      </c>
      <c r="F83" s="1282" t="s">
        <v>102</v>
      </c>
      <c r="G83" s="1843">
        <f>C83-E83</f>
        <v>3.3452940611035435</v>
      </c>
      <c r="H83" s="1282" t="s">
        <v>102</v>
      </c>
      <c r="I83" s="1852">
        <v>462</v>
      </c>
      <c r="J83" s="1855">
        <f>I83-I79</f>
        <v>2</v>
      </c>
      <c r="K83" s="1849">
        <f>AVERAGEA(I83,I79)</f>
        <v>461</v>
      </c>
      <c r="M83" s="1292">
        <f>(K83/K76-1)*100</f>
        <v>3.4792368125701412</v>
      </c>
      <c r="N83" s="1282" t="s">
        <v>102</v>
      </c>
      <c r="O83" s="1654">
        <f>(G83/M83)*100</f>
        <v>96.150226078814882</v>
      </c>
      <c r="P83" s="1282" t="s">
        <v>102</v>
      </c>
      <c r="S83" s="1291">
        <f>'qtrP&amp;L'!AQ11</f>
        <v>929.08100000000002</v>
      </c>
      <c r="U83" s="1291">
        <f>S83/K83</f>
        <v>2.0153600867678958</v>
      </c>
      <c r="W83" s="1851">
        <f>(U83/U76-1)*100</f>
        <v>0.35374946685819975</v>
      </c>
      <c r="X83" s="1282" t="s">
        <v>102</v>
      </c>
      <c r="Y83" s="1325">
        <f>0.08*I83</f>
        <v>36.96</v>
      </c>
      <c r="AA83" s="1325">
        <f>AVERAGEA(Y83,Y79)</f>
        <v>36.880000000000003</v>
      </c>
      <c r="AC83" s="1292">
        <f>(AA83/AA76-1)*100</f>
        <v>3.4792368125701412</v>
      </c>
      <c r="AD83" s="1282" t="s">
        <v>102</v>
      </c>
      <c r="AE83" s="1654">
        <f>(G83/AC83)*100</f>
        <v>96.150226078814882</v>
      </c>
      <c r="AF83" s="1282" t="s">
        <v>102</v>
      </c>
      <c r="AH83" s="1291">
        <f>S83</f>
        <v>929.08100000000002</v>
      </c>
      <c r="AJ83" s="1291">
        <f>AH83/AA83</f>
        <v>25.192001084598697</v>
      </c>
      <c r="AL83" s="1851">
        <f>(AJ83/AJ76-1)*100</f>
        <v>0.35374946685819975</v>
      </c>
      <c r="AM83" s="1282" t="s">
        <v>102</v>
      </c>
      <c r="AN83" s="1863" t="s">
        <v>90</v>
      </c>
      <c r="AO83" s="1854"/>
      <c r="AP83" s="1284">
        <v>7.25</v>
      </c>
      <c r="AQ83" s="1854">
        <f>AP83/AP76-1</f>
        <v>-4.1208791208791062E-3</v>
      </c>
      <c r="AR83" s="1291">
        <f>SUM(AP83,AN83)</f>
        <v>7.25</v>
      </c>
      <c r="AS83" s="1291"/>
    </row>
    <row r="84" spans="1:45">
      <c r="A84" s="1282" t="s">
        <v>64</v>
      </c>
      <c r="C84" s="1843">
        <f>(S84/S77-1)*100</f>
        <v>8.864356775300152</v>
      </c>
      <c r="E84" s="1843">
        <f>'qtrP&amp;L'!AS12</f>
        <v>4</v>
      </c>
      <c r="G84" s="1843">
        <f>C84-E84</f>
        <v>4.864356775300152</v>
      </c>
      <c r="I84" s="1852">
        <v>462</v>
      </c>
      <c r="J84" s="1855">
        <f>I84-I83</f>
        <v>0</v>
      </c>
      <c r="K84" s="1849">
        <f>AVERAGEA(I83:I84)</f>
        <v>462</v>
      </c>
      <c r="M84" s="1292">
        <f>(K84/K77-1)*100</f>
        <v>3.125</v>
      </c>
      <c r="O84" s="1654">
        <f>(G84/M84)*100</f>
        <v>155.65941680960486</v>
      </c>
      <c r="S84" s="1312">
        <f>'qtrP&amp;L'!AQ12</f>
        <v>793.34899999999993</v>
      </c>
      <c r="U84" s="1312">
        <f>S84/K84</f>
        <v>1.7172056277056276</v>
      </c>
      <c r="W84" s="1851">
        <f>(U84/U77-1)*100</f>
        <v>5.5654368730183368</v>
      </c>
      <c r="Y84" s="1325">
        <f>0.08*I84</f>
        <v>36.96</v>
      </c>
      <c r="AA84" s="1325">
        <f>AVERAGEA(Y83:Y84)</f>
        <v>36.96</v>
      </c>
      <c r="AC84" s="1292">
        <f>(AA84/AA77-1)*100</f>
        <v>3.125</v>
      </c>
      <c r="AE84" s="1654">
        <f>(G84/AC84)*100</f>
        <v>155.65941680960486</v>
      </c>
      <c r="AH84" s="1312">
        <f>S84</f>
        <v>793.34899999999993</v>
      </c>
      <c r="AJ84" s="1312">
        <f>AH84/AA84</f>
        <v>21.465070346320346</v>
      </c>
      <c r="AL84" s="1851">
        <f>(AJ84/AJ77-1)*100</f>
        <v>5.565436873018359</v>
      </c>
      <c r="AN84" s="1863" t="s">
        <v>90</v>
      </c>
      <c r="AO84" s="1854"/>
      <c r="AP84" s="1288">
        <v>7.0949999999999998</v>
      </c>
      <c r="AQ84" s="1854">
        <f>AP84/AP77-1</f>
        <v>4.4150110375275942E-2</v>
      </c>
      <c r="AR84" s="1312">
        <f>SUM(AP84,AN84)</f>
        <v>7.0949999999999998</v>
      </c>
      <c r="AS84" s="1312"/>
    </row>
    <row r="85" spans="1:45">
      <c r="A85" s="1282" t="s">
        <v>65</v>
      </c>
      <c r="C85" s="1843">
        <f>(S85/S78-1)*100</f>
        <v>4.716576592953059</v>
      </c>
      <c r="E85" s="1843">
        <f>'qtrP&amp;L'!AS13</f>
        <v>1.5</v>
      </c>
      <c r="G85" s="1843">
        <f>C85-E85</f>
        <v>3.216576592953059</v>
      </c>
      <c r="I85" s="1852">
        <v>472</v>
      </c>
      <c r="J85" s="1855">
        <f>I85-I84</f>
        <v>10</v>
      </c>
      <c r="K85" s="1849">
        <f>AVERAGEA(I84:I85)</f>
        <v>467</v>
      </c>
      <c r="M85" s="1292">
        <f>(K85/K78-1)*100</f>
        <v>3.0905077262693093</v>
      </c>
      <c r="O85" s="1654">
        <f>(G85/M85)*100</f>
        <v>104.07922832912419</v>
      </c>
      <c r="S85" s="1312">
        <f>'qtrP&amp;L'!AQ13</f>
        <v>898.66300000000001</v>
      </c>
      <c r="U85" s="1312">
        <f>S85/K85</f>
        <v>1.9243319057815846</v>
      </c>
      <c r="W85" s="1851">
        <f>(U85/U78-1)*100</f>
        <v>1.5773216201450335</v>
      </c>
      <c r="Y85" s="1325">
        <f>0.08*I85</f>
        <v>37.76</v>
      </c>
      <c r="AA85" s="1325">
        <f>AVERAGEA(Y84:Y85)</f>
        <v>37.36</v>
      </c>
      <c r="AC85" s="1292">
        <f>(AA85/AA78-1)*100</f>
        <v>3.0905077262693315</v>
      </c>
      <c r="AE85" s="1654">
        <f>(G85/AC85)*100</f>
        <v>104.07922832912344</v>
      </c>
      <c r="AH85" s="1312">
        <f>S85</f>
        <v>898.66300000000001</v>
      </c>
      <c r="AJ85" s="1312">
        <f>AH85/AA85</f>
        <v>24.054148822269809</v>
      </c>
      <c r="AL85" s="1851">
        <f>(AJ85/AJ78-1)*100</f>
        <v>1.5773216201450335</v>
      </c>
      <c r="AN85" s="1863" t="s">
        <v>90</v>
      </c>
      <c r="AO85" s="1854"/>
      <c r="AP85" s="1288">
        <v>8.14</v>
      </c>
      <c r="AQ85" s="1854">
        <f>AP85/AP78-1</f>
        <v>3.6942675159235883E-2</v>
      </c>
      <c r="AR85" s="1312">
        <f>SUM(AP85,AN85)</f>
        <v>8.14</v>
      </c>
      <c r="AS85" s="1312"/>
    </row>
    <row r="86" spans="1:45">
      <c r="A86" s="1282" t="s">
        <v>66</v>
      </c>
      <c r="C86" s="1845">
        <f>(S86/S79-1)*100</f>
        <v>3.7923783741923289</v>
      </c>
      <c r="E86" s="1845">
        <f>'qtrP&amp;L'!AS14</f>
        <v>-1.7</v>
      </c>
      <c r="G86" s="1845">
        <f>C86-E86</f>
        <v>5.4923783741923291</v>
      </c>
      <c r="I86" s="1852">
        <v>477</v>
      </c>
      <c r="J86" s="1855">
        <f>I86-I85</f>
        <v>5</v>
      </c>
      <c r="K86" s="1856">
        <f>AVERAGEA(I85:I86)</f>
        <v>474.5</v>
      </c>
      <c r="M86" s="1315">
        <f>(K86/K79-1)*100</f>
        <v>3.2644178454842132</v>
      </c>
      <c r="O86" s="1858">
        <f>(G86/M86)*100</f>
        <v>168.24985752942547</v>
      </c>
      <c r="S86" s="1290">
        <f>'qtrP&amp;L'!AQ14</f>
        <v>1233.0410000000002</v>
      </c>
      <c r="U86" s="1290">
        <f>S86/K86</f>
        <v>2.598611169652266</v>
      </c>
      <c r="W86" s="1859">
        <f>(U86/U79-1)*100</f>
        <v>0.51127052253185923</v>
      </c>
      <c r="Y86" s="1325">
        <f>0.08*I86</f>
        <v>38.160000000000004</v>
      </c>
      <c r="AA86" s="1391">
        <f>AVERAGEA(Y85:Y86)</f>
        <v>37.96</v>
      </c>
      <c r="AC86" s="1315">
        <f>(AA86/AA79-1)*100</f>
        <v>3.2644178454842132</v>
      </c>
      <c r="AE86" s="1858">
        <f>(G86/AC86)*100</f>
        <v>168.24985752942547</v>
      </c>
      <c r="AH86" s="1290">
        <f>S86</f>
        <v>1233.0410000000002</v>
      </c>
      <c r="AJ86" s="1290">
        <f>AH86/AA86</f>
        <v>32.482639620653323</v>
      </c>
      <c r="AL86" s="1859">
        <f>(AJ86/AJ79-1)*100</f>
        <v>0.51127052253188143</v>
      </c>
      <c r="AN86" s="1864" t="s">
        <v>90</v>
      </c>
      <c r="AO86" s="1854"/>
      <c r="AP86" s="1290">
        <f>AP87-SUM(AP83:AP85)</f>
        <v>10.911999999999999</v>
      </c>
      <c r="AQ86" s="1854">
        <f>AP86/AP79-1</f>
        <v>0.1411838527504703</v>
      </c>
      <c r="AR86" s="1290">
        <f>SUM(AP86,AN86)</f>
        <v>10.911999999999999</v>
      </c>
      <c r="AS86" s="1540"/>
    </row>
    <row r="87" spans="1:45">
      <c r="A87" s="1795" t="s">
        <v>67</v>
      </c>
      <c r="C87" s="1843">
        <f>(S87/S80-1)*100</f>
        <v>5.0286652339954108</v>
      </c>
      <c r="E87" s="1843">
        <f>'qtrP&amp;L'!AS15</f>
        <v>0.7</v>
      </c>
      <c r="G87" s="1843">
        <f>C87-E87</f>
        <v>4.3286652339954106</v>
      </c>
      <c r="J87" s="1849">
        <f>I86-I79</f>
        <v>17</v>
      </c>
      <c r="K87" s="1849">
        <f>AVERAGEA(K83:K86)</f>
        <v>466.125</v>
      </c>
      <c r="M87" s="1292">
        <f>(K87/K80-1)*100</f>
        <v>3.2392026578073052</v>
      </c>
      <c r="O87" s="1654">
        <f>(G87/M87)*100</f>
        <v>133.63366517257643</v>
      </c>
      <c r="S87" s="1291">
        <f>SUM(S83:S86)</f>
        <v>3854.134</v>
      </c>
      <c r="U87" s="1291">
        <f>SUM(U83:U86)</f>
        <v>8.255508789907374</v>
      </c>
      <c r="W87" s="1851">
        <f>(U87/U80-1)*100</f>
        <v>1.7343139299313082</v>
      </c>
      <c r="AA87" s="1325">
        <f>AVERAGEA(AA83:AA86)</f>
        <v>37.29</v>
      </c>
      <c r="AC87" s="1292">
        <f>(AA87/AA80-1)*100</f>
        <v>3.239202657807283</v>
      </c>
      <c r="AE87" s="1654">
        <f>(G87/AC87)*100</f>
        <v>133.63366517257734</v>
      </c>
      <c r="AH87" s="1291">
        <f>SUM(AH83:AH86)</f>
        <v>3854.134</v>
      </c>
      <c r="AJ87" s="1291">
        <f>SUM(AJ83:AJ86)</f>
        <v>103.19385987384217</v>
      </c>
      <c r="AL87" s="1851">
        <f>(AJ87/AJ80-1)*100</f>
        <v>1.7343139299313082</v>
      </c>
      <c r="AN87" s="1865" t="s">
        <v>90</v>
      </c>
      <c r="AO87" s="1854"/>
      <c r="AP87" s="1284">
        <v>33.396999999999998</v>
      </c>
      <c r="AQ87" s="1854">
        <f>AP87/AP80-1</f>
        <v>6.0659954902023028E-2</v>
      </c>
      <c r="AR87" s="1291">
        <f>SUM(AP87,AN87)</f>
        <v>33.396999999999998</v>
      </c>
      <c r="AS87" s="1291"/>
    </row>
    <row r="88" spans="1:45">
      <c r="I88" s="1849"/>
      <c r="K88" s="1849"/>
      <c r="O88" s="1654"/>
      <c r="W88" s="1851"/>
      <c r="Y88" s="1866"/>
      <c r="AA88" s="1325"/>
      <c r="AE88" s="1654"/>
      <c r="AL88" s="1851"/>
      <c r="AO88" s="1612"/>
      <c r="AQ88" s="1612"/>
    </row>
    <row r="89" spans="1:45">
      <c r="A89" s="1841" t="s">
        <v>393</v>
      </c>
      <c r="I89" s="1849"/>
      <c r="K89" s="1849"/>
      <c r="O89" s="1654"/>
      <c r="W89" s="1851"/>
      <c r="Y89" s="1866"/>
      <c r="AA89" s="1325"/>
      <c r="AE89" s="1654"/>
      <c r="AL89" s="1851"/>
      <c r="AN89" s="1291"/>
      <c r="AO89" s="1612"/>
      <c r="AQ89" s="1612"/>
    </row>
    <row r="90" spans="1:45">
      <c r="A90" s="1282" t="s">
        <v>63</v>
      </c>
      <c r="C90" s="1843">
        <f>(S90/S83-1)*100</f>
        <v>5.7412422264582874</v>
      </c>
      <c r="D90" s="1282" t="s">
        <v>102</v>
      </c>
      <c r="E90" s="1843">
        <f>'qtrP&amp;L'!AW11</f>
        <v>0.6</v>
      </c>
      <c r="F90" s="1282" t="s">
        <v>102</v>
      </c>
      <c r="G90" s="1843">
        <f>C90-E90</f>
        <v>5.1412422264582878</v>
      </c>
      <c r="H90" s="1282" t="s">
        <v>102</v>
      </c>
      <c r="I90" s="1852">
        <v>482</v>
      </c>
      <c r="J90" s="1860">
        <f>I90-I86</f>
        <v>5</v>
      </c>
      <c r="K90" s="1849">
        <f>AVERAGEA(I90,I86)</f>
        <v>479.5</v>
      </c>
      <c r="M90" s="1292">
        <f>(K90/K83-1)*100</f>
        <v>4.0130151843817741</v>
      </c>
      <c r="N90" s="1282" t="s">
        <v>102</v>
      </c>
      <c r="O90" s="1654">
        <f>(G90/M90)*100</f>
        <v>128.1141981836364</v>
      </c>
      <c r="P90" s="1282" t="s">
        <v>102</v>
      </c>
      <c r="S90" s="1291">
        <f>'qtrP&amp;L'!AU11</f>
        <v>982.42179069000099</v>
      </c>
      <c r="U90" s="1291">
        <f>S90/K90</f>
        <v>2.0488462788112636</v>
      </c>
      <c r="W90" s="1851">
        <f>(U90/U83-1)*100</f>
        <v>1.6615488350308016</v>
      </c>
      <c r="X90" s="1282" t="s">
        <v>102</v>
      </c>
      <c r="Y90" s="1857">
        <f>0.08*I90</f>
        <v>38.56</v>
      </c>
      <c r="AA90" s="1325">
        <f>AVERAGEA(Y90,Y86)</f>
        <v>38.36</v>
      </c>
      <c r="AC90" s="1292">
        <f>(AA90/AA83-1)*100</f>
        <v>4.0130151843817741</v>
      </c>
      <c r="AD90" s="1282" t="s">
        <v>102</v>
      </c>
      <c r="AE90" s="1654">
        <f>(G90/AC90)*100</f>
        <v>128.1141981836364</v>
      </c>
      <c r="AF90" s="1282" t="s">
        <v>102</v>
      </c>
      <c r="AH90" s="1291">
        <f>S90</f>
        <v>982.42179069000099</v>
      </c>
      <c r="AJ90" s="1291">
        <f>AH90/AA90</f>
        <v>25.610578485140799</v>
      </c>
      <c r="AL90" s="1851">
        <f>(AJ90/AJ83-1)*100</f>
        <v>1.6615488350308238</v>
      </c>
      <c r="AM90" s="1282" t="s">
        <v>102</v>
      </c>
      <c r="AN90" s="1863" t="s">
        <v>90</v>
      </c>
      <c r="AO90" s="1863"/>
      <c r="AP90" s="1284">
        <v>7.5339999999999998</v>
      </c>
      <c r="AQ90" s="1854">
        <f>AP90/AP83-1</f>
        <v>3.9172413793103322E-2</v>
      </c>
      <c r="AR90" s="1291">
        <f>SUM(AP90,AN90)</f>
        <v>7.5339999999999998</v>
      </c>
      <c r="AS90" s="1291"/>
    </row>
    <row r="91" spans="1:45">
      <c r="A91" s="1282" t="s">
        <v>64</v>
      </c>
      <c r="C91" s="1843">
        <f>(S91/S84-1)*100</f>
        <v>8.928255026476517</v>
      </c>
      <c r="E91" s="1843">
        <f>'qtrP&amp;L'!AW12</f>
        <v>2.9</v>
      </c>
      <c r="G91" s="1843">
        <f>C91-E91</f>
        <v>6.0282550264765167</v>
      </c>
      <c r="I91" s="1852">
        <v>482</v>
      </c>
      <c r="J91" s="1860">
        <f>I91-I90</f>
        <v>0</v>
      </c>
      <c r="K91" s="1849">
        <f>AVERAGEA(I90:I91)</f>
        <v>482</v>
      </c>
      <c r="M91" s="1292">
        <f>(K91/K84-1)*100</f>
        <v>4.3290043290043378</v>
      </c>
      <c r="O91" s="1654">
        <f>(G91/M91)*100</f>
        <v>139.25269111160725</v>
      </c>
      <c r="S91" s="1312">
        <f>'qtrP&amp;L'!AU12</f>
        <v>864.18122197000105</v>
      </c>
      <c r="U91" s="1312">
        <f>S91/K91</f>
        <v>1.7929070995228238</v>
      </c>
      <c r="W91" s="1851">
        <f>(U91/U84-1)*100</f>
        <v>4.4084104195687646</v>
      </c>
      <c r="Y91" s="1857">
        <f>0.08*I91</f>
        <v>38.56</v>
      </c>
      <c r="AA91" s="1325">
        <f>AVERAGEA(Y90:Y91)</f>
        <v>38.56</v>
      </c>
      <c r="AC91" s="1292">
        <f>(AA91/AA84-1)*100</f>
        <v>4.3290043290043378</v>
      </c>
      <c r="AE91" s="1654">
        <f>(G91/AC91)*100</f>
        <v>139.25269111160725</v>
      </c>
      <c r="AH91" s="1312">
        <f>S91</f>
        <v>864.18122197000105</v>
      </c>
      <c r="AJ91" s="1312">
        <f>AH91/AA91</f>
        <v>22.411338744035294</v>
      </c>
      <c r="AL91" s="1851">
        <f>(AJ91/AJ84-1)*100</f>
        <v>4.4084104195687646</v>
      </c>
      <c r="AN91" s="1863" t="s">
        <v>90</v>
      </c>
      <c r="AO91" s="1863"/>
      <c r="AP91" s="1288">
        <v>7.5590000000000002</v>
      </c>
      <c r="AQ91" s="1854">
        <f>AP91/AP84-1</f>
        <v>6.5398167723749179E-2</v>
      </c>
      <c r="AR91" s="1312">
        <f>SUM(AP91,AN91)</f>
        <v>7.5590000000000002</v>
      </c>
      <c r="AS91" s="1312"/>
    </row>
    <row r="92" spans="1:45">
      <c r="A92" s="1282" t="s">
        <v>65</v>
      </c>
      <c r="C92" s="1843">
        <f>(S92/S85-1)*100</f>
        <v>7.7037588094760689</v>
      </c>
      <c r="E92" s="1843">
        <f>'qtrP&amp;L'!AW13</f>
        <v>2.1</v>
      </c>
      <c r="G92" s="1843">
        <f>C92-E92</f>
        <v>5.6037588094760693</v>
      </c>
      <c r="I92" s="1852">
        <v>497</v>
      </c>
      <c r="J92" s="1860">
        <f>I92-I91</f>
        <v>15</v>
      </c>
      <c r="K92" s="1849">
        <f>AVERAGEA(I91:I92)</f>
        <v>489.5</v>
      </c>
      <c r="M92" s="1292">
        <f>(K92/K85-1)*100</f>
        <v>4.8179871520342532</v>
      </c>
      <c r="O92" s="1654">
        <f>(G92/M92)*100</f>
        <v>116.30912729001462</v>
      </c>
      <c r="S92" s="1312">
        <f>'qtrP&amp;L'!AU13</f>
        <v>967.89383003000194</v>
      </c>
      <c r="U92" s="1312">
        <f>S92/K92</f>
        <v>1.9773111951583289</v>
      </c>
      <c r="W92" s="1851">
        <f>(U92/U85-1)*100</f>
        <v>2.7531263820742113</v>
      </c>
      <c r="Y92" s="1857">
        <f>0.08*I92</f>
        <v>39.76</v>
      </c>
      <c r="AA92" s="1325">
        <f>AVERAGEA(Y91:Y92)</f>
        <v>39.159999999999997</v>
      </c>
      <c r="AC92" s="1292">
        <f>(AA92/AA85-1)*100</f>
        <v>4.8179871520342532</v>
      </c>
      <c r="AE92" s="1654">
        <f>(G92/AC92)*100</f>
        <v>116.30912729001462</v>
      </c>
      <c r="AH92" s="1312">
        <f>S92</f>
        <v>967.89383003000194</v>
      </c>
      <c r="AJ92" s="1312">
        <f>AH92/AA92</f>
        <v>24.716389939479111</v>
      </c>
      <c r="AL92" s="1851">
        <f>(AJ92/AJ85-1)*100</f>
        <v>2.7531263820742113</v>
      </c>
      <c r="AN92" s="1863" t="s">
        <v>90</v>
      </c>
      <c r="AO92" s="1863"/>
      <c r="AP92" s="1288">
        <v>7.9580000000000002</v>
      </c>
      <c r="AQ92" s="1854">
        <f>AP92/AP85-1</f>
        <v>-2.2358722358722383E-2</v>
      </c>
      <c r="AR92" s="1312">
        <f>SUM(AP92,AN92)</f>
        <v>7.9580000000000002</v>
      </c>
      <c r="AS92" s="1312"/>
    </row>
    <row r="93" spans="1:45">
      <c r="A93" s="1282" t="s">
        <v>66</v>
      </c>
      <c r="C93" s="1845">
        <f>(S93/S86-1)*100</f>
        <v>2.3921611998303893</v>
      </c>
      <c r="E93" s="1845">
        <f>'qtrP&amp;L'!AW14</f>
        <v>-0.3</v>
      </c>
      <c r="G93" s="1845">
        <f>C93-E93</f>
        <v>2.6921611998303892</v>
      </c>
      <c r="I93" s="1852">
        <v>500</v>
      </c>
      <c r="J93" s="1860">
        <f>I93-I92</f>
        <v>3</v>
      </c>
      <c r="K93" s="1856">
        <f>AVERAGEA(I92:I93)</f>
        <v>498.5</v>
      </c>
      <c r="M93" s="1315">
        <f>(K93/K86-1)*100</f>
        <v>5.0579557428872546</v>
      </c>
      <c r="O93" s="1858">
        <f>(G93/M93)*100</f>
        <v>53.226270388313267</v>
      </c>
      <c r="S93" s="1290">
        <f>'qtrP&amp;L'!AU14</f>
        <v>1262.5373283800009</v>
      </c>
      <c r="U93" s="1290">
        <f>S93/K93</f>
        <v>2.5326726747843549</v>
      </c>
      <c r="W93" s="1859">
        <f>(U93/U86-1)*100</f>
        <v>-2.5374513754874206</v>
      </c>
      <c r="Y93" s="1857">
        <f>0.08*I93</f>
        <v>40</v>
      </c>
      <c r="AA93" s="1391">
        <f>AVERAGEA(Y92:Y93)</f>
        <v>39.879999999999995</v>
      </c>
      <c r="AC93" s="1315">
        <f>(AA93/AA86-1)*100</f>
        <v>5.0579557428872324</v>
      </c>
      <c r="AE93" s="1858">
        <f>(G93/AC93)*100</f>
        <v>53.226270388313502</v>
      </c>
      <c r="AH93" s="1290">
        <f>S93</f>
        <v>1262.5373283800009</v>
      </c>
      <c r="AJ93" s="1290">
        <f>AH93/AA93</f>
        <v>31.658408434804439</v>
      </c>
      <c r="AL93" s="1859">
        <f>(AJ93/AJ86-1)*100</f>
        <v>-2.5374513754873984</v>
      </c>
      <c r="AN93" s="1864" t="s">
        <v>90</v>
      </c>
      <c r="AO93" s="1863"/>
      <c r="AP93" s="1290">
        <f>AP94-SUM(AP90:AP92)</f>
        <v>11.073999999999998</v>
      </c>
      <c r="AQ93" s="1854">
        <f>AP93/AP86-1</f>
        <v>1.4846041055718295E-2</v>
      </c>
      <c r="AR93" s="1290">
        <f>SUM(AP93,AN93)</f>
        <v>11.073999999999998</v>
      </c>
      <c r="AS93" s="1540"/>
    </row>
    <row r="94" spans="1:45">
      <c r="A94" s="1795" t="s">
        <v>67</v>
      </c>
      <c r="C94" s="1843">
        <f>(S94/S87-1)*100</f>
        <v>5.7834048081879086</v>
      </c>
      <c r="E94" s="1843">
        <f>S90/S94*E90+S91/S94*E91+S92/S94*E92+S93/S94*E93</f>
        <v>1.1649140682648593</v>
      </c>
      <c r="G94" s="1843">
        <f>C94-E94</f>
        <v>4.6184907399230495</v>
      </c>
      <c r="J94" s="1849">
        <f>I93-I86</f>
        <v>23</v>
      </c>
      <c r="K94" s="1849">
        <f>AVERAGEA(K90:K93)</f>
        <v>487.375</v>
      </c>
      <c r="M94" s="1292">
        <f>(K94/K87-1)*100</f>
        <v>4.5588629659426116</v>
      </c>
      <c r="O94" s="1654">
        <f>(G94/M94)*100</f>
        <v>101.30795275984148</v>
      </c>
      <c r="S94" s="1291">
        <f>SUM(S90:S93)</f>
        <v>4077.034171070005</v>
      </c>
      <c r="U94" s="1291">
        <f>SUM(U90:U93)</f>
        <v>8.3517372482767716</v>
      </c>
      <c r="W94" s="1851">
        <f>(U94/U87-1)*100</f>
        <v>1.1656272292634551</v>
      </c>
      <c r="AA94" s="1325">
        <f>AVERAGEA(AA90:AA93)</f>
        <v>38.989999999999995</v>
      </c>
      <c r="AC94" s="1292">
        <f>(AA94/AA87-1)*100</f>
        <v>4.5588629659426116</v>
      </c>
      <c r="AE94" s="1654">
        <f>(G94/AC94)*100</f>
        <v>101.30795275984148</v>
      </c>
      <c r="AH94" s="1291">
        <f>SUM(AH90:AH93)</f>
        <v>4077.034171070005</v>
      </c>
      <c r="AJ94" s="1291">
        <f>SUM(AJ90:AJ93)</f>
        <v>104.39671560345965</v>
      </c>
      <c r="AL94" s="1851">
        <f>(AJ94/AJ87-1)*100</f>
        <v>1.1656272292634551</v>
      </c>
      <c r="AN94" s="1865" t="s">
        <v>90</v>
      </c>
      <c r="AO94" s="1863"/>
      <c r="AP94" s="1284">
        <v>34.125</v>
      </c>
      <c r="AQ94" s="1854">
        <f>AP94/AP87-1</f>
        <v>2.1798365122615904E-2</v>
      </c>
      <c r="AR94" s="1291">
        <f>SUM(AP94,AN94)</f>
        <v>34.125</v>
      </c>
      <c r="AS94" s="1291"/>
    </row>
    <row r="96" spans="1:45">
      <c r="A96" s="1841" t="s">
        <v>611</v>
      </c>
    </row>
    <row r="97" spans="1:45">
      <c r="A97" s="1282" t="s">
        <v>63</v>
      </c>
      <c r="C97" s="1843">
        <f>(S97/S90-1)*100</f>
        <v>8.4069406697496074</v>
      </c>
      <c r="D97" s="1282" t="s">
        <v>102</v>
      </c>
      <c r="E97" s="1843">
        <f>+'qtrP&amp;L'!BA11</f>
        <v>3.4</v>
      </c>
      <c r="F97" s="1282" t="s">
        <v>102</v>
      </c>
      <c r="G97" s="1843">
        <f>C97-E97</f>
        <v>5.0069406697496071</v>
      </c>
      <c r="H97" s="1282" t="s">
        <v>102</v>
      </c>
      <c r="I97" s="1852">
        <v>503</v>
      </c>
      <c r="J97" s="1860">
        <f>I97-I93</f>
        <v>3</v>
      </c>
      <c r="K97" s="1849">
        <f>AVERAGEA(I97,I93)</f>
        <v>501.5</v>
      </c>
      <c r="M97" s="1292">
        <f>(K97/K90-1)*100</f>
        <v>4.588112617309692</v>
      </c>
      <c r="N97" s="1282" t="s">
        <v>102</v>
      </c>
      <c r="O97" s="1654">
        <f>(G97/M97)*100</f>
        <v>109.12854777931544</v>
      </c>
      <c r="P97" s="1282" t="s">
        <v>102</v>
      </c>
      <c r="S97" s="1312">
        <f>'qtrP&amp;L'!AY11</f>
        <v>1065.013407760001</v>
      </c>
      <c r="U97" s="1291">
        <f>S97/K97</f>
        <v>2.1236558479760737</v>
      </c>
      <c r="W97" s="1851">
        <f>(U97/U83-1)*100</f>
        <v>5.3735191998297127</v>
      </c>
      <c r="X97" s="1282" t="s">
        <v>102</v>
      </c>
      <c r="Y97" s="1325">
        <f>0.08*I97</f>
        <v>40.24</v>
      </c>
      <c r="AA97" s="1325">
        <f>AVERAGEA(Y97,Y93)</f>
        <v>40.120000000000005</v>
      </c>
      <c r="AC97" s="1292">
        <f>(AA97/AA83-1)*100</f>
        <v>8.785249457700651</v>
      </c>
      <c r="AD97" s="1282" t="s">
        <v>102</v>
      </c>
      <c r="AE97" s="1654">
        <f>(G97/AC97)*100</f>
        <v>56.992583919865893</v>
      </c>
      <c r="AF97" s="1282" t="s">
        <v>102</v>
      </c>
      <c r="AH97" s="1291">
        <f>S97</f>
        <v>1065.013407760001</v>
      </c>
      <c r="AJ97" s="1291">
        <f>AH97/AA97</f>
        <v>26.545698099700918</v>
      </c>
      <c r="AL97" s="1851">
        <f>(AJ97/AJ83-1)*100</f>
        <v>5.3735191998297127</v>
      </c>
      <c r="AM97" s="1282" t="s">
        <v>102</v>
      </c>
      <c r="AN97" s="1863" t="s">
        <v>90</v>
      </c>
      <c r="AO97" s="1877"/>
      <c r="AP97" s="1284">
        <v>7.976</v>
      </c>
      <c r="AQ97" s="1854">
        <f>AP97/AP83-1</f>
        <v>0.10013793103448276</v>
      </c>
      <c r="AR97" s="1291">
        <f>SUM(AP97,AN97)</f>
        <v>7.976</v>
      </c>
    </row>
    <row r="98" spans="1:45">
      <c r="A98" s="1282" t="s">
        <v>64</v>
      </c>
      <c r="C98" s="1843">
        <f>(S98/S91-1)*100</f>
        <v>11.500991512676627</v>
      </c>
      <c r="E98" s="1843">
        <f>+'qtrP&amp;L'!BA12</f>
        <v>7.8</v>
      </c>
      <c r="G98" s="1843">
        <f>C98-E98</f>
        <v>3.7009915126766275</v>
      </c>
      <c r="I98" s="1852">
        <v>503</v>
      </c>
      <c r="J98" s="1860">
        <f>I98-I97</f>
        <v>0</v>
      </c>
      <c r="K98" s="1849">
        <f>AVERAGEA(I97:I98)</f>
        <v>503</v>
      </c>
      <c r="M98" s="1292">
        <f>(K98/K91-1)*100</f>
        <v>4.3568464730290524</v>
      </c>
      <c r="O98" s="1654">
        <f>(G98/M98)*100</f>
        <v>84.946567100482469</v>
      </c>
      <c r="S98" s="1312">
        <f>'qtrP&amp;L'!AY12</f>
        <v>963.57063096291608</v>
      </c>
      <c r="U98" s="1312">
        <f>S98/K98</f>
        <v>1.915647377659873</v>
      </c>
      <c r="W98" s="1851">
        <f>(U98/U84-1)*100</f>
        <v>11.556085465395615</v>
      </c>
      <c r="Y98" s="1325">
        <f>0.08*I98</f>
        <v>40.24</v>
      </c>
      <c r="AA98" s="1325">
        <f>AVERAGEA(Y97:Y98)</f>
        <v>40.24</v>
      </c>
      <c r="AC98" s="1292">
        <f>(AA98/AA84-1)*100</f>
        <v>8.8744588744588793</v>
      </c>
      <c r="AE98" s="1654">
        <f>(G98/AC98)*100</f>
        <v>41.703855581868318</v>
      </c>
      <c r="AH98" s="1312">
        <f>S98</f>
        <v>963.57063096291608</v>
      </c>
      <c r="AJ98" s="1312">
        <f>AH98/AA98</f>
        <v>23.945592220748409</v>
      </c>
      <c r="AL98" s="1851">
        <f>(AJ98/AJ84-1)*100</f>
        <v>11.556085465395594</v>
      </c>
      <c r="AN98" s="1863" t="s">
        <v>90</v>
      </c>
      <c r="AO98" s="1877"/>
      <c r="AP98" s="1312">
        <f>AP91*(1+AQ98)</f>
        <v>7.9369500000000004</v>
      </c>
      <c r="AQ98" s="1877">
        <v>0.05</v>
      </c>
      <c r="AR98" s="1312">
        <f>SUM(AP98,AN98)</f>
        <v>7.9369500000000004</v>
      </c>
    </row>
    <row r="99" spans="1:45">
      <c r="A99" s="1282" t="s">
        <v>65</v>
      </c>
      <c r="C99" s="1843">
        <f>(S99/S92-1)*100</f>
        <v>9.9812775918825203</v>
      </c>
      <c r="E99" s="1843">
        <f>+'qtrP&amp;L'!BA13</f>
        <v>3.9</v>
      </c>
      <c r="G99" s="1843">
        <f>C99-E99</f>
        <v>6.0812775918825199</v>
      </c>
      <c r="I99" s="1852">
        <v>521</v>
      </c>
      <c r="J99" s="1860">
        <f>I99-I98</f>
        <v>18</v>
      </c>
      <c r="K99" s="1849">
        <f>AVERAGEA(I98:I99)</f>
        <v>512</v>
      </c>
      <c r="M99" s="1292">
        <f>(K99/K92-1)*100</f>
        <v>4.5965270684371839</v>
      </c>
      <c r="O99" s="1654">
        <f>(G99/M99)*100</f>
        <v>132.30157249895518</v>
      </c>
      <c r="S99" s="1312">
        <f>'qtrP&amp;L'!AY13</f>
        <v>1064.502</v>
      </c>
      <c r="U99" s="1312">
        <f>S99/K99</f>
        <v>2.0791054687499999</v>
      </c>
      <c r="W99" s="1851">
        <f>(U99/U85-1)*100</f>
        <v>8.0429765002286722</v>
      </c>
      <c r="Y99" s="1325">
        <f>0.08*I99</f>
        <v>41.68</v>
      </c>
      <c r="AA99" s="1325">
        <f>AVERAGEA(Y98:Y99)</f>
        <v>40.96</v>
      </c>
      <c r="AC99" s="1292">
        <f>(AA99/AA85-1)*100</f>
        <v>9.6359743040685295</v>
      </c>
      <c r="AE99" s="1654">
        <f>(G99/AC99)*100</f>
        <v>63.110147453536328</v>
      </c>
      <c r="AH99" s="1312">
        <f>S99</f>
        <v>1064.502</v>
      </c>
      <c r="AJ99" s="1312">
        <f>AH99/AA99</f>
        <v>25.988818359374999</v>
      </c>
      <c r="AL99" s="1851">
        <f>(AJ99/AJ85-1)*100</f>
        <v>8.0429765002286722</v>
      </c>
      <c r="AN99" s="1863" t="s">
        <v>90</v>
      </c>
      <c r="AO99" s="1877"/>
      <c r="AP99" s="1312">
        <f>AP92*(1+AQ99)</f>
        <v>8.3559000000000001</v>
      </c>
      <c r="AQ99" s="1877">
        <v>0.05</v>
      </c>
      <c r="AR99" s="1312">
        <f>SUM(AP99,AN99)</f>
        <v>8.3559000000000001</v>
      </c>
    </row>
    <row r="100" spans="1:45">
      <c r="A100" s="1282" t="s">
        <v>66</v>
      </c>
      <c r="C100" s="1845">
        <f>(S100/S93-1)*100</f>
        <v>5.6821822220536333</v>
      </c>
      <c r="E100" s="1845">
        <f>+'qtrP&amp;L'!BA14</f>
        <v>4</v>
      </c>
      <c r="G100" s="1845">
        <f>C100-E100</f>
        <v>1.6821822220536333</v>
      </c>
      <c r="I100" s="1852">
        <v>521</v>
      </c>
      <c r="J100" s="1860">
        <f>I100-I99</f>
        <v>0</v>
      </c>
      <c r="K100" s="1856">
        <f>AVERAGEA(I99:I100)</f>
        <v>521</v>
      </c>
      <c r="M100" s="1315">
        <f>(K100/K93-1)*100</f>
        <v>4.5135406218655971</v>
      </c>
      <c r="O100" s="1858">
        <f>(G100/M100)*100</f>
        <v>37.269681675277162</v>
      </c>
      <c r="S100" s="1290">
        <f>'qtrP&amp;L'!AY14</f>
        <v>1334.277</v>
      </c>
      <c r="U100" s="1290">
        <f>S100/K100</f>
        <v>2.5609923224568139</v>
      </c>
      <c r="W100" s="1859">
        <f>(U100/U86-1)*100</f>
        <v>-1.4476520240804702</v>
      </c>
      <c r="Y100" s="2253">
        <v>41.01</v>
      </c>
      <c r="AA100" s="1391">
        <f>AVERAGEA(Y99:Y100)</f>
        <v>41.344999999999999</v>
      </c>
      <c r="AC100" s="1315">
        <f>(AA100/AA86-1)*100</f>
        <v>8.9172813487881974</v>
      </c>
      <c r="AE100" s="1858">
        <f>(G100/AC100)*100</f>
        <v>18.864294578775752</v>
      </c>
      <c r="AH100" s="1290">
        <f>S100</f>
        <v>1334.277</v>
      </c>
      <c r="AJ100" s="1290">
        <f>AH100/AA100</f>
        <v>32.271786189382034</v>
      </c>
      <c r="AL100" s="1859">
        <f>(AJ100/AJ86-1)*100</f>
        <v>-0.64912652953617034</v>
      </c>
      <c r="AN100" s="1864" t="s">
        <v>90</v>
      </c>
      <c r="AO100" s="1863"/>
      <c r="AP100" s="1290">
        <f>AP93*(1+AQ100)</f>
        <v>11.627699999999999</v>
      </c>
      <c r="AQ100" s="1854">
        <v>0.05</v>
      </c>
      <c r="AR100" s="1290">
        <f>SUM(AP100,AN100)</f>
        <v>11.627699999999999</v>
      </c>
      <c r="AS100" s="1540"/>
    </row>
    <row r="101" spans="1:45">
      <c r="A101" s="1795" t="s">
        <v>67</v>
      </c>
      <c r="C101" s="1843">
        <f>(S101/S94-1)*100</f>
        <v>8.5927380775660644</v>
      </c>
      <c r="E101" s="1843">
        <f>S97/S101*E97+S98/S101*E98+S99/S101*E99+S100/S101*E100</f>
        <v>4.6586562085598118</v>
      </c>
      <c r="G101" s="1843">
        <f>C101-E101</f>
        <v>3.9340818690062527</v>
      </c>
      <c r="K101" s="1849">
        <f>AVERAGEA(K97:K100)</f>
        <v>509.375</v>
      </c>
      <c r="M101" s="1292">
        <f>(K101/K94-1)*100</f>
        <v>4.5139779430623195</v>
      </c>
      <c r="O101" s="1654">
        <f>(G101/M101)*100</f>
        <v>87.153325041223823</v>
      </c>
      <c r="S101" s="1291">
        <f>SUM(S97:S100)</f>
        <v>4427.3630387229168</v>
      </c>
      <c r="U101" s="1291">
        <f>SUM(U97:U100)</f>
        <v>8.6794010168427604</v>
      </c>
      <c r="W101" s="1851">
        <f>(U101/U87-1)*100</f>
        <v>5.1346590225136435</v>
      </c>
      <c r="AA101" s="1325">
        <f>AVERAGEA(AA97:AA100)</f>
        <v>40.666250000000005</v>
      </c>
      <c r="AC101" s="1292">
        <f>(AA101/AA87-1)*100</f>
        <v>9.0540359345669295</v>
      </c>
      <c r="AE101" s="1654">
        <f>(G101/AC101)*100</f>
        <v>43.451140435466215</v>
      </c>
      <c r="AH101" s="1291">
        <f>SUM(AH97:AH100)</f>
        <v>4427.3630387229168</v>
      </c>
      <c r="AJ101" s="1291">
        <f>SUM(AJ97:AJ100)</f>
        <v>108.75189486920635</v>
      </c>
      <c r="AL101" s="1851">
        <f>(AJ101/AJ87-1)*100</f>
        <v>5.3860132784635306</v>
      </c>
      <c r="AN101" s="1865" t="s">
        <v>90</v>
      </c>
      <c r="AO101" s="1854"/>
      <c r="AP101" s="1291">
        <f>SUM(AP97:AP100)</f>
        <v>35.896549999999998</v>
      </c>
      <c r="AQ101" s="1854">
        <f>AP101/AP87-1</f>
        <v>7.4843548821750483E-2</v>
      </c>
      <c r="AR101" s="1291">
        <f>SUM(AP101,AN101)</f>
        <v>35.896549999999998</v>
      </c>
    </row>
    <row r="102" spans="1:45">
      <c r="A102" s="1795"/>
      <c r="J102" s="1282" t="s">
        <v>264</v>
      </c>
    </row>
    <row r="103" spans="1:45">
      <c r="A103" s="1841" t="s">
        <v>626</v>
      </c>
    </row>
    <row r="104" spans="1:45">
      <c r="A104" s="1282" t="s">
        <v>63</v>
      </c>
      <c r="C104" s="1843">
        <f>(S104/S97-1)*100</f>
        <v>5.9394174551325118</v>
      </c>
      <c r="D104" s="1282" t="s">
        <v>102</v>
      </c>
      <c r="E104" s="1843">
        <f>+'qtrP&amp;L'!BE11</f>
        <v>2.7</v>
      </c>
      <c r="F104" s="1282" t="s">
        <v>102</v>
      </c>
      <c r="G104" s="1843">
        <f>C104-E104</f>
        <v>3.2394174551325117</v>
      </c>
      <c r="H104" s="1282" t="s">
        <v>102</v>
      </c>
      <c r="I104" s="1852">
        <v>523</v>
      </c>
      <c r="J104" s="1860">
        <f>I104-I100</f>
        <v>2</v>
      </c>
      <c r="K104" s="1849">
        <f>AVERAGEA(I104,I100)</f>
        <v>522</v>
      </c>
      <c r="M104" s="1292">
        <f>(K104/K97-1)*100</f>
        <v>4.0877367896311023</v>
      </c>
      <c r="N104" s="1282" t="s">
        <v>102</v>
      </c>
      <c r="O104" s="1654">
        <f>(G104/M104)*100</f>
        <v>79.247212377997869</v>
      </c>
      <c r="P104" s="1282" t="s">
        <v>102</v>
      </c>
      <c r="S104" s="1312">
        <f>'qtrP&amp;L'!BC11</f>
        <v>1128.269</v>
      </c>
      <c r="U104" s="1312">
        <f>S104/K104</f>
        <v>2.1614348659003833</v>
      </c>
      <c r="W104" s="1851">
        <f>(U104/U97-1)*100</f>
        <v>1.7789614056493486</v>
      </c>
      <c r="X104" s="1282" t="s">
        <v>102</v>
      </c>
      <c r="Y104" s="1325">
        <f>0.078*I104</f>
        <v>40.793999999999997</v>
      </c>
      <c r="AA104" s="1325">
        <f>AVERAGEA(Y104,Y100)</f>
        <v>40.902000000000001</v>
      </c>
      <c r="AC104" s="1292">
        <f>(AA104/AA97-1)*100</f>
        <v>1.9491525423728673</v>
      </c>
      <c r="AD104" s="1282" t="s">
        <v>102</v>
      </c>
      <c r="AE104" s="1654">
        <f>(G104/AC104)*100</f>
        <v>166.19619987201702</v>
      </c>
      <c r="AF104" s="1282" t="s">
        <v>102</v>
      </c>
      <c r="AH104" s="1312">
        <f>S104</f>
        <v>1128.269</v>
      </c>
      <c r="AJ104" s="1312">
        <f>AH104/AA104</f>
        <v>27.584690235196323</v>
      </c>
      <c r="AL104" s="1851">
        <f>(AJ104/AJ97-1)*100</f>
        <v>3.9139755586503622</v>
      </c>
      <c r="AM104" s="1282" t="s">
        <v>102</v>
      </c>
      <c r="AN104" s="1863" t="s">
        <v>90</v>
      </c>
      <c r="AO104" s="1877"/>
      <c r="AP104" s="1312">
        <f>AP97*(1+AQ104)</f>
        <v>8.3748000000000005</v>
      </c>
      <c r="AQ104" s="1877">
        <v>0.05</v>
      </c>
      <c r="AR104" s="1312">
        <f>SUM(AP104,AN104)</f>
        <v>8.3748000000000005</v>
      </c>
    </row>
    <row r="105" spans="1:45">
      <c r="A105" s="1282" t="s">
        <v>64</v>
      </c>
      <c r="C105" s="1843">
        <f>(S105/S98-1)*100</f>
        <v>8.3035292345022818</v>
      </c>
      <c r="E105" s="1843">
        <f>+'qtrP&amp;L'!BE12</f>
        <v>4.7</v>
      </c>
      <c r="G105" s="1843">
        <f>C105-E105</f>
        <v>3.6035292345022816</v>
      </c>
      <c r="I105" s="1852">
        <v>523</v>
      </c>
      <c r="J105" s="1860">
        <f>I105-I104</f>
        <v>0</v>
      </c>
      <c r="K105" s="1849">
        <f>AVERAGEA(I104:I105)</f>
        <v>523</v>
      </c>
      <c r="M105" s="1292">
        <f>(K105/K98-1)*100</f>
        <v>3.9761431411530879</v>
      </c>
      <c r="O105" s="1654">
        <f>(G105/M105)*100</f>
        <v>90.628760247732231</v>
      </c>
      <c r="S105" s="1312">
        <f>'qtrP&amp;L'!BC12</f>
        <v>1043.5809999999999</v>
      </c>
      <c r="U105" s="1312">
        <f>S105/K105</f>
        <v>1.9953747609942636</v>
      </c>
      <c r="W105" s="1851">
        <f>(U105/U98-1)*100</f>
        <v>4.161902877542345</v>
      </c>
      <c r="Y105" s="1325">
        <f>0.078*I105</f>
        <v>40.793999999999997</v>
      </c>
      <c r="AA105" s="1325">
        <f>AVERAGEA(Y104:Y105)</f>
        <v>40.793999999999997</v>
      </c>
      <c r="AC105" s="1292">
        <f>(AA105/AA98-1)*100</f>
        <v>1.3767395626242518</v>
      </c>
      <c r="AE105" s="1654">
        <f>(G105/AC105)*100</f>
        <v>261.74371190680887</v>
      </c>
      <c r="AH105" s="1312">
        <f>S105</f>
        <v>1043.5809999999999</v>
      </c>
      <c r="AJ105" s="1312">
        <f>AH105/AA105</f>
        <v>25.581727705054664</v>
      </c>
      <c r="AL105" s="1851">
        <f>(AJ105/AJ98-1)*100</f>
        <v>6.8327209000434541</v>
      </c>
      <c r="AN105" s="1863" t="s">
        <v>90</v>
      </c>
      <c r="AO105" s="1877"/>
      <c r="AP105" s="1312">
        <f>AP98*(1+AQ105)</f>
        <v>8.3337975000000011</v>
      </c>
      <c r="AQ105" s="1877">
        <v>0.05</v>
      </c>
      <c r="AR105" s="1312">
        <f>SUM(AP105,AN105)</f>
        <v>8.3337975000000011</v>
      </c>
    </row>
    <row r="106" spans="1:45">
      <c r="A106" s="1282" t="s">
        <v>65</v>
      </c>
      <c r="C106" s="1843">
        <f>(S106/S99-1)*100</f>
        <v>8.7167520587091438</v>
      </c>
      <c r="E106" s="1843">
        <f>'qtrP&amp;L'!BE13</f>
        <v>5.2</v>
      </c>
      <c r="G106" s="1843">
        <f>C106-E106</f>
        <v>3.5167520587091436</v>
      </c>
      <c r="I106" s="1852">
        <v>540</v>
      </c>
      <c r="J106" s="1860">
        <f>I106-I105</f>
        <v>17</v>
      </c>
      <c r="K106" s="1849">
        <f>AVERAGEA(I105:I106)</f>
        <v>531.5</v>
      </c>
      <c r="M106" s="1292">
        <f>(K106/K99-1)*100</f>
        <v>3.80859375</v>
      </c>
      <c r="O106" s="1654">
        <f>(G106/M106)*100</f>
        <v>92.337284823542646</v>
      </c>
      <c r="S106" s="1312">
        <f>'qtrP&amp;L'!BC13</f>
        <v>1157.2919999999999</v>
      </c>
      <c r="U106" s="1312">
        <f>S106/K106</f>
        <v>2.177407337723424</v>
      </c>
      <c r="W106" s="1851">
        <f>(U106/U99-1)*100</f>
        <v>4.7280847677499072</v>
      </c>
      <c r="Y106" s="1325">
        <f>0.078*I106</f>
        <v>42.12</v>
      </c>
      <c r="AA106" s="1325">
        <f>AVERAGEA(Y105:Y106)</f>
        <v>41.456999999999994</v>
      </c>
      <c r="AC106" s="1292">
        <f>(AA106/AA99-1)*100</f>
        <v>1.2133789062499734</v>
      </c>
      <c r="AE106" s="1654">
        <f>(G106/AC106)*100</f>
        <v>289.83131654875189</v>
      </c>
      <c r="AH106" s="1312">
        <f>S106</f>
        <v>1157.2919999999999</v>
      </c>
      <c r="AJ106" s="1312">
        <f>AH106/AA106</f>
        <v>27.915478688761851</v>
      </c>
      <c r="AL106" s="1851">
        <f>(AJ106/AJ99-1)*100</f>
        <v>7.4134202746153122</v>
      </c>
      <c r="AN106" s="1863" t="s">
        <v>90</v>
      </c>
      <c r="AO106" s="1877"/>
      <c r="AP106" s="1312">
        <f>AP99*(1+AQ106)</f>
        <v>8.773695</v>
      </c>
      <c r="AQ106" s="1877">
        <v>0.05</v>
      </c>
      <c r="AR106" s="1312">
        <f>SUM(AP106,AN106)</f>
        <v>8.773695</v>
      </c>
    </row>
    <row r="107" spans="1:45">
      <c r="A107" s="1282" t="s">
        <v>66</v>
      </c>
      <c r="C107" s="1845">
        <f>(S107/S100-1)*100</f>
        <v>11.32336089132917</v>
      </c>
      <c r="E107" s="1845">
        <f>'qtrP&amp;L'!BE14</f>
        <v>6.7</v>
      </c>
      <c r="G107" s="1843">
        <f>C107-E107</f>
        <v>4.6233608913291695</v>
      </c>
      <c r="I107" s="1852">
        <f>yrSales!R18</f>
        <v>542</v>
      </c>
      <c r="J107" s="1878">
        <f>I107-I106</f>
        <v>2</v>
      </c>
      <c r="K107" s="1856">
        <f>AVERAGEA(I106:I107)</f>
        <v>541</v>
      </c>
      <c r="M107" s="1292">
        <f>(K107/K100-1)*100</f>
        <v>3.8387715930902067</v>
      </c>
      <c r="O107" s="1858">
        <f>(G107/M107)*100</f>
        <v>120.43855121912502</v>
      </c>
      <c r="S107" s="1290">
        <f>'qtrP&amp;L'!BC14</f>
        <v>1485.3620000000001</v>
      </c>
      <c r="U107" s="1290">
        <f>S107/K107</f>
        <v>2.7455859519408503</v>
      </c>
      <c r="W107" s="1859">
        <f>(U107/U100-1)*100</f>
        <v>7.2078946846256819</v>
      </c>
      <c r="Y107" s="2253">
        <v>42.212000000000003</v>
      </c>
      <c r="AA107" s="1391">
        <f>AVERAGEA(Y106:Y107)</f>
        <v>42.165999999999997</v>
      </c>
      <c r="AC107" s="1315">
        <f>(AA107/AA100-1)*100</f>
        <v>1.9857298343209484</v>
      </c>
      <c r="AE107" s="1858">
        <f>(G107/AC107)*100</f>
        <v>232.82930091596276</v>
      </c>
      <c r="AH107" s="1290">
        <f>S107</f>
        <v>1485.3620000000001</v>
      </c>
      <c r="AJ107" s="1290">
        <f>AH107/AA107</f>
        <v>35.226533225821754</v>
      </c>
      <c r="AL107" s="1859">
        <f>(AJ107/AJ100-1)*100</f>
        <v>9.1558211841769044</v>
      </c>
      <c r="AN107" s="1864" t="s">
        <v>90</v>
      </c>
      <c r="AO107" s="1877"/>
      <c r="AP107" s="1290">
        <f>AP100*(1+AQ107)</f>
        <v>12.209085</v>
      </c>
      <c r="AQ107" s="1877">
        <v>0.05</v>
      </c>
      <c r="AR107" s="1290">
        <f>SUM(AP107,AN107)</f>
        <v>12.209085</v>
      </c>
    </row>
    <row r="108" spans="1:45">
      <c r="A108" s="1795" t="s">
        <v>67</v>
      </c>
      <c r="C108" s="1843">
        <f>(S108/S101-1)*100</f>
        <v>8.7442786573191267</v>
      </c>
      <c r="E108" s="1843">
        <f>S104/S108*E104+S105/S108*E105+S106/S108*E106+S107/S108*E107</f>
        <v>4.9685285960921419</v>
      </c>
      <c r="G108" s="1843">
        <f>C108-E108</f>
        <v>3.7757500612269848</v>
      </c>
      <c r="K108" s="1849">
        <f>AVERAGEA(K104:K107)</f>
        <v>529.375</v>
      </c>
      <c r="M108" s="1292">
        <f>(K108/K101-1)*100</f>
        <v>3.926380368098159</v>
      </c>
      <c r="O108" s="1654">
        <f>(G108/M108)*100</f>
        <v>96.163634371874778</v>
      </c>
      <c r="S108" s="1291">
        <f>SUM(S104:S107)</f>
        <v>4814.5039999999999</v>
      </c>
      <c r="U108" s="1291">
        <f>SUM(U104:U107)</f>
        <v>9.079802916558922</v>
      </c>
      <c r="W108" s="1851">
        <f>(U108/U101-1)*100</f>
        <v>4.6132434593028293</v>
      </c>
      <c r="AA108" s="1325">
        <f>AVERAGEA(AA104:AA107)</f>
        <v>41.329749999999997</v>
      </c>
      <c r="AC108" s="1292">
        <f>(AA108/AA101-1)*100</f>
        <v>1.6315740939968348</v>
      </c>
      <c r="AE108" s="1654">
        <f>(G108/AC108)*100</f>
        <v>231.41762762226779</v>
      </c>
      <c r="AH108" s="1291">
        <f>SUM(AH104:AH107)</f>
        <v>4814.5039999999999</v>
      </c>
      <c r="AJ108" s="1291">
        <f>SUM(AJ104:AJ107)</f>
        <v>116.3084298548346</v>
      </c>
      <c r="AL108" s="1851">
        <f>(AJ108/AJ101-1)*100</f>
        <v>6.9484168480156816</v>
      </c>
      <c r="AN108" s="1865" t="s">
        <v>90</v>
      </c>
      <c r="AO108" s="1854"/>
      <c r="AP108" s="1291">
        <f>SUM(AP104:AP107)</f>
        <v>37.691377500000002</v>
      </c>
      <c r="AQ108" s="1854">
        <f>AP108/AP101-1</f>
        <v>5.0000000000000044E-2</v>
      </c>
      <c r="AR108" s="1291">
        <f>SUM(AP108,AN108)</f>
        <v>37.691377500000002</v>
      </c>
    </row>
    <row r="109" spans="1:45">
      <c r="A109" s="1795"/>
      <c r="J109" s="1282" t="s">
        <v>264</v>
      </c>
    </row>
    <row r="110" spans="1:45">
      <c r="A110" s="1841" t="s">
        <v>933</v>
      </c>
    </row>
    <row r="111" spans="1:45">
      <c r="A111" s="1282" t="s">
        <v>63</v>
      </c>
      <c r="C111" s="1843">
        <f>(S111/S104-1)*100</f>
        <v>4.8561114415090589</v>
      </c>
      <c r="D111" s="1282" t="s">
        <v>102</v>
      </c>
      <c r="E111" s="1843">
        <f>+'qtrP&amp;L'!BJ11</f>
        <v>0.8</v>
      </c>
      <c r="F111" s="1282" t="s">
        <v>102</v>
      </c>
      <c r="G111" s="1843">
        <f>C111-E111</f>
        <v>4.0561114415090591</v>
      </c>
      <c r="I111" s="1852">
        <v>546</v>
      </c>
      <c r="J111" s="1860">
        <f>I111-I107</f>
        <v>4</v>
      </c>
      <c r="K111" s="1849">
        <f>AVERAGEA(I111,I107)</f>
        <v>544</v>
      </c>
      <c r="M111" s="1292">
        <f>(K111/K104-1)*100</f>
        <v>4.2145593869731712</v>
      </c>
      <c r="O111" s="1654">
        <f>(G111/M111)*100</f>
        <v>96.240462384896958</v>
      </c>
      <c r="S111" s="1312">
        <f>'qtrP&amp;L'!BG11</f>
        <v>1183.059</v>
      </c>
      <c r="U111" s="1312">
        <f>S111/K111</f>
        <v>2.1747408088235294</v>
      </c>
      <c r="W111" s="1851">
        <f>(U111/U104-1)*100</f>
        <v>0.61560693468332151</v>
      </c>
      <c r="X111" s="1282" t="s">
        <v>102</v>
      </c>
      <c r="Y111" s="1325">
        <f>Y107+0.054*(I111-I107)</f>
        <v>42.428000000000004</v>
      </c>
      <c r="AA111" s="1325">
        <f>AVERAGEA(Y111,Y107)</f>
        <v>42.320000000000007</v>
      </c>
      <c r="AC111" s="1292">
        <f>(AA111/AA104-1)*100</f>
        <v>3.4668231382328552</v>
      </c>
      <c r="AD111" s="1282" t="s">
        <v>102</v>
      </c>
      <c r="AE111" s="1654">
        <f>(G111/AC111)*100</f>
        <v>116.99793383681471</v>
      </c>
      <c r="AF111" s="1282" t="s">
        <v>102</v>
      </c>
      <c r="AH111" s="1312">
        <f>S111</f>
        <v>1183.059</v>
      </c>
      <c r="AJ111" s="1312">
        <f>AH111/AA111</f>
        <v>27.955080340264644</v>
      </c>
      <c r="AL111" s="1851">
        <f>(AJ111/AJ104-1)*100</f>
        <v>1.3427379532278572</v>
      </c>
      <c r="AM111" s="1282" t="s">
        <v>102</v>
      </c>
      <c r="AN111" s="1863" t="s">
        <v>90</v>
      </c>
      <c r="AO111" s="1877"/>
      <c r="AP111" s="1312">
        <f>AP104*(1+AQ111)</f>
        <v>8.7935400000000001</v>
      </c>
      <c r="AQ111" s="1877">
        <v>0.05</v>
      </c>
      <c r="AR111" s="1312">
        <f>SUM(AP111,AN111)</f>
        <v>8.7935400000000001</v>
      </c>
    </row>
    <row r="112" spans="1:45">
      <c r="A112" s="1282" t="s">
        <v>64</v>
      </c>
      <c r="C112" s="1843">
        <f>(S112/S105-1)*100</f>
        <v>9.6434296906517289</v>
      </c>
      <c r="E112" s="1843">
        <f>+'qtrP&amp;L'!BJ12</f>
        <v>5.6</v>
      </c>
      <c r="G112" s="1843">
        <f>C112-E112</f>
        <v>4.0434296906517293</v>
      </c>
      <c r="I112" s="1852">
        <v>546</v>
      </c>
      <c r="J112" s="1860">
        <f>I112-I111</f>
        <v>0</v>
      </c>
      <c r="K112" s="1849">
        <f>AVERAGEA(I111:I112)</f>
        <v>546</v>
      </c>
      <c r="M112" s="1292">
        <f>(K112/K105-1)*100</f>
        <v>4.3977055449330837</v>
      </c>
      <c r="O112" s="1654">
        <f>(G112/M112)*100</f>
        <v>91.944075139602262</v>
      </c>
      <c r="S112" s="1312">
        <f>'qtrP&amp;L'!BG12</f>
        <v>1144.2180000000001</v>
      </c>
      <c r="U112" s="1312">
        <f>S112/K112</f>
        <v>2.0956373626373628</v>
      </c>
      <c r="W112" s="1851">
        <f>(U112/U105-1)*100</f>
        <v>5.0247504179685931</v>
      </c>
      <c r="Y112" s="1325">
        <f>Y111+0.054*(I112-I111)</f>
        <v>42.428000000000004</v>
      </c>
      <c r="AA112" s="1325">
        <f>AVERAGEA(Y111:Y112)</f>
        <v>42.428000000000004</v>
      </c>
      <c r="AC112" s="1292">
        <f>(AA112/AA105-1)*100</f>
        <v>4.005491003578987</v>
      </c>
      <c r="AE112" s="1654">
        <f>(G112/AC112)*100</f>
        <v>100.94716695253697</v>
      </c>
      <c r="AH112" s="1312">
        <f>S112</f>
        <v>1144.2180000000001</v>
      </c>
      <c r="AJ112" s="1312">
        <f>AH112/AA112</f>
        <v>26.968464221740359</v>
      </c>
      <c r="AL112" s="1851">
        <f>(AJ112/AJ105-1)*100</f>
        <v>5.4208086829557356</v>
      </c>
      <c r="AN112" s="1863" t="s">
        <v>90</v>
      </c>
      <c r="AO112" s="1877"/>
      <c r="AP112" s="1312">
        <f>AP105*(1+AQ112)</f>
        <v>8.7504873750000023</v>
      </c>
      <c r="AQ112" s="1877">
        <v>0.05</v>
      </c>
      <c r="AR112" s="1312">
        <f>SUM(AP112,AN112)</f>
        <v>8.7504873750000023</v>
      </c>
    </row>
    <row r="113" spans="1:44">
      <c r="A113" s="1282" t="s">
        <v>65</v>
      </c>
      <c r="C113" s="1843">
        <f>(S113/S106-1)*100</f>
        <v>6.3591556841315899</v>
      </c>
      <c r="E113" s="1843">
        <f>'qtrP&amp;L_new'!BI13</f>
        <v>2.8</v>
      </c>
      <c r="G113" s="1843">
        <f>C113-E113</f>
        <v>3.5591556841315901</v>
      </c>
      <c r="I113" s="1852">
        <v>566</v>
      </c>
      <c r="J113" s="1860">
        <f>I113-I112</f>
        <v>20</v>
      </c>
      <c r="K113" s="1849">
        <f>AVERAGEA(I112:I113)</f>
        <v>556</v>
      </c>
      <c r="M113" s="1292">
        <f>(K113/K106-1)*100</f>
        <v>4.6095954844779019</v>
      </c>
      <c r="O113" s="1654">
        <f>(G113/M113)*100</f>
        <v>77.211887596568829</v>
      </c>
      <c r="S113" s="1312">
        <f>'qtrP&amp;L_new'!BG13</f>
        <v>1230.886</v>
      </c>
      <c r="U113" s="1312">
        <f>S113/K113</f>
        <v>2.2138237410071944</v>
      </c>
      <c r="W113" s="1851">
        <f>(U113/U106-1)*100</f>
        <v>1.6724662699927118</v>
      </c>
      <c r="Y113" s="1325">
        <f>Y112+0.054*(I113-I112)</f>
        <v>43.508000000000003</v>
      </c>
      <c r="AA113" s="1325">
        <f>AVERAGEA(Y112:Y113)</f>
        <v>42.968000000000004</v>
      </c>
      <c r="AC113" s="1292">
        <f>(AA113/AA106-1)*100</f>
        <v>3.6447403333574879</v>
      </c>
      <c r="AE113" s="1654">
        <f>(G113/AC113)*100</f>
        <v>97.651831367996024</v>
      </c>
      <c r="AH113" s="1312">
        <f>S113</f>
        <v>1230.886</v>
      </c>
      <c r="AJ113" s="1312">
        <f>AH113/AA113</f>
        <v>28.646574194749579</v>
      </c>
      <c r="AL113" s="1851">
        <f>(AJ113/AJ106-1)*100</f>
        <v>2.6189610220871851</v>
      </c>
      <c r="AN113" s="1863" t="s">
        <v>90</v>
      </c>
      <c r="AO113" s="1877"/>
      <c r="AP113" s="1312">
        <f>AP106*(1+AQ113)</f>
        <v>9.2123797500000002</v>
      </c>
      <c r="AQ113" s="1877">
        <v>0.05</v>
      </c>
      <c r="AR113" s="1312">
        <f>SUM(AP113,AN113)</f>
        <v>9.2123797500000002</v>
      </c>
    </row>
    <row r="114" spans="1:44">
      <c r="A114" s="1282" t="s">
        <v>66</v>
      </c>
      <c r="C114" s="1845">
        <f>(S114/S107-1)*100</f>
        <v>3.7302017959258471</v>
      </c>
      <c r="E114" s="1845">
        <f>'qtrP&amp;L_new'!BI14</f>
        <v>0.1</v>
      </c>
      <c r="G114" s="1843">
        <f>C114-E114</f>
        <v>3.630201795925847</v>
      </c>
      <c r="I114" s="1852">
        <f>yrSales!S18</f>
        <v>567</v>
      </c>
      <c r="J114" s="1878">
        <f>I114-I113</f>
        <v>1</v>
      </c>
      <c r="K114" s="1856">
        <f>AVERAGEA(I113:I114)</f>
        <v>566.5</v>
      </c>
      <c r="M114" s="1292">
        <f>(K114/K107-1)*100</f>
        <v>4.7134935304990799</v>
      </c>
      <c r="O114" s="1654">
        <f>(G114/M114)*100</f>
        <v>77.01722241552477</v>
      </c>
      <c r="S114" s="1290">
        <f>'qtrP&amp;L_new'!BG14</f>
        <v>1540.769</v>
      </c>
      <c r="U114" s="1290">
        <f>S114/K114</f>
        <v>2.7198040600176521</v>
      </c>
      <c r="W114" s="1859">
        <f>(U114/U107-1)*100</f>
        <v>-0.93903058853331833</v>
      </c>
      <c r="Y114" s="2253">
        <v>43.468000000000004</v>
      </c>
      <c r="AA114" s="1391">
        <f>AVERAGEA(Y113:Y114)</f>
        <v>43.488</v>
      </c>
      <c r="AC114" s="1315">
        <f>(AA114/AA107-1)*100</f>
        <v>3.1352274344258468</v>
      </c>
      <c r="AE114" s="1858">
        <f>(G114/AC114)*100</f>
        <v>115.78751053480254</v>
      </c>
      <c r="AH114" s="1290">
        <f>S114</f>
        <v>1540.769</v>
      </c>
      <c r="AJ114" s="1290">
        <f>AH114/AA114</f>
        <v>35.429750735835171</v>
      </c>
      <c r="AL114" s="1859">
        <f>(AJ114/AJ107-1)*100</f>
        <v>0.57688762249374914</v>
      </c>
      <c r="AN114" s="1864" t="s">
        <v>90</v>
      </c>
      <c r="AO114" s="1877"/>
      <c r="AP114" s="1290">
        <f>AP107*(1+AQ114)</f>
        <v>12.81953925</v>
      </c>
      <c r="AQ114" s="1877">
        <v>0.05</v>
      </c>
      <c r="AR114" s="1290">
        <f>SUM(AP114,AN114)</f>
        <v>12.81953925</v>
      </c>
    </row>
    <row r="115" spans="1:44">
      <c r="A115" s="1795" t="s">
        <v>67</v>
      </c>
      <c r="C115" s="1843">
        <f>(S115/S108-1)*100</f>
        <v>5.9077321360621937</v>
      </c>
      <c r="E115" s="1843">
        <f>S111/S115*E111+S112/S115*E112+S113/S115*E113+S114/S115*E114</f>
        <v>2.1484157270581372</v>
      </c>
      <c r="G115" s="1843">
        <f>C115-E115</f>
        <v>3.7593164090040565</v>
      </c>
      <c r="J115" s="1849"/>
      <c r="K115" s="1849">
        <f>AVERAGEA(K111:K114)</f>
        <v>553.125</v>
      </c>
      <c r="M115" s="1292">
        <f>(K115/K108-1)*100</f>
        <v>4.4864226682408415</v>
      </c>
      <c r="O115" s="1654">
        <f>(G115/M115)*100</f>
        <v>83.793184169116898</v>
      </c>
      <c r="S115" s="1291">
        <f>SUM(S111:S114)</f>
        <v>5098.9319999999998</v>
      </c>
      <c r="U115" s="1291">
        <f>SUM(U111:U114)</f>
        <v>9.2040059724857386</v>
      </c>
      <c r="W115" s="1851">
        <f>(U115/U108-1)*100</f>
        <v>1.3679047559535196</v>
      </c>
      <c r="AA115" s="1325">
        <f>AVERAGEA(AA111:AA114)</f>
        <v>42.801000000000002</v>
      </c>
      <c r="AC115" s="1292">
        <f>(AA115/AA108-1)*100</f>
        <v>3.5597844167942094</v>
      </c>
      <c r="AE115" s="1654">
        <f>(G115/AC115)*100</f>
        <v>105.60517067462017</v>
      </c>
      <c r="AH115" s="1291">
        <f>SUM(AH111:AH114)</f>
        <v>5098.9319999999998</v>
      </c>
      <c r="AJ115" s="1291">
        <f>SUM(AJ111:AJ114)</f>
        <v>118.99986949258975</v>
      </c>
      <c r="AL115" s="1851">
        <f>(AJ115/AJ108-1)*100</f>
        <v>2.3140537974026154</v>
      </c>
      <c r="AN115" s="1865" t="s">
        <v>90</v>
      </c>
      <c r="AO115" s="1854"/>
      <c r="AP115" s="1291">
        <f>SUM(AP111:AP114)</f>
        <v>39.575946375000001</v>
      </c>
      <c r="AQ115" s="1854">
        <f>AP115/AP108-1</f>
        <v>5.0000000000000044E-2</v>
      </c>
      <c r="AR115" s="1291">
        <f>SUM(AP115,AN115)</f>
        <v>39.575946375000001</v>
      </c>
    </row>
    <row r="116" spans="1:44">
      <c r="A116" s="1795"/>
      <c r="J116" s="1849"/>
    </row>
    <row r="117" spans="1:44">
      <c r="A117" s="1841" t="s">
        <v>988</v>
      </c>
    </row>
    <row r="118" spans="1:44">
      <c r="A118" s="1282" t="s">
        <v>63</v>
      </c>
      <c r="C118" s="1843">
        <f>(S118/S111-1)*100</f>
        <v>8.4197829524985668</v>
      </c>
      <c r="D118" s="1282" t="s">
        <v>102</v>
      </c>
      <c r="E118" s="1843">
        <v>4.3</v>
      </c>
      <c r="F118" s="1282" t="s">
        <v>102</v>
      </c>
      <c r="G118" s="1843">
        <f>C118-E118</f>
        <v>4.119782952498567</v>
      </c>
      <c r="I118" s="1852">
        <v>570</v>
      </c>
      <c r="J118" s="1860">
        <f>I118-I114</f>
        <v>3</v>
      </c>
      <c r="K118" s="1849">
        <f>AVERAGEA(I117:I118)</f>
        <v>570</v>
      </c>
      <c r="M118" s="1292">
        <f>(K118/K111-1)*100</f>
        <v>4.7794117647058876</v>
      </c>
      <c r="O118" s="1654">
        <f>(G118/M118)*100</f>
        <v>86.198535621508384</v>
      </c>
      <c r="S118" s="1312">
        <f>'qtrP&amp;L_new'!$BK11</f>
        <v>1282.67</v>
      </c>
      <c r="U118" s="1312">
        <f>S118/K118</f>
        <v>2.2502982456140352</v>
      </c>
      <c r="W118" s="1851">
        <f>(U118/U111-1)*100</f>
        <v>3.4743191687004016</v>
      </c>
      <c r="X118" s="1282" t="s">
        <v>102</v>
      </c>
      <c r="Y118" s="1325">
        <f>Y114+0.051*(I118-I114)</f>
        <v>43.621000000000002</v>
      </c>
      <c r="AA118" s="1325">
        <f>AVERAGEA(Y118,Y114)</f>
        <v>43.544499999999999</v>
      </c>
      <c r="AC118" s="1292">
        <f>(AA118/AA111-1)*100</f>
        <v>2.8934310018903453</v>
      </c>
      <c r="AD118" s="1282" t="s">
        <v>102</v>
      </c>
      <c r="AE118" s="1654">
        <f>(G118/AC118)*100</f>
        <v>142.38400534890991</v>
      </c>
      <c r="AF118" s="1282" t="s">
        <v>102</v>
      </c>
      <c r="AH118" s="1312">
        <f>S118</f>
        <v>1282.67</v>
      </c>
      <c r="AJ118" s="1312">
        <f>AH118/AA118</f>
        <v>29.456532972017133</v>
      </c>
      <c r="AL118" s="1851">
        <f>(AJ118/AJ111-1)*100</f>
        <v>5.3709472964379001</v>
      </c>
      <c r="AM118" s="1282" t="s">
        <v>102</v>
      </c>
      <c r="AN118" s="1863" t="s">
        <v>90</v>
      </c>
      <c r="AO118" s="1877"/>
      <c r="AP118" s="1312">
        <f>AP111*(1+AQ118)</f>
        <v>9.2332169999999998</v>
      </c>
      <c r="AQ118" s="1877">
        <v>0.05</v>
      </c>
      <c r="AR118" s="1312">
        <f>SUM(AP118,AN118)</f>
        <v>9.2332169999999998</v>
      </c>
    </row>
    <row r="119" spans="1:44">
      <c r="A119" s="1282" t="s">
        <v>64</v>
      </c>
      <c r="C119" s="1843">
        <f>(S119/S112-1)*100</f>
        <v>9.6865282664666985</v>
      </c>
      <c r="E119" s="1843">
        <v>5.4</v>
      </c>
      <c r="G119" s="1843">
        <f>C119-E119</f>
        <v>4.2865282664666982</v>
      </c>
      <c r="I119" s="1852">
        <v>570</v>
      </c>
      <c r="J119" s="1860">
        <f>I119-I118</f>
        <v>0</v>
      </c>
      <c r="K119" s="1849">
        <f>AVERAGEA(I118:I119)</f>
        <v>570</v>
      </c>
      <c r="M119" s="1292">
        <f>(K119/K112-1)*100</f>
        <v>4.3956043956044022</v>
      </c>
      <c r="O119" s="1654">
        <f>(G119/M119)*100</f>
        <v>97.518518062117238</v>
      </c>
      <c r="S119" s="1312">
        <f>'qtrP&amp;L_new'!$BK12</f>
        <v>1255.0530000000001</v>
      </c>
      <c r="U119" s="1312">
        <f>S119/K119</f>
        <v>2.2018473684210527</v>
      </c>
      <c r="W119" s="1851">
        <f>(U119/U112-1)*100</f>
        <v>5.0681481289312602</v>
      </c>
      <c r="Y119" s="1325">
        <f>Y118+0.051*(I119-I118)</f>
        <v>43.621000000000002</v>
      </c>
      <c r="AA119" s="1325">
        <f>AVERAGEA(Y118:Y119)</f>
        <v>43.621000000000002</v>
      </c>
      <c r="AC119" s="1292">
        <f>(AA119/AA112-1)*100</f>
        <v>2.8118223814462162</v>
      </c>
      <c r="AE119" s="1654">
        <f>(G119/AC119)*100</f>
        <v>152.44662304245514</v>
      </c>
      <c r="AH119" s="1312">
        <f>S119</f>
        <v>1255.0530000000001</v>
      </c>
      <c r="AJ119" s="1312">
        <f>AH119/AA119</f>
        <v>28.771761307627063</v>
      </c>
      <c r="AL119" s="1851">
        <f>(AJ119/AJ112-1)*100</f>
        <v>6.6866880926537586</v>
      </c>
      <c r="AN119" s="1863" t="s">
        <v>90</v>
      </c>
      <c r="AO119" s="1877"/>
      <c r="AP119" s="1312">
        <f>AP112*(1+AQ119)</f>
        <v>9.1880117437500033</v>
      </c>
      <c r="AQ119" s="1877">
        <v>0.05</v>
      </c>
      <c r="AR119" s="1312">
        <f>SUM(AP119,AN119)</f>
        <v>9.1880117437500033</v>
      </c>
    </row>
    <row r="120" spans="1:44">
      <c r="A120" s="1282" t="s">
        <v>65</v>
      </c>
      <c r="C120" s="1843">
        <f>(S120/S113-1)*100</f>
        <v>9.075901423852418</v>
      </c>
      <c r="E120" s="1843">
        <v>3.7</v>
      </c>
      <c r="G120" s="1843">
        <f>C120-E120</f>
        <v>5.3759014238524179</v>
      </c>
      <c r="I120" s="1852">
        <v>592</v>
      </c>
      <c r="J120" s="1860">
        <f>I120-I119</f>
        <v>22</v>
      </c>
      <c r="K120" s="1849">
        <f>AVERAGEA(I119:I120)</f>
        <v>581</v>
      </c>
      <c r="M120" s="1292">
        <f>(K120/K113-1)*100</f>
        <v>4.496402877697836</v>
      </c>
      <c r="O120" s="1654">
        <f>(G120/M120)*100</f>
        <v>119.56004766647791</v>
      </c>
      <c r="S120" s="1312">
        <f>'qtrP&amp;L_new'!$BK13</f>
        <v>1342.6</v>
      </c>
      <c r="U120" s="1312">
        <f>S120/K120</f>
        <v>2.3108433734939759</v>
      </c>
      <c r="W120" s="1851">
        <f>(U120/U113-1)*100</f>
        <v>4.3824461130153924</v>
      </c>
      <c r="Y120" s="1325">
        <f>Y119+0.051*(I120-I119)</f>
        <v>44.743000000000002</v>
      </c>
      <c r="AA120" s="1325">
        <f>AVERAGEA(Y119:Y120)</f>
        <v>44.182000000000002</v>
      </c>
      <c r="AC120" s="1292">
        <f>(AA120/AA113-1)*100</f>
        <v>2.8253584062558179</v>
      </c>
      <c r="AE120" s="1654">
        <f>(G120/AC120)*100</f>
        <v>190.27325566729053</v>
      </c>
      <c r="AH120" s="1312">
        <f>S120</f>
        <v>1342.6</v>
      </c>
      <c r="AJ120" s="1312">
        <f>AH120/AA120</f>
        <v>30.387940790367114</v>
      </c>
      <c r="AL120" s="1851">
        <f>(AJ120/AJ113-1)*100</f>
        <v>6.0787952645894316</v>
      </c>
      <c r="AN120" s="1863" t="s">
        <v>90</v>
      </c>
      <c r="AO120" s="1877"/>
      <c r="AP120" s="1312">
        <f>AP113*(1+AQ120)</f>
        <v>9.6729987375000004</v>
      </c>
      <c r="AQ120" s="1877">
        <v>0.05</v>
      </c>
      <c r="AR120" s="1312">
        <f>SUM(AP120,AN120)</f>
        <v>9.6729987375000004</v>
      </c>
    </row>
    <row r="121" spans="1:44">
      <c r="A121" s="1282" t="s">
        <v>66</v>
      </c>
      <c r="C121" s="1845">
        <f>(S121/S114-1)*100</f>
        <v>9.4073803405961609</v>
      </c>
      <c r="E121" s="1845">
        <v>4.5999999999999996</v>
      </c>
      <c r="G121" s="1843">
        <f>C121-E121</f>
        <v>4.8073803405961613</v>
      </c>
      <c r="I121" s="2044">
        <f>yrSales!$T$18</f>
        <v>592</v>
      </c>
      <c r="J121" s="1860">
        <f>I121-I120</f>
        <v>0</v>
      </c>
      <c r="K121" s="1856">
        <f>AVERAGEA(I120:I121)</f>
        <v>592</v>
      </c>
      <c r="M121" s="1292">
        <f>(K121/K114-1)*100</f>
        <v>4.501323918799649</v>
      </c>
      <c r="O121" s="2040">
        <f>(G121/M121)*100</f>
        <v>106.79925344893036</v>
      </c>
      <c r="S121" s="1290">
        <f>'qtrP&amp;L_new'!$BK14</f>
        <v>1685.7149999999999</v>
      </c>
      <c r="U121" s="1290">
        <f>S121/K121</f>
        <v>2.847491554054054</v>
      </c>
      <c r="W121" s="1859">
        <f>(U121/U114-1)*100</f>
        <v>4.6947313563306059</v>
      </c>
      <c r="Y121" s="2253">
        <v>44.735999999999997</v>
      </c>
      <c r="AA121" s="1391">
        <f>AVERAGEA(Y120:Y121)</f>
        <v>44.7395</v>
      </c>
      <c r="AC121" s="1315">
        <f>(AA121/AA114-1)*100</f>
        <v>2.8778053715967644</v>
      </c>
      <c r="AE121" s="1858">
        <f>(G121/AC121)*100</f>
        <v>167.05022473179841</v>
      </c>
      <c r="AH121" s="1290">
        <f>S121</f>
        <v>1685.7149999999999</v>
      </c>
      <c r="AJ121" s="1290">
        <f>AH121/AA121</f>
        <v>37.678449692106526</v>
      </c>
      <c r="AL121" s="1859">
        <f>(AJ121/AJ114-1)*100</f>
        <v>6.3469228813877177</v>
      </c>
      <c r="AN121" s="1864" t="s">
        <v>90</v>
      </c>
      <c r="AO121" s="1877"/>
      <c r="AP121" s="1290">
        <f>AP114*(1+AQ121)</f>
        <v>13.4605162125</v>
      </c>
      <c r="AQ121" s="1877">
        <v>0.05</v>
      </c>
      <c r="AR121" s="1290">
        <f>SUM(AP121,AN121)</f>
        <v>13.4605162125</v>
      </c>
    </row>
    <row r="122" spans="1:44">
      <c r="A122" s="1795" t="s">
        <v>67</v>
      </c>
      <c r="C122" s="1843">
        <f>(S122/S115-1)*100</f>
        <v>9.1608595682389993</v>
      </c>
      <c r="E122" s="1843">
        <f>S118/S122*E118+S119/S122*E119+S120/S122*E120+S121/S122*E121</f>
        <v>4.4941619514635009</v>
      </c>
      <c r="G122" s="1843">
        <f>C122-E122</f>
        <v>4.6666976167754983</v>
      </c>
      <c r="J122" s="1849"/>
      <c r="K122" s="1849">
        <f>AVERAGEA(K118:K121)</f>
        <v>578.25</v>
      </c>
      <c r="M122" s="1292">
        <f>(K122/K115-1)*100</f>
        <v>4.5423728813559272</v>
      </c>
      <c r="O122" s="1654">
        <f>(G122/M122)*100</f>
        <v>102.73699977229653</v>
      </c>
      <c r="S122" s="1291">
        <f>SUM(S118:S121)</f>
        <v>5566.0379999999996</v>
      </c>
      <c r="U122" s="1291">
        <f>SUM(U118:U121)</f>
        <v>9.6104805415831169</v>
      </c>
      <c r="W122" s="1851">
        <f>(U122/U115-1)*100</f>
        <v>4.416278849801758</v>
      </c>
      <c r="AA122" s="1325">
        <f>AVERAGEA(AA118:AA121)</f>
        <v>44.021750000000004</v>
      </c>
      <c r="AC122" s="1292">
        <f>(AA122/AA115-1)*100</f>
        <v>2.852152987079748</v>
      </c>
      <c r="AE122" s="1654">
        <f>(G122/AC122)*100</f>
        <v>163.62017177604557</v>
      </c>
      <c r="AH122" s="1291">
        <f>SUM(AH118:AH121)</f>
        <v>5566.0379999999996</v>
      </c>
      <c r="AJ122" s="1291">
        <f>SUM(AJ118:AJ121)</f>
        <v>126.29468476211784</v>
      </c>
      <c r="AL122" s="1851">
        <f>(AJ122/AJ115-1)*100</f>
        <v>6.1301035880399368</v>
      </c>
      <c r="AN122" s="1865" t="s">
        <v>90</v>
      </c>
      <c r="AO122" s="1854"/>
      <c r="AP122" s="1291">
        <f>SUM(AP118:AP121)</f>
        <v>41.554743693749998</v>
      </c>
      <c r="AQ122" s="1854">
        <f>AP122/AP115-1</f>
        <v>4.9999999999999822E-2</v>
      </c>
      <c r="AR122" s="1291">
        <f>SUM(AP122,AN122)</f>
        <v>41.554743693749998</v>
      </c>
    </row>
    <row r="123" spans="1:44">
      <c r="A123" s="1795"/>
      <c r="J123" s="1849"/>
    </row>
    <row r="124" spans="1:44">
      <c r="A124" s="1841" t="s">
        <v>1097</v>
      </c>
      <c r="E124" s="1349"/>
    </row>
    <row r="125" spans="1:44">
      <c r="A125" s="1282" t="s">
        <v>63</v>
      </c>
      <c r="C125" s="1843">
        <f>(S125/S118-1)*100</f>
        <v>4.9799246883454051</v>
      </c>
      <c r="D125" s="1282" t="s">
        <v>102</v>
      </c>
      <c r="E125" s="1843">
        <v>0.5</v>
      </c>
      <c r="F125" s="1282" t="s">
        <v>102</v>
      </c>
      <c r="G125" s="1843">
        <f>C125-E125</f>
        <v>4.4799246883454051</v>
      </c>
      <c r="I125" s="1852">
        <v>596</v>
      </c>
      <c r="J125" s="1860">
        <f>I125-I121</f>
        <v>4</v>
      </c>
      <c r="K125" s="1849">
        <f>AVERAGEA(I125,I121)</f>
        <v>594</v>
      </c>
      <c r="M125" s="1292">
        <f>(K125/K118-1)*100</f>
        <v>4.2105263157894646</v>
      </c>
      <c r="O125" s="1654">
        <f>(G125/M125)*100</f>
        <v>106.3982113482036</v>
      </c>
      <c r="S125" s="1312">
        <f>'qtrP&amp;L_new'!$BO11</f>
        <v>1346.546</v>
      </c>
      <c r="U125" s="1312">
        <f>S125/K125</f>
        <v>2.2669124579124582</v>
      </c>
      <c r="W125" s="1851">
        <f>(U125/U118-1)*100</f>
        <v>0.7383115696243836</v>
      </c>
      <c r="X125" s="1282" t="s">
        <v>102</v>
      </c>
      <c r="Y125" s="1325">
        <f>Y121+(0.043*7)-(0.1*4)</f>
        <v>44.637</v>
      </c>
      <c r="AA125" s="1325">
        <f>AVERAGEA(Y125,Y121)</f>
        <v>44.686499999999995</v>
      </c>
      <c r="AC125" s="1292">
        <f>(AA125/AA118-1)*100</f>
        <v>2.6226044621019851</v>
      </c>
      <c r="AD125" s="1282" t="s">
        <v>102</v>
      </c>
      <c r="AE125" s="1654">
        <f>(G125/AC125)*100</f>
        <v>170.81968528166084</v>
      </c>
      <c r="AF125" s="1282" t="s">
        <v>102</v>
      </c>
      <c r="AH125" s="1312">
        <f>S125</f>
        <v>1346.546</v>
      </c>
      <c r="AJ125" s="1312">
        <f>AH125/AA125</f>
        <v>30.133172210846681</v>
      </c>
      <c r="AL125" s="1851">
        <f>(AJ125/AJ118-1)*100</f>
        <v>2.2970769827947324</v>
      </c>
      <c r="AM125" s="1282" t="s">
        <v>102</v>
      </c>
      <c r="AN125" s="1863" t="s">
        <v>90</v>
      </c>
      <c r="AO125" s="1877"/>
      <c r="AP125" s="1312">
        <f>AP118*(1+AQ125)</f>
        <v>9.694877850000001</v>
      </c>
      <c r="AQ125" s="1877">
        <v>0.05</v>
      </c>
      <c r="AR125" s="1312">
        <f>SUM(AP125,AN125)</f>
        <v>9.694877850000001</v>
      </c>
    </row>
    <row r="126" spans="1:44">
      <c r="A126" s="1282" t="s">
        <v>64</v>
      </c>
      <c r="C126" s="1843">
        <f>(S126/S119-1)*100</f>
        <v>8.6188392044001194</v>
      </c>
      <c r="E126" s="1843">
        <v>3.5</v>
      </c>
      <c r="G126" s="1843">
        <f>C126-E126</f>
        <v>5.1188392044001194</v>
      </c>
      <c r="I126" s="1852">
        <v>600</v>
      </c>
      <c r="J126" s="1860">
        <f>I126-I125</f>
        <v>4</v>
      </c>
      <c r="K126" s="1849">
        <f>AVERAGEA(I125:I126)</f>
        <v>598</v>
      </c>
      <c r="M126" s="1292">
        <f>(K126/K119-1)*100</f>
        <v>4.912280701754379</v>
      </c>
      <c r="O126" s="1654">
        <f>(G126/M126)*100</f>
        <v>104.20494094671686</v>
      </c>
      <c r="S126" s="1312">
        <f>'qtrP&amp;L_new'!$BO12</f>
        <v>1363.2239999999999</v>
      </c>
      <c r="U126" s="1312">
        <f>S126/K126</f>
        <v>2.2796387959866218</v>
      </c>
      <c r="W126" s="1851">
        <f>(U126/U119-1)*100</f>
        <v>3.5330072684081282</v>
      </c>
      <c r="Y126" s="1325">
        <f>Y125+0.043*(I126-I125)</f>
        <v>44.808999999999997</v>
      </c>
      <c r="AA126" s="1325">
        <f>AVERAGEA(Y125:Y126)</f>
        <v>44.722999999999999</v>
      </c>
      <c r="AC126" s="1292">
        <f>(AA126/AA119-1)*100</f>
        <v>2.5263061369523721</v>
      </c>
      <c r="AE126" s="1654">
        <f>(G126/AC126)*100</f>
        <v>202.62149268161414</v>
      </c>
      <c r="AH126" s="1312">
        <f>S126</f>
        <v>1363.2239999999999</v>
      </c>
      <c r="AJ126" s="1312">
        <f>AH126/AA126</f>
        <v>30.481497216197482</v>
      </c>
      <c r="AL126" s="1851">
        <f>(AJ126/AJ119-1)*100</f>
        <v>5.9424096088173339</v>
      </c>
      <c r="AN126" s="1863" t="s">
        <v>90</v>
      </c>
      <c r="AO126" s="1877"/>
      <c r="AP126" s="1312">
        <f>AP119*(1+AQ126)</f>
        <v>9.6474123309375042</v>
      </c>
      <c r="AQ126" s="1877">
        <v>0.05</v>
      </c>
      <c r="AR126" s="1312">
        <f>SUM(AP126,AN126)</f>
        <v>9.6474123309375042</v>
      </c>
    </row>
    <row r="127" spans="1:44">
      <c r="A127" s="1282" t="s">
        <v>65</v>
      </c>
      <c r="C127" s="1843">
        <f>(S127/S120-1)*100</f>
        <v>7.1180545210784985</v>
      </c>
      <c r="E127" s="2223">
        <v>3.1</v>
      </c>
      <c r="G127" s="1843">
        <f>C127-E127</f>
        <v>4.0180545210784988</v>
      </c>
      <c r="I127" s="2044">
        <v>631</v>
      </c>
      <c r="J127" s="1860">
        <f>I127-I126</f>
        <v>31</v>
      </c>
      <c r="K127" s="1849">
        <f>AVERAGEA(I126:I127)</f>
        <v>615.5</v>
      </c>
      <c r="M127" s="1292">
        <f>(K127/K120-1)*100</f>
        <v>5.9380378657487132</v>
      </c>
      <c r="O127" s="1654">
        <f>(G127/M127)*100</f>
        <v>67.666367441930618</v>
      </c>
      <c r="S127" s="1312">
        <f>'qtrP&amp;L_new'!$BO13</f>
        <v>1438.1669999999999</v>
      </c>
      <c r="U127" s="1312">
        <f>S127/K127</f>
        <v>2.3365832656376928</v>
      </c>
      <c r="W127" s="1851">
        <f>(U127/U120-1)*100</f>
        <v>1.1138743732682421</v>
      </c>
      <c r="Y127" s="1325">
        <f>Y126+(0.043*36)-(0.1*5)</f>
        <v>45.856999999999999</v>
      </c>
      <c r="AA127" s="1325">
        <f>AVERAGEA(Y126:Y127)</f>
        <v>45.332999999999998</v>
      </c>
      <c r="AC127" s="1292">
        <f>(AA127/AA120-1)*100</f>
        <v>2.605133312208574</v>
      </c>
      <c r="AE127" s="1654">
        <f>(G127/AC127)*100</f>
        <v>154.23604244160856</v>
      </c>
      <c r="AH127" s="1312">
        <f>S127</f>
        <v>1438.1669999999999</v>
      </c>
      <c r="AJ127" s="1312">
        <f>AH127/AA127</f>
        <v>31.724505327245051</v>
      </c>
      <c r="AL127" s="1851">
        <f>(AJ127/AJ120-1)*100</f>
        <v>4.3983386241874811</v>
      </c>
      <c r="AN127" s="1863" t="s">
        <v>90</v>
      </c>
      <c r="AO127" s="1877"/>
      <c r="AP127" s="1312">
        <f>AP120*(1+AQ127)</f>
        <v>10.156648674375001</v>
      </c>
      <c r="AQ127" s="1877">
        <v>0.05</v>
      </c>
      <c r="AR127" s="1312">
        <f>SUM(AP127,AN127)</f>
        <v>10.156648674375001</v>
      </c>
    </row>
    <row r="128" spans="1:44">
      <c r="A128" s="1282" t="s">
        <v>66</v>
      </c>
      <c r="C128" s="1845">
        <f>(S128/S121-1)*100</f>
        <v>14.896586908225885</v>
      </c>
      <c r="E128" s="1845">
        <v>5.9</v>
      </c>
      <c r="G128" s="1843">
        <f>C128-E128</f>
        <v>8.9965869082258845</v>
      </c>
      <c r="I128" s="2044">
        <v>629</v>
      </c>
      <c r="J128" s="1860">
        <f>I128-I127</f>
        <v>-2</v>
      </c>
      <c r="K128" s="1856">
        <f>AVERAGEA(I127:I128)</f>
        <v>630</v>
      </c>
      <c r="M128" s="1292">
        <f>(K128/K121-1)*100</f>
        <v>6.4189189189189255</v>
      </c>
      <c r="O128" s="2250">
        <f>(G128/M128)*100</f>
        <v>140.15735393867678</v>
      </c>
      <c r="S128" s="2239">
        <f>'qtrP&amp;L_new'!$BO14</f>
        <v>1936.829</v>
      </c>
      <c r="U128" s="1290">
        <f>S128/K128</f>
        <v>3.0743317460317461</v>
      </c>
      <c r="W128" s="1859">
        <f>(U128/U121-1)*100</f>
        <v>7.9663165867773555</v>
      </c>
      <c r="Y128" s="2253">
        <v>45.692999999999998</v>
      </c>
      <c r="AA128" s="1391">
        <f>AVERAGEA(Y127:Y128)</f>
        <v>45.774999999999999</v>
      </c>
      <c r="AC128" s="1315">
        <f>(AA128/AA121-1)*100</f>
        <v>2.3145095497267398</v>
      </c>
      <c r="AE128" s="1858">
        <f>(G128/AC128)*100</f>
        <v>388.70381456356733</v>
      </c>
      <c r="AH128" s="1290">
        <f>S128</f>
        <v>1936.829</v>
      </c>
      <c r="AJ128" s="1290">
        <f>AH128/AA128</f>
        <v>42.311938831239758</v>
      </c>
      <c r="AL128" s="1859">
        <f>(AJ128/AJ121-1)*100</f>
        <v>12.297451665332005</v>
      </c>
      <c r="AN128" s="1864" t="s">
        <v>90</v>
      </c>
      <c r="AO128" s="1877"/>
      <c r="AP128" s="1290">
        <f>AP121*(1+AQ128)</f>
        <v>14.133542023125001</v>
      </c>
      <c r="AQ128" s="1877">
        <v>0.05</v>
      </c>
      <c r="AR128" s="1290">
        <f>SUM(AP128,AN128)</f>
        <v>14.133542023125001</v>
      </c>
    </row>
    <row r="129" spans="1:44">
      <c r="A129" s="1795" t="s">
        <v>67</v>
      </c>
      <c r="C129" s="1843">
        <f>(S129/S122-1)*100</f>
        <v>9.3195195577177259</v>
      </c>
      <c r="E129" s="1843">
        <v>3.4</v>
      </c>
      <c r="G129" s="1843">
        <f>C129-E129</f>
        <v>5.9195195577177255</v>
      </c>
      <c r="J129" s="1849"/>
      <c r="K129" s="1849">
        <f>AVERAGEA(K125:K128)</f>
        <v>609.375</v>
      </c>
      <c r="M129" s="1292">
        <f>(K129/K122-1)*100</f>
        <v>5.3826199740596659</v>
      </c>
      <c r="O129" s="1654">
        <f>(G129/M129)*100</f>
        <v>109.97468865061117</v>
      </c>
      <c r="S129" s="1291">
        <f>SUM(S125:S128)</f>
        <v>6084.7659999999996</v>
      </c>
      <c r="U129" s="1291">
        <f>SUM(U125:U128)</f>
        <v>9.9574662655685184</v>
      </c>
      <c r="W129" s="1851">
        <f>(U129/U122-1)*100</f>
        <v>3.6104929663407059</v>
      </c>
      <c r="AA129" s="1325">
        <f>AVERAGEA(AA125:AA128)</f>
        <v>45.129375000000003</v>
      </c>
      <c r="AC129" s="1292">
        <f>(AA129/AA122-1)*100</f>
        <v>2.5160857984973362</v>
      </c>
      <c r="AE129" s="1654">
        <f>(G129/AC129)*100</f>
        <v>235.2669992912403</v>
      </c>
      <c r="AH129" s="1291">
        <f>SUM(AH125:AH128)</f>
        <v>6084.7659999999996</v>
      </c>
      <c r="AJ129" s="1291">
        <f>SUM(AJ125:AJ128)</f>
        <v>134.65111358552898</v>
      </c>
      <c r="AL129" s="1851">
        <f>(AJ129/AJ122-1)*100</f>
        <v>6.6166116485035564</v>
      </c>
      <c r="AN129" s="1865" t="s">
        <v>90</v>
      </c>
      <c r="AO129" s="1854"/>
      <c r="AP129" s="1291">
        <f>SUM(AP125:AP128)</f>
        <v>43.632480878437505</v>
      </c>
      <c r="AQ129" s="1854">
        <f>AP129/AP122-1</f>
        <v>5.0000000000000266E-2</v>
      </c>
      <c r="AR129" s="1291">
        <f>SUM(AP129,AN129)</f>
        <v>43.632480878437505</v>
      </c>
    </row>
    <row r="130" spans="1:44">
      <c r="A130" s="1795"/>
      <c r="J130" s="1849"/>
    </row>
    <row r="131" spans="1:44">
      <c r="A131" s="1879" t="s">
        <v>341</v>
      </c>
      <c r="E131" s="1349"/>
    </row>
    <row r="132" spans="1:44">
      <c r="A132" s="1282" t="s">
        <v>63</v>
      </c>
      <c r="C132" s="1843">
        <f t="shared" ref="C132:C133" si="1">E132+G132</f>
        <v>10.356902356902355</v>
      </c>
      <c r="D132" s="1282" t="s">
        <v>102</v>
      </c>
      <c r="E132" s="1912">
        <v>3</v>
      </c>
      <c r="F132" s="1282" t="s">
        <v>102</v>
      </c>
      <c r="G132" s="1843">
        <f>O132*M132/100</f>
        <v>7.3569023569023546</v>
      </c>
      <c r="I132" s="1849">
        <f>I128+J132</f>
        <v>651</v>
      </c>
      <c r="J132" s="1860">
        <v>22</v>
      </c>
      <c r="K132" s="1849">
        <f>AVERAGEA(I132,I128)</f>
        <v>640</v>
      </c>
      <c r="M132" s="1292">
        <f>(K132/K125-1)*100</f>
        <v>7.7441077441077422</v>
      </c>
      <c r="O132" s="2244">
        <v>95</v>
      </c>
      <c r="S132" s="1911">
        <f t="shared" ref="S132:S133" si="2">S125*(1+C132/100)</f>
        <v>1486.0064544107745</v>
      </c>
      <c r="U132" s="1312">
        <f>S132/K132</f>
        <v>2.3218850850168353</v>
      </c>
      <c r="W132" s="1851">
        <f>(U132/U125-1)*100</f>
        <v>2.4250000000000105</v>
      </c>
      <c r="X132" s="1282" t="s">
        <v>102</v>
      </c>
      <c r="Y132" s="1325">
        <f>Y128+0.045*(I132-I128)</f>
        <v>46.683</v>
      </c>
      <c r="AA132" s="1325">
        <f>AVERAGEA(Y132,Y128)</f>
        <v>46.188000000000002</v>
      </c>
      <c r="AC132" s="1292">
        <f>(AA132/AA125-1)*100</f>
        <v>3.3600751904937942</v>
      </c>
      <c r="AD132" s="1282" t="s">
        <v>102</v>
      </c>
      <c r="AE132" s="1654">
        <f>(G132/AC132)*100</f>
        <v>218.95052758688979</v>
      </c>
      <c r="AF132" s="1282" t="s">
        <v>102</v>
      </c>
      <c r="AH132" s="1312">
        <f>S132</f>
        <v>1486.0064544107745</v>
      </c>
      <c r="AJ132" s="1312">
        <f>AH132/AA132</f>
        <v>32.172998493348366</v>
      </c>
      <c r="AL132" s="1851">
        <f>(AJ132/AJ125-1)*100</f>
        <v>6.7693712040295395</v>
      </c>
      <c r="AM132" s="1282" t="s">
        <v>102</v>
      </c>
      <c r="AN132" s="1863" t="s">
        <v>90</v>
      </c>
      <c r="AO132" s="1877"/>
      <c r="AP132" s="1312">
        <f>AP125*(1+AQ132)</f>
        <v>10.179621742500002</v>
      </c>
      <c r="AQ132" s="1877">
        <v>0.05</v>
      </c>
      <c r="AR132" s="1312">
        <f>SUM(AP132,AN132)</f>
        <v>10.179621742500002</v>
      </c>
    </row>
    <row r="133" spans="1:44">
      <c r="A133" s="1282" t="s">
        <v>64</v>
      </c>
      <c r="C133" s="1843">
        <f t="shared" si="1"/>
        <v>9.9607023411371323</v>
      </c>
      <c r="E133" s="1912">
        <v>3</v>
      </c>
      <c r="G133" s="1843">
        <f>O133*M133/100</f>
        <v>6.9607023411371323</v>
      </c>
      <c r="I133" s="1849">
        <f t="shared" ref="I133" si="3">I132+J133</f>
        <v>656</v>
      </c>
      <c r="J133" s="1860">
        <v>5</v>
      </c>
      <c r="K133" s="1849">
        <f>AVERAGEA(I132:I133)</f>
        <v>653.5</v>
      </c>
      <c r="M133" s="1292">
        <f>(K133/K126-1)*100</f>
        <v>9.2809364548495097</v>
      </c>
      <c r="O133" s="2244">
        <v>75</v>
      </c>
      <c r="S133" s="1911">
        <f t="shared" si="2"/>
        <v>1499.0106848829432</v>
      </c>
      <c r="U133" s="1312">
        <f>S133/K133</f>
        <v>2.293818951618888</v>
      </c>
      <c r="W133" s="1851">
        <f>(U133/U126-1)*100</f>
        <v>0.62203519510330985</v>
      </c>
      <c r="Y133" s="1325">
        <f>Y132+0.045*(I133-I132)</f>
        <v>46.908000000000001</v>
      </c>
      <c r="AA133" s="1325">
        <f>AVERAGEA(Y132:Y133)</f>
        <v>46.795500000000004</v>
      </c>
      <c r="AC133" s="1292">
        <f>(AA133/AA126-1)*100</f>
        <v>4.6340808979719705</v>
      </c>
      <c r="AE133" s="1654">
        <f>(G133/AC133)*100</f>
        <v>150.20675068886624</v>
      </c>
      <c r="AH133" s="1312">
        <f>S133</f>
        <v>1499.0106848829432</v>
      </c>
      <c r="AJ133" s="1312">
        <f>AH133/AA133</f>
        <v>32.033222956971144</v>
      </c>
      <c r="AL133" s="1851">
        <f>(AJ133/AJ126-1)*100</f>
        <v>5.0907136541478604</v>
      </c>
      <c r="AN133" s="1863" t="s">
        <v>90</v>
      </c>
      <c r="AO133" s="1877"/>
      <c r="AP133" s="1312">
        <f>AP126*(1+AQ133)</f>
        <v>10.129782947484379</v>
      </c>
      <c r="AQ133" s="1877">
        <v>0.05</v>
      </c>
      <c r="AR133" s="1312">
        <f>SUM(AP133,AN133)</f>
        <v>10.129782947484379</v>
      </c>
    </row>
    <row r="134" spans="1:44">
      <c r="A134" s="1282" t="s">
        <v>65</v>
      </c>
      <c r="C134" s="1843">
        <f>E134+G134</f>
        <v>10.018683996750614</v>
      </c>
      <c r="E134" s="1912">
        <v>3</v>
      </c>
      <c r="G134" s="1843">
        <f>O134*M134/100</f>
        <v>7.0186839967506129</v>
      </c>
      <c r="I134" s="1849">
        <f>I133+J134</f>
        <v>671</v>
      </c>
      <c r="J134" s="1860">
        <v>15</v>
      </c>
      <c r="K134" s="1849">
        <f>AVERAGEA(I133:I134)</f>
        <v>663.5</v>
      </c>
      <c r="M134" s="1292">
        <f>(K134/K127-1)*100</f>
        <v>7.7985377741673467</v>
      </c>
      <c r="O134" s="2244">
        <v>90</v>
      </c>
      <c r="S134" s="1911">
        <f>S127*(1+C134/100)</f>
        <v>1582.2524070755483</v>
      </c>
      <c r="U134" s="1312">
        <f>S134/K134</f>
        <v>2.3847059639420469</v>
      </c>
      <c r="W134" s="1851">
        <f>(U134/U127-1)*100</f>
        <v>2.0595327807083619</v>
      </c>
      <c r="Y134" s="1325">
        <f>Y133+0.045*(I134-I133)</f>
        <v>47.582999999999998</v>
      </c>
      <c r="AA134" s="1325">
        <f>AVERAGEA(Y133:Y134)</f>
        <v>47.2455</v>
      </c>
      <c r="AC134" s="1292">
        <f>(AA134/AA127-1)*100</f>
        <v>4.2187810204486809</v>
      </c>
      <c r="AE134" s="1654">
        <f>(G134/AC134)*100</f>
        <v>166.36758254886038</v>
      </c>
      <c r="AH134" s="1312">
        <f>S134</f>
        <v>1582.2524070755483</v>
      </c>
      <c r="AJ134" s="1312">
        <f>AH134/AA134</f>
        <v>33.490012955213686</v>
      </c>
      <c r="AL134" s="1851">
        <f>(AJ134/AJ127-1)*100</f>
        <v>5.5651226386575603</v>
      </c>
      <c r="AN134" s="1863" t="s">
        <v>90</v>
      </c>
      <c r="AO134" s="1877"/>
      <c r="AP134" s="1312">
        <f>AP127*(1+AQ134)</f>
        <v>10.664481108093751</v>
      </c>
      <c r="AQ134" s="1877">
        <v>0.05</v>
      </c>
      <c r="AR134" s="1312">
        <f>SUM(AP134,AN134)</f>
        <v>10.664481108093751</v>
      </c>
    </row>
    <row r="135" spans="1:44">
      <c r="A135" s="1282" t="s">
        <v>66</v>
      </c>
      <c r="C135" s="1845">
        <f>E135+G135</f>
        <v>4.3</v>
      </c>
      <c r="E135" s="1880">
        <v>3</v>
      </c>
      <c r="G135" s="2229">
        <f>7-5.7</f>
        <v>1.2999999999999998</v>
      </c>
      <c r="I135" s="1849">
        <f>yrSales!$V$18</f>
        <v>669</v>
      </c>
      <c r="J135" s="1860">
        <f>I135-I134</f>
        <v>-2</v>
      </c>
      <c r="K135" s="1856">
        <f>AVERAGEA(I134:I135)</f>
        <v>670</v>
      </c>
      <c r="M135" s="1292">
        <f>(K135/K128-1)*100</f>
        <v>6.3492063492063489</v>
      </c>
      <c r="O135" s="2245">
        <v>90</v>
      </c>
      <c r="S135" s="1881">
        <f>S128*(1+C135/100)</f>
        <v>2020.1126469999997</v>
      </c>
      <c r="U135" s="1290">
        <f>S135/K135</f>
        <v>3.0150935029850743</v>
      </c>
      <c r="W135" s="1859">
        <f>(U135/U128-1)*100</f>
        <v>-1.9268656716418087</v>
      </c>
      <c r="Y135" s="1325">
        <f>Y134+0.045*(I135-I134)</f>
        <v>47.492999999999995</v>
      </c>
      <c r="AA135" s="1391">
        <f>AVERAGEA(Y134:Y135)</f>
        <v>47.537999999999997</v>
      </c>
      <c r="AC135" s="1315">
        <f>(AA135/AA128-1)*100</f>
        <v>3.8514472965592628</v>
      </c>
      <c r="AE135" s="1858">
        <f>(G135/AC135)*100</f>
        <v>33.753545093590418</v>
      </c>
      <c r="AH135" s="1290">
        <f>S135</f>
        <v>2020.1126469999997</v>
      </c>
      <c r="AJ135" s="1290">
        <f>AH135/AA135</f>
        <v>42.494691552021536</v>
      </c>
      <c r="AL135" s="1859">
        <f>(AJ135/AJ128-1)*100</f>
        <v>0.43191762379568566</v>
      </c>
      <c r="AN135" s="1864" t="s">
        <v>90</v>
      </c>
      <c r="AO135" s="1877"/>
      <c r="AP135" s="1290">
        <f>AP128*(1+AQ135)</f>
        <v>14.840219124281251</v>
      </c>
      <c r="AQ135" s="1877">
        <v>0.05</v>
      </c>
      <c r="AR135" s="1290">
        <f>SUM(AP135,AN135)</f>
        <v>14.840219124281251</v>
      </c>
    </row>
    <row r="136" spans="1:44">
      <c r="A136" s="1795" t="s">
        <v>67</v>
      </c>
      <c r="C136" s="1843">
        <f>(S136/S129-1)*100</f>
        <v>8.2602386578097828</v>
      </c>
      <c r="E136" s="1843">
        <f>S132/S136*E132+S133/S136*E133+S134/S136*E134+S135/S136*E135</f>
        <v>2.9999999999999996</v>
      </c>
      <c r="G136" s="1843">
        <f>C136-E136</f>
        <v>5.2602386578097828</v>
      </c>
      <c r="J136" s="1849"/>
      <c r="K136" s="1849">
        <f>AVERAGEA(K132:K135)</f>
        <v>656.75</v>
      </c>
      <c r="M136" s="1292">
        <f>(K136/K129-1)*100</f>
        <v>7.7743589743589636</v>
      </c>
      <c r="O136" s="1654">
        <f>(G136/M136)*100</f>
        <v>67.661381152566562</v>
      </c>
      <c r="S136" s="1291">
        <f>SUM(S132:S135)</f>
        <v>6587.3821933692661</v>
      </c>
      <c r="U136" s="1291">
        <f>SUM(U132:U135)</f>
        <v>10.015503503562844</v>
      </c>
      <c r="W136" s="1851">
        <f>(U136/U129-1)*100</f>
        <v>0.58285146488530337</v>
      </c>
      <c r="AA136" s="1325">
        <f>AVERAGEA(AA132:AA135)</f>
        <v>46.941749999999999</v>
      </c>
      <c r="AC136" s="1292">
        <f>(AA136/AA129-1)*100</f>
        <v>4.015954131870858</v>
      </c>
      <c r="AE136" s="1654">
        <f>(G136/AC136)*100</f>
        <v>130.98353430045941</v>
      </c>
      <c r="AH136" s="1291">
        <f>SUM(AH132:AH135)</f>
        <v>6587.3821933692661</v>
      </c>
      <c r="AJ136" s="1291">
        <f>SUM(AJ132:AJ135)</f>
        <v>140.19092595755473</v>
      </c>
      <c r="AL136" s="1851">
        <f>(AJ136/AJ129-1)*100</f>
        <v>4.1141972201417465</v>
      </c>
      <c r="AN136" s="1865" t="s">
        <v>90</v>
      </c>
      <c r="AO136" s="1854"/>
      <c r="AP136" s="1291">
        <f>SUM(AP132:AP135)</f>
        <v>45.814104922359391</v>
      </c>
      <c r="AQ136" s="1854">
        <f>AP136/AP129-1</f>
        <v>5.0000000000000266E-2</v>
      </c>
      <c r="AR136" s="1291">
        <f>SUM(AP136,AN136)</f>
        <v>45.814104922359391</v>
      </c>
    </row>
    <row r="137" spans="1:44">
      <c r="A137" s="1795"/>
      <c r="I137" s="1849"/>
      <c r="J137" s="1849"/>
    </row>
    <row r="138" spans="1:44">
      <c r="A138" s="1882" t="s">
        <v>53</v>
      </c>
      <c r="G138" s="1843"/>
    </row>
    <row r="139" spans="1:44">
      <c r="A139" s="1778" t="s">
        <v>78</v>
      </c>
      <c r="G139" s="1843"/>
    </row>
    <row r="140" spans="1:44">
      <c r="C140" s="2160" t="s">
        <v>1070</v>
      </c>
      <c r="D140" s="2158"/>
      <c r="E140" s="2159"/>
      <c r="S140" s="1282">
        <v>1804.7401469594593</v>
      </c>
      <c r="U140" s="1282">
        <f>S140/S121-1</f>
        <v>7.0608108108108025E-2</v>
      </c>
    </row>
    <row r="141" spans="1:44">
      <c r="C141" s="2157" t="s">
        <v>105</v>
      </c>
      <c r="D141" s="2158"/>
      <c r="E141" s="2159">
        <f>E125+E118</f>
        <v>4.8</v>
      </c>
      <c r="S141" s="1282">
        <f>S122*0.014</f>
        <v>77.924531999999999</v>
      </c>
    </row>
    <row r="142" spans="1:44">
      <c r="C142" s="2157" t="s">
        <v>106</v>
      </c>
      <c r="D142" s="2158"/>
      <c r="E142" s="2159">
        <f>E126+E119</f>
        <v>8.9</v>
      </c>
      <c r="K142" s="1587"/>
      <c r="S142" s="1282">
        <f>S140+S141</f>
        <v>1882.6646789594593</v>
      </c>
      <c r="U142" s="1282">
        <f>0.118-U140</f>
        <v>4.7391891891891968E-2</v>
      </c>
    </row>
    <row r="143" spans="1:44">
      <c r="C143" s="2157" t="s">
        <v>107</v>
      </c>
      <c r="D143" s="2158"/>
      <c r="E143" s="2159">
        <f>E127+E120</f>
        <v>6.8000000000000007</v>
      </c>
    </row>
    <row r="144" spans="1:44">
      <c r="C144" s="2157" t="s">
        <v>108</v>
      </c>
      <c r="D144" s="2158"/>
      <c r="E144" s="2159">
        <f>E128+E121</f>
        <v>10.5</v>
      </c>
    </row>
    <row r="145" spans="5:9">
      <c r="E145" s="1843"/>
    </row>
    <row r="146" spans="5:9">
      <c r="E146" s="1843"/>
    </row>
    <row r="147" spans="5:9">
      <c r="E147" s="1843"/>
    </row>
    <row r="148" spans="5:9">
      <c r="E148" s="1843"/>
    </row>
    <row r="149" spans="5:9">
      <c r="E149" s="1843"/>
    </row>
    <row r="155" spans="5:9">
      <c r="I155" s="1843"/>
    </row>
  </sheetData>
  <mergeCells count="2">
    <mergeCell ref="AE6:AF6"/>
    <mergeCell ref="O6:P6"/>
  </mergeCells>
  <phoneticPr fontId="11" type="noConversion"/>
  <printOptions horizontalCentered="1" verticalCentered="1"/>
  <pageMargins left="0.75" right="0.75" top="0.75" bottom="0.75" header="0.5" footer="0.5"/>
  <pageSetup scale="60" orientation="landscape" r:id="rId1"/>
  <headerFooter alignWithMargins="0"/>
  <rowBreaks count="1" manualBreakCount="1">
    <brk id="64" max="37"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AP132"/>
  <sheetViews>
    <sheetView zoomScaleNormal="100" workbookViewId="0">
      <pane ySplit="58" topLeftCell="A95" activePane="bottomLeft" state="frozen"/>
      <selection activeCell="S79" sqref="S79"/>
      <selection pane="bottomLeft" activeCell="B115" sqref="B115"/>
    </sheetView>
  </sheetViews>
  <sheetFormatPr defaultRowHeight="12.75" outlineLevelRow="1"/>
  <cols>
    <col min="1" max="1" width="4.42578125" style="1282" customWidth="1"/>
    <col min="2" max="2" width="5.85546875" style="1282" customWidth="1"/>
    <col min="3" max="3" width="2.140625" style="1282" customWidth="1"/>
    <col min="4" max="4" width="9.140625" style="1282"/>
    <col min="5" max="5" width="2.140625" style="1282" customWidth="1"/>
    <col min="6" max="6" width="9.140625" style="1282"/>
    <col min="7" max="7" width="2.140625" style="1282" customWidth="1"/>
    <col min="8" max="8" width="9.140625" style="1282"/>
    <col min="9" max="9" width="2.140625" style="1282" customWidth="1"/>
    <col min="10" max="10" width="9.140625" style="1282"/>
    <col min="11" max="11" width="2.140625" style="1282" customWidth="1"/>
    <col min="12" max="12" width="9.140625" style="1282"/>
    <col min="13" max="13" width="2.140625" style="1282" customWidth="1"/>
    <col min="14" max="14" width="9.140625" style="1282"/>
    <col min="15" max="15" width="2.140625" style="1282" customWidth="1"/>
    <col min="16" max="16" width="9.140625" style="1282"/>
    <col min="17" max="17" width="2.140625" style="1282" customWidth="1"/>
    <col min="18" max="18" width="9.140625" style="1282"/>
    <col min="19" max="19" width="2.140625" style="1282" customWidth="1"/>
    <col min="20" max="20" width="9.140625" style="1282"/>
    <col min="21" max="21" width="2.140625" style="1282" customWidth="1"/>
    <col min="22" max="22" width="9.140625" style="1282"/>
    <col min="23" max="23" width="2.140625" style="1282" customWidth="1"/>
    <col min="24" max="24" width="9.140625" style="1282"/>
    <col min="25" max="25" width="2.140625" style="1282" customWidth="1"/>
    <col min="26" max="26" width="9.140625" style="1282"/>
    <col min="27" max="27" width="2.140625" style="1282" customWidth="1"/>
    <col min="28" max="28" width="9.140625" style="1282"/>
    <col min="29" max="29" width="2.140625" style="1282" customWidth="1"/>
    <col min="30" max="30" width="9.140625" style="1282"/>
    <col min="31" max="31" width="2.140625" style="1282" customWidth="1"/>
    <col min="32" max="32" width="9.140625" style="1282"/>
    <col min="33" max="33" width="2.140625" style="1282" customWidth="1"/>
    <col min="34" max="34" width="9.140625" style="1282"/>
    <col min="35" max="35" width="2.140625" style="1282" customWidth="1"/>
    <col min="36" max="16384" width="9.140625" style="1282"/>
  </cols>
  <sheetData>
    <row r="1" spans="1:42">
      <c r="A1" s="1283" t="s">
        <v>441</v>
      </c>
      <c r="B1" s="1283"/>
      <c r="C1" s="1283"/>
    </row>
    <row r="2" spans="1:42" s="1352" customFormat="1">
      <c r="A2" s="1246" t="s">
        <v>1076</v>
      </c>
      <c r="B2" s="1246"/>
      <c r="C2" s="1246"/>
    </row>
    <row r="3" spans="1:42">
      <c r="A3" s="1987" t="s">
        <v>111</v>
      </c>
      <c r="B3" s="1987"/>
      <c r="C3" s="1987"/>
    </row>
    <row r="4" spans="1:42">
      <c r="B4" s="1988"/>
      <c r="C4" s="1988"/>
      <c r="D4" s="1988"/>
      <c r="E4" s="1988"/>
      <c r="F4" s="1988"/>
      <c r="G4" s="1988"/>
      <c r="H4" s="1988"/>
      <c r="I4" s="1988"/>
      <c r="J4" s="1988"/>
      <c r="K4" s="1988"/>
      <c r="L4" s="1989"/>
      <c r="M4" s="1990"/>
      <c r="N4" s="1991" t="s">
        <v>122</v>
      </c>
      <c r="O4" s="1991"/>
      <c r="P4" s="1991"/>
      <c r="Q4" s="1988"/>
      <c r="R4" s="1992"/>
      <c r="S4" s="1992" t="s">
        <v>145</v>
      </c>
      <c r="T4" s="1992"/>
      <c r="U4" s="1988"/>
      <c r="V4" s="1991"/>
      <c r="W4" s="1991"/>
      <c r="X4" s="1991" t="s">
        <v>100</v>
      </c>
      <c r="Y4" s="1991"/>
      <c r="Z4" s="1991"/>
      <c r="AA4" s="1992"/>
      <c r="AB4" s="1991"/>
      <c r="AC4" s="1991"/>
      <c r="AD4" s="1991" t="s">
        <v>72</v>
      </c>
      <c r="AE4" s="1991"/>
      <c r="AF4" s="1991"/>
      <c r="AG4" s="1988"/>
      <c r="AH4" s="1993"/>
      <c r="AI4" s="1992" t="s">
        <v>150</v>
      </c>
      <c r="AJ4" s="1993"/>
      <c r="AK4" s="1993"/>
      <c r="AL4" s="1994"/>
      <c r="AM4" s="1995"/>
      <c r="AN4" s="1995"/>
      <c r="AO4" s="1988"/>
      <c r="AP4" s="1988"/>
    </row>
    <row r="5" spans="1:42">
      <c r="B5" s="1996"/>
      <c r="C5" s="1996"/>
      <c r="D5" s="1996"/>
      <c r="E5" s="1996"/>
      <c r="F5" s="1996"/>
      <c r="G5" s="1996"/>
      <c r="H5" s="1997"/>
      <c r="I5" s="1998" t="s">
        <v>124</v>
      </c>
      <c r="J5" s="1997"/>
      <c r="K5" s="1996"/>
      <c r="L5" s="1992" t="s">
        <v>98</v>
      </c>
      <c r="M5" s="1992"/>
      <c r="N5" s="1991"/>
      <c r="O5" s="1991" t="s">
        <v>144</v>
      </c>
      <c r="P5" s="1991"/>
      <c r="Q5" s="1996"/>
      <c r="R5" s="1991"/>
      <c r="S5" s="1991" t="s">
        <v>146</v>
      </c>
      <c r="T5" s="1991"/>
      <c r="U5" s="1996"/>
      <c r="V5" s="1992" t="s">
        <v>136</v>
      </c>
      <c r="W5" s="1992"/>
      <c r="X5" s="1992" t="s">
        <v>124</v>
      </c>
      <c r="Y5" s="1992"/>
      <c r="Z5" s="1992" t="s">
        <v>137</v>
      </c>
      <c r="AA5" s="1992"/>
      <c r="AB5" s="1992" t="s">
        <v>138</v>
      </c>
      <c r="AC5" s="1992"/>
      <c r="AD5" s="1992" t="s">
        <v>124</v>
      </c>
      <c r="AE5" s="1992"/>
      <c r="AF5" s="1992" t="s">
        <v>137</v>
      </c>
      <c r="AG5" s="1996"/>
      <c r="AH5" s="1999"/>
      <c r="AI5" s="1991" t="s">
        <v>149</v>
      </c>
      <c r="AJ5" s="1999"/>
      <c r="AK5" s="1994"/>
      <c r="AL5" s="1994"/>
      <c r="AM5" s="1995"/>
      <c r="AN5" s="1995"/>
      <c r="AO5" s="1996"/>
      <c r="AP5" s="1996"/>
    </row>
    <row r="6" spans="1:42">
      <c r="B6" s="1996"/>
      <c r="C6" s="1996"/>
      <c r="D6" s="1996"/>
      <c r="E6" s="1996"/>
      <c r="F6" s="1992" t="s">
        <v>125</v>
      </c>
      <c r="G6" s="1996"/>
      <c r="H6" s="2000" t="s">
        <v>126</v>
      </c>
      <c r="I6" s="1996"/>
      <c r="J6" s="1996"/>
      <c r="K6" s="1996"/>
      <c r="L6" s="1992" t="s">
        <v>143</v>
      </c>
      <c r="M6" s="1992"/>
      <c r="N6" s="1992" t="s">
        <v>127</v>
      </c>
      <c r="O6" s="1992"/>
      <c r="P6" s="1992" t="s">
        <v>127</v>
      </c>
      <c r="Q6" s="1996"/>
      <c r="R6" s="1992"/>
      <c r="S6" s="1992"/>
      <c r="T6" s="1992" t="s">
        <v>128</v>
      </c>
      <c r="U6" s="1996"/>
      <c r="V6" s="1992" t="s">
        <v>139</v>
      </c>
      <c r="W6" s="1992"/>
      <c r="X6" s="1992" t="s">
        <v>140</v>
      </c>
      <c r="Y6" s="1992"/>
      <c r="Z6" s="1992" t="s">
        <v>102</v>
      </c>
      <c r="AA6" s="1992"/>
      <c r="AB6" s="1992" t="s">
        <v>126</v>
      </c>
      <c r="AC6" s="1992"/>
      <c r="AD6" s="1992" t="s">
        <v>140</v>
      </c>
      <c r="AE6" s="1992"/>
      <c r="AF6" s="1992" t="s">
        <v>102</v>
      </c>
      <c r="AG6" s="1996"/>
      <c r="AH6" s="1994"/>
      <c r="AI6" s="1996"/>
      <c r="AJ6" s="1992" t="s">
        <v>153</v>
      </c>
      <c r="AK6" s="1992"/>
      <c r="AL6" s="2001"/>
      <c r="AM6" s="1995"/>
      <c r="AN6" s="1995"/>
      <c r="AO6" s="1996"/>
      <c r="AP6" s="1996"/>
    </row>
    <row r="7" spans="1:42">
      <c r="B7" s="1996"/>
      <c r="C7" s="1996"/>
      <c r="D7" s="1991" t="s">
        <v>98</v>
      </c>
      <c r="E7" s="1996"/>
      <c r="F7" s="1991" t="s">
        <v>129</v>
      </c>
      <c r="G7" s="1996"/>
      <c r="H7" s="1998" t="s">
        <v>130</v>
      </c>
      <c r="I7" s="1996"/>
      <c r="J7" s="1998" t="s">
        <v>62</v>
      </c>
      <c r="K7" s="1996"/>
      <c r="L7" s="1991" t="s">
        <v>131</v>
      </c>
      <c r="M7" s="1992"/>
      <c r="N7" s="1991" t="s">
        <v>67</v>
      </c>
      <c r="O7" s="1992"/>
      <c r="P7" s="1991" t="s">
        <v>130</v>
      </c>
      <c r="Q7" s="1996"/>
      <c r="R7" s="1991" t="s">
        <v>147</v>
      </c>
      <c r="S7" s="1992"/>
      <c r="T7" s="1991" t="s">
        <v>148</v>
      </c>
      <c r="U7" s="1996"/>
      <c r="V7" s="1991" t="s">
        <v>141</v>
      </c>
      <c r="W7" s="1992"/>
      <c r="X7" s="1991" t="s">
        <v>68</v>
      </c>
      <c r="Y7" s="1992"/>
      <c r="Z7" s="1991" t="s">
        <v>71</v>
      </c>
      <c r="AA7" s="1992"/>
      <c r="AB7" s="1991" t="s">
        <v>130</v>
      </c>
      <c r="AC7" s="1992"/>
      <c r="AD7" s="1991" t="s">
        <v>142</v>
      </c>
      <c r="AE7" s="1992"/>
      <c r="AF7" s="1991" t="s">
        <v>71</v>
      </c>
      <c r="AG7" s="1996"/>
      <c r="AH7" s="1991" t="s">
        <v>151</v>
      </c>
      <c r="AI7" s="1996"/>
      <c r="AJ7" s="1991" t="s">
        <v>152</v>
      </c>
      <c r="AK7" s="2001"/>
      <c r="AL7" s="2001"/>
      <c r="AM7" s="1995"/>
      <c r="AN7" s="1995"/>
      <c r="AO7" s="1996"/>
      <c r="AP7" s="1996"/>
    </row>
    <row r="8" spans="1:42" hidden="1" outlineLevel="1">
      <c r="B8" s="1942" t="s">
        <v>254</v>
      </c>
      <c r="C8" s="1942"/>
      <c r="AL8" s="1349"/>
      <c r="AM8" s="1349"/>
      <c r="AN8" s="1349"/>
    </row>
    <row r="9" spans="1:42" hidden="1" outlineLevel="1">
      <c r="A9" s="1282" t="s">
        <v>105</v>
      </c>
      <c r="B9" s="1282" t="s">
        <v>320</v>
      </c>
      <c r="D9" s="1291">
        <f>INDEX('qtrP&amp;L'!$C$11:$AG$11,MATCH(B8,'qtrP&amp;L'!$C$7:$AG$7,0))</f>
        <v>456.27600000000001</v>
      </c>
      <c r="F9" s="1291">
        <f>INDEX('qtrP&amp;L'!$C$21:$AG$21,MATCH(B8,'qtrP&amp;L'!$C$7:$AG$7,0))</f>
        <v>294.86</v>
      </c>
      <c r="H9" s="1291">
        <f>INDEX(work!$10:$10,MATCH(turn!B8,work!$7:$7,0))</f>
        <v>652.75800000000004</v>
      </c>
      <c r="J9" s="2002" t="s">
        <v>90</v>
      </c>
      <c r="L9" s="2002" t="s">
        <v>90</v>
      </c>
      <c r="N9" s="2002" t="s">
        <v>90</v>
      </c>
      <c r="P9" s="2003" t="s">
        <v>90</v>
      </c>
      <c r="R9" s="2004" t="s">
        <v>313</v>
      </c>
      <c r="S9" s="1282" t="s">
        <v>134</v>
      </c>
      <c r="T9" s="2005">
        <f>F10/H9</f>
        <v>0.68915585867963314</v>
      </c>
      <c r="V9" s="2006" t="str">
        <f>qtrSales!I11</f>
        <v>NA</v>
      </c>
      <c r="X9" s="2007" t="s">
        <v>90</v>
      </c>
      <c r="AB9" s="2008" t="str">
        <f>qtrSales!Y11</f>
        <v>NA</v>
      </c>
      <c r="AD9" s="2003" t="s">
        <v>90</v>
      </c>
      <c r="AH9" s="2003" t="s">
        <v>90</v>
      </c>
      <c r="AJ9" s="1780">
        <f>H9/(F10/(365/4))</f>
        <v>132.40836430648304</v>
      </c>
    </row>
    <row r="10" spans="1:42" hidden="1" outlineLevel="1">
      <c r="A10" s="1282" t="s">
        <v>106</v>
      </c>
      <c r="B10" s="1282" t="s">
        <v>319</v>
      </c>
      <c r="D10" s="1312">
        <f>INDEX('qtrP&amp;L'!$C$12:$AG$12,MATCH(B8,'qtrP&amp;L'!$C$7:$AG$7,0))</f>
        <v>750.52200000000005</v>
      </c>
      <c r="F10" s="1312">
        <f>INDEX('qtrP&amp;L'!$C$22:$AG$22,MATCH(B8,'qtrP&amp;L'!$C$7:$AG$7,0))</f>
        <v>449.85199999999998</v>
      </c>
      <c r="H10" s="1312">
        <f>INDEX(work!$11:$11,MATCH(turn!B8,work!$7:$7,0))</f>
        <v>747.61800000000005</v>
      </c>
      <c r="J10" s="1540">
        <f>AVERAGE(H10,H9)</f>
        <v>700.1880000000001</v>
      </c>
      <c r="L10" s="2002" t="s">
        <v>90</v>
      </c>
      <c r="N10" s="2002" t="s">
        <v>90</v>
      </c>
      <c r="P10" s="1851">
        <f>(H10/H9-1)*100</f>
        <v>14.532184975136264</v>
      </c>
      <c r="R10" s="2005">
        <f>F10/J10</f>
        <v>0.64247316435014579</v>
      </c>
      <c r="T10" s="2005">
        <f>F11/H10</f>
        <v>0.67374648550462934</v>
      </c>
      <c r="V10" s="2006" t="str">
        <f>qtrSales!I12</f>
        <v>NA</v>
      </c>
      <c r="X10" s="2007" t="s">
        <v>90</v>
      </c>
      <c r="AB10" s="2008" t="str">
        <f>qtrSales!Y12</f>
        <v>NA</v>
      </c>
      <c r="AD10" s="2003" t="s">
        <v>90</v>
      </c>
      <c r="AH10" s="1780">
        <f>J10/(F10/(365/4))</f>
        <v>142.02927851826826</v>
      </c>
      <c r="AJ10" s="1780">
        <f>H10/(F11/(365/4))</f>
        <v>135.43669905996566</v>
      </c>
    </row>
    <row r="11" spans="1:42" hidden="1" outlineLevel="1">
      <c r="A11" s="1282" t="s">
        <v>107</v>
      </c>
      <c r="B11" s="1282" t="s">
        <v>321</v>
      </c>
      <c r="D11" s="1312">
        <f>INDEX('qtrP&amp;L'!$C$13:$AG$13,MATCH(B8,'qtrP&amp;L'!$C$7:$AG$7,0))</f>
        <v>787.54899999999998</v>
      </c>
      <c r="F11" s="1312">
        <f>INDEX('qtrP&amp;L'!$C$23:$AG$23,MATCH(B8,'qtrP&amp;L'!$C$7:$AG$7,0))</f>
        <v>503.70499999999998</v>
      </c>
      <c r="H11" s="1312">
        <f>INDEX(work!$12:$12,MATCH(turn!B8,work!$7:$7,0))</f>
        <v>573.93200000000002</v>
      </c>
      <c r="J11" s="1540">
        <f>AVERAGE(H11,H10)</f>
        <v>660.77500000000009</v>
      </c>
      <c r="L11" s="2002" t="s">
        <v>90</v>
      </c>
      <c r="N11" s="2002" t="s">
        <v>90</v>
      </c>
      <c r="P11" s="1851">
        <f>(H11/H10-1)*100</f>
        <v>-23.231917904598344</v>
      </c>
      <c r="R11" s="2005">
        <f>F11/J11</f>
        <v>0.76229427566115537</v>
      </c>
      <c r="T11" s="2005">
        <f>F12/H11</f>
        <v>0.63515364189485868</v>
      </c>
      <c r="V11" s="2006" t="str">
        <f>qtrSales!I13</f>
        <v>NA</v>
      </c>
      <c r="X11" s="2007" t="s">
        <v>90</v>
      </c>
      <c r="AB11" s="2008" t="str">
        <f>qtrSales!Y13</f>
        <v>NA</v>
      </c>
      <c r="AD11" s="2003" t="s">
        <v>90</v>
      </c>
      <c r="AH11" s="1780">
        <f>J11/(F11/(365/4))</f>
        <v>119.7044276908111</v>
      </c>
      <c r="AJ11" s="1780">
        <f>H11/(F12/(365/4))</f>
        <v>143.66602658180969</v>
      </c>
    </row>
    <row r="12" spans="1:42" hidden="1" outlineLevel="1">
      <c r="A12" s="1282" t="s">
        <v>108</v>
      </c>
      <c r="B12" s="1282" t="s">
        <v>318</v>
      </c>
      <c r="D12" s="1290">
        <f>INDEX('qtrP&amp;L'!$C$14:$AG$14,MATCH(B8,'qtrP&amp;L'!$C$7:$AG$7,0))</f>
        <v>608.79100000000005</v>
      </c>
      <c r="F12" s="1290">
        <f>INDEX('qtrP&amp;L'!$C$24:$AG$24,MATCH(B8,'qtrP&amp;L'!$C$7:$AG$7,0))</f>
        <v>364.53500000000003</v>
      </c>
      <c r="H12" s="1540">
        <f>INDEX(work!$13:$13,MATCH(turn!B8,work!$7:$7,0))</f>
        <v>564.65200000000004</v>
      </c>
      <c r="J12" s="1290">
        <f>AVERAGE(H12,H11)</f>
        <v>569.29200000000003</v>
      </c>
      <c r="L12" s="2009" t="s">
        <v>90</v>
      </c>
      <c r="N12" s="2002" t="s">
        <v>90</v>
      </c>
      <c r="P12" s="1851">
        <f>(H12/H11-1)*100</f>
        <v>-1.6169162897346712</v>
      </c>
      <c r="R12" s="2005">
        <f>F12/J12</f>
        <v>0.64033044553585861</v>
      </c>
      <c r="T12" s="2005">
        <f>F16/H12</f>
        <v>0.577024432747958</v>
      </c>
      <c r="V12" s="1849">
        <f>qtrSales!I14</f>
        <v>319</v>
      </c>
      <c r="X12" s="1962">
        <f>H12/V12</f>
        <v>1.7700689655172415</v>
      </c>
      <c r="AB12" s="2008">
        <f>qtrSales!Y14</f>
        <v>24.001000000000001</v>
      </c>
      <c r="AD12" s="1540">
        <f>H12/AB12</f>
        <v>23.52618640889963</v>
      </c>
      <c r="AH12" s="1780">
        <f>J12/(F12/(365/4))</f>
        <v>142.50454688850178</v>
      </c>
      <c r="AJ12" s="1780">
        <f>H12/(F16/(365/4))</f>
        <v>158.13888428509171</v>
      </c>
    </row>
    <row r="13" spans="1:42" hidden="1" outlineLevel="1">
      <c r="B13" s="1795" t="s">
        <v>67</v>
      </c>
      <c r="C13" s="1795"/>
      <c r="D13" s="1291">
        <f>INDEX('qtrP&amp;L'!$C$15:$AG$15,MATCH(B8,'qtrP&amp;L'!$C$7:$AG$7,0))</f>
        <v>2553.7570000000001</v>
      </c>
      <c r="F13" s="1291">
        <f>INDEX('qtrP&amp;L'!$C$25:$AG$25,MATCH(B8,'qtrP&amp;L'!$C$7:$AG$7,0))</f>
        <v>1583.634</v>
      </c>
      <c r="H13" s="1681"/>
      <c r="J13" s="1291">
        <f>AVERAGE(J9:J12)</f>
        <v>643.41833333333341</v>
      </c>
      <c r="L13" s="2002" t="s">
        <v>90</v>
      </c>
      <c r="R13" s="2010">
        <f>F13/J13</f>
        <v>2.4612820585881137</v>
      </c>
      <c r="S13" s="1546" t="s">
        <v>134</v>
      </c>
      <c r="V13" s="1849"/>
      <c r="AB13" s="1779"/>
    </row>
    <row r="14" spans="1:42" hidden="1" outlineLevel="1">
      <c r="AB14" s="1779"/>
    </row>
    <row r="15" spans="1:42" hidden="1" outlineLevel="1">
      <c r="B15" s="1942" t="s">
        <v>255</v>
      </c>
      <c r="C15" s="1942"/>
      <c r="AB15" s="1779"/>
    </row>
    <row r="16" spans="1:42" hidden="1" outlineLevel="1">
      <c r="A16" s="1282" t="s">
        <v>105</v>
      </c>
      <c r="B16" s="1282" t="s">
        <v>320</v>
      </c>
      <c r="D16" s="1291">
        <f>INDEX('qtrP&amp;L'!$C$11:$AG$11,MATCH(B15,'qtrP&amp;L'!$C$7:$AG$7,0))</f>
        <v>512.31500000000005</v>
      </c>
      <c r="F16" s="1291">
        <f>INDEX('qtrP&amp;L'!$C$21:$AG$21,MATCH(B15,'qtrP&amp;L'!$C$7:$AG$7,0))</f>
        <v>325.81799999999998</v>
      </c>
      <c r="H16" s="1291">
        <f>INDEX(work!$10:$10,MATCH(turn!B15,work!$7:$7,0))</f>
        <v>687.05700000000002</v>
      </c>
      <c r="J16" s="1681">
        <f>AVERAGE(H16,H12)</f>
        <v>625.85450000000003</v>
      </c>
      <c r="L16" s="2011">
        <f>(D16/D9-1)*100</f>
        <v>12.281820652412145</v>
      </c>
      <c r="N16" s="1851">
        <f>(H16/H9-1)*100</f>
        <v>5.2544740930023037</v>
      </c>
      <c r="P16" s="1851">
        <f>(H16/H12-1)*100</f>
        <v>21.677953854763633</v>
      </c>
      <c r="R16" s="2005">
        <f>F16/J16</f>
        <v>0.52059703972728477</v>
      </c>
      <c r="S16" s="1282" t="s">
        <v>134</v>
      </c>
      <c r="T16" s="2005">
        <f>F17/H16</f>
        <v>0.6918698157503671</v>
      </c>
      <c r="V16" s="1849">
        <f>qtrSales!I18</f>
        <v>324</v>
      </c>
      <c r="X16" s="1962">
        <f>H16/V16</f>
        <v>2.1205462962962964</v>
      </c>
      <c r="Z16" s="2003" t="s">
        <v>90</v>
      </c>
      <c r="AB16" s="2008">
        <f>qtrSales!Y18</f>
        <v>24.662686567164176</v>
      </c>
      <c r="AD16" s="1681">
        <f>H16/AB16</f>
        <v>27.858157225853308</v>
      </c>
      <c r="AF16" s="2003" t="s">
        <v>90</v>
      </c>
      <c r="AH16" s="1780">
        <f>J16/(F16/(365/4))</f>
        <v>175.27952146597181</v>
      </c>
      <c r="AJ16" s="1780">
        <f>H16/(F17/(365/4))</f>
        <v>131.88897379637072</v>
      </c>
    </row>
    <row r="17" spans="1:40" hidden="1" outlineLevel="1">
      <c r="A17" s="1282" t="s">
        <v>106</v>
      </c>
      <c r="B17" s="1282" t="s">
        <v>319</v>
      </c>
      <c r="D17" s="1312">
        <f>INDEX('qtrP&amp;L'!$C$12:$AG$12,MATCH(B15,'qtrP&amp;L'!$C$7:$AG$7,0))</f>
        <v>790.79100000000005</v>
      </c>
      <c r="F17" s="1312">
        <f>INDEX('qtrP&amp;L'!$C$22:$AG$22,MATCH(B15,'qtrP&amp;L'!$C$7:$AG$7,0))</f>
        <v>475.35399999999998</v>
      </c>
      <c r="H17" s="1312">
        <f>INDEX(work!$11:$11,MATCH(turn!B15,work!$7:$7,0))</f>
        <v>759.00099999999998</v>
      </c>
      <c r="J17" s="1540">
        <f>AVERAGE(H17,H16)</f>
        <v>723.029</v>
      </c>
      <c r="L17" s="2011">
        <f>(D17/D10-1)*100</f>
        <v>5.3654656359173991</v>
      </c>
      <c r="N17" s="1851">
        <f>(H17/H10-1)*100</f>
        <v>1.5225690125170832</v>
      </c>
      <c r="P17" s="1851">
        <f>(H17/H16-1)*100</f>
        <v>10.471329161918153</v>
      </c>
      <c r="R17" s="2005">
        <f>F17/J17</f>
        <v>0.65744804150317615</v>
      </c>
      <c r="T17" s="2005">
        <f>F18/H17</f>
        <v>0.67942598231095874</v>
      </c>
      <c r="V17" s="1849">
        <f>qtrSales!I19</f>
        <v>333</v>
      </c>
      <c r="X17" s="1962">
        <f>H17/V17</f>
        <v>2.2792822822822822</v>
      </c>
      <c r="Z17" s="2003" t="s">
        <v>90</v>
      </c>
      <c r="AB17" s="2008">
        <f>qtrSales!Y19</f>
        <v>25.34776119402985</v>
      </c>
      <c r="AD17" s="1540">
        <f>H17/AB17</f>
        <v>29.943512335865275</v>
      </c>
      <c r="AF17" s="2003" t="s">
        <v>90</v>
      </c>
      <c r="AH17" s="1780">
        <f>J17/(F17/(365/4))</f>
        <v>138.7942380836177</v>
      </c>
      <c r="AJ17" s="1780">
        <f>H17/(F18/(365/4))</f>
        <v>134.30454880401797</v>
      </c>
    </row>
    <row r="18" spans="1:40" hidden="1" outlineLevel="1">
      <c r="A18" s="1282" t="s">
        <v>107</v>
      </c>
      <c r="B18" s="1282" t="s">
        <v>321</v>
      </c>
      <c r="D18" s="1312">
        <f>INDEX('qtrP&amp;L'!$C$13:$AG$13,MATCH(B15,'qtrP&amp;L'!$C$7:$AG$7,0))</f>
        <v>807.65</v>
      </c>
      <c r="F18" s="1312">
        <f>INDEX('qtrP&amp;L'!$C$23:$AG$23,MATCH(B15,'qtrP&amp;L'!$C$7:$AG$7,0))</f>
        <v>515.68499999999995</v>
      </c>
      <c r="H18" s="1312">
        <f>INDEX(work!$12:$12,MATCH(turn!B15,work!$7:$7,0))</f>
        <v>583.38599999999997</v>
      </c>
      <c r="J18" s="1540">
        <f>AVERAGE(H18,H17)</f>
        <v>671.19349999999997</v>
      </c>
      <c r="L18" s="2011">
        <f>(D18/D11-1)*100</f>
        <v>2.5523491236735696</v>
      </c>
      <c r="N18" s="1851">
        <f>(H18/H11-1)*100</f>
        <v>1.6472334701671976</v>
      </c>
      <c r="P18" s="1851">
        <f>(H18/H17-1)*100</f>
        <v>-23.137650675032052</v>
      </c>
      <c r="R18" s="2005">
        <f>F18/J18</f>
        <v>0.76831047976477718</v>
      </c>
      <c r="T18" s="2005">
        <f>F19/H18</f>
        <v>0.62579321409838429</v>
      </c>
      <c r="V18" s="1849">
        <f>qtrSales!I20</f>
        <v>331</v>
      </c>
      <c r="X18" s="1962">
        <f>H18/V18</f>
        <v>1.7624954682779455</v>
      </c>
      <c r="Z18" s="2003" t="s">
        <v>90</v>
      </c>
      <c r="AB18" s="2008">
        <f>qtrSales!Y20</f>
        <v>25.1955223880597</v>
      </c>
      <c r="AD18" s="1540">
        <f>H18/AB18</f>
        <v>23.154352230318111</v>
      </c>
      <c r="AF18" s="2003" t="s">
        <v>90</v>
      </c>
      <c r="AH18" s="1780">
        <f>J18/(F18/(365/4))</f>
        <v>118.76709013254217</v>
      </c>
      <c r="AJ18" s="1780">
        <f>H18/(F19/(365/4))</f>
        <v>145.81494005407046</v>
      </c>
    </row>
    <row r="19" spans="1:40" hidden="1" outlineLevel="1">
      <c r="A19" s="1282" t="s">
        <v>108</v>
      </c>
      <c r="B19" s="1282" t="s">
        <v>318</v>
      </c>
      <c r="D19" s="1290">
        <f>INDEX('qtrP&amp;L'!$C$14:$AG$14,MATCH(B15,'qtrP&amp;L'!$C$7:$AG$7,0))</f>
        <v>609.39800000000002</v>
      </c>
      <c r="F19" s="1290">
        <f>INDEX('qtrP&amp;L'!$C$24:$AG$24,MATCH(B15,'qtrP&amp;L'!$C$7:$AG$7,0))</f>
        <v>365.07900000000001</v>
      </c>
      <c r="H19" s="1540">
        <f>INDEX(work!$13:$13,MATCH(turn!B15,work!$7:$7,0))</f>
        <v>583.13300000000004</v>
      </c>
      <c r="J19" s="1290">
        <f>AVERAGE(H19,H18)</f>
        <v>583.2595</v>
      </c>
      <c r="L19" s="1859">
        <f>(D19/D12-1)*100</f>
        <v>9.9705810368422298E-2</v>
      </c>
      <c r="N19" s="1851">
        <f>(H19/H12-1)*100</f>
        <v>3.2729893810701016</v>
      </c>
      <c r="P19" s="1851">
        <f>(H19/H18-1)*100</f>
        <v>-4.3367513104519695E-2</v>
      </c>
      <c r="R19" s="2005">
        <f>F19/J19</f>
        <v>0.62592893900570845</v>
      </c>
      <c r="T19" s="2005">
        <f>F23/H19</f>
        <v>0.57095722588157416</v>
      </c>
      <c r="V19" s="1849">
        <f>qtrSales!I21</f>
        <v>335</v>
      </c>
      <c r="X19" s="1962">
        <f>H19/V19</f>
        <v>1.7406955223880598</v>
      </c>
      <c r="Z19" s="1851">
        <f>(X19/X12-1)*100</f>
        <v>-1.6594519028018895</v>
      </c>
      <c r="AB19" s="2008">
        <f>qtrSales!Y21</f>
        <v>25.5</v>
      </c>
      <c r="AD19" s="1540">
        <f>H19/AB19</f>
        <v>22.867960784313727</v>
      </c>
      <c r="AF19" s="1851">
        <f>(AD19/AD12-1)*100</f>
        <v>-2.7978424260759249</v>
      </c>
      <c r="AH19" s="1780">
        <f>J19/(F19/(365/4))</f>
        <v>145.78332189745231</v>
      </c>
      <c r="AJ19" s="1780">
        <f>H19/(F23/(365/4))</f>
        <v>159.81932772478254</v>
      </c>
    </row>
    <row r="20" spans="1:40" hidden="1" outlineLevel="1">
      <c r="B20" s="1795" t="s">
        <v>67</v>
      </c>
      <c r="C20" s="1795"/>
      <c r="D20" s="1291">
        <f>INDEX('qtrP&amp;L'!$C$15:$AG$15,MATCH(B15,'qtrP&amp;L'!$C$7:$AG$7,0))</f>
        <v>2678.1280000000002</v>
      </c>
      <c r="F20" s="1291">
        <f>INDEX('qtrP&amp;L'!$C$25:$AG$25,MATCH(B15,'qtrP&amp;L'!$C$7:$AG$7,0))</f>
        <v>1660.17</v>
      </c>
      <c r="J20" s="1291">
        <f>AVERAGE(J16:J19)</f>
        <v>650.83412499999997</v>
      </c>
      <c r="L20" s="1797">
        <f>(D20/D13-1)*100</f>
        <v>4.8701188092680647</v>
      </c>
      <c r="N20" s="1687"/>
      <c r="R20" s="2010">
        <f>F20/J20</f>
        <v>2.5508342851567596</v>
      </c>
      <c r="S20" s="1546" t="s">
        <v>134</v>
      </c>
      <c r="V20" s="1849"/>
      <c r="AB20" s="1779"/>
    </row>
    <row r="21" spans="1:40" hidden="1" outlineLevel="1">
      <c r="B21" s="1795"/>
      <c r="C21" s="1795"/>
      <c r="D21" s="1291"/>
      <c r="F21" s="1291"/>
      <c r="L21" s="1687"/>
      <c r="N21" s="1687"/>
      <c r="V21" s="1849"/>
      <c r="AB21" s="1779"/>
    </row>
    <row r="22" spans="1:40" hidden="1" outlineLevel="1">
      <c r="B22" s="1942" t="s">
        <v>166</v>
      </c>
      <c r="C22" s="1942"/>
      <c r="AB22" s="1779"/>
      <c r="AL22" s="1349"/>
      <c r="AM22" s="1349"/>
      <c r="AN22" s="1349"/>
    </row>
    <row r="23" spans="1:40" hidden="1" outlineLevel="1">
      <c r="A23" s="1282" t="s">
        <v>105</v>
      </c>
      <c r="B23" s="1282" t="s">
        <v>320</v>
      </c>
      <c r="D23" s="1291">
        <f>INDEX('qtrP&amp;L'!$C$11:$AG$11,MATCH(B22,'qtrP&amp;L'!$C$7:$AG$7,0))</f>
        <v>531.52099999999996</v>
      </c>
      <c r="F23" s="1291">
        <f>INDEX('qtrP&amp;L'!$C$21:$AG$21,MATCH(B22,'qtrP&amp;L'!$C$7:$AG$7,0))</f>
        <v>332.94400000000002</v>
      </c>
      <c r="H23" s="1291">
        <f>INDEX(work!$10:$10,MATCH(turn!B22,work!$7:$7,0))</f>
        <v>669.94399999999996</v>
      </c>
      <c r="J23" s="1681">
        <f>AVERAGE(H23,H19)</f>
        <v>626.5385</v>
      </c>
      <c r="L23" s="2011">
        <f>(D23/D16-1)*100</f>
        <v>3.7488654441115044</v>
      </c>
      <c r="N23" s="1851">
        <f>(H23/H16-1)*100</f>
        <v>-2.4907685970742</v>
      </c>
      <c r="P23" s="1851">
        <f>(H23/H19-1)*100</f>
        <v>14.886998334856694</v>
      </c>
      <c r="R23" s="2005">
        <f>F23/J23</f>
        <v>0.53140230009807865</v>
      </c>
      <c r="S23" s="1282" t="s">
        <v>134</v>
      </c>
      <c r="T23" s="2005">
        <f>F24/H23</f>
        <v>0.72688911311990267</v>
      </c>
      <c r="V23" s="1849">
        <f>qtrSales!I25</f>
        <v>337</v>
      </c>
      <c r="X23" s="1962">
        <f>H23/V23</f>
        <v>1.9879643916913945</v>
      </c>
      <c r="Z23" s="1851">
        <f>(X23/X16-1)*100</f>
        <v>-6.2522523010446367</v>
      </c>
      <c r="AB23" s="2008">
        <f>qtrSales!Y25</f>
        <v>26.375802292263611</v>
      </c>
      <c r="AD23" s="1681">
        <f>H23/AB23</f>
        <v>25.399947746670207</v>
      </c>
      <c r="AF23" s="1851">
        <f>(AD23/AD16-1)*100</f>
        <v>-8.8240204090089591</v>
      </c>
      <c r="AH23" s="1780">
        <f>J23/(F23/(365/4))</f>
        <v>171.71547805336633</v>
      </c>
      <c r="AJ23" s="1780">
        <f>H23/(F24/(365/4))</f>
        <v>125.53496586067045</v>
      </c>
    </row>
    <row r="24" spans="1:40" hidden="1" outlineLevel="1">
      <c r="A24" s="1282" t="s">
        <v>106</v>
      </c>
      <c r="B24" s="1282" t="s">
        <v>319</v>
      </c>
      <c r="D24" s="1312">
        <f>INDEX('qtrP&amp;L'!$C$12:$AG$12,MATCH(B22,'qtrP&amp;L'!$C$7:$AG$7,0))</f>
        <v>794.06500000000005</v>
      </c>
      <c r="F24" s="1312">
        <f>INDEX('qtrP&amp;L'!$C$22:$AG$22,MATCH(B22,'qtrP&amp;L'!$C$7:$AG$7,0))</f>
        <v>486.97500000000002</v>
      </c>
      <c r="H24" s="1312">
        <f>INDEX(work!$11:$11,MATCH(turn!B22,work!$7:$7,0))</f>
        <v>790.89499999999998</v>
      </c>
      <c r="J24" s="1540">
        <f>AVERAGE(H24,H23)</f>
        <v>730.41949999999997</v>
      </c>
      <c r="L24" s="2011">
        <f>(D24/D17-1)*100</f>
        <v>0.41401583983631252</v>
      </c>
      <c r="N24" s="1851">
        <f>(H24/H17-1)*100</f>
        <v>4.2021025005237078</v>
      </c>
      <c r="P24" s="1851">
        <f>(H24/H23-1)*100</f>
        <v>18.053897042140843</v>
      </c>
      <c r="R24" s="2005">
        <f>F24/J24</f>
        <v>0.66670591351955966</v>
      </c>
      <c r="T24" s="2005">
        <f>F25/H24</f>
        <v>0.69416294198344919</v>
      </c>
      <c r="V24" s="1849">
        <f>qtrSales!I26</f>
        <v>344</v>
      </c>
      <c r="X24" s="1962">
        <f>H24/V24</f>
        <v>2.2991133720930232</v>
      </c>
      <c r="Z24" s="1851">
        <f>(X24/X17-1)*100</f>
        <v>0.87005852521626625</v>
      </c>
      <c r="AB24" s="2008">
        <f>qtrSales!Y26</f>
        <v>26.923667621776506</v>
      </c>
      <c r="AD24" s="1540">
        <f>H24/AB24</f>
        <v>29.375455495532311</v>
      </c>
      <c r="AF24" s="1851">
        <f>(AD24/AD17-1)*100</f>
        <v>-1.8970948830627554</v>
      </c>
      <c r="AH24" s="1780">
        <f>J24/(F24/(365/4))</f>
        <v>136.86694260485652</v>
      </c>
      <c r="AJ24" s="1780">
        <f>H24/(F25/(365/4))</f>
        <v>131.45328637001148</v>
      </c>
    </row>
    <row r="25" spans="1:40" hidden="1" outlineLevel="1">
      <c r="A25" s="1282" t="s">
        <v>107</v>
      </c>
      <c r="B25" s="1282" t="s">
        <v>321</v>
      </c>
      <c r="D25" s="1312">
        <f>INDEX('qtrP&amp;L'!$C$13:$AG$13,MATCH(B22,'qtrP&amp;L'!$C$7:$AG$7,0))</f>
        <v>857.77599999999995</v>
      </c>
      <c r="F25" s="1312">
        <f>INDEX('qtrP&amp;L'!$C$23:$AG$23,MATCH(B22,'qtrP&amp;L'!$C$7:$AG$7,0))</f>
        <v>549.01</v>
      </c>
      <c r="H25" s="1312">
        <f>INDEX(work!$12:$12,MATCH(turn!B22,work!$7:$7,0))</f>
        <v>608.16099999999994</v>
      </c>
      <c r="J25" s="1540">
        <f>AVERAGE(H25,H24)</f>
        <v>699.52800000000002</v>
      </c>
      <c r="L25" s="2011">
        <f>(D25/D18-1)*100</f>
        <v>6.2064012876865027</v>
      </c>
      <c r="N25" s="1851">
        <f>(H25/H18-1)*100</f>
        <v>4.2467594354338223</v>
      </c>
      <c r="P25" s="1851">
        <f>(H25/H24-1)*100</f>
        <v>-23.104710486221315</v>
      </c>
      <c r="R25" s="2005">
        <f>F25/J25</f>
        <v>0.7848291991171189</v>
      </c>
      <c r="T25" s="2005">
        <f>F26/H25</f>
        <v>0.65928758996384185</v>
      </c>
      <c r="V25" s="1849">
        <f>qtrSales!I27</f>
        <v>341</v>
      </c>
      <c r="X25" s="1962">
        <f>H25/V25</f>
        <v>1.7834633431085043</v>
      </c>
      <c r="Z25" s="1851">
        <f>(X25/X18-1)*100</f>
        <v>1.1896697159196501</v>
      </c>
      <c r="AB25" s="2008">
        <f>qtrSales!Y27</f>
        <v>26.688868194842406</v>
      </c>
      <c r="AD25" s="1540">
        <f>H25/AB25</f>
        <v>22.787065961737799</v>
      </c>
      <c r="AF25" s="1851">
        <f>(AD25/AD18-1)*100</f>
        <v>-1.586251538919714</v>
      </c>
      <c r="AH25" s="1780">
        <f>J25/(F25/(365/4))</f>
        <v>116.2673357498042</v>
      </c>
      <c r="AJ25" s="1780">
        <f>H25/(F26/(365/4))</f>
        <v>138.40697351061095</v>
      </c>
    </row>
    <row r="26" spans="1:40" hidden="1" outlineLevel="1">
      <c r="A26" s="1282" t="s">
        <v>108</v>
      </c>
      <c r="B26" s="1282" t="s">
        <v>318</v>
      </c>
      <c r="D26" s="1290">
        <f>INDEX('qtrP&amp;L'!$C$14:$AG$14,MATCH(B22,'qtrP&amp;L'!$C$7:$AG$7,0))</f>
        <v>684.82</v>
      </c>
      <c r="F26" s="1290">
        <f>INDEX('qtrP&amp;L'!$C$24:$AG$24,MATCH(B22,'qtrP&amp;L'!$C$7:$AG$7,0))</f>
        <v>400.95299999999997</v>
      </c>
      <c r="H26" s="1540">
        <f>INDEX(work!$13:$13,MATCH(turn!B22,work!$7:$7,0))</f>
        <v>622.53800000000001</v>
      </c>
      <c r="J26" s="1290">
        <f>AVERAGE(H26,H25)</f>
        <v>615.34950000000003</v>
      </c>
      <c r="L26" s="1859">
        <f>(D26/D19-1)*100</f>
        <v>12.376476457093721</v>
      </c>
      <c r="N26" s="1851">
        <f>(H26/H19-1)*100</f>
        <v>6.7574635632008384</v>
      </c>
      <c r="P26" s="1851">
        <f>(H26/H25-1)*100</f>
        <v>2.3640121612533704</v>
      </c>
      <c r="R26" s="2005">
        <f>F26/J26</f>
        <v>0.65158580611506134</v>
      </c>
      <c r="T26" s="2005">
        <f>F30/H26</f>
        <v>0.59745911092977455</v>
      </c>
      <c r="V26" s="1849">
        <f>qtrSales!I28</f>
        <v>349</v>
      </c>
      <c r="X26" s="1962">
        <f>H26/V26</f>
        <v>1.7837765042979943</v>
      </c>
      <c r="Z26" s="1851">
        <f>(X26/X19-1)*100</f>
        <v>2.4749292082300256</v>
      </c>
      <c r="AB26" s="2008">
        <f>qtrSales!Y28</f>
        <v>27.315000000000001</v>
      </c>
      <c r="AD26" s="1540">
        <f>H26/AB26</f>
        <v>22.791067179205562</v>
      </c>
      <c r="AF26" s="1851">
        <f>(AD26/AD19-1)*100</f>
        <v>-0.33625038031772636</v>
      </c>
      <c r="AH26" s="1780">
        <f>J26/(F26/(365/4))</f>
        <v>140.04295235351776</v>
      </c>
      <c r="AJ26" s="1780">
        <f>H26/(F30/(365/4))</f>
        <v>152.73011714223492</v>
      </c>
    </row>
    <row r="27" spans="1:40" hidden="1" outlineLevel="1">
      <c r="B27" s="1795" t="s">
        <v>67</v>
      </c>
      <c r="C27" s="1795"/>
      <c r="D27" s="1291">
        <f>INDEX('qtrP&amp;L'!$C$15:$AG$15,MATCH(B22,'qtrP&amp;L'!$C$7:$AG$7,0))</f>
        <v>2859.96</v>
      </c>
      <c r="F27" s="1291">
        <f>INDEX('qtrP&amp;L'!$C$25:$AG$25,MATCH(B22,'qtrP&amp;L'!$C$7:$AG$7,0))</f>
        <v>1765.4780000000001</v>
      </c>
      <c r="J27" s="1291">
        <f>AVERAGE(J23:J26)</f>
        <v>667.95887500000003</v>
      </c>
      <c r="L27" s="1797">
        <f>(D27/D20-1)*100</f>
        <v>6.7895186488472481</v>
      </c>
      <c r="R27" s="2010">
        <f>F27/J27</f>
        <v>2.6430938581361016</v>
      </c>
      <c r="S27" s="1546" t="s">
        <v>134</v>
      </c>
      <c r="V27" s="1849"/>
      <c r="AB27" s="1779"/>
    </row>
    <row r="28" spans="1:40" hidden="1" outlineLevel="1">
      <c r="AB28" s="1779"/>
    </row>
    <row r="29" spans="1:40" hidden="1" outlineLevel="1">
      <c r="B29" s="1942" t="s">
        <v>96</v>
      </c>
      <c r="C29" s="1942"/>
      <c r="AB29" s="1779"/>
    </row>
    <row r="30" spans="1:40" hidden="1" outlineLevel="1">
      <c r="A30" s="1282" t="s">
        <v>105</v>
      </c>
      <c r="B30" s="1282" t="s">
        <v>320</v>
      </c>
      <c r="D30" s="1291">
        <f>INDEX('qtrP&amp;L'!$C$11:$AG$11,MATCH(B29,'qtrP&amp;L'!$C$7:$AG$7,0))</f>
        <v>580.55899999999997</v>
      </c>
      <c r="F30" s="1291">
        <f>INDEX('qtrP&amp;L'!$C$21:$AG$21,MATCH(B29,'qtrP&amp;L'!$C$7:$AG$7,0))</f>
        <v>371.94099999999997</v>
      </c>
      <c r="H30" s="1291">
        <f>INDEX(work!$10:$10,MATCH(turn!B29,work!$7:$7,0))</f>
        <v>727.76400000000001</v>
      </c>
      <c r="J30" s="1681">
        <f>AVERAGE(H30,H26)</f>
        <v>675.15100000000007</v>
      </c>
      <c r="L30" s="2011">
        <f>(D30/D23-1)*100</f>
        <v>9.225976019762161</v>
      </c>
      <c r="N30" s="1851">
        <f>(H30/H23-1)*100</f>
        <v>8.6305721075194519</v>
      </c>
      <c r="P30" s="1851">
        <f>(H30/H26-1)*100</f>
        <v>16.902743286353594</v>
      </c>
      <c r="R30" s="2005">
        <f>F30/J30</f>
        <v>0.55090046522925973</v>
      </c>
      <c r="S30" s="1282" t="s">
        <v>134</v>
      </c>
      <c r="T30" s="2005">
        <f>F31/H30</f>
        <v>0.74225573125353828</v>
      </c>
      <c r="V30" s="1849">
        <f>qtrSales!I32</f>
        <v>350</v>
      </c>
      <c r="X30" s="1962">
        <f>H30/V30</f>
        <v>2.0793257142857144</v>
      </c>
      <c r="Z30" s="1851">
        <f>(X30/X23-1)*100</f>
        <v>4.5957222863830083</v>
      </c>
      <c r="AB30" s="2008">
        <f>qtrSales!Y32</f>
        <v>28.328729281767956</v>
      </c>
      <c r="AD30" s="1681">
        <f>H30/AB30</f>
        <v>25.689962749878109</v>
      </c>
      <c r="AF30" s="1851">
        <f>(AD30/AD23-1)*100</f>
        <v>1.1417937001304335</v>
      </c>
      <c r="AH30" s="1780">
        <f>J30/(F30/(365/4))</f>
        <v>165.63790695298448</v>
      </c>
      <c r="AJ30" s="1780">
        <f>H30/(F31/(365/4))</f>
        <v>122.93606658434949</v>
      </c>
    </row>
    <row r="31" spans="1:40" hidden="1" outlineLevel="1">
      <c r="A31" s="1282" t="s">
        <v>106</v>
      </c>
      <c r="B31" s="1282" t="s">
        <v>319</v>
      </c>
      <c r="D31" s="1312">
        <f>INDEX('qtrP&amp;L'!$C$12:$AG$12,MATCH(B29,'qtrP&amp;L'!$C$7:$AG$7,0))</f>
        <v>879.96600000000001</v>
      </c>
      <c r="F31" s="1312">
        <f>INDEX('qtrP&amp;L'!$C$22:$AG$22,MATCH(B29,'qtrP&amp;L'!$C$7:$AG$7,0))</f>
        <v>540.18700000000001</v>
      </c>
      <c r="H31" s="1312">
        <f>INDEX(work!$11:$11,MATCH(turn!B29,work!$7:$7,0))</f>
        <v>880.03899999999999</v>
      </c>
      <c r="J31" s="1540">
        <f>AVERAGE(H31,H30)</f>
        <v>803.90149999999994</v>
      </c>
      <c r="L31" s="2011">
        <f>(D31/D24-1)*100</f>
        <v>10.817880148350568</v>
      </c>
      <c r="N31" s="1851">
        <f>(H31/H24-1)*100</f>
        <v>11.27128126995367</v>
      </c>
      <c r="P31" s="1851">
        <f>(H31/H30-1)*100</f>
        <v>20.923678555135993</v>
      </c>
      <c r="R31" s="2005">
        <f>F31/J31</f>
        <v>0.67195670116301565</v>
      </c>
      <c r="T31" s="2005">
        <f>F32/H31</f>
        <v>0.69429877539518137</v>
      </c>
      <c r="V31" s="1849">
        <f>qtrSales!I33</f>
        <v>360</v>
      </c>
      <c r="X31" s="1962">
        <f>H31/V31</f>
        <v>2.4445527777777776</v>
      </c>
      <c r="Z31" s="1851">
        <f>(X31/X24-1)*100</f>
        <v>6.3258909912890404</v>
      </c>
      <c r="AB31" s="2008">
        <f>qtrSales!Y33</f>
        <v>29.138121546961326</v>
      </c>
      <c r="AD31" s="1540">
        <f>H31/AB31</f>
        <v>30.202324421691316</v>
      </c>
      <c r="AF31" s="1851">
        <f>(AD31/AD24-1)*100</f>
        <v>2.8148292927228313</v>
      </c>
      <c r="AH31" s="1780">
        <f>J31/(F31/(365/4))</f>
        <v>135.79744028456813</v>
      </c>
      <c r="AJ31" s="1780">
        <f>H31/(F32/(365/4))</f>
        <v>131.42756869772998</v>
      </c>
    </row>
    <row r="32" spans="1:40" hidden="1" outlineLevel="1">
      <c r="A32" s="1282" t="s">
        <v>107</v>
      </c>
      <c r="B32" s="1282" t="s">
        <v>321</v>
      </c>
      <c r="D32" s="1312">
        <f>INDEX('qtrP&amp;L'!$C$13:$AG$13,MATCH(B29,'qtrP&amp;L'!$C$7:$AG$7,0))</f>
        <v>975.62099999999998</v>
      </c>
      <c r="F32" s="1312">
        <f>INDEX('qtrP&amp;L'!$C$23:$AG$23,MATCH(B29,'qtrP&amp;L'!$C$7:$AG$7,0))</f>
        <v>611.01</v>
      </c>
      <c r="H32" s="1312">
        <f>INDEX(work!$12:$12,MATCH(turn!B29,work!$7:$7,0))</f>
        <v>173.08799999999999</v>
      </c>
      <c r="J32" s="1540">
        <f>AVERAGE(H32,H31)</f>
        <v>526.56349999999998</v>
      </c>
      <c r="L32" s="2011">
        <f>(D32/D25-1)*100</f>
        <v>13.738435209192158</v>
      </c>
      <c r="N32" s="1851">
        <f>(H32/H25-1)*100</f>
        <v>-71.539115464490493</v>
      </c>
      <c r="P32" s="1851">
        <f>(H32/H31-1)*100</f>
        <v>-80.331780750625825</v>
      </c>
      <c r="R32" s="2005">
        <f>F32/J32</f>
        <v>1.1603728705084952</v>
      </c>
      <c r="T32" s="2005">
        <f>F33/H32</f>
        <v>2.6808386485487152</v>
      </c>
      <c r="V32" s="1849">
        <f>qtrSales!I34</f>
        <v>359</v>
      </c>
      <c r="X32" s="1962">
        <f>H32/V32</f>
        <v>0.48213927576601667</v>
      </c>
      <c r="Z32" s="1851">
        <f>(X32/X25-1)*100</f>
        <v>-72.966123602761158</v>
      </c>
      <c r="AB32" s="2008">
        <f>qtrSales!Y34</f>
        <v>29.057182320441992</v>
      </c>
      <c r="AD32" s="1540">
        <f>H32/AB32</f>
        <v>5.9568060691910585</v>
      </c>
      <c r="AF32" s="1851">
        <f>(AD32/AD25-1)*100</f>
        <v>-73.858828165094863</v>
      </c>
      <c r="AH32" s="1780">
        <f>J32/(F32/(365/4))</f>
        <v>78.638515531660687</v>
      </c>
      <c r="AJ32" s="1780">
        <f>H32/(F33/(365/4))</f>
        <v>34.037856045308295</v>
      </c>
    </row>
    <row r="33" spans="1:40" hidden="1" outlineLevel="1">
      <c r="A33" s="1282" t="s">
        <v>108</v>
      </c>
      <c r="B33" s="1282" t="s">
        <v>318</v>
      </c>
      <c r="D33" s="1290">
        <f>INDEX('qtrP&amp;L'!$C$14:$AG$14,MATCH(B29,'qtrP&amp;L'!$C$7:$AG$7,0))</f>
        <v>763.69399999999996</v>
      </c>
      <c r="F33" s="1290">
        <f>INDEX('qtrP&amp;L'!$C$24:$AG$24,MATCH(B29,'qtrP&amp;L'!$C$7:$AG$7,0))</f>
        <v>464.02100000000002</v>
      </c>
      <c r="H33" s="1540">
        <f>INDEX(work!$13:$13,MATCH(turn!B29,work!$7:$7,0))</f>
        <v>720.88199999999995</v>
      </c>
      <c r="J33" s="1290">
        <f>AVERAGE(H33,H32)</f>
        <v>446.98499999999996</v>
      </c>
      <c r="L33" s="1859">
        <f>(D33/D26-1)*100</f>
        <v>11.517479045588619</v>
      </c>
      <c r="N33" s="1851">
        <f>(H33/H26-1)*100</f>
        <v>15.797268600470971</v>
      </c>
      <c r="P33" s="1851">
        <f>(H33/H32-1)*100</f>
        <v>316.48294509151407</v>
      </c>
      <c r="R33" s="2005">
        <f>F33/J33</f>
        <v>1.0381131357875546</v>
      </c>
      <c r="T33" s="2005">
        <f>F37/H33</f>
        <v>0.59002028071168378</v>
      </c>
      <c r="V33" s="1849">
        <f>qtrSales!I35</f>
        <v>362</v>
      </c>
      <c r="X33" s="1962">
        <f>H33/V33</f>
        <v>1.9913867403314915</v>
      </c>
      <c r="Z33" s="1851">
        <f>(X33/X26-1)*100</f>
        <v>11.638803153492727</v>
      </c>
      <c r="AB33" s="2008">
        <f>qtrSales!Y35</f>
        <v>29.3</v>
      </c>
      <c r="AD33" s="1540">
        <f>H33/AB33</f>
        <v>24.60348122866894</v>
      </c>
      <c r="AF33" s="1851">
        <f>(AD33/AD26-1)*100</f>
        <v>7.9523000621796847</v>
      </c>
      <c r="AH33" s="1780">
        <f>J33/(F33/(365/4))</f>
        <v>87.899860674409126</v>
      </c>
      <c r="AJ33" s="1780">
        <f>H33/(F37/(365/4))</f>
        <v>154.65570080054545</v>
      </c>
    </row>
    <row r="34" spans="1:40" hidden="1" outlineLevel="1">
      <c r="B34" s="1795" t="s">
        <v>67</v>
      </c>
      <c r="C34" s="1795"/>
      <c r="D34" s="1291">
        <f>INDEX('qtrP&amp;L'!$C$15:$AG$15,MATCH(B29,'qtrP&amp;L'!$C$7:$AG$7,0))</f>
        <v>3199.84</v>
      </c>
      <c r="F34" s="1291">
        <f>INDEX('qtrP&amp;L'!$C$25:$AG$25,MATCH(B29,'qtrP&amp;L'!$C$7:$AG$7,0))</f>
        <v>1987.1590000000001</v>
      </c>
      <c r="J34" s="1291">
        <f>AVERAGE(J30:J33)</f>
        <v>613.15025000000003</v>
      </c>
      <c r="L34" s="1797">
        <f>(D34/D27-1)*100</f>
        <v>11.884082294857269</v>
      </c>
      <c r="N34" s="1687"/>
      <c r="R34" s="2010">
        <f>F34/J34</f>
        <v>3.2409005786102183</v>
      </c>
      <c r="S34" s="1546" t="s">
        <v>134</v>
      </c>
      <c r="V34" s="1849"/>
      <c r="AB34" s="1779"/>
    </row>
    <row r="35" spans="1:40" hidden="1" outlineLevel="1">
      <c r="B35" s="1795"/>
      <c r="C35" s="1795"/>
      <c r="D35" s="1291"/>
      <c r="F35" s="1291"/>
      <c r="L35" s="1687"/>
      <c r="N35" s="1687"/>
      <c r="V35" s="1849"/>
      <c r="AB35" s="1779"/>
    </row>
    <row r="36" spans="1:40" hidden="1" outlineLevel="1">
      <c r="B36" s="1942" t="s">
        <v>95</v>
      </c>
      <c r="C36" s="1942"/>
      <c r="AL36" s="1349"/>
      <c r="AM36" s="1349"/>
      <c r="AN36" s="1349"/>
    </row>
    <row r="37" spans="1:40" hidden="1" outlineLevel="1">
      <c r="A37" s="1282" t="s">
        <v>105</v>
      </c>
      <c r="B37" s="1282" t="s">
        <v>320</v>
      </c>
      <c r="D37" s="1291">
        <f>INDEX('qtrP&amp;L'!$C$11:$AG$11,MATCH(B36,'qtrP&amp;L'!$C$7:$AG$7,0))</f>
        <v>658.17200000000003</v>
      </c>
      <c r="F37" s="1291">
        <f>INDEX('qtrP&amp;L'!$C$21:$AG$21,MATCH(B36,'qtrP&amp;L'!$C$7:$AG$7,0))</f>
        <v>425.33499999999998</v>
      </c>
      <c r="H37" s="1291">
        <f>INDEX(work!$10:$10,MATCH(turn!B36,work!$7:$7,0))</f>
        <v>771.971</v>
      </c>
      <c r="J37" s="1681">
        <f>AVERAGE(H37,H33)</f>
        <v>746.42650000000003</v>
      </c>
      <c r="L37" s="2011">
        <f>(D37/D30-1)*100</f>
        <v>13.368667094989494</v>
      </c>
      <c r="N37" s="1851">
        <f>(H37/H30-1)*100</f>
        <v>6.0743592703129012</v>
      </c>
      <c r="P37" s="1851">
        <f>(H37/H33-1)*100</f>
        <v>7.0870128536986821</v>
      </c>
      <c r="R37" s="2005">
        <f>F37/J37</f>
        <v>0.56982837560027677</v>
      </c>
      <c r="S37" s="1282" t="s">
        <v>134</v>
      </c>
      <c r="T37" s="2005">
        <f>F38/H37</f>
        <v>0.76262061657756575</v>
      </c>
      <c r="V37" s="1849">
        <f>qtrSales!I39</f>
        <v>362</v>
      </c>
      <c r="X37" s="1962">
        <f>H37/V37</f>
        <v>2.1325165745856354</v>
      </c>
      <c r="Z37" s="1851">
        <f>(X37/X30-1)*100</f>
        <v>2.5580821674295873</v>
      </c>
      <c r="AB37" s="2008">
        <f>qtrSales!Y39</f>
        <v>28.96</v>
      </c>
      <c r="AD37" s="1681">
        <f>H37/AB37</f>
        <v>26.656457182320441</v>
      </c>
      <c r="AF37" s="1851">
        <f>(AD37/AD30-1)*100</f>
        <v>3.762148049229519</v>
      </c>
      <c r="AH37" s="1780">
        <f>J37/(F37/(365/4))</f>
        <v>160.13593549790167</v>
      </c>
      <c r="AJ37" s="1780">
        <f>H37/(F38/(365/4))</f>
        <v>119.65320372468453</v>
      </c>
    </row>
    <row r="38" spans="1:40" hidden="1" outlineLevel="1">
      <c r="A38" s="1282" t="s">
        <v>106</v>
      </c>
      <c r="B38" s="1282" t="s">
        <v>319</v>
      </c>
      <c r="D38" s="1312">
        <f>INDEX('qtrP&amp;L'!$C$12:$AG$12,MATCH(B36,'qtrP&amp;L'!$C$7:$AG$7,0))</f>
        <v>953.92600000000004</v>
      </c>
      <c r="F38" s="1312">
        <f>INDEX('qtrP&amp;L'!$C$22:$AG$22,MATCH(B36,'qtrP&amp;L'!$C$7:$AG$7,0))</f>
        <v>588.721</v>
      </c>
      <c r="H38" s="1312">
        <f>INDEX(work!$11:$11,MATCH(turn!B36,work!$7:$7,0))</f>
        <v>900.37199999999996</v>
      </c>
      <c r="J38" s="1540">
        <f>AVERAGE(H38,H37)</f>
        <v>836.17149999999992</v>
      </c>
      <c r="L38" s="2011">
        <f>(D38/D31-1)*100</f>
        <v>8.4048701881663579</v>
      </c>
      <c r="N38" s="1851">
        <f>(H38/H31-1)*100</f>
        <v>2.3104657861753752</v>
      </c>
      <c r="P38" s="1851">
        <f>(H38/H37-1)*100</f>
        <v>16.632878696220455</v>
      </c>
      <c r="R38" s="2005">
        <f>F38/J38</f>
        <v>0.70406728763178372</v>
      </c>
      <c r="T38" s="2005">
        <f>F39/H38</f>
        <v>0.72119079669292252</v>
      </c>
      <c r="V38" s="1849">
        <f>qtrSales!I40</f>
        <v>367</v>
      </c>
      <c r="X38" s="1962">
        <f>H38/V38</f>
        <v>2.4533297002724797</v>
      </c>
      <c r="Z38" s="1851">
        <f>(X38/X31-1)*100</f>
        <v>0.35904000823745452</v>
      </c>
      <c r="AB38" s="2008">
        <f>qtrSales!Y40</f>
        <v>29.36</v>
      </c>
      <c r="AD38" s="1540">
        <f>H38/AB38</f>
        <v>30.666621253405992</v>
      </c>
      <c r="AF38" s="1851">
        <f>(AD38/AD31-1)*100</f>
        <v>1.5372884061241932</v>
      </c>
      <c r="AH38" s="1780">
        <f>J38/(F38/(365/4))</f>
        <v>129.60408984051867</v>
      </c>
      <c r="AJ38" s="1780">
        <f>H38/(F39/(365/4))</f>
        <v>126.52685034034558</v>
      </c>
    </row>
    <row r="39" spans="1:40" hidden="1" outlineLevel="1">
      <c r="A39" s="1282" t="s">
        <v>107</v>
      </c>
      <c r="B39" s="1282" t="s">
        <v>321</v>
      </c>
      <c r="D39" s="1312">
        <f>INDEX('qtrP&amp;L'!$C$13:$AG$13,MATCH(B36,'qtrP&amp;L'!$C$7:$AG$7,0))</f>
        <v>1032.03</v>
      </c>
      <c r="F39" s="1312">
        <f>INDEX('qtrP&amp;L'!$C$23:$AG$23,MATCH(B36,'qtrP&amp;L'!$C$7:$AG$7,0))</f>
        <v>649.34</v>
      </c>
      <c r="H39" s="1312">
        <f>INDEX(work!$12:$12,MATCH(turn!B36,work!$7:$7,0))</f>
        <v>709.76199999999994</v>
      </c>
      <c r="J39" s="1540">
        <f>AVERAGE(H39,H38)</f>
        <v>805.06700000000001</v>
      </c>
      <c r="L39" s="2011">
        <f>(D39/D32-1)*100</f>
        <v>5.7818558641111739</v>
      </c>
      <c r="N39" s="1851">
        <f>(H39/H32-1)*100</f>
        <v>310.05846736919949</v>
      </c>
      <c r="P39" s="1851">
        <f>(H39/H38-1)*100</f>
        <v>-21.170138564948715</v>
      </c>
      <c r="R39" s="2005">
        <f>F39/J39</f>
        <v>0.80656641000065832</v>
      </c>
      <c r="T39" s="2005">
        <f>F40/H39</f>
        <v>0.73245256860750474</v>
      </c>
      <c r="V39" s="1849">
        <f>qtrSales!I41</f>
        <v>366</v>
      </c>
      <c r="X39" s="1962">
        <f>H39/V39</f>
        <v>1.9392404371584697</v>
      </c>
      <c r="Z39" s="1851">
        <f>(X39/X32-1)*100</f>
        <v>302.21581908618197</v>
      </c>
      <c r="AB39" s="2008">
        <f>qtrSales!Y41</f>
        <v>29.28</v>
      </c>
      <c r="AD39" s="1540">
        <f>H39/AB39</f>
        <v>24.240505464480872</v>
      </c>
      <c r="AF39" s="1851">
        <f>(AD39/AD32-1)*100</f>
        <v>306.93796613346456</v>
      </c>
      <c r="AH39" s="1780">
        <f>J39/(F39/(365/4))</f>
        <v>113.13389557088736</v>
      </c>
      <c r="AJ39" s="1780">
        <f>H39/(F40/(365/4))</f>
        <v>124.58144583133769</v>
      </c>
    </row>
    <row r="40" spans="1:40" hidden="1" outlineLevel="1">
      <c r="A40" s="1282" t="s">
        <v>108</v>
      </c>
      <c r="B40" s="1282" t="s">
        <v>318</v>
      </c>
      <c r="D40" s="1290">
        <f>INDEX('qtrP&amp;L'!$C$14:$AG$14,MATCH(B36,'qtrP&amp;L'!$C$7:$AG$7,0))</f>
        <v>826.42600000000039</v>
      </c>
      <c r="F40" s="1290">
        <f>INDEX('qtrP&amp;L'!$C$24:$AG$24,MATCH(B36,'qtrP&amp;L'!$C$7:$AG$7,0))</f>
        <v>519.86699999999973</v>
      </c>
      <c r="H40" s="1540">
        <f>INDEX(work!$13:$13,MATCH(turn!B36,work!$7:$7,0))</f>
        <v>708.18499999999995</v>
      </c>
      <c r="J40" s="1290">
        <f>AVERAGE(H40,H39)</f>
        <v>708.97349999999994</v>
      </c>
      <c r="L40" s="1859">
        <f>(D40/D33-1)*100</f>
        <v>8.214284778982206</v>
      </c>
      <c r="N40" s="1851">
        <f>(H40/H33-1)*100</f>
        <v>-1.7613146118227396</v>
      </c>
      <c r="P40" s="1851">
        <f>(H40/H39-1)*100</f>
        <v>-0.22218715569444214</v>
      </c>
      <c r="R40" s="2005">
        <f>F40/J40</f>
        <v>0.7332671813544509</v>
      </c>
      <c r="T40" s="2005">
        <f>F44/H40</f>
        <v>0.60282835699711235</v>
      </c>
      <c r="V40" s="1849">
        <f>qtrSales!I42</f>
        <v>368</v>
      </c>
      <c r="X40" s="1962">
        <f>H40/V40</f>
        <v>1.9244157608695651</v>
      </c>
      <c r="Z40" s="1851">
        <f>(X40/X33-1)*100</f>
        <v>-3.3630323083691072</v>
      </c>
      <c r="AB40" s="2008">
        <f>qtrSales!Y42</f>
        <v>29.44</v>
      </c>
      <c r="AD40" s="1540">
        <f>H40/AB40</f>
        <v>24.055197010869563</v>
      </c>
      <c r="AF40" s="1851">
        <f>(AD40/AD33-1)*100</f>
        <v>-2.2284822733154352</v>
      </c>
      <c r="AH40" s="1780">
        <f>J40/(F40/(365/4))</f>
        <v>124.44304384582985</v>
      </c>
      <c r="AJ40" s="1780">
        <f>H40/(F44/(365/4))</f>
        <v>151.36978700628228</v>
      </c>
    </row>
    <row r="41" spans="1:40" hidden="1" outlineLevel="1">
      <c r="B41" s="1795" t="s">
        <v>67</v>
      </c>
      <c r="C41" s="1795"/>
      <c r="D41" s="1291">
        <f>INDEX('qtrP&amp;L'!$C$15:$AG$15,MATCH(B36,'qtrP&amp;L'!$C$7:$AG$7,0))</f>
        <v>3470.5540000000001</v>
      </c>
      <c r="F41" s="1291">
        <f>INDEX('qtrP&amp;L'!$C$25:$AG$25,MATCH(B36,'qtrP&amp;L'!$C$7:$AG$7,0))</f>
        <v>2183.2629999999999</v>
      </c>
      <c r="J41" s="1291">
        <f>AVERAGE(J37:J40)</f>
        <v>774.15962500000001</v>
      </c>
      <c r="L41" s="1797">
        <f>(D41/D34-1)*100</f>
        <v>8.4602355117755934</v>
      </c>
      <c r="R41" s="2010">
        <f>F41/J41</f>
        <v>2.820171615123948</v>
      </c>
      <c r="S41" s="1546" t="s">
        <v>134</v>
      </c>
      <c r="V41" s="1849"/>
      <c r="AB41" s="1779"/>
    </row>
    <row r="42" spans="1:40" hidden="1" outlineLevel="1">
      <c r="AB42" s="1779"/>
    </row>
    <row r="43" spans="1:40" hidden="1" outlineLevel="1">
      <c r="B43" s="1942" t="s">
        <v>94</v>
      </c>
      <c r="C43" s="1942"/>
      <c r="AB43" s="1779"/>
    </row>
    <row r="44" spans="1:40" hidden="1" outlineLevel="1">
      <c r="A44" s="1282" t="s">
        <v>105</v>
      </c>
      <c r="B44" s="1282" t="s">
        <v>320</v>
      </c>
      <c r="D44" s="1291">
        <f>INDEX('qtrP&amp;L'!$C$11:$AG$11,MATCH(B43,'qtrP&amp;L'!$C$7:$AG$7,0))</f>
        <v>664.26599999999996</v>
      </c>
      <c r="F44" s="1291">
        <f>INDEX('qtrP&amp;L'!$C$21:$AG$21,MATCH(B43,'qtrP&amp;L'!$C$7:$AG$7,0))</f>
        <v>426.91399999999999</v>
      </c>
      <c r="H44" s="2012" t="str">
        <f>INDEX(work!$10:$10,MATCH(turn!B43,work!$7:$7,0))</f>
        <v>NA</v>
      </c>
      <c r="J44" s="2002" t="s">
        <v>90</v>
      </c>
      <c r="L44" s="2011">
        <f>(D44/D37-1)*100</f>
        <v>0.92589778963552138</v>
      </c>
      <c r="N44" s="2003" t="s">
        <v>90</v>
      </c>
      <c r="P44" s="2003" t="s">
        <v>90</v>
      </c>
      <c r="R44" s="2003" t="s">
        <v>90</v>
      </c>
      <c r="S44" s="1282" t="s">
        <v>134</v>
      </c>
      <c r="T44" s="2003" t="s">
        <v>90</v>
      </c>
      <c r="V44" s="1849">
        <f>qtrSales!I46</f>
        <v>366</v>
      </c>
      <c r="X44" s="2003" t="s">
        <v>90</v>
      </c>
      <c r="Z44" s="2003" t="s">
        <v>90</v>
      </c>
      <c r="AB44" s="2008">
        <f>qtrSales!Y46</f>
        <v>29.28</v>
      </c>
      <c r="AD44" s="2003" t="s">
        <v>90</v>
      </c>
      <c r="AF44" s="2003" t="s">
        <v>90</v>
      </c>
      <c r="AH44" s="2003" t="s">
        <v>90</v>
      </c>
      <c r="AJ44" s="2003" t="s">
        <v>90</v>
      </c>
    </row>
    <row r="45" spans="1:40" hidden="1" outlineLevel="1">
      <c r="A45" s="1282" t="s">
        <v>106</v>
      </c>
      <c r="B45" s="1282" t="s">
        <v>319</v>
      </c>
      <c r="D45" s="1312">
        <f>INDEX('qtrP&amp;L'!$C$12:$AG$12,MATCH(B43,'qtrP&amp;L'!$C$7:$AG$7,0))</f>
        <v>996.90099999999995</v>
      </c>
      <c r="F45" s="1312">
        <f>INDEX('qtrP&amp;L'!$C$22:$AG$22,MATCH(B43,'qtrP&amp;L'!$C$7:$AG$7,0))</f>
        <v>600.46900000000005</v>
      </c>
      <c r="H45" s="1312">
        <f>INDEX(work!$11:$11,MATCH(turn!B43,work!$7:$7,0))</f>
        <v>913.25900000000001</v>
      </c>
      <c r="J45" s="1540">
        <f>AVERAGE(H45,H44)</f>
        <v>913.25900000000001</v>
      </c>
      <c r="L45" s="2011">
        <f>(D45/D38-1)*100</f>
        <v>4.5050664307294097</v>
      </c>
      <c r="N45" s="1851">
        <f>(H45/H38-1)*100</f>
        <v>1.4312972860106798</v>
      </c>
      <c r="P45" s="2003" t="s">
        <v>90</v>
      </c>
      <c r="R45" s="2005">
        <f>F45/J45</f>
        <v>0.65750132218790069</v>
      </c>
      <c r="T45" s="2005">
        <f>F46/H45</f>
        <v>0.68135435840216196</v>
      </c>
      <c r="V45" s="1849">
        <f>qtrSales!I47</f>
        <v>373</v>
      </c>
      <c r="X45" s="1962">
        <f>H45/V45</f>
        <v>2.4484155495978555</v>
      </c>
      <c r="Z45" s="1851">
        <f>(X45/X38-1)*100</f>
        <v>-0.20030535129780258</v>
      </c>
      <c r="AB45" s="2008">
        <f>qtrSales!Y47</f>
        <v>29.84</v>
      </c>
      <c r="AD45" s="1540">
        <f>H45/AB45</f>
        <v>30.605194369973191</v>
      </c>
      <c r="AF45" s="1851">
        <f>(AD45/AD38-1)*100</f>
        <v>-0.20030535129780258</v>
      </c>
      <c r="AH45" s="1780">
        <f>J45/(F45/(365/4))</f>
        <v>138.7829908787964</v>
      </c>
      <c r="AJ45" s="1780">
        <f>H45/(F46/(365/4))</f>
        <v>133.92443869294323</v>
      </c>
    </row>
    <row r="46" spans="1:40" hidden="1" outlineLevel="1">
      <c r="A46" s="1282" t="s">
        <v>107</v>
      </c>
      <c r="B46" s="1282" t="s">
        <v>321</v>
      </c>
      <c r="D46" s="1312">
        <f>INDEX('qtrP&amp;L'!$C$13:$AG$13,MATCH(B43,'qtrP&amp;L'!$C$7:$AG$7,0))</f>
        <v>998.11800000000005</v>
      </c>
      <c r="F46" s="1312">
        <f>INDEX('qtrP&amp;L'!$C$23:$AG$23,MATCH(B43,'qtrP&amp;L'!$C$7:$AG$7,0))</f>
        <v>622.25300000000004</v>
      </c>
      <c r="H46" s="1312">
        <f>INDEX(work!$12:$12,MATCH(turn!B43,work!$7:$7,0))</f>
        <v>766.64300000000003</v>
      </c>
      <c r="J46" s="1540">
        <f>AVERAGE(H46,H45)</f>
        <v>839.95100000000002</v>
      </c>
      <c r="L46" s="2011">
        <f>(D46/D39-1)*100</f>
        <v>-3.2859509897968042</v>
      </c>
      <c r="N46" s="1851">
        <f>(H46/H39-1)*100</f>
        <v>8.0140948656028499</v>
      </c>
      <c r="P46" s="1851">
        <f>(H46/H45-1)*100</f>
        <v>-16.054153312477617</v>
      </c>
      <c r="R46" s="2005">
        <f>F46/J46</f>
        <v>0.74082059548711776</v>
      </c>
      <c r="T46" s="2005">
        <f>F47/H46</f>
        <v>0.62026784305080707</v>
      </c>
      <c r="V46" s="1849">
        <f>qtrSales!I48</f>
        <v>380</v>
      </c>
      <c r="X46" s="1962">
        <f>H46/V46</f>
        <v>2.0174815789473683</v>
      </c>
      <c r="Z46" s="1851">
        <f>(X46/X39-1)*100</f>
        <v>4.0346282126595856</v>
      </c>
      <c r="AB46" s="2008">
        <f>qtrSales!Y48</f>
        <v>30.400000000000002</v>
      </c>
      <c r="AD46" s="1540">
        <f>H46/AB46</f>
        <v>25.218519736842104</v>
      </c>
      <c r="AF46" s="1851">
        <f>(AD46/AD39-1)*100</f>
        <v>4.0346282126595856</v>
      </c>
      <c r="AH46" s="1780">
        <f>J46/(F46/(365/4))</f>
        <v>123.17422133762312</v>
      </c>
      <c r="AJ46" s="1780">
        <f>H46/(F47/(365/4))</f>
        <v>147.11386544107137</v>
      </c>
    </row>
    <row r="47" spans="1:40" hidden="1" outlineLevel="1">
      <c r="A47" s="1282" t="s">
        <v>108</v>
      </c>
      <c r="B47" s="1282" t="s">
        <v>318</v>
      </c>
      <c r="D47" s="1290">
        <f>INDEX('qtrP&amp;L'!$C$14:$AG$14,MATCH(B43,'qtrP&amp;L'!$C$7:$AG$7,0))</f>
        <v>782.36000000000013</v>
      </c>
      <c r="F47" s="1290">
        <f>INDEX('qtrP&amp;L'!$C$24:$AG$24,MATCH(B43,'qtrP&amp;L'!$C$7:$AG$7,0))</f>
        <v>475.52399999999989</v>
      </c>
      <c r="H47" s="1540">
        <f>INDEX(work!$13:$13,MATCH(turn!B43,work!$7:$7,0))</f>
        <v>710.57100000000003</v>
      </c>
      <c r="J47" s="1290">
        <f>AVERAGE(H47,H46)</f>
        <v>738.60699999999997</v>
      </c>
      <c r="L47" s="1859">
        <f>(D47/D40-1)*100</f>
        <v>-5.3321168501475285</v>
      </c>
      <c r="N47" s="1851">
        <f>(H47/H40-1)*100</f>
        <v>0.33691761333551895</v>
      </c>
      <c r="P47" s="1851">
        <f>(H47/H46-1)*100</f>
        <v>-7.3139649093515446</v>
      </c>
      <c r="R47" s="2005">
        <f>F47/J47</f>
        <v>0.64381193246205348</v>
      </c>
      <c r="T47" s="2005">
        <f>F51/H47</f>
        <v>0.62453294603917131</v>
      </c>
      <c r="V47" s="1849">
        <f>qtrSales!I49</f>
        <v>379</v>
      </c>
      <c r="X47" s="1962">
        <f>H47/V47</f>
        <v>1.8748575197889183</v>
      </c>
      <c r="Z47" s="1851">
        <f>(X47/X40-1)*100</f>
        <v>-2.5752356683180211</v>
      </c>
      <c r="AB47" s="2008">
        <f>qtrSales!Y49</f>
        <v>30.32</v>
      </c>
      <c r="AD47" s="1540">
        <f>H47/AB47</f>
        <v>23.435718997361477</v>
      </c>
      <c r="AF47" s="1851">
        <f>(AD47/AD40-1)*100</f>
        <v>-2.5752356683180322</v>
      </c>
      <c r="AH47" s="1780">
        <f>J47/(F47/(365/4))</f>
        <v>141.73393719349605</v>
      </c>
      <c r="AJ47" s="1780">
        <f>H47/(F51/(365/4))</f>
        <v>146.10918539800576</v>
      </c>
    </row>
    <row r="48" spans="1:40" hidden="1" outlineLevel="1">
      <c r="B48" s="1795" t="s">
        <v>67</v>
      </c>
      <c r="C48" s="1795"/>
      <c r="D48" s="1291">
        <f>INDEX('qtrP&amp;L'!$C$15:$AG$15,MATCH(B43,'qtrP&amp;L'!$C$7:$AG$7,0))</f>
        <v>3441.645</v>
      </c>
      <c r="F48" s="1291">
        <f>INDEX('qtrP&amp;L'!$C$25:$AG$25,MATCH(B43,'qtrP&amp;L'!$C$7:$AG$7,0))</f>
        <v>2125.16</v>
      </c>
      <c r="J48" s="2002">
        <f>AVERAGE(J44:J47)</f>
        <v>830.60566666666671</v>
      </c>
      <c r="L48" s="1797">
        <f>(D48/D41-1)*100</f>
        <v>-0.83297940328835862</v>
      </c>
      <c r="N48" s="1687"/>
      <c r="R48" s="2013">
        <f>F48/J48</f>
        <v>2.5585667005241555</v>
      </c>
      <c r="S48" s="1546" t="s">
        <v>134</v>
      </c>
      <c r="V48" s="1849"/>
      <c r="AB48" s="1779"/>
    </row>
    <row r="49" spans="1:36" hidden="1" outlineLevel="1">
      <c r="B49" s="1795"/>
      <c r="C49" s="1795"/>
      <c r="D49" s="1291"/>
      <c r="F49" s="1291"/>
      <c r="L49" s="1797"/>
      <c r="N49" s="1687"/>
      <c r="AB49" s="1779"/>
    </row>
    <row r="50" spans="1:36" hidden="1" outlineLevel="1" collapsed="1">
      <c r="B50" s="1942" t="s">
        <v>93</v>
      </c>
      <c r="C50" s="1942"/>
      <c r="L50" s="1797"/>
      <c r="AB50" s="1779"/>
    </row>
    <row r="51" spans="1:36" hidden="1" outlineLevel="1">
      <c r="A51" s="1282" t="s">
        <v>105</v>
      </c>
      <c r="B51" s="1282" t="s">
        <v>320</v>
      </c>
      <c r="D51" s="1291">
        <f>INDEX('qtrP&amp;L'!$C$11:$AG$11,MATCH(B50,'qtrP&amp;L'!$C$7:$AG$7,0))</f>
        <v>685.54700000000003</v>
      </c>
      <c r="F51" s="1291">
        <f>INDEX('qtrP&amp;L'!$C$21:$AG$21,MATCH(B50,'qtrP&amp;L'!$C$7:$AG$7,0))</f>
        <v>443.77499999999998</v>
      </c>
      <c r="H51" s="1291">
        <f>INDEX(work!$10:$10,MATCH(turn!B50,work!$7:$7,0))</f>
        <v>729.73699999999997</v>
      </c>
      <c r="J51" s="1681">
        <f>AVERAGE(H51,H47)</f>
        <v>720.154</v>
      </c>
      <c r="L51" s="2011">
        <f>(D51/D44-1)*100</f>
        <v>3.20368647499647</v>
      </c>
      <c r="N51" s="2003" t="s">
        <v>90</v>
      </c>
      <c r="P51" s="1851">
        <f>(H51/H47-1)*100</f>
        <v>2.69726740888665</v>
      </c>
      <c r="R51" s="2005">
        <f>F51/J51</f>
        <v>0.61622236355001847</v>
      </c>
      <c r="S51" s="1282" t="s">
        <v>134</v>
      </c>
      <c r="T51" s="2005">
        <f>F52/H51</f>
        <v>0.76351205982429293</v>
      </c>
      <c r="V51" s="1849">
        <f>qtrSales!I53</f>
        <v>384</v>
      </c>
      <c r="X51" s="1962">
        <f>H51/V51</f>
        <v>1.9003567708333333</v>
      </c>
      <c r="Z51" s="2003" t="s">
        <v>90</v>
      </c>
      <c r="AB51" s="2008">
        <f>qtrSales!Y53</f>
        <v>30.72</v>
      </c>
      <c r="AD51" s="1681">
        <f>H51/AB51</f>
        <v>23.754459635416666</v>
      </c>
      <c r="AF51" s="2003" t="s">
        <v>90</v>
      </c>
      <c r="AH51" s="1780">
        <f>J51/(F51/(365/4))</f>
        <v>148.07966311757085</v>
      </c>
      <c r="AJ51" s="1780">
        <f>H51/(F52/(365/4))</f>
        <v>119.51350188364985</v>
      </c>
    </row>
    <row r="52" spans="1:36" hidden="1" outlineLevel="1">
      <c r="A52" s="1282" t="s">
        <v>106</v>
      </c>
      <c r="B52" s="1282" t="s">
        <v>319</v>
      </c>
      <c r="D52" s="1312">
        <f>INDEX('qtrP&amp;L'!$C$12:$AG$12,MATCH(B50,'qtrP&amp;L'!$C$7:$AG$7,0))</f>
        <v>955.65099999999995</v>
      </c>
      <c r="F52" s="1312">
        <f>INDEX('qtrP&amp;L'!$C$22:$AG$22,MATCH(B50,'qtrP&amp;L'!$C$7:$AG$7,0))</f>
        <v>557.16300000000001</v>
      </c>
      <c r="H52" s="1312">
        <f>INDEX(work!$11:$11,MATCH(turn!B50,work!$7:$7,0))</f>
        <v>870.93399999999997</v>
      </c>
      <c r="J52" s="1540">
        <f>AVERAGE(H52,H51)</f>
        <v>800.33549999999991</v>
      </c>
      <c r="L52" s="2011">
        <f>(D52/D45-1)*100</f>
        <v>-4.1378231138297643</v>
      </c>
      <c r="N52" s="1851">
        <f>(H52/H45-1)*100</f>
        <v>-4.6345012751037862</v>
      </c>
      <c r="P52" s="1851">
        <f>(H52/H51-1)*100</f>
        <v>19.349025744891655</v>
      </c>
      <c r="R52" s="2005">
        <f>F52/J52</f>
        <v>0.69616179714632187</v>
      </c>
      <c r="T52" s="2005">
        <f>F53/H52</f>
        <v>0.70304294010797608</v>
      </c>
      <c r="V52" s="1849">
        <f>qtrSales!I54</f>
        <v>394</v>
      </c>
      <c r="X52" s="1962">
        <f>H52/V52</f>
        <v>2.210492385786802</v>
      </c>
      <c r="Z52" s="1851">
        <f>(X52/X45-1)*100</f>
        <v>-9.717433948258158</v>
      </c>
      <c r="AB52" s="2008">
        <f>qtrSales!Y54</f>
        <v>31.52</v>
      </c>
      <c r="AD52" s="1681">
        <f>H52/AB52</f>
        <v>27.631154822335024</v>
      </c>
      <c r="AF52" s="1851">
        <f>(AD52/AD45-1)*100</f>
        <v>-9.7174339482581473</v>
      </c>
      <c r="AH52" s="1780">
        <f>J52/(F52/(365/4))</f>
        <v>131.07585100769433</v>
      </c>
      <c r="AJ52" s="1780">
        <f>H52/(F53/(365/4))</f>
        <v>129.79292557291802</v>
      </c>
    </row>
    <row r="53" spans="1:36" hidden="1" outlineLevel="1">
      <c r="A53" s="1282" t="s">
        <v>107</v>
      </c>
      <c r="B53" s="1282" t="s">
        <v>321</v>
      </c>
      <c r="D53" s="1312">
        <f>INDEX('qtrP&amp;L'!$C$13:$AG$13,MATCH(B50,'qtrP&amp;L'!$C$7:$AG$7,0))</f>
        <v>995.21600000000001</v>
      </c>
      <c r="F53" s="1312">
        <f>INDEX('qtrP&amp;L'!$C$23:$AG$23,MATCH(B50,'qtrP&amp;L'!$C$7:$AG$7,0))</f>
        <v>612.30399999999997</v>
      </c>
      <c r="H53" s="1312">
        <f>INDEX(work!$12:$12,MATCH(turn!B50,work!$7:$7,0))</f>
        <v>784.13900000000001</v>
      </c>
      <c r="J53" s="1540">
        <f>AVERAGE(H53,H52)</f>
        <v>827.53649999999993</v>
      </c>
      <c r="L53" s="2011">
        <f>(D53/D46-1)*100</f>
        <v>-0.29074718620444306</v>
      </c>
      <c r="N53" s="1851">
        <f>(H53/H46-1)*100</f>
        <v>2.2821574057286131</v>
      </c>
      <c r="P53" s="1851">
        <f>(H53/H52-1)*100</f>
        <v>-9.9657379319213586</v>
      </c>
      <c r="R53" s="2005">
        <f>F53/J53</f>
        <v>0.73991177428427635</v>
      </c>
      <c r="T53" s="2005">
        <f>F54/H53</f>
        <v>0.61484252154273678</v>
      </c>
      <c r="V53" s="1849">
        <f>qtrSales!I55</f>
        <v>396</v>
      </c>
      <c r="X53" s="1962">
        <f>H53/V53</f>
        <v>1.9801489898989899</v>
      </c>
      <c r="Z53" s="1851">
        <f>(X53/X46-1)*100</f>
        <v>-1.850455014704866</v>
      </c>
      <c r="AB53" s="2008">
        <f>qtrSales!Y55</f>
        <v>31.68</v>
      </c>
      <c r="AD53" s="1540">
        <f>H53/AB53</f>
        <v>24.751862373737374</v>
      </c>
      <c r="AF53" s="1851">
        <f>(AD53/AD46-1)*100</f>
        <v>-1.850455014704866</v>
      </c>
      <c r="AH53" s="1780">
        <f>J53/(F53/(365/4))</f>
        <v>123.32551416453265</v>
      </c>
      <c r="AJ53" s="1780">
        <f>H53/(F54/(365/4))</f>
        <v>148.41198648889699</v>
      </c>
    </row>
    <row r="54" spans="1:36" hidden="1" outlineLevel="1">
      <c r="A54" s="1282" t="s">
        <v>108</v>
      </c>
      <c r="B54" s="1282" t="s">
        <v>318</v>
      </c>
      <c r="D54" s="1290">
        <f>INDEX('qtrP&amp;L'!$C$14:$AG$14,MATCH(B50,'qtrP&amp;L'!$C$7:$AG$7,0))</f>
        <v>787.5590000000002</v>
      </c>
      <c r="F54" s="1290">
        <f>INDEX('qtrP&amp;L'!$C$24:$AG$24,MATCH(B50,'qtrP&amp;L'!$C$7:$AG$7,0))</f>
        <v>482.12200000000007</v>
      </c>
      <c r="H54" s="1540">
        <f>INDEX(work!$13:$13,MATCH(turn!B50,work!$7:$7,0))</f>
        <v>719.529</v>
      </c>
      <c r="J54" s="1290">
        <f>AVERAGE(H54,H53)</f>
        <v>751.83400000000006</v>
      </c>
      <c r="L54" s="1859">
        <f>(D54/D47-1)*100</f>
        <v>0.66452783884658473</v>
      </c>
      <c r="N54" s="1851">
        <f>(H54/H47-1)*100</f>
        <v>1.260676273025485</v>
      </c>
      <c r="P54" s="1851">
        <f>(H54/H53-1)*100</f>
        <v>-8.2396105792467917</v>
      </c>
      <c r="R54" s="2005">
        <f>F54/J54</f>
        <v>0.6412612358579155</v>
      </c>
      <c r="T54" s="2003" t="s">
        <v>90</v>
      </c>
      <c r="V54" s="1849">
        <f>qtrSales!I56</f>
        <v>397</v>
      </c>
      <c r="X54" s="1962">
        <f>H54/V54</f>
        <v>1.8124156171284636</v>
      </c>
      <c r="Z54" s="1851">
        <f>(X54/X47-1)*100</f>
        <v>-3.3304878904869994</v>
      </c>
      <c r="AB54" s="2008">
        <f>qtrSales!Y56</f>
        <v>31.76</v>
      </c>
      <c r="AD54" s="1540">
        <f>H54/AB54</f>
        <v>22.655195214105792</v>
      </c>
      <c r="AF54" s="1851">
        <f>(AD54/AD47-1)*100</f>
        <v>-3.3304878904869994</v>
      </c>
      <c r="AH54" s="1780">
        <f>J54/(F54/(365/4))</f>
        <v>142.29770161909227</v>
      </c>
      <c r="AJ54" s="1320" t="s">
        <v>90</v>
      </c>
    </row>
    <row r="55" spans="1:36" hidden="1" outlineLevel="1">
      <c r="B55" s="1795" t="s">
        <v>67</v>
      </c>
      <c r="C55" s="1795"/>
      <c r="D55" s="1291">
        <f>INDEX('qtrP&amp;L'!$C$15:$AG$15,MATCH(B50,'qtrP&amp;L'!$C$7:$AG$7,0))</f>
        <v>3423.973</v>
      </c>
      <c r="F55" s="1291">
        <f>INDEX('qtrP&amp;L'!$C$25:$AG$25,MATCH(B50,'qtrP&amp;L'!$C$7:$AG$7,0))</f>
        <v>2095.364</v>
      </c>
      <c r="J55" s="1291">
        <f>AVERAGE(J51:J54)</f>
        <v>774.96499999999992</v>
      </c>
      <c r="L55" s="1797">
        <f>(D55/D48-1)*100</f>
        <v>-0.5134753874963871</v>
      </c>
      <c r="N55" s="1797"/>
      <c r="R55" s="2010">
        <f>F55/J55</f>
        <v>2.7038175917622089</v>
      </c>
      <c r="S55" s="1546" t="s">
        <v>134</v>
      </c>
      <c r="AB55" s="1779"/>
    </row>
    <row r="56" spans="1:36" ht="13.5" hidden="1" outlineLevel="1" thickBot="1">
      <c r="L56" s="1797"/>
      <c r="AB56" s="1779"/>
    </row>
    <row r="57" spans="1:36" ht="10.5" hidden="1" customHeight="1" outlineLevel="1" collapsed="1" thickBot="1">
      <c r="A57" s="1867" t="s">
        <v>310</v>
      </c>
      <c r="B57" s="1868"/>
      <c r="C57" s="1868"/>
      <c r="D57" s="1868"/>
      <c r="E57" s="1868"/>
      <c r="F57" s="1868"/>
      <c r="G57" s="1868"/>
      <c r="H57" s="1868"/>
      <c r="I57" s="1869"/>
      <c r="J57" s="1868"/>
      <c r="K57" s="1869"/>
      <c r="L57" s="1868"/>
      <c r="M57" s="1868"/>
      <c r="N57" s="1868"/>
      <c r="O57" s="1870"/>
      <c r="P57" s="1868"/>
      <c r="Q57" s="1868"/>
      <c r="R57" s="1868"/>
      <c r="S57" s="1868"/>
      <c r="T57" s="1868"/>
      <c r="U57" s="1868"/>
      <c r="V57" s="1871"/>
      <c r="W57" s="1868"/>
      <c r="X57" s="1872"/>
      <c r="Y57" s="1868"/>
      <c r="Z57" s="1873"/>
      <c r="AA57" s="1868"/>
      <c r="AB57" s="1868"/>
      <c r="AC57" s="1868"/>
      <c r="AD57" s="1870"/>
      <c r="AE57" s="1868"/>
      <c r="AF57" s="1868"/>
      <c r="AG57" s="1868"/>
      <c r="AH57" s="1868"/>
      <c r="AI57" s="1868"/>
      <c r="AJ57" s="1868"/>
    </row>
    <row r="58" spans="1:36" hidden="1" outlineLevel="1" collapsed="1">
      <c r="L58" s="1797"/>
      <c r="AB58" s="1779"/>
    </row>
    <row r="59" spans="1:36" hidden="1" outlineLevel="1" collapsed="1">
      <c r="B59" s="1942" t="s">
        <v>83</v>
      </c>
      <c r="C59" s="1942"/>
      <c r="L59" s="1797"/>
      <c r="AB59" s="1779"/>
    </row>
    <row r="60" spans="1:36" hidden="1" outlineLevel="1">
      <c r="A60" s="1282" t="s">
        <v>105</v>
      </c>
      <c r="B60" s="1282" t="s">
        <v>79</v>
      </c>
      <c r="D60" s="1291">
        <f>qtrSales!S69</f>
        <v>830.04300000000001</v>
      </c>
      <c r="F60" s="1291">
        <f>'qtrP&amp;L'!AI21</f>
        <v>554.21100000000001</v>
      </c>
      <c r="H60" s="1681">
        <f>work!AF10</f>
        <v>672.21600000000001</v>
      </c>
      <c r="J60" s="2014" t="s">
        <v>90</v>
      </c>
      <c r="L60" s="2014" t="s">
        <v>90</v>
      </c>
      <c r="M60" s="1282" t="s">
        <v>102</v>
      </c>
      <c r="N60" s="2014" t="s">
        <v>90</v>
      </c>
      <c r="O60" s="1282" t="s">
        <v>102</v>
      </c>
      <c r="P60" s="2014" t="s">
        <v>90</v>
      </c>
      <c r="Q60" s="1282" t="s">
        <v>102</v>
      </c>
      <c r="R60" s="2015" t="s">
        <v>90</v>
      </c>
      <c r="S60" s="1282" t="s">
        <v>134</v>
      </c>
      <c r="T60" s="2005">
        <f>F61/H60</f>
        <v>0.63112005664845827</v>
      </c>
      <c r="V60" s="1849">
        <f>qtrSales!I69</f>
        <v>433</v>
      </c>
      <c r="X60" s="1962">
        <f>H60/V60</f>
        <v>1.5524618937644341</v>
      </c>
      <c r="Z60" s="2014" t="s">
        <v>90</v>
      </c>
      <c r="AA60" s="1282" t="s">
        <v>102</v>
      </c>
      <c r="AB60" s="1779">
        <f>qtrSales!Y69</f>
        <v>34.64</v>
      </c>
      <c r="AD60" s="1681">
        <f>H60/AB60</f>
        <v>19.405773672055428</v>
      </c>
      <c r="AF60" s="2014" t="s">
        <v>90</v>
      </c>
      <c r="AG60" s="1282" t="s">
        <v>102</v>
      </c>
      <c r="AH60" s="2014" t="s">
        <v>90</v>
      </c>
      <c r="AJ60" s="1780">
        <f>H60/(F61/(365/4))</f>
        <v>144.58421823033169</v>
      </c>
    </row>
    <row r="61" spans="1:36" hidden="1" outlineLevel="1">
      <c r="A61" s="1282" t="s">
        <v>106</v>
      </c>
      <c r="B61" s="1282" t="s">
        <v>80</v>
      </c>
      <c r="D61" s="1312">
        <f>qtrSales!S70</f>
        <v>700.97799999999995</v>
      </c>
      <c r="F61" s="1312">
        <f>'qtrP&amp;L'!AI22</f>
        <v>424.24900000000002</v>
      </c>
      <c r="H61" s="1540">
        <f>work!AF11</f>
        <v>661.53800000000001</v>
      </c>
      <c r="J61" s="2014" t="s">
        <v>90</v>
      </c>
      <c r="L61" s="2014" t="s">
        <v>90</v>
      </c>
      <c r="N61" s="2014" t="s">
        <v>90</v>
      </c>
      <c r="P61" s="2014" t="s">
        <v>90</v>
      </c>
      <c r="R61" s="2015" t="s">
        <v>90</v>
      </c>
      <c r="T61" s="2005">
        <f>F62/H61</f>
        <v>0.79128485438478213</v>
      </c>
      <c r="V61" s="1849">
        <f>qtrSales!I70</f>
        <v>433</v>
      </c>
      <c r="X61" s="1962">
        <f>H61/V61</f>
        <v>1.5278013856812933</v>
      </c>
      <c r="Z61" s="2014" t="s">
        <v>90</v>
      </c>
      <c r="AB61" s="1779">
        <f>qtrSales!Y70</f>
        <v>34.64</v>
      </c>
      <c r="AD61" s="1540">
        <f>H61/AB61</f>
        <v>19.097517321016166</v>
      </c>
      <c r="AF61" s="2014" t="s">
        <v>90</v>
      </c>
      <c r="AH61" s="2014" t="s">
        <v>90</v>
      </c>
      <c r="AJ61" s="1780">
        <f>H61/(F62/(365/4))</f>
        <v>115.31877489421451</v>
      </c>
    </row>
    <row r="62" spans="1:36" hidden="1" outlineLevel="1">
      <c r="A62" s="1282" t="s">
        <v>107</v>
      </c>
      <c r="B62" s="1282" t="s">
        <v>81</v>
      </c>
      <c r="D62" s="1312">
        <f>qtrSales!S71</f>
        <v>872.37399999999991</v>
      </c>
      <c r="F62" s="1312">
        <f>'qtrP&amp;L'!AI23</f>
        <v>523.46500000000003</v>
      </c>
      <c r="H62" s="1540">
        <f>work!AF12</f>
        <v>845.97299999999996</v>
      </c>
      <c r="J62" s="2014" t="s">
        <v>90</v>
      </c>
      <c r="L62" s="2014" t="s">
        <v>90</v>
      </c>
      <c r="N62" s="2014" t="s">
        <v>90</v>
      </c>
      <c r="P62" s="2014" t="s">
        <v>90</v>
      </c>
      <c r="R62" s="2015" t="s">
        <v>90</v>
      </c>
      <c r="T62" s="2005">
        <f>F63/H62</f>
        <v>0.80355046792273477</v>
      </c>
      <c r="V62" s="1849">
        <f>qtrSales!I71</f>
        <v>442</v>
      </c>
      <c r="X62" s="1962">
        <f>H62/V62</f>
        <v>1.9139660633484161</v>
      </c>
      <c r="Z62" s="2014" t="s">
        <v>90</v>
      </c>
      <c r="AB62" s="1779">
        <f>qtrSales!Y71</f>
        <v>35.36</v>
      </c>
      <c r="AD62" s="1540">
        <f>H62/AB62</f>
        <v>23.924575791855204</v>
      </c>
      <c r="AF62" s="2014" t="s">
        <v>90</v>
      </c>
      <c r="AH62" s="2014" t="s">
        <v>90</v>
      </c>
      <c r="AJ62" s="1780">
        <f>H62/(F63/(365/4))</f>
        <v>113.55851765713129</v>
      </c>
    </row>
    <row r="63" spans="1:36" hidden="1" outlineLevel="1">
      <c r="A63" s="1282" t="s">
        <v>108</v>
      </c>
      <c r="B63" s="1282" t="s">
        <v>82</v>
      </c>
      <c r="D63" s="1290">
        <f>qtrSales!S72</f>
        <v>1119.5189999999998</v>
      </c>
      <c r="F63" s="1290">
        <f>'qtrP&amp;L'!AI24</f>
        <v>679.7819999999997</v>
      </c>
      <c r="H63" s="1540">
        <f>bal!W13</f>
        <v>613.29499999999996</v>
      </c>
      <c r="J63" s="2014" t="s">
        <v>90</v>
      </c>
      <c r="L63" s="2014" t="s">
        <v>90</v>
      </c>
      <c r="N63" s="2014" t="s">
        <v>90</v>
      </c>
      <c r="P63" s="2014" t="s">
        <v>90</v>
      </c>
      <c r="R63" s="2015" t="s">
        <v>90</v>
      </c>
      <c r="T63" s="2005">
        <f>F67/H63</f>
        <v>0.90063183296782134</v>
      </c>
      <c r="V63" s="1849">
        <f>qtrSales!I72</f>
        <v>442</v>
      </c>
      <c r="X63" s="1962">
        <f>H63/V63</f>
        <v>1.3875452488687783</v>
      </c>
      <c r="Z63" s="2014" t="s">
        <v>90</v>
      </c>
      <c r="AB63" s="1779">
        <f>qtrSales!Y72</f>
        <v>35.36</v>
      </c>
      <c r="AD63" s="1540">
        <f>H63/AB63</f>
        <v>17.344315610859727</v>
      </c>
      <c r="AF63" s="2014" t="s">
        <v>90</v>
      </c>
      <c r="AH63" s="2014" t="s">
        <v>90</v>
      </c>
      <c r="AJ63" s="1780">
        <f>H63/(F67/(365/4))</f>
        <v>101.31776010992971</v>
      </c>
    </row>
    <row r="64" spans="1:36" hidden="1" outlineLevel="1">
      <c r="B64" s="1795" t="s">
        <v>67</v>
      </c>
      <c r="C64" s="1795"/>
      <c r="D64" s="1291">
        <f>qtrSales!S73</f>
        <v>3522.9139999999998</v>
      </c>
      <c r="F64" s="1291">
        <f>'qtrP&amp;L'!AI25</f>
        <v>2181.7069999999999</v>
      </c>
      <c r="J64" s="2014" t="s">
        <v>90</v>
      </c>
      <c r="L64" s="2014" t="s">
        <v>90</v>
      </c>
      <c r="R64" s="2016" t="s">
        <v>90</v>
      </c>
      <c r="S64" s="1546" t="s">
        <v>134</v>
      </c>
      <c r="AB64" s="1779"/>
    </row>
    <row r="65" spans="1:36" collapsed="1">
      <c r="L65" s="1797"/>
      <c r="AB65" s="1779"/>
    </row>
    <row r="66" spans="1:36">
      <c r="B66" s="1942" t="s">
        <v>84</v>
      </c>
      <c r="C66" s="1942"/>
      <c r="L66" s="1797"/>
      <c r="AB66" s="1779"/>
    </row>
    <row r="67" spans="1:36">
      <c r="A67" s="1282" t="s">
        <v>105</v>
      </c>
      <c r="B67" s="1282" t="s">
        <v>79</v>
      </c>
      <c r="D67" s="1291">
        <f>qtrSales!S76</f>
        <v>894.678</v>
      </c>
      <c r="F67" s="1291">
        <f>'qtrP&amp;L'!AM21</f>
        <v>552.35299999999995</v>
      </c>
      <c r="H67" s="1681">
        <f>work!AJ10</f>
        <v>634.00800000000004</v>
      </c>
      <c r="J67" s="1681">
        <f>AVERAGE(H67,H63)</f>
        <v>623.65149999999994</v>
      </c>
      <c r="L67" s="2011">
        <f>(D67/D60-1)*100</f>
        <v>7.7869459774975391</v>
      </c>
      <c r="M67" s="1282" t="s">
        <v>102</v>
      </c>
      <c r="N67" s="1851">
        <f>(H67/H60-1)*100</f>
        <v>-5.683887321932235</v>
      </c>
      <c r="O67" s="1282" t="s">
        <v>102</v>
      </c>
      <c r="P67" s="1851">
        <f>(H67/H63-1)*100</f>
        <v>3.3773306483829257</v>
      </c>
      <c r="Q67" s="1282" t="s">
        <v>102</v>
      </c>
      <c r="R67" s="2005">
        <f>F67/J67</f>
        <v>0.88567573396359989</v>
      </c>
      <c r="S67" s="1282" t="s">
        <v>134</v>
      </c>
      <c r="T67" s="2005">
        <f>F68/H67</f>
        <v>0.74035027949174137</v>
      </c>
      <c r="V67" s="1849">
        <f>qtrSales!I76</f>
        <v>449</v>
      </c>
      <c r="X67" s="1962">
        <f>H67/V67</f>
        <v>1.4120445434298441</v>
      </c>
      <c r="Z67" s="1851">
        <f>(X67/X60-1)*100</f>
        <v>-9.0448178405270756</v>
      </c>
      <c r="AA67" s="1282" t="s">
        <v>102</v>
      </c>
      <c r="AB67" s="1779">
        <f>qtrSales!Y76</f>
        <v>35.92</v>
      </c>
      <c r="AD67" s="1681">
        <f>H67/AB67</f>
        <v>17.650556792873051</v>
      </c>
      <c r="AF67" s="1851">
        <f>(AD67/AD60-1)*100</f>
        <v>-9.0448178405270863</v>
      </c>
      <c r="AG67" s="1282" t="s">
        <v>102</v>
      </c>
      <c r="AH67" s="1780">
        <f>J67/(F67/(365/4))</f>
        <v>103.02867799215356</v>
      </c>
      <c r="AJ67" s="1780">
        <f>H67/(F68/(365/4))</f>
        <v>123.2524691726248</v>
      </c>
    </row>
    <row r="68" spans="1:36">
      <c r="A68" s="1282" t="s">
        <v>106</v>
      </c>
      <c r="B68" s="1282" t="s">
        <v>80</v>
      </c>
      <c r="D68" s="1312">
        <f>qtrSales!S77</f>
        <v>728.75</v>
      </c>
      <c r="F68" s="1312">
        <f>'qtrP&amp;L'!AM22</f>
        <v>469.38799999999998</v>
      </c>
      <c r="H68" s="1540">
        <f>work!AJ11</f>
        <v>661.22400000000005</v>
      </c>
      <c r="J68" s="1540">
        <f>AVERAGE(H68,H67)</f>
        <v>647.61599999999999</v>
      </c>
      <c r="L68" s="2011">
        <f>(D68/D61-1)*100</f>
        <v>3.9618932405867335</v>
      </c>
      <c r="N68" s="1851">
        <f>(H68/H61-1)*100</f>
        <v>-4.746514939428792E-2</v>
      </c>
      <c r="P68" s="1851">
        <f>(H68/H67-1)*100</f>
        <v>4.2926903130559912</v>
      </c>
      <c r="R68" s="2005">
        <f>F68/J68</f>
        <v>0.72479370491155248</v>
      </c>
      <c r="T68" s="2005">
        <f>F69/H68</f>
        <v>0.79746197960146636</v>
      </c>
      <c r="V68" s="1849">
        <f>qtrSales!I77</f>
        <v>447</v>
      </c>
      <c r="X68" s="1962">
        <f>H68/V68</f>
        <v>1.4792483221476511</v>
      </c>
      <c r="Z68" s="1851">
        <f>(X68/X61-1)*100</f>
        <v>-3.1779695966168364</v>
      </c>
      <c r="AB68" s="1779">
        <f>qtrSales!Y77</f>
        <v>35.76</v>
      </c>
      <c r="AD68" s="1540">
        <f>H68/AB68</f>
        <v>18.490604026845642</v>
      </c>
      <c r="AF68" s="1851">
        <f>(AD68/AD61-1)*100</f>
        <v>-3.1779695966168253</v>
      </c>
      <c r="AH68" s="1780">
        <f>J68/(F68/(365/4))</f>
        <v>125.89789257501258</v>
      </c>
      <c r="AJ68" s="1780">
        <f>H68/(F69/(365/4))</f>
        <v>114.42551787309336</v>
      </c>
    </row>
    <row r="69" spans="1:36">
      <c r="A69" s="1282" t="s">
        <v>107</v>
      </c>
      <c r="B69" s="1282" t="s">
        <v>81</v>
      </c>
      <c r="D69" s="1312">
        <f>qtrSales!S78</f>
        <v>858.18599999999992</v>
      </c>
      <c r="F69" s="1312">
        <f>'qtrP&amp;L'!AM23</f>
        <v>527.30100000000004</v>
      </c>
      <c r="H69" s="1540">
        <f>work!AJ12</f>
        <v>892.19299999999998</v>
      </c>
      <c r="J69" s="1540">
        <f>AVERAGE(H69,H68)</f>
        <v>776.70849999999996</v>
      </c>
      <c r="L69" s="2011">
        <f>(D69/D62-1)*100</f>
        <v>-1.6263666730095161</v>
      </c>
      <c r="N69" s="1851">
        <f>(H69/H62-1)*100</f>
        <v>5.4635313420168252</v>
      </c>
      <c r="P69" s="1851">
        <f>(H69/H68-1)*100</f>
        <v>34.930522788041564</v>
      </c>
      <c r="R69" s="2005">
        <f>F69/J69</f>
        <v>0.67889175926361056</v>
      </c>
      <c r="T69" s="2005">
        <f>F70/H69</f>
        <v>0.78828683928253207</v>
      </c>
      <c r="V69" s="1849">
        <f>qtrSales!I78</f>
        <v>459</v>
      </c>
      <c r="X69" s="1962">
        <f>H69/V69</f>
        <v>1.9437755991285404</v>
      </c>
      <c r="Z69" s="1851">
        <f>(X69/X62-1)*100</f>
        <v>1.5574746256458383</v>
      </c>
      <c r="AB69" s="1779">
        <f>qtrSales!Y78</f>
        <v>36.72</v>
      </c>
      <c r="AD69" s="1540">
        <f>H69/AB69</f>
        <v>24.297194989106753</v>
      </c>
      <c r="AF69" s="1851">
        <f>(AD69/AD62-1)*100</f>
        <v>1.5574746256458161</v>
      </c>
      <c r="AH69" s="1780">
        <f>J69/(F69/(365/4))</f>
        <v>134.41023367109108</v>
      </c>
      <c r="AJ69" s="1780">
        <f>H69/(F70/(365/4))</f>
        <v>115.75735563852898</v>
      </c>
    </row>
    <row r="70" spans="1:36">
      <c r="A70" s="1282" t="s">
        <v>108</v>
      </c>
      <c r="B70" s="1282" t="s">
        <v>82</v>
      </c>
      <c r="D70" s="1290">
        <f>qtrSales!S79</f>
        <v>1187.9880000000003</v>
      </c>
      <c r="F70" s="1290">
        <f>'qtrP&amp;L'!AM24</f>
        <v>703.30400000000009</v>
      </c>
      <c r="H70" s="1540">
        <f>bal!Y13</f>
        <v>644.22799999999995</v>
      </c>
      <c r="J70" s="1290">
        <f>AVERAGE(H70,H69)</f>
        <v>768.21049999999991</v>
      </c>
      <c r="L70" s="1859">
        <f>(D70/D63-1)*100</f>
        <v>6.115930144999826</v>
      </c>
      <c r="N70" s="1851">
        <f>(H70/H63-1)*100</f>
        <v>5.0437391467401449</v>
      </c>
      <c r="P70" s="1851">
        <f>(H70/H69-1)*100</f>
        <v>-27.792753361660537</v>
      </c>
      <c r="R70" s="2005">
        <f>F70/J70</f>
        <v>0.91550948600676529</v>
      </c>
      <c r="T70" s="2005">
        <f>F74/H70</f>
        <v>0.89611597136417553</v>
      </c>
      <c r="V70" s="1849">
        <f>qtrSales!I79</f>
        <v>460</v>
      </c>
      <c r="X70" s="1962">
        <f>H70/V70</f>
        <v>1.4004956521739129</v>
      </c>
      <c r="Z70" s="1851">
        <f>(X70/X63-1)*100</f>
        <v>0.93333196273726049</v>
      </c>
      <c r="AB70" s="1779">
        <f>qtrSales!Y79</f>
        <v>36.800000000000004</v>
      </c>
      <c r="AD70" s="1540">
        <f>H70/AB70</f>
        <v>17.506195652173911</v>
      </c>
      <c r="AF70" s="1851">
        <f>(AD70/AD63-1)*100</f>
        <v>0.93333196273728269</v>
      </c>
      <c r="AH70" s="1780">
        <f>J70/(F70/(365/4))</f>
        <v>99.671277463230666</v>
      </c>
      <c r="AJ70" s="1780">
        <f>H70/(F74/(365/4))</f>
        <v>101.82833797849655</v>
      </c>
    </row>
    <row r="71" spans="1:36">
      <c r="B71" s="1795" t="s">
        <v>67</v>
      </c>
      <c r="C71" s="1795"/>
      <c r="D71" s="1291">
        <f>qtrSales!S80</f>
        <v>3669.6019999999999</v>
      </c>
      <c r="F71" s="1291">
        <f>'qtrP&amp;L'!AM25</f>
        <v>2252.346</v>
      </c>
      <c r="J71" s="1291">
        <f>AVERAGE(J67:J70)</f>
        <v>704.04662499999995</v>
      </c>
      <c r="L71" s="1797">
        <f>(D71/D64-1)*100</f>
        <v>4.1638257419851943</v>
      </c>
      <c r="R71" s="2010">
        <f>F71/J71</f>
        <v>3.1991432385603726</v>
      </c>
      <c r="S71" s="1546" t="s">
        <v>134</v>
      </c>
      <c r="AB71" s="1779"/>
    </row>
    <row r="72" spans="1:36">
      <c r="L72" s="1797"/>
      <c r="AB72" s="1779"/>
    </row>
    <row r="73" spans="1:36">
      <c r="B73" s="1942" t="s">
        <v>242</v>
      </c>
      <c r="C73" s="2017"/>
      <c r="L73" s="1797"/>
      <c r="AB73" s="1779"/>
      <c r="AH73" s="1780"/>
    </row>
    <row r="74" spans="1:36">
      <c r="A74" s="1282" t="s">
        <v>105</v>
      </c>
      <c r="B74" s="1282" t="s">
        <v>79</v>
      </c>
      <c r="D74" s="1291">
        <f>qtrSales!S83</f>
        <v>929.08100000000002</v>
      </c>
      <c r="F74" s="1291">
        <f>'qtrP&amp;L'!AQ21</f>
        <v>577.303</v>
      </c>
      <c r="H74" s="1681">
        <f>work!AN10</f>
        <v>688.98500000000001</v>
      </c>
      <c r="J74" s="1681">
        <f>AVERAGE(H74,H70)</f>
        <v>666.60649999999998</v>
      </c>
      <c r="L74" s="2011">
        <f>(D74/D67-1)*100</f>
        <v>3.8452940611035435</v>
      </c>
      <c r="M74" s="1282" t="s">
        <v>102</v>
      </c>
      <c r="N74" s="1851">
        <f>(H74/H67-1)*100</f>
        <v>8.6713416865402237</v>
      </c>
      <c r="O74" s="1282" t="s">
        <v>102</v>
      </c>
      <c r="P74" s="1851">
        <f>(H74/H70-1)*100</f>
        <v>6.9473850872672438</v>
      </c>
      <c r="Q74" s="1282" t="s">
        <v>102</v>
      </c>
      <c r="R74" s="2005">
        <f>F74/J74</f>
        <v>0.86603265944751517</v>
      </c>
      <c r="S74" s="1282" t="s">
        <v>134</v>
      </c>
      <c r="T74" s="2005">
        <f>F75/H74</f>
        <v>0.73594200164009371</v>
      </c>
      <c r="V74" s="1849">
        <f>qtrSales!I83</f>
        <v>462</v>
      </c>
      <c r="X74" s="1962">
        <f>H74/V74</f>
        <v>1.4913095238095238</v>
      </c>
      <c r="Z74" s="1851">
        <f>(X74/X67-1)*100</f>
        <v>5.6134900806419141</v>
      </c>
      <c r="AA74" s="1282" t="s">
        <v>102</v>
      </c>
      <c r="AB74" s="1779">
        <f>qtrSales!Y83</f>
        <v>36.96</v>
      </c>
      <c r="AD74" s="1681">
        <f>H74/AB74</f>
        <v>18.641369047619047</v>
      </c>
      <c r="AF74" s="1851">
        <f>(AD74/AD67-1)*100</f>
        <v>5.6134900806419141</v>
      </c>
      <c r="AG74" s="1282" t="s">
        <v>102</v>
      </c>
      <c r="AH74" s="1780">
        <f>J74/(F74/(365/4))</f>
        <v>105.36554136216164</v>
      </c>
      <c r="AJ74" s="1780">
        <f>H74/(F75/(365/4))</f>
        <v>123.99074899468103</v>
      </c>
    </row>
    <row r="75" spans="1:36">
      <c r="A75" s="1282" t="s">
        <v>106</v>
      </c>
      <c r="B75" s="1282" t="s">
        <v>80</v>
      </c>
      <c r="D75" s="1312">
        <f>qtrSales!S84</f>
        <v>793.34899999999993</v>
      </c>
      <c r="F75" s="1312">
        <f>'qtrP&amp;L'!AQ22</f>
        <v>507.053</v>
      </c>
      <c r="H75" s="1540">
        <f>work!AN11</f>
        <v>665.20399999999995</v>
      </c>
      <c r="J75" s="1540">
        <f>AVERAGE(H75,H74)</f>
        <v>677.09449999999993</v>
      </c>
      <c r="L75" s="2011">
        <f>(D75/D68-1)*100</f>
        <v>8.864356775300152</v>
      </c>
      <c r="N75" s="1851">
        <f>(H75/H68-1)*100</f>
        <v>0.60191402610914047</v>
      </c>
      <c r="P75" s="1851">
        <f>(H75/H74-1)*100</f>
        <v>-3.4515990914170902</v>
      </c>
      <c r="R75" s="2005">
        <f>F75/J75</f>
        <v>0.74886592639579863</v>
      </c>
      <c r="T75" s="2005">
        <f>F76/H75</f>
        <v>0.81299420929519373</v>
      </c>
      <c r="V75" s="1849">
        <f>qtrSales!I84</f>
        <v>462</v>
      </c>
      <c r="X75" s="1962">
        <f>H75/V75</f>
        <v>1.4398354978354977</v>
      </c>
      <c r="Z75" s="1851">
        <f>(X75/X68-1)*100</f>
        <v>-2.6643818838294697</v>
      </c>
      <c r="AB75" s="1779">
        <f>qtrSales!Y84</f>
        <v>36.96</v>
      </c>
      <c r="AD75" s="1540">
        <f>H75/AB75</f>
        <v>17.99794372294372</v>
      </c>
      <c r="AF75" s="1851">
        <f>(AD75/AD68-1)*100</f>
        <v>-2.6643818838294919</v>
      </c>
      <c r="AH75" s="1780">
        <f>J75/(F75/(365/4))</f>
        <v>121.85091721181018</v>
      </c>
      <c r="AJ75" s="1780">
        <f>H75/(F76/(365/4))</f>
        <v>112.23942182701036</v>
      </c>
    </row>
    <row r="76" spans="1:36">
      <c r="A76" s="1282" t="s">
        <v>107</v>
      </c>
      <c r="B76" s="1282" t="s">
        <v>81</v>
      </c>
      <c r="D76" s="1312">
        <f>qtrSales!S85</f>
        <v>898.66300000000001</v>
      </c>
      <c r="F76" s="1312">
        <f>'qtrP&amp;L'!AQ23</f>
        <v>540.80700000000002</v>
      </c>
      <c r="H76" s="1540">
        <f>work!AN12</f>
        <v>945.71900000000005</v>
      </c>
      <c r="J76" s="1540">
        <f>AVERAGE(H76,H75)</f>
        <v>805.4615</v>
      </c>
      <c r="L76" s="2011">
        <f>(D76/D69-1)*100</f>
        <v>4.716576592953059</v>
      </c>
      <c r="N76" s="1851">
        <f>(H76/H69-1)*100</f>
        <v>5.9993745747837224</v>
      </c>
      <c r="P76" s="1851">
        <f>(H76/H75-1)*100</f>
        <v>42.169770476425292</v>
      </c>
      <c r="R76" s="2005">
        <f>F76/J76</f>
        <v>0.67142501534834376</v>
      </c>
      <c r="T76" s="2005">
        <f>F77/H76</f>
        <v>0.7806769241180519</v>
      </c>
      <c r="V76" s="1849">
        <f>qtrSales!I85</f>
        <v>472</v>
      </c>
      <c r="X76" s="1962">
        <f>H76/V76</f>
        <v>2.0036419491525423</v>
      </c>
      <c r="Z76" s="1851">
        <f>(X76/X69-1)*100</f>
        <v>3.0799002750544924</v>
      </c>
      <c r="AB76" s="1779">
        <f>qtrSales!Y85</f>
        <v>37.76</v>
      </c>
      <c r="AD76" s="1540">
        <f>H76/AB76</f>
        <v>25.045524364406781</v>
      </c>
      <c r="AF76" s="1851">
        <f>(AD76/AD69-1)*100</f>
        <v>3.0799002750544924</v>
      </c>
      <c r="AH76" s="1780">
        <f>J76/(F76/(365/4))</f>
        <v>135.9049751112689</v>
      </c>
      <c r="AJ76" s="1780">
        <f>H76/(F77/(365/4))</f>
        <v>116.88574003015033</v>
      </c>
    </row>
    <row r="77" spans="1:36">
      <c r="A77" s="1282" t="s">
        <v>108</v>
      </c>
      <c r="B77" s="1282" t="s">
        <v>82</v>
      </c>
      <c r="D77" s="1290">
        <f>qtrSales!S86</f>
        <v>1233.0410000000002</v>
      </c>
      <c r="F77" s="1290">
        <f>'qtrP&amp;L'!AQ24</f>
        <v>738.30099999999993</v>
      </c>
      <c r="H77" s="1540">
        <f>bal!AA13</f>
        <v>682.26</v>
      </c>
      <c r="J77" s="1290">
        <f>AVERAGE(H77,H76)</f>
        <v>813.98950000000002</v>
      </c>
      <c r="L77" s="1859">
        <f>(D77/D70-1)*100</f>
        <v>3.7923783741923289</v>
      </c>
      <c r="N77" s="1851">
        <f>(H77/H70-1)*100</f>
        <v>5.9035000031044893</v>
      </c>
      <c r="P77" s="1851">
        <f>(H77/H76-1)*100</f>
        <v>-27.858063547417366</v>
      </c>
      <c r="R77" s="2005">
        <f>F77/J77</f>
        <v>0.90701538533359449</v>
      </c>
      <c r="T77" s="2005">
        <f>F81/H77</f>
        <v>0.90857579444786585</v>
      </c>
      <c r="V77" s="1849">
        <f>qtrSales!I86</f>
        <v>477</v>
      </c>
      <c r="X77" s="1962">
        <f>H77/V77</f>
        <v>1.4303144654088049</v>
      </c>
      <c r="Z77" s="1851">
        <f>(X77/X70-1)*100</f>
        <v>2.1291614285703586</v>
      </c>
      <c r="AB77" s="1779">
        <f>qtrSales!Y86</f>
        <v>38.160000000000004</v>
      </c>
      <c r="AD77" s="1540">
        <f>H77/AB77</f>
        <v>17.878930817610062</v>
      </c>
      <c r="AF77" s="1851">
        <f>(AD77/AD70-1)*100</f>
        <v>2.1291614285703808</v>
      </c>
      <c r="AH77" s="1780">
        <f>J77/(F77/(365/4))</f>
        <v>100.60468816241617</v>
      </c>
      <c r="AJ77" s="1780">
        <f>H77/(F81/(365/4))</f>
        <v>100.43190734070997</v>
      </c>
    </row>
    <row r="78" spans="1:36">
      <c r="B78" s="1795" t="s">
        <v>67</v>
      </c>
      <c r="C78" s="1795"/>
      <c r="D78" s="1291">
        <f>qtrSales!S87</f>
        <v>3854.134</v>
      </c>
      <c r="F78" s="1291">
        <f>'qtrP&amp;L'!AQ25</f>
        <v>2363.4639999999999</v>
      </c>
      <c r="J78" s="1291">
        <f>AVERAGE(J74:J77)</f>
        <v>740.78800000000001</v>
      </c>
      <c r="L78" s="1797">
        <f>(D78/D71-1)*100</f>
        <v>5.0286652339954108</v>
      </c>
      <c r="R78" s="2010">
        <f>F78/J78</f>
        <v>3.1904728478323081</v>
      </c>
      <c r="S78" s="1546" t="s">
        <v>134</v>
      </c>
    </row>
    <row r="80" spans="1:36">
      <c r="B80" s="1942" t="s">
        <v>247</v>
      </c>
      <c r="C80" s="2017"/>
      <c r="L80" s="1797"/>
      <c r="AB80" s="1779"/>
      <c r="AH80" s="1780"/>
    </row>
    <row r="81" spans="1:36">
      <c r="A81" s="1282" t="s">
        <v>105</v>
      </c>
      <c r="B81" s="1282" t="s">
        <v>79</v>
      </c>
      <c r="D81" s="1291">
        <f>qtrSales!S90</f>
        <v>982.42179069000099</v>
      </c>
      <c r="F81" s="1291">
        <f>'qtrP&amp;L'!AU21</f>
        <v>619.88492152000094</v>
      </c>
      <c r="H81" s="1681">
        <f>work!AR10</f>
        <v>660.94</v>
      </c>
      <c r="J81" s="1681">
        <f>AVERAGE(H81,H77)</f>
        <v>671.6</v>
      </c>
      <c r="L81" s="2011">
        <f>(D81/D74-1)*100</f>
        <v>5.7412422264582874</v>
      </c>
      <c r="M81" s="1282" t="s">
        <v>102</v>
      </c>
      <c r="N81" s="1851">
        <f>(H81/H74-1)*100</f>
        <v>-4.0704804894155844</v>
      </c>
      <c r="O81" s="1282" t="s">
        <v>102</v>
      </c>
      <c r="P81" s="1851">
        <f>(H81/H77-1)*100</f>
        <v>-3.1249083926948584</v>
      </c>
      <c r="Q81" s="1282" t="s">
        <v>102</v>
      </c>
      <c r="R81" s="2005">
        <f>F81/J81</f>
        <v>0.92299720297796439</v>
      </c>
      <c r="S81" s="1282" t="s">
        <v>134</v>
      </c>
      <c r="T81" s="2005">
        <f>F82/H81</f>
        <v>0.8223880770266605</v>
      </c>
      <c r="V81" s="1849">
        <f>qtrSales!I90</f>
        <v>482</v>
      </c>
      <c r="X81" s="1962">
        <f>H81/V81</f>
        <v>1.3712448132780084</v>
      </c>
      <c r="Z81" s="1851">
        <f>(X81/X74-1)*100</f>
        <v>-8.050958477406633</v>
      </c>
      <c r="AA81" s="1282" t="s">
        <v>102</v>
      </c>
      <c r="AB81" s="1779">
        <f>qtrSales!Y90</f>
        <v>38.56</v>
      </c>
      <c r="AD81" s="1681">
        <f>H81/AB81</f>
        <v>17.140560165975103</v>
      </c>
      <c r="AF81" s="1851">
        <f>(AD81/AD74-1)*100</f>
        <v>-8.0509584774066454</v>
      </c>
      <c r="AG81" s="1282" t="s">
        <v>102</v>
      </c>
      <c r="AH81" s="1780">
        <f>J81/(F81/(365/4))</f>
        <v>98.862704789993273</v>
      </c>
      <c r="AJ81" s="1780">
        <f>H81/(F82/(365/4))</f>
        <v>110.95734793470481</v>
      </c>
    </row>
    <row r="82" spans="1:36">
      <c r="A82" s="1282" t="s">
        <v>106</v>
      </c>
      <c r="B82" s="1282" t="s">
        <v>80</v>
      </c>
      <c r="D82" s="1312">
        <f>qtrSales!S91</f>
        <v>864.18122197000105</v>
      </c>
      <c r="F82" s="1312">
        <f>'qtrP&amp;L'!AU22</f>
        <v>543.54917563000106</v>
      </c>
      <c r="H82" s="1681">
        <f>work!AR11</f>
        <v>636.84799999999996</v>
      </c>
      <c r="J82" s="1540">
        <f>AVERAGE(H82,H81)</f>
        <v>648.89400000000001</v>
      </c>
      <c r="L82" s="2011">
        <f>(D82/D75-1)*100</f>
        <v>8.928255026476517</v>
      </c>
      <c r="N82" s="1851">
        <f>(H82/H75-1)*100</f>
        <v>-4.2627524789387916</v>
      </c>
      <c r="P82" s="1851">
        <f>(H82/H81-1)*100</f>
        <v>-3.6451115078524721</v>
      </c>
      <c r="R82" s="2005">
        <f>F82/J82</f>
        <v>0.83765480283374638</v>
      </c>
      <c r="T82" s="2005">
        <f>F83/H82</f>
        <v>0.93331378752858141</v>
      </c>
      <c r="V82" s="1849">
        <f>qtrSales!I91</f>
        <v>482</v>
      </c>
      <c r="X82" s="1962">
        <f>H82/V82</f>
        <v>1.3212614107883816</v>
      </c>
      <c r="Z82" s="1851">
        <f>(X82/X75-1)*100</f>
        <v>-8.235252376078261</v>
      </c>
      <c r="AB82" s="1779">
        <f>qtrSales!Y91</f>
        <v>38.56</v>
      </c>
      <c r="AD82" s="1681">
        <f>H82/AB82</f>
        <v>16.515767634854768</v>
      </c>
      <c r="AF82" s="1851">
        <f>(AD82/AD75-1)*100</f>
        <v>-8.2352523760782717</v>
      </c>
      <c r="AH82" s="1780">
        <f>J82/(F82/(365/4))</f>
        <v>108.93508840551689</v>
      </c>
      <c r="AJ82" s="1780">
        <f>H82/(F83/(365/4))</f>
        <v>97.769904633714205</v>
      </c>
    </row>
    <row r="83" spans="1:36">
      <c r="A83" s="1282" t="s">
        <v>107</v>
      </c>
      <c r="B83" s="1282" t="s">
        <v>81</v>
      </c>
      <c r="D83" s="1312">
        <f>qtrSales!S92</f>
        <v>967.89383003000194</v>
      </c>
      <c r="F83" s="1312">
        <f>'qtrP&amp;L'!AU23</f>
        <v>594.37901896000199</v>
      </c>
      <c r="H83" s="1681">
        <f>work!AR12</f>
        <v>844.99099999999999</v>
      </c>
      <c r="J83" s="1540">
        <f>AVERAGE(H83,H82)</f>
        <v>740.91949999999997</v>
      </c>
      <c r="L83" s="2011">
        <f>(D83/D76-1)*100</f>
        <v>7.7037588094760689</v>
      </c>
      <c r="N83" s="1851">
        <f>(H83/H76-1)*100</f>
        <v>-10.650943885022935</v>
      </c>
      <c r="P83" s="1851">
        <f>(H83/H82-1)*100</f>
        <v>32.683309047056767</v>
      </c>
      <c r="R83" s="2005">
        <f>F83/J83</f>
        <v>0.80221808031776998</v>
      </c>
      <c r="T83" s="2005">
        <f>F84/H83</f>
        <v>0.87593789723204896</v>
      </c>
      <c r="V83" s="1849">
        <f>qtrSales!I92</f>
        <v>497</v>
      </c>
      <c r="X83" s="1962">
        <f>H83/V83</f>
        <v>1.7001830985915494</v>
      </c>
      <c r="Z83" s="1851">
        <f>(X83/X76-1)*100</f>
        <v>-15.145363206701855</v>
      </c>
      <c r="AB83" s="1779">
        <f>qtrSales!Y92</f>
        <v>39.76</v>
      </c>
      <c r="AD83" s="1540">
        <f>H83/AB83</f>
        <v>21.252288732394366</v>
      </c>
      <c r="AF83" s="1851">
        <f>(AD83/AD76-1)*100</f>
        <v>-15.145363206701868</v>
      </c>
      <c r="AH83" s="1780">
        <f>J83/(F83/(365/4))</f>
        <v>113.74712467693894</v>
      </c>
      <c r="AJ83" s="1780">
        <f>H83/(F84/(365/4))</f>
        <v>104.1740519371849</v>
      </c>
    </row>
    <row r="84" spans="1:36">
      <c r="A84" s="1282" t="s">
        <v>108</v>
      </c>
      <c r="B84" s="1282" t="s">
        <v>82</v>
      </c>
      <c r="D84" s="1290">
        <f>qtrSales!S93</f>
        <v>1262.5373283800009</v>
      </c>
      <c r="F84" s="1290">
        <f>'qtrP&amp;L'!AU24</f>
        <v>740.15963972000623</v>
      </c>
      <c r="H84" s="1681">
        <f>work!AR13</f>
        <v>680.19</v>
      </c>
      <c r="J84" s="1290">
        <f>AVERAGE(H84,H83)</f>
        <v>762.59050000000002</v>
      </c>
      <c r="L84" s="1859">
        <f>(D84/D77-1)*100</f>
        <v>2.3921611998303893</v>
      </c>
      <c r="N84" s="1851">
        <f>(H84/H77-1)*100</f>
        <v>-0.30340339460028787</v>
      </c>
      <c r="P84" s="1851">
        <f>(H84/H83-1)*100</f>
        <v>-19.503284650369046</v>
      </c>
      <c r="R84" s="2005">
        <f>F84/J84</f>
        <v>0.97058596942921027</v>
      </c>
      <c r="T84" s="2005">
        <f>F88/H84</f>
        <v>0.98156833256884113</v>
      </c>
      <c r="V84" s="1849">
        <f>qtrSales!I93</f>
        <v>500</v>
      </c>
      <c r="X84" s="1962">
        <f>H84/V84</f>
        <v>1.3603800000000001</v>
      </c>
      <c r="Z84" s="1851">
        <f>(X84/X77-1)*100</f>
        <v>-4.8894468384486629</v>
      </c>
      <c r="AB84" s="1779">
        <f>qtrSales!Y93</f>
        <v>40</v>
      </c>
      <c r="AD84" s="1540">
        <f>H84/AB84</f>
        <v>17.004750000000001</v>
      </c>
      <c r="AF84" s="1851">
        <f>(AD84/AD77-1)*100</f>
        <v>-4.8894468384486744</v>
      </c>
      <c r="AH84" s="1780">
        <f>J84/(F84/(365/4))</f>
        <v>94.015370996618671</v>
      </c>
      <c r="AJ84" s="1780">
        <f>H84/(F88/(365/4))</f>
        <v>92.963471795378325</v>
      </c>
    </row>
    <row r="85" spans="1:36">
      <c r="B85" s="1795" t="s">
        <v>67</v>
      </c>
      <c r="C85" s="1795"/>
      <c r="D85" s="1291">
        <f>qtrSales!S94</f>
        <v>4077.034171070005</v>
      </c>
      <c r="F85" s="1291">
        <f>'qtrP&amp;L'!AU25</f>
        <v>2497.9727558300101</v>
      </c>
      <c r="J85" s="1291">
        <f>AVERAGE(J81:J84)</f>
        <v>706.00099999999998</v>
      </c>
      <c r="L85" s="1797">
        <f>(D85/D78-1)*100</f>
        <v>5.7834048081879086</v>
      </c>
      <c r="R85" s="2010">
        <f>F85/J85</f>
        <v>3.5382000249716503</v>
      </c>
      <c r="S85" s="1546" t="s">
        <v>134</v>
      </c>
    </row>
    <row r="87" spans="1:36">
      <c r="B87" s="1942" t="s">
        <v>611</v>
      </c>
      <c r="C87" s="1795"/>
      <c r="D87" s="1291"/>
      <c r="F87" s="1291"/>
      <c r="J87" s="1291"/>
      <c r="L87" s="1797"/>
      <c r="R87" s="2018"/>
      <c r="S87" s="1349"/>
    </row>
    <row r="88" spans="1:36">
      <c r="A88" s="1282" t="s">
        <v>105</v>
      </c>
      <c r="B88" s="1282" t="s">
        <v>79</v>
      </c>
      <c r="C88" s="1795"/>
      <c r="D88" s="1291">
        <f>INDEX('qtrP&amp;L'!$C$11:$BQ$11,MATCH(B87,'qtrP&amp;L'!$C$7:$BL$7,0))</f>
        <v>1065.013407760001</v>
      </c>
      <c r="F88" s="1291">
        <f>INDEX('qtrP&amp;L'!$C$21:$BL$21,MATCH(B87,'qtrP&amp;L'!$C$7:$BL$7,0))</f>
        <v>667.6529641300001</v>
      </c>
      <c r="H88" s="1291">
        <f>INDEX(work!$10:$10,MATCH(turn!B87,work!$7:$7,0))</f>
        <v>727.21900000000005</v>
      </c>
      <c r="J88" s="1681">
        <f>AVERAGE(H88,H84)</f>
        <v>703.70450000000005</v>
      </c>
      <c r="L88" s="2011">
        <f>(D88/D81-1)*100</f>
        <v>8.4069406697496074</v>
      </c>
      <c r="M88" s="1282" t="s">
        <v>102</v>
      </c>
      <c r="N88" s="1851">
        <f>(H88/H81-1)*100</f>
        <v>10.027990437861224</v>
      </c>
      <c r="O88" s="1282" t="s">
        <v>102</v>
      </c>
      <c r="P88" s="1851">
        <f>(H88/H84-1)*100</f>
        <v>6.914097531572061</v>
      </c>
      <c r="Q88" s="1282" t="s">
        <v>102</v>
      </c>
      <c r="R88" s="2005">
        <f>F88/J88</f>
        <v>0.94876892805147628</v>
      </c>
      <c r="S88" s="1282" t="s">
        <v>134</v>
      </c>
      <c r="T88" s="2005">
        <f>F89/H88</f>
        <v>0.82303641880319534</v>
      </c>
      <c r="V88" s="1849">
        <f>qtrSales!I97</f>
        <v>503</v>
      </c>
      <c r="X88" s="1962">
        <f>H88/V88</f>
        <v>1.4457634194831015</v>
      </c>
      <c r="Z88" s="1851">
        <f>(X88/X81-1)*100</f>
        <v>5.4343765229604601</v>
      </c>
      <c r="AA88" s="1282" t="s">
        <v>102</v>
      </c>
      <c r="AB88" s="1779">
        <f>qtrSales!Y97</f>
        <v>40.24</v>
      </c>
      <c r="AD88" s="1681">
        <f>H88/AB88</f>
        <v>18.072042743538766</v>
      </c>
      <c r="AF88" s="1851">
        <f>(AD88/AD81-1)*100</f>
        <v>5.4343765229604601</v>
      </c>
      <c r="AH88" s="1780">
        <f>J88/(F88/(365/4))</f>
        <v>96.177264349712303</v>
      </c>
      <c r="AJ88" s="1780">
        <f>H88/(F89/(365/4))</f>
        <v>110.86994197983323</v>
      </c>
    </row>
    <row r="89" spans="1:36">
      <c r="A89" s="1282" t="s">
        <v>106</v>
      </c>
      <c r="B89" s="1282" t="s">
        <v>80</v>
      </c>
      <c r="C89" s="1795"/>
      <c r="D89" s="1312">
        <f>INDEX('qtrP&amp;L'!$C$12:$BQ$12,MATCH(B87,'qtrP&amp;L'!$C$7:$BL$7,0))</f>
        <v>963.57063096291608</v>
      </c>
      <c r="F89" s="1312">
        <f>INDEX('qtrP&amp;L'!$C$22:$BL$22,MATCH(B87,'qtrP&amp;L'!$C$7:$BL$7,0))</f>
        <v>598.52772144564096</v>
      </c>
      <c r="H89" s="1312">
        <f>INDEX(work!$11:$11,MATCH(turn!B87,work!$7:$7,0))</f>
        <v>748.30799999999999</v>
      </c>
      <c r="J89" s="1540">
        <f>AVERAGE(H89,H88)</f>
        <v>737.76350000000002</v>
      </c>
      <c r="L89" s="2011">
        <f>(D89/D82-1)*100</f>
        <v>11.500991512676627</v>
      </c>
      <c r="N89" s="1851">
        <f>(H89/H82-1)*100</f>
        <v>17.501821470743415</v>
      </c>
      <c r="P89" s="1851">
        <f>(H89/H88-1)*100</f>
        <v>2.8999517339343361</v>
      </c>
      <c r="R89" s="2005">
        <f>F89/J89</f>
        <v>0.81127315385708421</v>
      </c>
      <c r="T89" s="2005">
        <f>F90/H89</f>
        <v>0.86814119319852245</v>
      </c>
      <c r="V89" s="1849">
        <f>qtrSales!I98</f>
        <v>503</v>
      </c>
      <c r="X89" s="1962">
        <f>H89/V89</f>
        <v>1.48768986083499</v>
      </c>
      <c r="Z89" s="1851">
        <f>(X89/X82-1)*100</f>
        <v>12.596178824847581</v>
      </c>
      <c r="AB89" s="1779">
        <f>qtrSales!Y98</f>
        <v>40.24</v>
      </c>
      <c r="AD89" s="1681">
        <f>H89/AB89</f>
        <v>18.596123260437373</v>
      </c>
      <c r="AF89" s="1851">
        <f>(AD89/AD82-1)*100</f>
        <v>12.596178824847581</v>
      </c>
      <c r="AH89" s="1780">
        <f>J89/(F89/(365/4))</f>
        <v>112.47752938226132</v>
      </c>
      <c r="AJ89" s="1780">
        <f>H89/(F90/(365/4))</f>
        <v>105.10963045516189</v>
      </c>
    </row>
    <row r="90" spans="1:36">
      <c r="A90" s="1282" t="s">
        <v>107</v>
      </c>
      <c r="B90" s="1282" t="s">
        <v>81</v>
      </c>
      <c r="C90" s="1795"/>
      <c r="D90" s="1312">
        <f>INDEX('qtrP&amp;L'!$C$13:$BQ$13,MATCH(B87,'qtrP&amp;L'!$C$7:$BL$7,0))</f>
        <v>1064.502</v>
      </c>
      <c r="F90" s="1312">
        <f>INDEX('qtrP&amp;L'!$C$23:$BL$23,MATCH(B87,'qtrP&amp;L'!$C$7:$BL$7,0))</f>
        <v>649.63699999999994</v>
      </c>
      <c r="H90" s="1312">
        <f>INDEX(work!$12:$12,MATCH(turn!B87,work!$7:$7,0))</f>
        <v>902.42600000000004</v>
      </c>
      <c r="J90" s="1540">
        <f>AVERAGE(H90,H89)</f>
        <v>825.36699999999996</v>
      </c>
      <c r="L90" s="2011">
        <f>(D90/D83-1)*100</f>
        <v>9.9812775918825203</v>
      </c>
      <c r="N90" s="1851">
        <f>(H90/H83-1)*100</f>
        <v>6.7971138154134358</v>
      </c>
      <c r="P90" s="1851">
        <f>(H90/H89-1)*100</f>
        <v>20.595530182758971</v>
      </c>
      <c r="R90" s="2005">
        <f>F90/J90</f>
        <v>0.78708865268419981</v>
      </c>
      <c r="T90" s="2005">
        <f>F91/H90</f>
        <v>0.86250617779186323</v>
      </c>
      <c r="V90" s="1849">
        <f>qtrSales!I99</f>
        <v>521</v>
      </c>
      <c r="X90" s="1962">
        <f>H90/V90</f>
        <v>1.7321036468330135</v>
      </c>
      <c r="Z90" s="1851">
        <f>(X90/X83-1)*100</f>
        <v>1.8774770945498398</v>
      </c>
      <c r="AB90" s="1779">
        <f>qtrSales!Y99</f>
        <v>41.68</v>
      </c>
      <c r="AD90" s="1540">
        <f>H90/AB90</f>
        <v>21.651295585412669</v>
      </c>
      <c r="AF90" s="1851">
        <f>(AD90/AD83-1)*100</f>
        <v>1.877477094549862</v>
      </c>
      <c r="AH90" s="1780">
        <f>J90/(F90/(365/4))</f>
        <v>115.93357328785153</v>
      </c>
      <c r="AJ90" s="1780">
        <f>H90/(F91/(365/4))</f>
        <v>105.79634366632922</v>
      </c>
    </row>
    <row r="91" spans="1:36">
      <c r="A91" s="1282" t="s">
        <v>108</v>
      </c>
      <c r="B91" s="1282" t="s">
        <v>82</v>
      </c>
      <c r="C91" s="1795"/>
      <c r="D91" s="1290">
        <f>INDEX('qtrP&amp;L'!$C$14:$BQ$14,MATCH(B87,'qtrP&amp;L'!$C$7:$BL$7,0))</f>
        <v>1334.277</v>
      </c>
      <c r="F91" s="1290">
        <f>INDEX('qtrP&amp;L'!$C$24:$BL$24,MATCH(B87,'qtrP&amp;L'!$C$7:$BL$7,0))</f>
        <v>778.34799999999996</v>
      </c>
      <c r="H91" s="1540">
        <f>INDEX(work!$13:$13,MATCH(turn!B87,work!$7:$7,0))</f>
        <v>720.1</v>
      </c>
      <c r="J91" s="1290">
        <f>AVERAGE(H91,H90)</f>
        <v>811.26300000000003</v>
      </c>
      <c r="L91" s="1859">
        <f>(D91/D84-1)*100</f>
        <v>5.6821822220536333</v>
      </c>
      <c r="N91" s="1851">
        <f>(H91/H84-1)*100</f>
        <v>5.867478204619303</v>
      </c>
      <c r="P91" s="1851">
        <f>(H91/H90-1)*100</f>
        <v>-20.203983484518396</v>
      </c>
      <c r="R91" s="2005">
        <f>F91/J91</f>
        <v>0.95942746063853512</v>
      </c>
      <c r="T91" s="2004">
        <f>F95/H91</f>
        <v>0.9699500069434801</v>
      </c>
      <c r="V91" s="1849">
        <f>qtrSales!I100</f>
        <v>521</v>
      </c>
      <c r="X91" s="1962">
        <f>H91/V91</f>
        <v>1.3821497120921307</v>
      </c>
      <c r="Z91" s="1851">
        <f>(X91/X84-1)*100</f>
        <v>1.600266990997401</v>
      </c>
      <c r="AB91" s="1779">
        <f>qtrSales!Y100</f>
        <v>41.01</v>
      </c>
      <c r="AD91" s="1540">
        <f>H91/AB91</f>
        <v>17.559131919044138</v>
      </c>
      <c r="AF91" s="1851">
        <f>(AD91/AD84-1)*100</f>
        <v>3.2601591851931788</v>
      </c>
      <c r="AH91" s="1780">
        <f>J91/(F91/(365/4))</f>
        <v>95.108805765544474</v>
      </c>
      <c r="AJ91" s="1320" t="s">
        <v>90</v>
      </c>
    </row>
    <row r="92" spans="1:36">
      <c r="B92" s="1795" t="s">
        <v>67</v>
      </c>
      <c r="C92" s="1795"/>
      <c r="D92" s="1291">
        <f>INDEX('qtrP&amp;L'!$C$15:$BQ$15,MATCH(B87,'qtrP&amp;L'!$C$7:$BL$7,0))</f>
        <v>4427.5029999999997</v>
      </c>
      <c r="F92" s="1291">
        <f>INDEX('qtrP&amp;L'!$C$25:$BL$25,MATCH(B87,'qtrP&amp;L'!$C$7:$BL$7,0))</f>
        <v>2695.9569999999999</v>
      </c>
      <c r="J92" s="1291">
        <f>AVERAGE(J88:J91)</f>
        <v>769.52449999999999</v>
      </c>
      <c r="L92" s="1797">
        <f>(D92/D85-1)*100</f>
        <v>8.5961709964774471</v>
      </c>
      <c r="R92" s="2010">
        <f>F92/J92</f>
        <v>3.5034063242950677</v>
      </c>
      <c r="S92" s="1546" t="s">
        <v>134</v>
      </c>
    </row>
    <row r="94" spans="1:36">
      <c r="B94" s="1942" t="s">
        <v>626</v>
      </c>
      <c r="C94" s="1795"/>
      <c r="D94" s="1291"/>
      <c r="F94" s="1291"/>
      <c r="J94" s="1291"/>
      <c r="L94" s="1797"/>
      <c r="R94" s="2018"/>
      <c r="S94" s="1349"/>
    </row>
    <row r="95" spans="1:36">
      <c r="A95" s="1282" t="s">
        <v>105</v>
      </c>
      <c r="B95" s="1282" t="s">
        <v>79</v>
      </c>
      <c r="C95" s="1795"/>
      <c r="D95" s="1291">
        <f>INDEX('qtrP&amp;L'!$C$11:$BQ$11,MATCH(B94,'qtrP&amp;L'!$C$7:$BL$7,0))</f>
        <v>1128.269</v>
      </c>
      <c r="F95" s="1291">
        <f>INDEX('qtrP&amp;L'!$C$21:$BL$21,MATCH(B94,'qtrP&amp;L'!$C$7:$BL$7,0))</f>
        <v>698.46100000000001</v>
      </c>
      <c r="H95" s="1291">
        <f>INDEX(work!$10:$10,MATCH(turn!B94,work!$7:$7,0))</f>
        <v>707.62699999999995</v>
      </c>
      <c r="J95" s="1681">
        <f>AVERAGE(H95,H91)</f>
        <v>713.86349999999993</v>
      </c>
      <c r="L95" s="2011">
        <f>(D95/D88-1)*100</f>
        <v>5.9394174551325118</v>
      </c>
      <c r="M95" s="1282" t="s">
        <v>102</v>
      </c>
      <c r="N95" s="1851">
        <f>(H95/H88-1)*100</f>
        <v>-2.6940990265655995</v>
      </c>
      <c r="O95" s="1282" t="s">
        <v>102</v>
      </c>
      <c r="P95" s="1851">
        <f>(H95/H91-1)*100</f>
        <v>-1.7321205388140637</v>
      </c>
      <c r="Q95" s="1282" t="s">
        <v>102</v>
      </c>
      <c r="R95" s="2005">
        <f>F95/J95</f>
        <v>0.97842374627642414</v>
      </c>
      <c r="S95" s="1282" t="s">
        <v>134</v>
      </c>
      <c r="T95" s="2005">
        <f>F96/H95</f>
        <v>0.91153531450891512</v>
      </c>
      <c r="V95" s="1849">
        <f>qtrSales!I104</f>
        <v>523</v>
      </c>
      <c r="X95" s="1962">
        <f>H95/V95</f>
        <v>1.3530152963671127</v>
      </c>
      <c r="Z95" s="1851">
        <f>(X95/X88-1)*100</f>
        <v>-6.415165985396742</v>
      </c>
      <c r="AA95" s="1282" t="s">
        <v>102</v>
      </c>
      <c r="AB95" s="1779">
        <f>qtrSales!Y104</f>
        <v>40.793999999999997</v>
      </c>
      <c r="AD95" s="1681">
        <f>H95/AB95</f>
        <v>17.346349953424525</v>
      </c>
      <c r="AF95" s="1851">
        <f>(AD95/AD88-1)*100</f>
        <v>-4.015554856817138</v>
      </c>
      <c r="AH95" s="1780">
        <f>J95/(F95/(365/4))</f>
        <v>93.262249968144232</v>
      </c>
      <c r="AJ95" s="1780">
        <f>H95/(F96/(365/4))</f>
        <v>100.10583084118959</v>
      </c>
    </row>
    <row r="96" spans="1:36">
      <c r="A96" s="1282" t="s">
        <v>106</v>
      </c>
      <c r="B96" s="1282" t="s">
        <v>80</v>
      </c>
      <c r="C96" s="1795"/>
      <c r="D96" s="1312">
        <f>INDEX('qtrP&amp;L'!$C$12:$BQ$12,MATCH(B94,'qtrP&amp;L'!$C$7:$BL$7,0))</f>
        <v>1043.5809999999999</v>
      </c>
      <c r="F96" s="1312">
        <f>INDEX('qtrP&amp;L'!$C$22:$BL$22,MATCH(B94,'qtrP&amp;L'!$C$7:$BL$7,0))</f>
        <v>645.02700000000004</v>
      </c>
      <c r="H96" s="1312">
        <f>INDEX(work!$11:$11,MATCH(turn!B94,work!$7:$7,0))</f>
        <v>711.51</v>
      </c>
      <c r="J96" s="1540">
        <f>AVERAGE(H96,H95)</f>
        <v>709.56849999999997</v>
      </c>
      <c r="L96" s="2011">
        <f>(D96/D89-1)*100</f>
        <v>8.3035292345022818</v>
      </c>
      <c r="N96" s="1851">
        <f>(H96/H89-1)*100</f>
        <v>-4.9174938661620597</v>
      </c>
      <c r="P96" s="1851">
        <f>(H96/H95-1)*100</f>
        <v>0.5487354213448592</v>
      </c>
      <c r="R96" s="2005">
        <f>F96/J96</f>
        <v>0.90904119898219848</v>
      </c>
      <c r="T96" s="2005">
        <f>F97/H96</f>
        <v>0.98184143581959504</v>
      </c>
      <c r="V96" s="1849">
        <f>qtrSales!I105</f>
        <v>523</v>
      </c>
      <c r="X96" s="1962">
        <f>H96/V96</f>
        <v>1.3604397705544933</v>
      </c>
      <c r="Z96" s="1851">
        <f>(X96/X89-1)*100</f>
        <v>-8.5535361657352098</v>
      </c>
      <c r="AB96" s="1779">
        <f>qtrSales!Y105</f>
        <v>40.793999999999997</v>
      </c>
      <c r="AD96" s="1681">
        <f>H96/AB96</f>
        <v>17.441535519929403</v>
      </c>
      <c r="AF96" s="1851">
        <f>(AD96/AD89-1)*100</f>
        <v>-6.20875504177969</v>
      </c>
      <c r="AH96" s="1780">
        <f>J96/(F96/(365/4))</f>
        <v>100.38048891751816</v>
      </c>
      <c r="AJ96" s="1780">
        <f>H96/(F97/(365/4))</f>
        <v>92.937613621723756</v>
      </c>
    </row>
    <row r="97" spans="1:36">
      <c r="A97" s="1282" t="s">
        <v>107</v>
      </c>
      <c r="B97" s="1282" t="s">
        <v>81</v>
      </c>
      <c r="C97" s="1795"/>
      <c r="D97" s="1312">
        <f>INDEX('qtrP&amp;L'!$C$13:$BQ$13,MATCH(B94,'qtrP&amp;L'!$C$7:$BL$7,0))</f>
        <v>1157.2919999999999</v>
      </c>
      <c r="F97" s="1312">
        <f>INDEX('qtrP&amp;L'!$C$23:$BL$23,MATCH(B94,'qtrP&amp;L'!$C$7:$BL$7,0))</f>
        <v>698.59</v>
      </c>
      <c r="H97" s="1312">
        <f>INDEX(work!$12:$12,MATCH(turn!B94,work!$7:$7,0))</f>
        <v>899.88</v>
      </c>
      <c r="J97" s="1540">
        <f>AVERAGE(H97,H96)</f>
        <v>805.69499999999994</v>
      </c>
      <c r="L97" s="2011">
        <f>(D97/D90-1)*100</f>
        <v>8.7167520587091438</v>
      </c>
      <c r="N97" s="1851">
        <f>(H97/H90-1)*100</f>
        <v>-0.28212839612334895</v>
      </c>
      <c r="P97" s="1851">
        <f>(H97/H96-1)*100</f>
        <v>26.474680608845969</v>
      </c>
      <c r="R97" s="2005">
        <f>F97/J97</f>
        <v>0.86706508045848629</v>
      </c>
      <c r="T97" s="2005">
        <f>F98/H97</f>
        <v>0.95428390452060274</v>
      </c>
      <c r="V97" s="1849">
        <f>qtrSales!I106</f>
        <v>540</v>
      </c>
      <c r="X97" s="1962">
        <f>H97/V97</f>
        <v>1.6664444444444444</v>
      </c>
      <c r="Z97" s="1851">
        <f>(X97/X90-1)*100</f>
        <v>-3.7907201747782726</v>
      </c>
      <c r="AB97" s="1779">
        <f>qtrSales!Y106</f>
        <v>42.12</v>
      </c>
      <c r="AD97" s="1540">
        <f>H97/AB97</f>
        <v>21.364672364672366</v>
      </c>
      <c r="AF97" s="1851">
        <f>(AD97/AD90-1)*100</f>
        <v>-1.3238155638751303</v>
      </c>
      <c r="AH97" s="1780">
        <f>J97/(F97/(365/4))</f>
        <v>105.24008180764109</v>
      </c>
      <c r="AJ97" s="1780">
        <f>H97/(F98/(365/4))</f>
        <v>95.621438827306491</v>
      </c>
    </row>
    <row r="98" spans="1:36">
      <c r="A98" s="1282" t="s">
        <v>108</v>
      </c>
      <c r="B98" s="1282" t="s">
        <v>82</v>
      </c>
      <c r="C98" s="1795"/>
      <c r="D98" s="1290">
        <f>INDEX('qtrP&amp;L'!$C$14:$BQ$14,MATCH(B94,'qtrP&amp;L'!$C$7:$BL$7,0))</f>
        <v>1485.3620000000001</v>
      </c>
      <c r="F98" s="1290">
        <f>INDEX('qtrP&amp;L'!$C$24:$BL$24,MATCH(B94,'qtrP&amp;L'!$C$7:$BL$7,0))</f>
        <v>858.74099999999999</v>
      </c>
      <c r="H98" s="1540">
        <f>INDEX(work!$13:$13,MATCH(turn!B94,work!$7:$7,0))</f>
        <v>788.70799999999997</v>
      </c>
      <c r="J98" s="1290">
        <f>AVERAGE(H98,H97)</f>
        <v>844.29399999999998</v>
      </c>
      <c r="L98" s="1859">
        <f>(D98/D91-1)*100</f>
        <v>11.32336089132917</v>
      </c>
      <c r="N98" s="1851">
        <f>(H98/H91-1)*100</f>
        <v>9.5275656158866795</v>
      </c>
      <c r="P98" s="1851">
        <f>(H98/H97-1)*100</f>
        <v>-12.354091656665334</v>
      </c>
      <c r="R98" s="2005">
        <f>F98/J98</f>
        <v>1.0171113379936374</v>
      </c>
      <c r="T98" s="2004" t="s">
        <v>90</v>
      </c>
      <c r="V98" s="1849">
        <f>qtrSales!I107</f>
        <v>542</v>
      </c>
      <c r="X98" s="1962">
        <f>H98/V98</f>
        <v>1.455180811808118</v>
      </c>
      <c r="Z98" s="1851">
        <f>(X98/X91-1)*100</f>
        <v>5.2838776492194706</v>
      </c>
      <c r="AB98" s="1779">
        <f>qtrSales!Y107</f>
        <v>42.212000000000003</v>
      </c>
      <c r="AD98" s="1540">
        <f>H98/AB98</f>
        <v>18.684449919454181</v>
      </c>
      <c r="AF98" s="1851">
        <f>(AD98/AD91-1)*100</f>
        <v>6.4087336754361734</v>
      </c>
      <c r="AH98" s="1780">
        <f>J98/(F98/(365/4))</f>
        <v>89.714858729232674</v>
      </c>
      <c r="AJ98" s="1320" t="s">
        <v>90</v>
      </c>
    </row>
    <row r="99" spans="1:36">
      <c r="B99" s="1795" t="s">
        <v>67</v>
      </c>
      <c r="C99" s="1795"/>
      <c r="D99" s="1291">
        <f>INDEX('qtrP&amp;L'!$C$15:$BQ$15,MATCH(B94,'qtrP&amp;L'!$C$7:$BL$7,0))</f>
        <v>4814.5039999999999</v>
      </c>
      <c r="F99" s="1291">
        <f>INDEX('qtrP&amp;L'!$C$25:$BL$25,MATCH(B94,'qtrP&amp;L'!$C$7:$BL$7,0))</f>
        <v>2900.819</v>
      </c>
      <c r="J99" s="1291">
        <f>AVERAGE(J95:J98)</f>
        <v>768.35524999999984</v>
      </c>
      <c r="L99" s="1797">
        <f>(D99/D92-1)*100</f>
        <v>8.7408410564600469</v>
      </c>
      <c r="R99" s="2010">
        <f>F99/J99</f>
        <v>3.7753617223283116</v>
      </c>
      <c r="S99" s="1546" t="s">
        <v>134</v>
      </c>
    </row>
    <row r="101" spans="1:36">
      <c r="B101" s="1942" t="s">
        <v>933</v>
      </c>
      <c r="C101" s="1795"/>
      <c r="D101" s="1291"/>
      <c r="F101" s="1291"/>
      <c r="J101" s="1291"/>
      <c r="L101" s="1797"/>
      <c r="R101" s="2018"/>
      <c r="S101" s="1349"/>
    </row>
    <row r="102" spans="1:36">
      <c r="A102" s="1282" t="s">
        <v>105</v>
      </c>
      <c r="B102" s="1282" t="s">
        <v>79</v>
      </c>
      <c r="C102" s="1795"/>
      <c r="D102" s="1291">
        <f>'qtrP&amp;L_new'!BG11</f>
        <v>1183.059</v>
      </c>
      <c r="F102" s="1291">
        <f>'qtrP&amp;L_new'!BG21</f>
        <v>712.93</v>
      </c>
      <c r="H102" s="1291">
        <f>INDEX(work!$10:$10,MATCH(turn!B101,work!$7:$7,0))</f>
        <v>822.31299999999999</v>
      </c>
      <c r="J102" s="1681">
        <f>AVERAGE(H102,H98)</f>
        <v>805.51049999999998</v>
      </c>
      <c r="L102" s="2011">
        <f>(D102/D95-1)*100</f>
        <v>4.8561114415090589</v>
      </c>
      <c r="M102" s="1282" t="s">
        <v>102</v>
      </c>
      <c r="N102" s="1851">
        <f>(H102/H95-1)*100</f>
        <v>16.207126070655864</v>
      </c>
      <c r="O102" s="1282" t="s">
        <v>102</v>
      </c>
      <c r="P102" s="1851">
        <f>(H102/H98-1)*100</f>
        <v>4.2607657079679617</v>
      </c>
      <c r="Q102" s="1282" t="s">
        <v>102</v>
      </c>
      <c r="R102" s="2005">
        <f>F102/J102</f>
        <v>0.88506605438414521</v>
      </c>
      <c r="S102" s="1282" t="s">
        <v>134</v>
      </c>
      <c r="T102" s="2005">
        <f>F103/H102</f>
        <v>0.84628967315365311</v>
      </c>
      <c r="V102" s="1849">
        <f>qtrSales!I111</f>
        <v>546</v>
      </c>
      <c r="X102" s="1962">
        <f>H102/V102</f>
        <v>1.5060677655677654</v>
      </c>
      <c r="Z102" s="1851">
        <f>(X102/X95-1)*100</f>
        <v>11.311954093320553</v>
      </c>
      <c r="AA102" s="1282" t="s">
        <v>102</v>
      </c>
      <c r="AB102" s="1779">
        <f>qtrSales!Y111</f>
        <v>42.428000000000004</v>
      </c>
      <c r="AD102" s="1681">
        <f>H102/AB102</f>
        <v>19.381375506740831</v>
      </c>
      <c r="AF102" s="1851">
        <f>(AD102/AD95-1)*100</f>
        <v>11.731721997886657</v>
      </c>
      <c r="AH102" s="1780">
        <f>J102/(F102/(365/4))</f>
        <v>103.09964950976955</v>
      </c>
      <c r="AJ102" s="1780">
        <f>H102/(F103/(365/4))</f>
        <v>107.82360094264386</v>
      </c>
    </row>
    <row r="103" spans="1:36">
      <c r="A103" s="1282" t="s">
        <v>106</v>
      </c>
      <c r="B103" s="1282" t="s">
        <v>80</v>
      </c>
      <c r="C103" s="1795"/>
      <c r="D103" s="1312">
        <f>'qtrP&amp;L_new'!BG12</f>
        <v>1144.2180000000001</v>
      </c>
      <c r="F103" s="1312">
        <f>'qtrP&amp;L_new'!BG22</f>
        <v>695.91499999999996</v>
      </c>
      <c r="H103" s="1312">
        <f>INDEX(work!$11:$11,MATCH(turn!B101,work!$7:$7,0))</f>
        <v>802.34100000000001</v>
      </c>
      <c r="J103" s="1540">
        <f>AVERAGE(H103,H102)</f>
        <v>812.327</v>
      </c>
      <c r="L103" s="2011">
        <f>(D103/D96-1)*100</f>
        <v>9.6434296906517289</v>
      </c>
      <c r="N103" s="1851">
        <f>(H103/H96-1)*100</f>
        <v>12.765948475776877</v>
      </c>
      <c r="P103" s="1851">
        <f>(H103/H102-1)*100</f>
        <v>-2.4287588789183689</v>
      </c>
      <c r="R103" s="2005">
        <f>F103/J103</f>
        <v>0.85669317897841624</v>
      </c>
      <c r="T103" s="2005">
        <f>F104/H103</f>
        <v>0.92427533928840722</v>
      </c>
      <c r="V103" s="1849">
        <f>qtrSales!I112</f>
        <v>546</v>
      </c>
      <c r="X103" s="1962">
        <f>H103/V103</f>
        <v>1.4694890109890111</v>
      </c>
      <c r="Z103" s="1851">
        <f>(X103/X96-1)*100</f>
        <v>8.0157345289950666</v>
      </c>
      <c r="AB103" s="1779">
        <f>qtrSales!Y112</f>
        <v>42.428000000000004</v>
      </c>
      <c r="AD103" s="1681">
        <f>H103/AB103</f>
        <v>18.910648628264351</v>
      </c>
      <c r="AF103" s="1851">
        <f>(AD103/AD96-1)*100</f>
        <v>8.4230720778929236</v>
      </c>
      <c r="AH103" s="1780">
        <f>J103/(F103/(365/4))</f>
        <v>106.51421330191188</v>
      </c>
      <c r="AJ103" s="1780">
        <f>H103/(F104/(365/4))</f>
        <v>98.725992267902214</v>
      </c>
    </row>
    <row r="104" spans="1:36">
      <c r="A104" s="1282" t="s">
        <v>107</v>
      </c>
      <c r="B104" s="1282" t="s">
        <v>81</v>
      </c>
      <c r="C104" s="1795"/>
      <c r="D104" s="1312">
        <f>'qtrP&amp;L_new'!BG13</f>
        <v>1230.886</v>
      </c>
      <c r="F104" s="1312">
        <f>'qtrP&amp;L_new'!BG23</f>
        <v>741.58399999999995</v>
      </c>
      <c r="H104" s="1312">
        <f>INDEX(work!$12:$12,MATCH(turn!B101,work!$7:$7,0))</f>
        <v>934.01099999999997</v>
      </c>
      <c r="J104" s="1540">
        <f>AVERAGE(H104,H103)</f>
        <v>868.17599999999993</v>
      </c>
      <c r="L104" s="2011">
        <f>(D104/D97-1)*100</f>
        <v>6.3591556841315899</v>
      </c>
      <c r="N104" s="1851">
        <f>(H104/H97-1)*100</f>
        <v>3.7928390452060201</v>
      </c>
      <c r="P104" s="1851">
        <f>(H104/H103-1)*100</f>
        <v>16.410728106877247</v>
      </c>
      <c r="R104" s="2005">
        <f>F104/J104</f>
        <v>0.85418624794972453</v>
      </c>
      <c r="T104" s="2005">
        <f>F105/H104</f>
        <v>0.97344892083712076</v>
      </c>
      <c r="V104" s="1849">
        <f>qtrSales!I113</f>
        <v>566</v>
      </c>
      <c r="X104" s="1962">
        <f>H104/V104</f>
        <v>1.6501961130742049</v>
      </c>
      <c r="Z104" s="1851">
        <f>(X104/X97-1)*100</f>
        <v>-0.97502988619919684</v>
      </c>
      <c r="AB104" s="1779">
        <f>qtrSales!Y113</f>
        <v>43.508000000000003</v>
      </c>
      <c r="AD104" s="1540">
        <f>H104/AB104</f>
        <v>21.467569182679046</v>
      </c>
      <c r="AF104" s="1851">
        <f>(AD104/AD97-1)*100</f>
        <v>0.48162132444786732</v>
      </c>
      <c r="AH104" s="1780">
        <f>J104/(F104/(365/4))</f>
        <v>106.82681934885325</v>
      </c>
      <c r="AJ104" s="1780">
        <f>H104/(F105/(365/4))</f>
        <v>93.738868107768042</v>
      </c>
    </row>
    <row r="105" spans="1:36">
      <c r="A105" s="1282" t="s">
        <v>108</v>
      </c>
      <c r="B105" s="1282" t="s">
        <v>82</v>
      </c>
      <c r="C105" s="1795"/>
      <c r="D105" s="1290">
        <f>'qtrP&amp;L_new'!BG14</f>
        <v>1540.769</v>
      </c>
      <c r="F105" s="1290">
        <f>'qtrP&amp;L_new'!BG24</f>
        <v>909.21199999999999</v>
      </c>
      <c r="H105" s="1540">
        <f>INDEX(work!$13:$13,MATCH(turn!B101,work!$7:$7,0))</f>
        <v>783.52800000000002</v>
      </c>
      <c r="J105" s="1290">
        <f>AVERAGE(H105,H104)</f>
        <v>858.76949999999999</v>
      </c>
      <c r="L105" s="1859">
        <f>(D105/D98-1)*100</f>
        <v>3.7302017959258471</v>
      </c>
      <c r="N105" s="1851">
        <f>(H105/H98-1)*100</f>
        <v>-0.65677031296752508</v>
      </c>
      <c r="P105" s="1851">
        <f>(H105/H104-1)*100</f>
        <v>-16.111480485775854</v>
      </c>
      <c r="R105" s="2005">
        <f>F105/J105</f>
        <v>1.0587381130792373</v>
      </c>
      <c r="T105" s="2004" t="s">
        <v>90</v>
      </c>
      <c r="V105" s="1849">
        <f>qtrSales!I114</f>
        <v>567</v>
      </c>
      <c r="X105" s="1962">
        <f>H105/V105</f>
        <v>1.3818835978835979</v>
      </c>
      <c r="Z105" s="1851">
        <f>(X105/X98-1)*100</f>
        <v>-5.0369832621312121</v>
      </c>
      <c r="AB105" s="1779">
        <f>qtrSales!Y114</f>
        <v>43.468000000000004</v>
      </c>
      <c r="AD105" s="1540">
        <f>H105/AB105</f>
        <v>18.025397993926564</v>
      </c>
      <c r="AF105" s="1851">
        <f>(AD105/AD98-1)*100</f>
        <v>-3.5272749712658924</v>
      </c>
      <c r="AH105" s="1780">
        <f>J105/(F105/(365/4))</f>
        <v>86.18750838638293</v>
      </c>
      <c r="AJ105" s="1320" t="s">
        <v>90</v>
      </c>
    </row>
    <row r="106" spans="1:36">
      <c r="B106" s="1795" t="s">
        <v>67</v>
      </c>
      <c r="C106" s="1795"/>
      <c r="D106" s="1291">
        <f>'qtrP&amp;L_new'!BG15</f>
        <v>5098.9319999999998</v>
      </c>
      <c r="F106" s="1291">
        <f>'qtrP&amp;L_new'!BG25</f>
        <v>3059.6409999999996</v>
      </c>
      <c r="J106" s="1291">
        <f>AVERAGE(J102:J105)</f>
        <v>836.19574999999998</v>
      </c>
      <c r="L106" s="1797">
        <f>(D106/D99-1)*100</f>
        <v>5.9077321360621937</v>
      </c>
      <c r="R106" s="2010">
        <f>F106/J106</f>
        <v>3.6590008978160911</v>
      </c>
      <c r="S106" s="1546" t="s">
        <v>134</v>
      </c>
    </row>
    <row r="108" spans="1:36">
      <c r="B108" s="1942" t="s">
        <v>988</v>
      </c>
      <c r="C108" s="1795"/>
      <c r="D108" s="1291"/>
      <c r="F108" s="1291"/>
      <c r="J108" s="1291"/>
      <c r="L108" s="1797"/>
      <c r="R108" s="2018"/>
      <c r="S108" s="1349"/>
    </row>
    <row r="109" spans="1:36">
      <c r="A109" s="1282" t="s">
        <v>105</v>
      </c>
      <c r="B109" s="1282" t="s">
        <v>79</v>
      </c>
      <c r="C109" s="1795"/>
      <c r="D109" s="1291">
        <f>'qtrP&amp;L_new'!BK11</f>
        <v>1282.67</v>
      </c>
      <c r="F109" s="1291">
        <f>'qtrP&amp;L_new'!BK21</f>
        <v>768.68100000000004</v>
      </c>
      <c r="H109" s="1291">
        <f>INDEX(work!$10:$10,MATCH(turn!B108,work!$7:$7,0))</f>
        <v>804.69399999999996</v>
      </c>
      <c r="J109" s="1681">
        <f>AVERAGE(H109,H105)</f>
        <v>794.11099999999999</v>
      </c>
      <c r="L109" s="2011">
        <f>(D109/D102-1)*100</f>
        <v>8.4197829524985668</v>
      </c>
      <c r="M109" s="1282" t="s">
        <v>102</v>
      </c>
      <c r="N109" s="1851">
        <f>(H109/H102-1)*100</f>
        <v>-2.1426147950962759</v>
      </c>
      <c r="O109" s="1282" t="s">
        <v>102</v>
      </c>
      <c r="P109" s="1851">
        <f>(H109/H105-1)*100</f>
        <v>2.7013712337019102</v>
      </c>
      <c r="Q109" s="1282" t="s">
        <v>102</v>
      </c>
      <c r="R109" s="2005">
        <f>F109/J109</f>
        <v>0.96797676899073315</v>
      </c>
      <c r="S109" s="1282" t="s">
        <v>134</v>
      </c>
      <c r="T109" s="2005">
        <f>F110/H109</f>
        <v>0.94150322979915346</v>
      </c>
      <c r="V109" s="1849">
        <f>qtrSales!I118</f>
        <v>570</v>
      </c>
      <c r="X109" s="1962">
        <f>H109/V109</f>
        <v>1.4117438596491227</v>
      </c>
      <c r="Z109" s="1851">
        <f>(X109/X102-1)*100</f>
        <v>-6.2629257510922187</v>
      </c>
      <c r="AA109" s="1282" t="s">
        <v>102</v>
      </c>
      <c r="AB109" s="1779">
        <f>qtrSales!Y118</f>
        <v>43.621000000000002</v>
      </c>
      <c r="AD109" s="1681">
        <f>H109/AB109</f>
        <v>18.447399188464271</v>
      </c>
      <c r="AF109" s="1851">
        <f>(AD109/AD102-1)*100</f>
        <v>-4.8189372212086967</v>
      </c>
      <c r="AH109" s="1780">
        <f>J109/(F109/(365/4))</f>
        <v>94.2687912801279</v>
      </c>
      <c r="AJ109" s="1780">
        <f>H109/(F110/(365/4))</f>
        <v>96.919476335164489</v>
      </c>
    </row>
    <row r="110" spans="1:36">
      <c r="A110" s="1282" t="s">
        <v>106</v>
      </c>
      <c r="B110" s="1282" t="s">
        <v>80</v>
      </c>
      <c r="C110" s="1795"/>
      <c r="D110" s="1312">
        <f>'qtrP&amp;L_new'!BK12</f>
        <v>1255.0530000000001</v>
      </c>
      <c r="F110" s="1312">
        <f>'qtrP&amp;L_new'!BK22</f>
        <v>757.62199999999996</v>
      </c>
      <c r="H110" s="1312">
        <f>INDEX(work!$11:$11,MATCH(turn!B108,work!$7:$7,0))</f>
        <v>744.96500000000003</v>
      </c>
      <c r="J110" s="1540">
        <f>AVERAGE(H110,H109)</f>
        <v>774.82950000000005</v>
      </c>
      <c r="L110" s="2011">
        <f>(D110/D103-1)*100</f>
        <v>9.6865282664666985</v>
      </c>
      <c r="N110" s="1851">
        <f>(H110/H103-1)*100</f>
        <v>-7.1510741692123343</v>
      </c>
      <c r="P110" s="1851">
        <f>(H110/H109-1)*100</f>
        <v>-7.422573052613779</v>
      </c>
      <c r="R110" s="2005">
        <f>F110/J110</f>
        <v>0.97779188840899822</v>
      </c>
      <c r="T110" s="2005">
        <f>F111/H110</f>
        <v>1.0602618914982582</v>
      </c>
      <c r="V110" s="1849">
        <f>qtrSales!I119</f>
        <v>570</v>
      </c>
      <c r="X110" s="1962">
        <f>H110/V110</f>
        <v>1.3069561403508771</v>
      </c>
      <c r="Z110" s="1851">
        <f>(X110/X103-1)*100</f>
        <v>-11.060502625245515</v>
      </c>
      <c r="AB110" s="1779">
        <f>qtrSales!Y119</f>
        <v>43.621000000000002</v>
      </c>
      <c r="AD110" s="1681">
        <f>H110/AB110</f>
        <v>17.078127507393226</v>
      </c>
      <c r="AF110" s="1851">
        <f>(AD110/AD103-1)*100</f>
        <v>-9.6904191754279108</v>
      </c>
      <c r="AH110" s="1780">
        <f>J110/(F110/(365/4))</f>
        <v>93.322516868570347</v>
      </c>
      <c r="AJ110" s="1780">
        <f>H110/(F111/(365/4))</f>
        <v>86.063642135675039</v>
      </c>
    </row>
    <row r="111" spans="1:36">
      <c r="A111" s="1282" t="s">
        <v>107</v>
      </c>
      <c r="B111" s="1282" t="s">
        <v>81</v>
      </c>
      <c r="C111" s="1795"/>
      <c r="D111" s="1312">
        <f>'qtrP&amp;L_new'!BK13</f>
        <v>1342.6</v>
      </c>
      <c r="F111" s="1312">
        <f>'qtrP&amp;L_new'!BK23</f>
        <v>789.85799999999995</v>
      </c>
      <c r="H111" s="1312">
        <f>INDEX(work!$12:$12,MATCH(turn!B108,work!$7:$7,0))</f>
        <v>822.46900000000005</v>
      </c>
      <c r="J111" s="1540">
        <f>AVERAGE(H111,H110)</f>
        <v>783.7170000000001</v>
      </c>
      <c r="L111" s="2011">
        <f>(D111/D104-1)*100</f>
        <v>9.075901423852418</v>
      </c>
      <c r="N111" s="1851">
        <f>(H111/H104-1)*100</f>
        <v>-11.942257639363984</v>
      </c>
      <c r="P111" s="1851">
        <f>(H111/H110-1)*100</f>
        <v>10.40371024142075</v>
      </c>
      <c r="R111" s="2005">
        <f>F111/J111</f>
        <v>1.0078357366243169</v>
      </c>
      <c r="T111" s="2005">
        <f>F112/H111</f>
        <v>1.1930078823639552</v>
      </c>
      <c r="V111" s="1849">
        <f>qtrSales!I120</f>
        <v>592</v>
      </c>
      <c r="X111" s="1962">
        <f>H111/V111</f>
        <v>1.3893057432432434</v>
      </c>
      <c r="Z111" s="1851">
        <f>(X111/X104-1)*100</f>
        <v>-15.809658486283807</v>
      </c>
      <c r="AB111" s="1779">
        <f>qtrSales!Y120</f>
        <v>44.743000000000002</v>
      </c>
      <c r="AD111" s="1540">
        <f>H111/AB111</f>
        <v>18.382070938470822</v>
      </c>
      <c r="AF111" s="1851">
        <f>(AD111/AD104-1)*100</f>
        <v>-14.372834753446318</v>
      </c>
      <c r="AH111" s="1780">
        <f>J111/(F111/(365/4))</f>
        <v>90.540548111179504</v>
      </c>
      <c r="AJ111" s="1780">
        <f>H111/(F112/(365/4))</f>
        <v>76.487340401462689</v>
      </c>
    </row>
    <row r="112" spans="1:36">
      <c r="A112" s="1282" t="s">
        <v>108</v>
      </c>
      <c r="B112" s="1282" t="s">
        <v>82</v>
      </c>
      <c r="C112" s="1795"/>
      <c r="D112" s="1290">
        <f>'qtrP&amp;L_new'!BK14</f>
        <v>1685.7149999999999</v>
      </c>
      <c r="F112" s="1290">
        <f>'qtrP&amp;L_new'!BK24</f>
        <v>981.21199999999999</v>
      </c>
      <c r="H112" s="1540">
        <f>INDEX(work!$13:$13,MATCH(turn!B108,work!$7:$7,0))</f>
        <v>701.89099999999996</v>
      </c>
      <c r="J112" s="1290">
        <f>AVERAGE(H112,H111)</f>
        <v>762.18000000000006</v>
      </c>
      <c r="L112" s="1859">
        <f>(D112/D105-1)*100</f>
        <v>9.4073803405961609</v>
      </c>
      <c r="N112" s="1851">
        <f>(H112/H105-1)*100</f>
        <v>-10.419155409889635</v>
      </c>
      <c r="P112" s="1851">
        <f>(H112/H111-1)*100</f>
        <v>-14.660491763215401</v>
      </c>
      <c r="R112" s="2005">
        <f>F112/J112</f>
        <v>1.2873756855336009</v>
      </c>
      <c r="T112" s="2004" t="s">
        <v>90</v>
      </c>
      <c r="V112" s="1849">
        <f>qtrSales!I121</f>
        <v>592</v>
      </c>
      <c r="X112" s="1962">
        <f>H112/V112</f>
        <v>1.1856266891891891</v>
      </c>
      <c r="Z112" s="1851">
        <f>(X112/X105-1)*100</f>
        <v>-14.202130265890922</v>
      </c>
      <c r="AB112" s="1779">
        <f>qtrSales!Y121</f>
        <v>44.735999999999997</v>
      </c>
      <c r="AD112" s="1540">
        <f>H112/AB112</f>
        <v>15.689623569384835</v>
      </c>
      <c r="AF112" s="1851">
        <f>(AD112/AD105-1)*100</f>
        <v>-12.958240507803154</v>
      </c>
      <c r="AH112" s="1780">
        <f>J112/(F112/(365/4))</f>
        <v>70.880630281733218</v>
      </c>
      <c r="AJ112" s="1320" t="s">
        <v>90</v>
      </c>
    </row>
    <row r="113" spans="1:36">
      <c r="B113" s="1795" t="s">
        <v>67</v>
      </c>
      <c r="C113" s="1795"/>
      <c r="D113" s="1291">
        <f>'qtrP&amp;L_new'!BK15</f>
        <v>5566.0379999999996</v>
      </c>
      <c r="F113" s="1291">
        <f>'qtrP&amp;L_new'!BK25</f>
        <v>3297.373</v>
      </c>
      <c r="J113" s="1291">
        <f>AVERAGE(J109:J112)</f>
        <v>778.70937500000014</v>
      </c>
      <c r="L113" s="1797">
        <f>(D113/D106-1)*100</f>
        <v>9.1608595682389993</v>
      </c>
      <c r="R113" s="2010">
        <f>F113/J113</f>
        <v>4.2344077339508077</v>
      </c>
      <c r="S113" s="1546" t="s">
        <v>134</v>
      </c>
    </row>
    <row r="114" spans="1:36">
      <c r="B114" s="1795"/>
      <c r="C114" s="1795"/>
      <c r="D114" s="1291"/>
      <c r="F114" s="1291"/>
      <c r="J114" s="1291"/>
      <c r="L114" s="1797"/>
      <c r="R114" s="2018"/>
      <c r="S114" s="1349"/>
    </row>
    <row r="115" spans="1:36">
      <c r="B115" s="1942" t="s">
        <v>1097</v>
      </c>
      <c r="C115" s="1795"/>
      <c r="D115" s="1291"/>
      <c r="F115" s="1291"/>
      <c r="J115" s="1291"/>
      <c r="L115" s="1797"/>
      <c r="R115" s="2018"/>
      <c r="S115" s="1349"/>
    </row>
    <row r="116" spans="1:36">
      <c r="A116" s="1282" t="s">
        <v>105</v>
      </c>
      <c r="B116" s="1282" t="s">
        <v>79</v>
      </c>
      <c r="C116" s="1795"/>
      <c r="D116" s="1291">
        <f>'qtrP&amp;L_new'!BO11</f>
        <v>1346.546</v>
      </c>
      <c r="F116" s="1291">
        <f>'qtrP&amp;L_new'!BO21</f>
        <v>796.39599999999996</v>
      </c>
      <c r="H116" s="1291">
        <f>INDEX(work!$10:$10,MATCH(turn!B115,work!$7:$7,0))</f>
        <v>725.5</v>
      </c>
      <c r="J116" s="1681">
        <f>AVERAGE(H116,H112)</f>
        <v>713.69550000000004</v>
      </c>
      <c r="L116" s="2011">
        <f>(D116/D109-1)*100</f>
        <v>4.9799246883454051</v>
      </c>
      <c r="M116" s="1282" t="s">
        <v>102</v>
      </c>
      <c r="N116" s="1851">
        <f>(H116/H109-1)*100</f>
        <v>-9.84150496959092</v>
      </c>
      <c r="O116" s="1282" t="s">
        <v>102</v>
      </c>
      <c r="P116" s="1851">
        <f>(H116/H112-1)*100</f>
        <v>3.3636276857802683</v>
      </c>
      <c r="Q116" s="1282" t="s">
        <v>102</v>
      </c>
      <c r="R116" s="2005">
        <f>F116/J116</f>
        <v>1.1158764487095687</v>
      </c>
      <c r="S116" s="1282" t="s">
        <v>134</v>
      </c>
      <c r="T116" s="2005">
        <f>F117/H116</f>
        <v>1.1138883528600965</v>
      </c>
      <c r="V116" s="1849">
        <f>qtrSales!I125</f>
        <v>596</v>
      </c>
      <c r="X116" s="1962">
        <f>H116/V116</f>
        <v>1.2172818791946309</v>
      </c>
      <c r="Z116" s="1851">
        <f>(X116/X109-1)*100</f>
        <v>-13.774593678971181</v>
      </c>
      <c r="AA116" s="1282" t="s">
        <v>102</v>
      </c>
      <c r="AB116" s="1779">
        <f>qtrSales!Y125</f>
        <v>44.637</v>
      </c>
      <c r="AD116" s="1681">
        <f>H116/AB116</f>
        <v>16.253332437215761</v>
      </c>
      <c r="AF116" s="1851">
        <f>(AD116/AD109-1)*100</f>
        <v>-11.893637302653094</v>
      </c>
      <c r="AH116" s="1780">
        <f>J116/(F116/(365/4))</f>
        <v>81.774286127755559</v>
      </c>
      <c r="AJ116" s="1780">
        <f>H116/(F117/(365/4))</f>
        <v>81.920238923138214</v>
      </c>
    </row>
    <row r="117" spans="1:36">
      <c r="A117" s="1282" t="s">
        <v>106</v>
      </c>
      <c r="B117" s="1282" t="s">
        <v>80</v>
      </c>
      <c r="C117" s="1795"/>
      <c r="D117" s="1312">
        <f>'qtrP&amp;L_new'!BO12</f>
        <v>1363.2239999999999</v>
      </c>
      <c r="F117" s="1312">
        <f>'qtrP&amp;L_new'!BO22</f>
        <v>808.12599999999998</v>
      </c>
      <c r="H117" s="1312">
        <f>INDEX(work!$11:$11,MATCH(turn!B115,work!$7:$7,0))</f>
        <v>726.98500000000001</v>
      </c>
      <c r="J117" s="1540">
        <f>AVERAGE(H117,H116)</f>
        <v>726.24250000000006</v>
      </c>
      <c r="L117" s="2011">
        <f>(D117/D110-1)*100</f>
        <v>8.6188392044001194</v>
      </c>
      <c r="N117" s="1851">
        <f>(H117/H110-1)*100</f>
        <v>-2.4135362063989585</v>
      </c>
      <c r="P117" s="1851">
        <f>(H117/H116-1)*100</f>
        <v>0.20468642315645269</v>
      </c>
      <c r="R117" s="2005">
        <f>F117/J117</f>
        <v>1.1127495292550351</v>
      </c>
      <c r="T117" s="2005">
        <f>F118/H117</f>
        <v>1.1440786261064533</v>
      </c>
      <c r="V117" s="1849">
        <f>qtrSales!I126</f>
        <v>600</v>
      </c>
      <c r="X117" s="1962">
        <f>H117/V117</f>
        <v>1.2116416666666667</v>
      </c>
      <c r="Z117" s="1851">
        <f>(X117/X110-1)*100</f>
        <v>-7.2928593960789989</v>
      </c>
      <c r="AB117" s="1779">
        <f>qtrSales!Y126</f>
        <v>44.808999999999997</v>
      </c>
      <c r="AD117" s="1681">
        <f>H117/AB117</f>
        <v>16.224084447320852</v>
      </c>
      <c r="AF117" s="1851">
        <f>(AD117/AD110-1)*100</f>
        <v>-5.0008003494683706</v>
      </c>
      <c r="AH117" s="1780">
        <f>J117/(F117/(365/4))</f>
        <v>82.004078726584723</v>
      </c>
      <c r="AJ117" s="1780">
        <f>H117/(F118/(365/4))</f>
        <v>79.758504282650108</v>
      </c>
    </row>
    <row r="118" spans="1:36">
      <c r="A118" s="1282" t="s">
        <v>107</v>
      </c>
      <c r="B118" s="1282" t="s">
        <v>81</v>
      </c>
      <c r="C118" s="1795"/>
      <c r="D118" s="1312">
        <f>'qtrP&amp;L_new'!BO13</f>
        <v>1438.1669999999999</v>
      </c>
      <c r="F118" s="1312">
        <f>'qtrP&amp;L_new'!BO23</f>
        <v>831.72799999999995</v>
      </c>
      <c r="H118" s="1312">
        <f>INDEX(work!$12:$12,MATCH(turn!B115,work!$7:$7,0))</f>
        <v>903.66300000000001</v>
      </c>
      <c r="J118" s="1540">
        <f>AVERAGE(H118,H117)</f>
        <v>815.32400000000007</v>
      </c>
      <c r="L118" s="2011">
        <f>(D118/D111-1)*100</f>
        <v>7.1180545210784985</v>
      </c>
      <c r="N118" s="1851">
        <f>(H118/H111-1)*100</f>
        <v>9.8719830169890841</v>
      </c>
      <c r="P118" s="1851">
        <f>(H118/H117-1)*100</f>
        <v>24.302839811000233</v>
      </c>
      <c r="R118" s="2005">
        <f>F118/J118</f>
        <v>1.0201196088916797</v>
      </c>
      <c r="T118" s="2005">
        <f>F119/H118</f>
        <v>1.2426180998890071</v>
      </c>
      <c r="V118" s="1849">
        <f>qtrSales!I127</f>
        <v>631</v>
      </c>
      <c r="X118" s="1962">
        <f>H118/V118</f>
        <v>1.4321125198098257</v>
      </c>
      <c r="Z118" s="1851">
        <f>(X118/X111-1)*100</f>
        <v>3.0811631474762846</v>
      </c>
      <c r="AB118" s="1779">
        <f>qtrSales!Y127</f>
        <v>45.856999999999999</v>
      </c>
      <c r="AD118" s="1540">
        <f>H118/AB118</f>
        <v>19.70610811871688</v>
      </c>
      <c r="AF118" s="1851">
        <f>(AD118/AD111-1)*100</f>
        <v>7.2028727594291686</v>
      </c>
      <c r="AH118" s="1780">
        <f>J118/(F118/(365/4))</f>
        <v>89.450295048381221</v>
      </c>
      <c r="AJ118" s="1780">
        <f>H118/(F119/(365/4))</f>
        <v>73.43366397781476</v>
      </c>
    </row>
    <row r="119" spans="1:36">
      <c r="A119" s="1282" t="s">
        <v>108</v>
      </c>
      <c r="B119" s="1282" t="s">
        <v>82</v>
      </c>
      <c r="C119" s="1795"/>
      <c r="D119" s="1290">
        <f>'qtrP&amp;L_new'!BO14</f>
        <v>1936.829</v>
      </c>
      <c r="F119" s="1290">
        <f>'qtrP&amp;L_new'!BO24</f>
        <v>1122.9079999999999</v>
      </c>
      <c r="H119" s="1540">
        <f>INDEX(work!$13:$13,MATCH(turn!B115,work!$7:$7,0))</f>
        <v>752.56200000000001</v>
      </c>
      <c r="J119" s="1290">
        <f>AVERAGE(H119,H118)</f>
        <v>828.11249999999995</v>
      </c>
      <c r="L119" s="1859">
        <f>(D119/D112-1)*100</f>
        <v>14.896586908225885</v>
      </c>
      <c r="N119" s="1851">
        <f>(H119/H112-1)*100</f>
        <v>7.2192120998844533</v>
      </c>
      <c r="P119" s="1851">
        <f>(H119/H118-1)*100</f>
        <v>-16.720945750794268</v>
      </c>
      <c r="R119" s="2005">
        <f>F119/J119</f>
        <v>1.3559848450542649</v>
      </c>
      <c r="T119" s="2004" t="s">
        <v>90</v>
      </c>
      <c r="V119" s="1849">
        <f>qtrSales!I128</f>
        <v>629</v>
      </c>
      <c r="X119" s="1962">
        <f>H119/V119</f>
        <v>1.1964419713831478</v>
      </c>
      <c r="Z119" s="1851">
        <f>(X119/X112-1)*100</f>
        <v>0.91219962342066196</v>
      </c>
      <c r="AB119" s="1779">
        <f>qtrSales!Y128</f>
        <v>45.692999999999998</v>
      </c>
      <c r="AD119" s="1540">
        <f>H119/AB119</f>
        <v>16.469962576324601</v>
      </c>
      <c r="AF119" s="1851">
        <f>(AD119/AD112-1)*100</f>
        <v>4.9735992931177808</v>
      </c>
      <c r="AH119" s="1780">
        <f>J119/(F119/(365/4))</f>
        <v>67.294262419539265</v>
      </c>
      <c r="AJ119" s="1320" t="s">
        <v>90</v>
      </c>
    </row>
    <row r="120" spans="1:36">
      <c r="B120" s="1795" t="s">
        <v>67</v>
      </c>
      <c r="C120" s="1795"/>
      <c r="D120" s="1291">
        <f>'qtrP&amp;L_new'!BO15</f>
        <v>6084.7659999999996</v>
      </c>
      <c r="F120" s="1291">
        <f>'qtrP&amp;L_new'!BO25</f>
        <v>3559.1579999999999</v>
      </c>
      <c r="J120" s="1291">
        <f>AVERAGE(J116:J119)</f>
        <v>770.84362499999997</v>
      </c>
      <c r="L120" s="1797">
        <f>(D120/D113-1)*100</f>
        <v>9.3195195577177259</v>
      </c>
      <c r="R120" s="2010">
        <f>F120/J120</f>
        <v>4.6172244078687168</v>
      </c>
      <c r="S120" s="1546" t="s">
        <v>134</v>
      </c>
    </row>
    <row r="121" spans="1:36">
      <c r="B121" s="1795"/>
      <c r="C121" s="1795"/>
      <c r="D121" s="1291"/>
      <c r="F121" s="1291"/>
      <c r="J121" s="1291"/>
      <c r="L121" s="1797"/>
      <c r="R121" s="2018"/>
      <c r="S121" s="1349"/>
    </row>
    <row r="122" spans="1:36">
      <c r="B122" s="2017" t="s">
        <v>341</v>
      </c>
      <c r="C122" s="1795"/>
      <c r="D122" s="1291"/>
      <c r="F122" s="1291"/>
      <c r="J122" s="1291"/>
      <c r="L122" s="1797"/>
      <c r="R122" s="2018"/>
      <c r="S122" s="1349"/>
    </row>
    <row r="123" spans="1:36">
      <c r="A123" s="1282" t="s">
        <v>105</v>
      </c>
      <c r="B123" s="1282" t="s">
        <v>79</v>
      </c>
      <c r="C123" s="1795"/>
      <c r="D123" s="1291">
        <f>'qtrP&amp;L_new'!BS11</f>
        <v>1486.0064544107745</v>
      </c>
      <c r="F123" s="1291">
        <f>'qtrP&amp;L_new'!BS21</f>
        <v>872.28578873912454</v>
      </c>
      <c r="H123" s="1291">
        <f>INDEX(work!$10:$10,MATCH(turn!B122,work!$7:$7,0))</f>
        <v>710.99</v>
      </c>
      <c r="J123" s="1681">
        <f>AVERAGE(H123,H119)</f>
        <v>731.77600000000007</v>
      </c>
      <c r="L123" s="2011">
        <f>(D123/D116-1)*100</f>
        <v>10.356902356902363</v>
      </c>
      <c r="M123" s="1282" t="s">
        <v>102</v>
      </c>
      <c r="N123" s="1851">
        <f>(H123/H116-1)*100</f>
        <v>-2.0000000000000018</v>
      </c>
      <c r="O123" s="1282" t="s">
        <v>102</v>
      </c>
      <c r="P123" s="1851">
        <f>(H123/H119-1)*100</f>
        <v>-5.5240631336687223</v>
      </c>
      <c r="Q123" s="1282" t="s">
        <v>102</v>
      </c>
      <c r="R123" s="2005">
        <f>F123/J123</f>
        <v>1.192012021081758</v>
      </c>
      <c r="S123" s="1282" t="s">
        <v>134</v>
      </c>
      <c r="T123" s="2005">
        <f>F124/H123</f>
        <v>1.2407597688485239</v>
      </c>
      <c r="V123" s="1849">
        <f>qtrSales!I132</f>
        <v>651</v>
      </c>
      <c r="X123" s="1962">
        <f>H123/V123</f>
        <v>1.0921505376344087</v>
      </c>
      <c r="Z123" s="1851">
        <f>(X123/X116-1)*100</f>
        <v>-10.279569892473116</v>
      </c>
      <c r="AA123" s="1282" t="s">
        <v>102</v>
      </c>
      <c r="AB123" s="1779">
        <f>qtrSales!Y132</f>
        <v>46.683</v>
      </c>
      <c r="AD123" s="1681">
        <f>H123/AB123</f>
        <v>15.230169440695757</v>
      </c>
      <c r="AF123" s="1851">
        <f>(AD123/AD116-1)*100</f>
        <v>-6.2950967161493292</v>
      </c>
      <c r="AH123" s="1780">
        <f>J123/(F123/(365/4))</f>
        <v>76.551241418849187</v>
      </c>
      <c r="AJ123" s="1780">
        <f>H123/(F124/(365/4))</f>
        <v>73.543648247624716</v>
      </c>
    </row>
    <row r="124" spans="1:36">
      <c r="A124" s="1282" t="s">
        <v>106</v>
      </c>
      <c r="B124" s="1282" t="s">
        <v>80</v>
      </c>
      <c r="C124" s="1795"/>
      <c r="D124" s="1312">
        <f>'qtrP&amp;L_new'!BS12</f>
        <v>1499.0106848829432</v>
      </c>
      <c r="F124" s="1312">
        <f>'qtrP&amp;L_new'!BS22</f>
        <v>882.16778805361207</v>
      </c>
      <c r="H124" s="1312">
        <f>INDEX(work!$11:$11,MATCH(turn!B122,work!$7:$7,0))</f>
        <v>712.44529999999997</v>
      </c>
      <c r="J124" s="1540">
        <f>AVERAGE(H124,H123)</f>
        <v>711.71765000000005</v>
      </c>
      <c r="L124" s="2011">
        <f>(D124/D117-1)*100</f>
        <v>9.9607023411371287</v>
      </c>
      <c r="N124" s="1851">
        <f>(H124/H117-1)*100</f>
        <v>-2.0000000000000018</v>
      </c>
      <c r="P124" s="1851">
        <f>(H124/H123-1)*100</f>
        <v>0.20468642315643049</v>
      </c>
      <c r="R124" s="2005">
        <f>F124/J124</f>
        <v>1.2394912337127117</v>
      </c>
      <c r="T124" s="2005">
        <f>F125/H124</f>
        <v>1.2738942634592922</v>
      </c>
      <c r="V124" s="1849">
        <f>qtrSales!I133</f>
        <v>656</v>
      </c>
      <c r="X124" s="1962">
        <f>H124/V124</f>
        <v>1.0860446646341464</v>
      </c>
      <c r="Z124" s="1851">
        <f>(X124/X117-1)*100</f>
        <v>-10.365853658536583</v>
      </c>
      <c r="AB124" s="1779">
        <f>qtrSales!Y133</f>
        <v>46.908000000000001</v>
      </c>
      <c r="AD124" s="1681">
        <f>H124/AB124</f>
        <v>15.188140615673232</v>
      </c>
      <c r="AF124" s="1851">
        <f>(AD124/AD117-1)*100</f>
        <v>-6.385222136948931</v>
      </c>
      <c r="AH124" s="1780">
        <f>J124/(F124/(365/4))</f>
        <v>73.618915179153134</v>
      </c>
      <c r="AJ124" s="1780">
        <f>H124/(F125/(365/4))</f>
        <v>71.630748812863246</v>
      </c>
    </row>
    <row r="125" spans="1:36">
      <c r="A125" s="1282" t="s">
        <v>107</v>
      </c>
      <c r="B125" s="1282" t="s">
        <v>81</v>
      </c>
      <c r="C125" s="1795"/>
      <c r="D125" s="1312">
        <f>'qtrP&amp;L_new'!BS13</f>
        <v>1582.2524070755483</v>
      </c>
      <c r="F125" s="1312">
        <f>'qtrP&amp;L_new'!BS23</f>
        <v>907.57998069853443</v>
      </c>
      <c r="H125" s="1312">
        <f>INDEX(work!$12:$12,MATCH(turn!B122,work!$7:$7,0))</f>
        <v>885.58974000000001</v>
      </c>
      <c r="J125" s="1540">
        <f>AVERAGE(H125,H124)</f>
        <v>799.01751999999999</v>
      </c>
      <c r="L125" s="2011">
        <f>(D125/D118-1)*100</f>
        <v>10.01868399675061</v>
      </c>
      <c r="N125" s="1851">
        <f>(H125/H118-1)*100</f>
        <v>-2.0000000000000018</v>
      </c>
      <c r="P125" s="1851">
        <f>(H125/H124-1)*100</f>
        <v>24.302839811000233</v>
      </c>
      <c r="R125" s="2005">
        <f>F125/J125</f>
        <v>1.1358699377437111</v>
      </c>
      <c r="T125" s="2005">
        <f>F126/H125</f>
        <v>1.3129971894358214</v>
      </c>
      <c r="V125" s="1849">
        <f>qtrSales!I134</f>
        <v>671</v>
      </c>
      <c r="X125" s="1962">
        <f>H125/V125</f>
        <v>1.319805871833085</v>
      </c>
      <c r="Z125" s="1851">
        <f>(X125/X118-1)*100</f>
        <v>-7.8420268256333863</v>
      </c>
      <c r="AB125" s="1779">
        <f>qtrSales!Y134</f>
        <v>47.582999999999998</v>
      </c>
      <c r="AD125" s="1540">
        <f>H125/AB125</f>
        <v>18.611473425383014</v>
      </c>
      <c r="AF125" s="1851">
        <f>(AD125/AD118-1)*100</f>
        <v>-5.5547989828300004</v>
      </c>
      <c r="AH125" s="1780">
        <f>J125/(F125/(365/4))</f>
        <v>80.334901882568303</v>
      </c>
      <c r="AJ125" s="1780">
        <f>H125/(F126/(365/4))</f>
        <v>69.497483112822962</v>
      </c>
    </row>
    <row r="126" spans="1:36">
      <c r="A126" s="1282" t="s">
        <v>108</v>
      </c>
      <c r="B126" s="1282" t="s">
        <v>82</v>
      </c>
      <c r="C126" s="1795"/>
      <c r="D126" s="1290">
        <f>'qtrP&amp;L_new'!BS14</f>
        <v>2020.1126469999997</v>
      </c>
      <c r="F126" s="1290">
        <f>'qtrP&amp;L_new'!BS24</f>
        <v>1162.7768396131999</v>
      </c>
      <c r="H126" s="1540">
        <f>INDEX(work!$13:$13,MATCH(turn!B122,work!$7:$7,0))</f>
        <v>790.48586320431195</v>
      </c>
      <c r="J126" s="1290">
        <f>AVERAGE(H126,H125)</f>
        <v>838.03780160215592</v>
      </c>
      <c r="L126" s="1859">
        <f>(D126/D119-1)*100</f>
        <v>4.2999999999999927</v>
      </c>
      <c r="N126" s="1851">
        <f>(H126/H119-1)*100</f>
        <v>5.0393008422311869</v>
      </c>
      <c r="P126" s="1851">
        <f>(H126/H125-1)*100</f>
        <v>-10.739044559808031</v>
      </c>
      <c r="R126" s="2005">
        <f>F126/J126</f>
        <v>1.3874992719781967</v>
      </c>
      <c r="T126" s="2004" t="s">
        <v>90</v>
      </c>
      <c r="V126" s="1849">
        <f>qtrSales!I135</f>
        <v>669</v>
      </c>
      <c r="X126" s="1962">
        <f>H126/V126</f>
        <v>1.1815932185415725</v>
      </c>
      <c r="Z126" s="1851">
        <f>(X126/X119-1)*100</f>
        <v>-1.2410758897407614</v>
      </c>
      <c r="AB126" s="1779">
        <f>qtrSales!Y135</f>
        <v>47.492999999999995</v>
      </c>
      <c r="AD126" s="1540">
        <f>H126/AB126</f>
        <v>16.644260484793801</v>
      </c>
      <c r="AF126" s="1851">
        <f>(AD126/AD119-1)*100</f>
        <v>1.0582775016122481</v>
      </c>
      <c r="AH126" s="1780">
        <f>J126/(F126/(365/4))</f>
        <v>65.765800273107388</v>
      </c>
      <c r="AJ126" s="1320" t="s">
        <v>90</v>
      </c>
    </row>
    <row r="127" spans="1:36">
      <c r="B127" s="1795" t="s">
        <v>67</v>
      </c>
      <c r="C127" s="1795"/>
      <c r="D127" s="1291">
        <f>'qtrP&amp;L_new'!BS15</f>
        <v>6587.3821933692661</v>
      </c>
      <c r="F127" s="1291">
        <f>'qtrP&amp;L_new'!BS25</f>
        <v>3824.8103971044711</v>
      </c>
      <c r="J127" s="1291">
        <f>AVERAGE(J123:J126)</f>
        <v>770.13724290053904</v>
      </c>
      <c r="L127" s="1797">
        <f>(D127/D120-1)*100</f>
        <v>8.2602386578097828</v>
      </c>
      <c r="R127" s="2010">
        <f>F127/J127</f>
        <v>4.9664010309373312</v>
      </c>
      <c r="S127" s="1546" t="s">
        <v>134</v>
      </c>
    </row>
    <row r="128" spans="1:36">
      <c r="A128" s="1778" t="s">
        <v>78</v>
      </c>
      <c r="R128" s="2018"/>
    </row>
    <row r="130" spans="18:18">
      <c r="R130" s="2193"/>
    </row>
    <row r="131" spans="18:18">
      <c r="R131" s="2193"/>
    </row>
    <row r="132" spans="18:18">
      <c r="R132" s="1785"/>
    </row>
  </sheetData>
  <phoneticPr fontId="11" type="noConversion"/>
  <printOptions horizontalCentered="1" verticalCentered="1"/>
  <pageMargins left="0.5" right="0.5" top="0.5" bottom="0.5" header="0.5" footer="0.5"/>
  <pageSetup scale="61" orientation="landscape" horizontalDpi="300" verticalDpi="300" r:id="rId1"/>
  <headerFooter alignWithMargins="0"/>
  <colBreaks count="1" manualBreakCount="1">
    <brk id="36"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pageSetUpPr fitToPage="1"/>
  </sheetPr>
  <dimension ref="A1:IX71"/>
  <sheetViews>
    <sheetView zoomScale="85" zoomScaleNormal="85" workbookViewId="0">
      <selection activeCell="AQ27" sqref="AQ27"/>
    </sheetView>
  </sheetViews>
  <sheetFormatPr defaultRowHeight="12.75" outlineLevelRow="1" outlineLevelCol="1"/>
  <cols>
    <col min="1" max="1" width="1.85546875" style="1282" customWidth="1"/>
    <col min="2" max="2" width="4" style="1282" customWidth="1"/>
    <col min="3" max="3" width="29.140625" style="1282" customWidth="1"/>
    <col min="4" max="4" width="2.140625" style="1282" customWidth="1"/>
    <col min="5" max="5" width="9.85546875" style="1282" hidden="1" customWidth="1" outlineLevel="1"/>
    <col min="6" max="6" width="2.140625" style="1349" hidden="1" customWidth="1" outlineLevel="1"/>
    <col min="7" max="7" width="9.85546875" style="1282" hidden="1" customWidth="1" outlineLevel="1"/>
    <col min="8" max="8" width="2.140625" style="1349" hidden="1" customWidth="1" outlineLevel="1"/>
    <col min="9" max="9" width="9.140625" style="1282" hidden="1" customWidth="1" outlineLevel="1"/>
    <col min="10" max="10" width="2.140625" style="1349" hidden="1" customWidth="1" outlineLevel="1"/>
    <col min="11" max="11" width="9.140625" style="1282" hidden="1" customWidth="1" outlineLevel="1"/>
    <col min="12" max="12" width="2.140625" style="1349" hidden="1" customWidth="1" outlineLevel="1"/>
    <col min="13" max="13" width="9.140625" style="1282" hidden="1" customWidth="1" outlineLevel="1"/>
    <col min="14" max="14" width="2.140625" style="1349" hidden="1" customWidth="1" outlineLevel="1"/>
    <col min="15" max="15" width="9.85546875" style="1282" hidden="1" customWidth="1" outlineLevel="1"/>
    <col min="16" max="16" width="2.140625" style="1349" customWidth="1" collapsed="1"/>
    <col min="17" max="17" width="11.140625" style="1282" hidden="1" customWidth="1" outlineLevel="1"/>
    <col min="18" max="18" width="2.140625" style="1282" hidden="1" customWidth="1" outlineLevel="1"/>
    <col min="19" max="19" width="9.140625" style="1282" hidden="1" customWidth="1" outlineLevel="1"/>
    <col min="20" max="20" width="2.140625" style="1282" hidden="1" customWidth="1" outlineLevel="1"/>
    <col min="21" max="21" width="11.140625" style="1282" hidden="1" customWidth="1" outlineLevel="1"/>
    <col min="22" max="22" width="2.140625" style="1282" hidden="1" customWidth="1" outlineLevel="1"/>
    <col min="23" max="23" width="9.5703125" style="1282" hidden="1" customWidth="1" outlineLevel="1"/>
    <col min="24" max="24" width="4.28515625" style="1282" customWidth="1" collapsed="1"/>
    <col min="25" max="25" width="10.42578125" style="1282" bestFit="1" customWidth="1"/>
    <col min="26" max="26" width="2.140625" style="1282" customWidth="1"/>
    <col min="27" max="27" width="9.5703125" style="1282" bestFit="1" customWidth="1"/>
    <col min="28" max="28" width="2.140625" style="1282" customWidth="1"/>
    <col min="29" max="29" width="10" style="1282" customWidth="1"/>
    <col min="30" max="30" width="2.140625" style="1282" customWidth="1"/>
    <col min="31" max="31" width="9.28515625" style="1282" customWidth="1"/>
    <col min="32" max="32" width="2.140625" style="1282" customWidth="1"/>
    <col min="33" max="33" width="11.7109375" style="1282" customWidth="1"/>
    <col min="34" max="34" width="2.140625" style="1282" customWidth="1"/>
    <col min="35" max="35" width="11.28515625" style="1282" bestFit="1" customWidth="1"/>
    <col min="36" max="36" width="2.140625" style="1282" customWidth="1"/>
    <col min="37" max="37" width="11.5703125" style="1282" bestFit="1" customWidth="1"/>
    <col min="38" max="38" width="2.140625" style="1282" customWidth="1"/>
    <col min="39" max="39" width="13.7109375" style="1282" bestFit="1" customWidth="1"/>
    <col min="40" max="40" width="2.140625" style="1282" customWidth="1"/>
    <col min="41" max="41" width="14.7109375" style="1282" bestFit="1" customWidth="1"/>
    <col min="42" max="42" width="2.140625" style="1282" customWidth="1"/>
    <col min="43" max="43" width="13.7109375" style="1282" customWidth="1"/>
    <col min="44" max="44" width="2.140625" style="1282" customWidth="1"/>
    <col min="45" max="45" width="13.85546875" style="1282" bestFit="1" customWidth="1"/>
    <col min="46" max="46" width="3.42578125" style="1282" customWidth="1"/>
    <col min="47" max="47" width="13.85546875" style="1282" bestFit="1" customWidth="1"/>
    <col min="48" max="48" width="3.42578125" style="1282" customWidth="1"/>
    <col min="49" max="49" width="13.85546875" style="1282" bestFit="1" customWidth="1"/>
    <col min="50" max="50" width="6.5703125" style="1282" customWidth="1"/>
    <col min="51" max="51" width="26.7109375" hidden="1" customWidth="1" outlineLevel="1"/>
    <col min="52" max="52" width="9.140625" hidden="1" customWidth="1" outlineLevel="1"/>
    <col min="53" max="53" width="11.140625" hidden="1" customWidth="1" outlineLevel="1"/>
    <col min="54" max="56" width="9.140625" hidden="1" customWidth="1" outlineLevel="1"/>
    <col min="57" max="57" width="9.140625" style="1282" collapsed="1"/>
    <col min="58" max="16384" width="9.140625" style="1282"/>
  </cols>
  <sheetData>
    <row r="1" spans="1:56">
      <c r="A1" s="1283" t="s">
        <v>441</v>
      </c>
      <c r="F1" s="1282"/>
      <c r="H1" s="1282"/>
      <c r="J1" s="1282"/>
      <c r="L1" s="1282"/>
      <c r="N1" s="1282"/>
      <c r="P1" s="1282"/>
    </row>
    <row r="2" spans="1:56" s="1352" customFormat="1">
      <c r="A2" s="1246" t="s">
        <v>132</v>
      </c>
      <c r="AY2"/>
      <c r="AZ2"/>
      <c r="BA2"/>
      <c r="BB2"/>
      <c r="BC2"/>
      <c r="BD2"/>
    </row>
    <row r="3" spans="1:56">
      <c r="A3" s="1249" t="s">
        <v>91</v>
      </c>
      <c r="O3" s="1669"/>
      <c r="AA3" s="1784"/>
      <c r="AE3" s="1785"/>
      <c r="AI3" s="1670"/>
    </row>
    <row r="4" spans="1:56">
      <c r="A4" s="1249" t="s">
        <v>92</v>
      </c>
      <c r="AE4" s="1669"/>
      <c r="AF4" s="1669"/>
      <c r="AG4" s="1669"/>
      <c r="AH4" s="1669"/>
      <c r="AI4" s="1670"/>
      <c r="AJ4" s="1669"/>
      <c r="AK4" s="1669"/>
      <c r="AL4" s="1669"/>
      <c r="AM4" s="1669"/>
      <c r="AN4" s="1669"/>
      <c r="AO4" s="1669"/>
      <c r="AP4" s="1669"/>
      <c r="AQ4" s="1669"/>
      <c r="AR4" s="1669"/>
      <c r="AS4" s="1669"/>
      <c r="AT4" s="1669"/>
      <c r="AU4" s="1669"/>
      <c r="AV4" s="1669"/>
      <c r="AW4" s="1669"/>
      <c r="AX4" s="1669"/>
    </row>
    <row r="5" spans="1:56">
      <c r="E5" s="1303" t="s">
        <v>260</v>
      </c>
      <c r="F5" s="1303"/>
      <c r="G5" s="1303"/>
      <c r="H5" s="1303"/>
      <c r="I5" s="1303"/>
      <c r="J5" s="1303"/>
      <c r="K5" s="1303"/>
      <c r="L5" s="1303"/>
      <c r="M5" s="1303"/>
      <c r="N5" s="1303"/>
      <c r="O5" s="1303"/>
      <c r="P5" s="1303"/>
      <c r="Q5" s="1303"/>
      <c r="R5" s="1303"/>
      <c r="S5" s="1303"/>
      <c r="T5" s="1303"/>
      <c r="U5" s="1303"/>
      <c r="W5" s="1303" t="s">
        <v>259</v>
      </c>
      <c r="X5" s="1304"/>
      <c r="Y5" s="1304"/>
      <c r="Z5" s="1304"/>
      <c r="AA5" s="1304"/>
      <c r="AB5" s="1304"/>
      <c r="AC5" s="1304"/>
      <c r="AD5" s="1304"/>
      <c r="AE5" s="1304"/>
      <c r="AF5" s="1304"/>
      <c r="AG5" s="1304"/>
      <c r="AH5" s="1304"/>
      <c r="AI5" s="1937"/>
      <c r="AJ5" s="1938"/>
      <c r="AK5" s="1939"/>
      <c r="AL5" s="1939"/>
      <c r="AM5" s="1939"/>
      <c r="AN5" s="1939"/>
      <c r="AO5" s="1939"/>
      <c r="AP5" s="1939"/>
      <c r="AQ5" s="1939"/>
      <c r="AR5" s="1939"/>
      <c r="AS5" s="1939"/>
      <c r="AT5" s="1939"/>
      <c r="AU5" s="1939"/>
      <c r="AV5" s="1939"/>
      <c r="AW5" s="1939"/>
      <c r="AX5" s="1578"/>
    </row>
    <row r="6" spans="1:56">
      <c r="E6" s="1940" t="s">
        <v>252</v>
      </c>
      <c r="G6" s="1940" t="s">
        <v>253</v>
      </c>
      <c r="I6" s="1940" t="s">
        <v>254</v>
      </c>
      <c r="K6" s="1940" t="s">
        <v>255</v>
      </c>
      <c r="M6" s="1940" t="s">
        <v>166</v>
      </c>
      <c r="O6" s="1940" t="s">
        <v>96</v>
      </c>
      <c r="Q6" s="1940" t="s">
        <v>95</v>
      </c>
      <c r="S6" s="1940" t="s">
        <v>94</v>
      </c>
      <c r="U6" s="1940" t="s">
        <v>93</v>
      </c>
      <c r="W6" s="1940" t="s">
        <v>83</v>
      </c>
      <c r="Y6" s="1940" t="s">
        <v>84</v>
      </c>
      <c r="AA6" s="1940" t="s">
        <v>242</v>
      </c>
      <c r="AC6" s="1940" t="s">
        <v>247</v>
      </c>
      <c r="AE6" s="1940" t="s">
        <v>611</v>
      </c>
      <c r="AG6" s="1940" t="s">
        <v>626</v>
      </c>
      <c r="AI6" s="1940" t="s">
        <v>933</v>
      </c>
      <c r="AK6" s="1940" t="s">
        <v>988</v>
      </c>
      <c r="AM6" s="1940" t="s">
        <v>1097</v>
      </c>
      <c r="AO6" s="1941" t="s">
        <v>341</v>
      </c>
      <c r="AQ6" s="1941" t="s">
        <v>420</v>
      </c>
      <c r="AS6" s="1941" t="s">
        <v>421</v>
      </c>
      <c r="AU6" s="1941" t="s">
        <v>422</v>
      </c>
      <c r="AW6" s="1941" t="s">
        <v>464</v>
      </c>
    </row>
    <row r="8" spans="1:56">
      <c r="A8" s="1942" t="s">
        <v>133</v>
      </c>
      <c r="U8" s="1782"/>
    </row>
    <row r="9" spans="1:56">
      <c r="B9" s="1282" t="s">
        <v>11</v>
      </c>
      <c r="E9" s="1643">
        <f>flow!E69</f>
        <v>127.818</v>
      </c>
      <c r="G9" s="1643">
        <f>flow!G69</f>
        <v>77.406999999999996</v>
      </c>
      <c r="I9" s="1643">
        <f>flow!I69</f>
        <v>122.47399999999999</v>
      </c>
      <c r="K9" s="1643">
        <f>flow!K69</f>
        <v>27.903999999999996</v>
      </c>
      <c r="M9" s="1643">
        <f>flow!M69</f>
        <v>29.816999999999997</v>
      </c>
      <c r="O9" s="1643">
        <f>flow!O69</f>
        <v>47.952999999999996</v>
      </c>
      <c r="Q9" s="1643">
        <f>flow!Q69</f>
        <v>58.375999999999998</v>
      </c>
      <c r="S9" s="1643">
        <f>flow!S69</f>
        <v>33.878</v>
      </c>
      <c r="U9" s="1643">
        <f>flow!U69</f>
        <v>40.100999999999999</v>
      </c>
      <c r="W9" s="1643">
        <f>flow!W69</f>
        <v>24.750000000000004</v>
      </c>
      <c r="Y9" s="1643">
        <f>flow!Y69</f>
        <v>30.214000000000006</v>
      </c>
      <c r="AA9" s="1643">
        <f>flow!AA69</f>
        <v>35.664000000000009</v>
      </c>
      <c r="AC9" s="1643">
        <f>flow!AC69</f>
        <v>44.26400000000001</v>
      </c>
      <c r="AE9" s="1943">
        <v>132.98400000000001</v>
      </c>
      <c r="AG9" s="1943">
        <v>25.349</v>
      </c>
      <c r="AH9" s="1643"/>
      <c r="AI9" s="1943">
        <f>flow!AI69</f>
        <v>20.914999999999999</v>
      </c>
      <c r="AJ9" s="1643"/>
      <c r="AK9" s="1943">
        <f>flow!AK69</f>
        <v>81.597000000000008</v>
      </c>
      <c r="AL9" s="1643"/>
      <c r="AM9" s="1643">
        <f>flow!AM69</f>
        <v>133.286</v>
      </c>
      <c r="AN9" s="1643"/>
      <c r="AO9" s="1643">
        <f>flow!AO69</f>
        <v>111.57599999999999</v>
      </c>
      <c r="AP9" s="1643"/>
      <c r="AQ9" s="1643">
        <f>flow!AQ69</f>
        <v>168.62099999999998</v>
      </c>
      <c r="AR9" s="1643"/>
      <c r="AS9" s="1643">
        <f>flow!AS69</f>
        <v>296.41999999999996</v>
      </c>
      <c r="AT9" s="1643"/>
      <c r="AU9" s="1643">
        <f>flow!AU69</f>
        <v>503.44299999999998</v>
      </c>
      <c r="AV9" s="1643"/>
      <c r="AW9" s="1643">
        <f>flow!AW69</f>
        <v>789.36699999999996</v>
      </c>
      <c r="AX9" s="1643"/>
    </row>
    <row r="10" spans="1:56">
      <c r="B10" s="1282" t="s">
        <v>303</v>
      </c>
      <c r="E10" s="1653">
        <v>0</v>
      </c>
      <c r="G10" s="1653">
        <v>0</v>
      </c>
      <c r="I10" s="1653">
        <v>6.5</v>
      </c>
      <c r="J10" s="1653"/>
      <c r="K10" s="1653">
        <v>8.8260000000000005</v>
      </c>
      <c r="L10" s="1653"/>
      <c r="M10" s="1653">
        <v>9.3040000000000003</v>
      </c>
      <c r="N10" s="1653"/>
      <c r="O10" s="1653">
        <v>14.957000000000001</v>
      </c>
      <c r="P10" s="1653"/>
      <c r="Q10" s="1653">
        <v>13.816000000000001</v>
      </c>
      <c r="R10" s="1653"/>
      <c r="S10" s="1653">
        <v>2.7530000000000001</v>
      </c>
      <c r="T10" s="1653"/>
      <c r="U10" s="1653">
        <v>2.6920000000000002</v>
      </c>
      <c r="V10" s="1653"/>
      <c r="W10" s="1653">
        <v>2.605</v>
      </c>
      <c r="X10" s="1653"/>
      <c r="Y10" s="1653">
        <v>30.263999999999999</v>
      </c>
      <c r="Z10" s="1653"/>
      <c r="AA10" s="1653">
        <v>34.799999999999997</v>
      </c>
      <c r="AB10" s="1653"/>
      <c r="AC10" s="1653">
        <v>34.799999999999997</v>
      </c>
      <c r="AE10" s="1653">
        <v>32.1</v>
      </c>
      <c r="AG10" s="1944">
        <v>27.8</v>
      </c>
      <c r="AH10" s="1643"/>
      <c r="AI10" s="1944">
        <f>AG10</f>
        <v>27.8</v>
      </c>
      <c r="AJ10" s="1643"/>
      <c r="AK10" s="1944">
        <v>27.8</v>
      </c>
      <c r="AL10" s="1797"/>
      <c r="AM10" s="1944">
        <v>27.8</v>
      </c>
      <c r="AN10" s="1797"/>
      <c r="AO10" s="1797">
        <f>AM10</f>
        <v>27.8</v>
      </c>
      <c r="AP10" s="1797"/>
      <c r="AQ10" s="1797">
        <f>AO10</f>
        <v>27.8</v>
      </c>
      <c r="AR10" s="1797"/>
      <c r="AS10" s="1797">
        <f>AQ10</f>
        <v>27.8</v>
      </c>
      <c r="AT10" s="1797"/>
      <c r="AU10" s="1797">
        <f>AS10</f>
        <v>27.8</v>
      </c>
      <c r="AV10" s="1797"/>
      <c r="AW10" s="1797">
        <f>AU10</f>
        <v>27.8</v>
      </c>
      <c r="AX10" s="1797"/>
    </row>
    <row r="11" spans="1:56">
      <c r="B11" s="1282" t="s">
        <v>304</v>
      </c>
      <c r="E11" s="1653">
        <v>0</v>
      </c>
      <c r="G11" s="1653">
        <v>0</v>
      </c>
      <c r="I11" s="1653">
        <v>0</v>
      </c>
      <c r="J11" s="1653"/>
      <c r="K11" s="1653">
        <v>15.266</v>
      </c>
      <c r="L11" s="1653"/>
      <c r="M11" s="1653">
        <v>168.47399999999999</v>
      </c>
      <c r="N11" s="1653"/>
      <c r="O11" s="1653">
        <v>134.66399999999999</v>
      </c>
      <c r="P11" s="1653"/>
      <c r="Q11" s="1653">
        <v>0.59099999999999997</v>
      </c>
      <c r="R11" s="1653"/>
      <c r="S11" s="1653">
        <v>0</v>
      </c>
      <c r="T11" s="1653"/>
      <c r="U11" s="1653">
        <v>0</v>
      </c>
      <c r="V11" s="1653"/>
      <c r="W11" s="1653">
        <v>0</v>
      </c>
      <c r="X11" s="1653"/>
      <c r="Y11" s="1653">
        <v>0</v>
      </c>
      <c r="Z11" s="1653"/>
      <c r="AA11" s="1653">
        <v>0</v>
      </c>
      <c r="AB11" s="1653"/>
      <c r="AC11" s="1653">
        <v>0</v>
      </c>
      <c r="AE11" s="1653">
        <v>0</v>
      </c>
      <c r="AG11" s="1944">
        <v>0</v>
      </c>
      <c r="AH11" s="1643"/>
      <c r="AI11" s="1653">
        <v>0</v>
      </c>
      <c r="AJ11" s="1643"/>
      <c r="AK11" s="1653">
        <v>0</v>
      </c>
      <c r="AL11" s="1643"/>
      <c r="AM11" s="1653">
        <v>0</v>
      </c>
      <c r="AN11" s="1643"/>
      <c r="AO11" s="1653">
        <v>0</v>
      </c>
      <c r="AP11" s="1643"/>
      <c r="AQ11" s="1653">
        <v>0</v>
      </c>
      <c r="AR11" s="1643"/>
      <c r="AS11" s="1653">
        <v>0</v>
      </c>
      <c r="AT11" s="1643"/>
      <c r="AU11" s="1653">
        <v>0</v>
      </c>
      <c r="AV11" s="1643"/>
      <c r="AW11" s="1653">
        <v>0</v>
      </c>
      <c r="AX11" s="1643"/>
    </row>
    <row r="12" spans="1:56">
      <c r="B12" s="1282" t="s">
        <v>21</v>
      </c>
      <c r="E12" s="1653">
        <v>20.119</v>
      </c>
      <c r="G12" s="1653">
        <v>20.234000000000002</v>
      </c>
      <c r="I12" s="1653">
        <v>14.773</v>
      </c>
      <c r="K12" s="1653">
        <v>16.927</v>
      </c>
      <c r="M12" s="1653">
        <v>23.744</v>
      </c>
      <c r="O12" s="1653">
        <v>24.841000000000001</v>
      </c>
      <c r="Q12" s="1653">
        <v>42.082999999999998</v>
      </c>
      <c r="S12" s="1653">
        <v>30.59</v>
      </c>
      <c r="U12" s="1945">
        <v>27.137</v>
      </c>
      <c r="W12" s="1653">
        <v>31.277999999999999</v>
      </c>
      <c r="Y12" s="1653">
        <v>49.875</v>
      </c>
      <c r="AA12" s="1653">
        <v>40.119</v>
      </c>
      <c r="AC12" s="1653">
        <v>41.734000000000002</v>
      </c>
      <c r="AE12" s="1653">
        <v>35.677999999999997</v>
      </c>
      <c r="AG12" s="1944">
        <v>49.716000000000001</v>
      </c>
      <c r="AH12" s="1797"/>
      <c r="AI12" s="1944">
        <v>38.570999999999998</v>
      </c>
      <c r="AJ12" s="1797"/>
      <c r="AK12" s="1944">
        <v>43.252000000000002</v>
      </c>
      <c r="AL12" s="1797"/>
      <c r="AM12" s="1944">
        <v>71.649000000000001</v>
      </c>
      <c r="AN12" s="1797"/>
      <c r="AO12" s="1797">
        <f>AO55*AO60</f>
        <v>62.580130837008028</v>
      </c>
      <c r="AP12" s="1797"/>
      <c r="AQ12" s="1797">
        <f>AQ55*AQ60</f>
        <v>69.085957381804519</v>
      </c>
      <c r="AR12" s="1797"/>
      <c r="AS12" s="1797">
        <f>AS55*AS60</f>
        <v>75.971491044226156</v>
      </c>
      <c r="AT12" s="1797"/>
      <c r="AU12" s="1797">
        <f>AU55*AU60</f>
        <v>83.252873868999927</v>
      </c>
      <c r="AV12" s="1797"/>
      <c r="AW12" s="1797">
        <f>AW55*AW60</f>
        <v>90.946998375982801</v>
      </c>
      <c r="AX12" s="1797"/>
    </row>
    <row r="13" spans="1:56">
      <c r="B13" s="1282" t="s">
        <v>12</v>
      </c>
      <c r="E13" s="1653">
        <v>513.01800000000003</v>
      </c>
      <c r="G13" s="1653">
        <v>535.42899999999997</v>
      </c>
      <c r="I13" s="1653">
        <v>564.65200000000004</v>
      </c>
      <c r="K13" s="1653">
        <v>583.13300000000004</v>
      </c>
      <c r="M13" s="1653">
        <v>622.53800000000001</v>
      </c>
      <c r="O13" s="1653">
        <v>720.88199999999995</v>
      </c>
      <c r="Q13" s="1653">
        <v>708.18499999999995</v>
      </c>
      <c r="S13" s="1653">
        <v>710.57100000000003</v>
      </c>
      <c r="U13" s="1653">
        <v>719.529</v>
      </c>
      <c r="W13" s="1653">
        <v>613.29499999999996</v>
      </c>
      <c r="Y13" s="1653">
        <v>644.22799999999995</v>
      </c>
      <c r="AA13" s="1653">
        <v>682.26</v>
      </c>
      <c r="AC13" s="1653">
        <v>680.19</v>
      </c>
      <c r="AE13" s="1653">
        <v>720.05200000000002</v>
      </c>
      <c r="AG13" s="1944">
        <v>788.70799999999997</v>
      </c>
      <c r="AH13" s="1797"/>
      <c r="AI13" s="1944">
        <v>783.52800000000002</v>
      </c>
      <c r="AJ13" s="1797"/>
      <c r="AK13" s="1944">
        <v>701.89099999999996</v>
      </c>
      <c r="AL13" s="1797"/>
      <c r="AM13" s="1944">
        <v>752.56200000000001</v>
      </c>
      <c r="AN13" s="1797"/>
      <c r="AO13" s="1797">
        <f>AO55*AO61</f>
        <v>790.48586320431195</v>
      </c>
      <c r="AP13" s="1797"/>
      <c r="AQ13" s="1797">
        <f>AQ55*AQ61</f>
        <v>872.6647248227938</v>
      </c>
      <c r="AR13" s="1797"/>
      <c r="AS13" s="1797">
        <f>AS55*AS61</f>
        <v>959.63988687443566</v>
      </c>
      <c r="AT13" s="1797"/>
      <c r="AU13" s="1797">
        <f>AU55*AU61</f>
        <v>1051.6152488715779</v>
      </c>
      <c r="AV13" s="1797"/>
      <c r="AW13" s="1797">
        <f>AW55*AW61</f>
        <v>1148.8041900124142</v>
      </c>
      <c r="AX13" s="1797"/>
    </row>
    <row r="14" spans="1:56">
      <c r="B14" s="1282" t="s">
        <v>297</v>
      </c>
      <c r="E14" s="1653">
        <v>9.9130000000000003</v>
      </c>
      <c r="G14" s="1653">
        <v>10.021000000000001</v>
      </c>
      <c r="I14" s="1653">
        <v>10.534000000000001</v>
      </c>
      <c r="K14" s="1653">
        <v>16.05</v>
      </c>
      <c r="M14" s="1653">
        <v>19.66</v>
      </c>
      <c r="O14" s="1653">
        <v>22.187000000000001</v>
      </c>
      <c r="Q14" s="1653">
        <f>27.916</f>
        <v>27.916</v>
      </c>
      <c r="S14" s="1653">
        <v>35.143000000000001</v>
      </c>
      <c r="U14" s="1653">
        <v>51.375999999999998</v>
      </c>
      <c r="W14" s="1653">
        <v>29.643999999999998</v>
      </c>
      <c r="Y14" s="1653">
        <v>24.835000000000001</v>
      </c>
      <c r="AA14" s="1653">
        <v>23.242999999999999</v>
      </c>
      <c r="AC14" s="1653">
        <v>6.133</v>
      </c>
      <c r="AE14" s="1653">
        <v>13.475</v>
      </c>
      <c r="AG14" s="1944">
        <v>37.228999999999999</v>
      </c>
      <c r="AH14" s="1797"/>
      <c r="AI14" s="1797">
        <v>0</v>
      </c>
      <c r="AJ14" s="1797"/>
      <c r="AK14" s="1797">
        <f>AI14</f>
        <v>0</v>
      </c>
      <c r="AL14" s="1797"/>
      <c r="AM14" s="1797">
        <f>AK14</f>
        <v>0</v>
      </c>
      <c r="AN14" s="1797"/>
      <c r="AO14" s="1797">
        <f>AM14</f>
        <v>0</v>
      </c>
      <c r="AP14" s="1797"/>
      <c r="AQ14" s="1797">
        <f>AO14</f>
        <v>0</v>
      </c>
      <c r="AR14" s="1797"/>
      <c r="AS14" s="1797">
        <f>AQ14</f>
        <v>0</v>
      </c>
      <c r="AT14" s="1797"/>
      <c r="AU14" s="1797">
        <f>AS14</f>
        <v>0</v>
      </c>
      <c r="AV14" s="1797"/>
      <c r="AW14" s="1797">
        <f>AU14</f>
        <v>0</v>
      </c>
      <c r="AX14" s="1797"/>
    </row>
    <row r="15" spans="1:56">
      <c r="B15" s="1282" t="s">
        <v>13</v>
      </c>
      <c r="E15" s="1946">
        <v>23.765999999999998</v>
      </c>
      <c r="G15" s="1946">
        <v>34.860999999999997</v>
      </c>
      <c r="I15" s="1946">
        <v>31.782</v>
      </c>
      <c r="K15" s="1946">
        <f>15.378+     4.737</f>
        <v>20.115000000000002</v>
      </c>
      <c r="M15" s="1946">
        <f>17.131+1.081</f>
        <v>18.212</v>
      </c>
      <c r="O15" s="1946">
        <v>18.890999999999998</v>
      </c>
      <c r="Q15" s="1946">
        <f>(30786+7661)/1000</f>
        <v>38.447000000000003</v>
      </c>
      <c r="S15" s="1946">
        <f>(34257+1109+35073)/1000</f>
        <v>70.438999999999993</v>
      </c>
      <c r="U15" s="1946">
        <f xml:space="preserve">
24.978+
3.864+
2.816</f>
        <v>31.658000000000001</v>
      </c>
      <c r="W15" s="1946">
        <f>29.443+4.841+0.521</f>
        <v>34.805</v>
      </c>
      <c r="Y15" s="1946">
        <f>(36109+16447+2156)/1000</f>
        <v>54.712000000000003</v>
      </c>
      <c r="AA15" s="1946">
        <f>(40062+21319+521)/1000</f>
        <v>61.902000000000001</v>
      </c>
      <c r="AC15" s="1946">
        <f>(66052+7218+191)/1000</f>
        <v>73.460999999999999</v>
      </c>
      <c r="AE15" s="1946">
        <f>77.708+4.523</f>
        <v>82.230999999999995</v>
      </c>
      <c r="AF15" s="1737"/>
      <c r="AG15" s="1947">
        <v>58.680999999999997</v>
      </c>
      <c r="AH15" s="1737"/>
      <c r="AI15" s="1947">
        <v>62.167999999999999</v>
      </c>
      <c r="AJ15" s="1737"/>
      <c r="AK15" s="1947">
        <v>73.784000000000006</v>
      </c>
      <c r="AL15" s="1737"/>
      <c r="AM15" s="1947">
        <v>115.136</v>
      </c>
      <c r="AN15" s="1737"/>
      <c r="AO15" s="1737">
        <f>AO55*AO62</f>
        <v>65.873821933692668</v>
      </c>
      <c r="AP15" s="1737"/>
      <c r="AQ15" s="1737">
        <f>AQ55*AQ62</f>
        <v>72.722060401899498</v>
      </c>
      <c r="AR15" s="1737"/>
      <c r="AS15" s="1737">
        <f>AS55*AS62</f>
        <v>79.969990572869634</v>
      </c>
      <c r="AT15" s="1737"/>
      <c r="AU15" s="1737">
        <f>AU55*AU62</f>
        <v>87.634604072631504</v>
      </c>
      <c r="AV15" s="1737"/>
      <c r="AW15" s="1737">
        <f>AW55*AW62</f>
        <v>95.733682501034536</v>
      </c>
      <c r="AX15" s="1687"/>
    </row>
    <row r="16" spans="1:56">
      <c r="C16" s="1282" t="s">
        <v>22</v>
      </c>
      <c r="E16" s="1718">
        <f>SUM(E9:E15)</f>
        <v>694.63400000000001</v>
      </c>
      <c r="G16" s="1718">
        <f>SUM(G9:G15)</f>
        <v>677.95199999999988</v>
      </c>
      <c r="I16" s="1718">
        <f>SUM(I9:I15)</f>
        <v>750.71500000000003</v>
      </c>
      <c r="K16" s="1718">
        <f>SUM(K9:K15)</f>
        <v>688.221</v>
      </c>
      <c r="M16" s="1718">
        <f>SUM(M9:M15)</f>
        <v>891.74899999999991</v>
      </c>
      <c r="O16" s="1718">
        <f>SUM(O9:O15)</f>
        <v>984.37499999999989</v>
      </c>
      <c r="Q16" s="1718">
        <f>SUM(Q9:Q15)</f>
        <v>889.41399999999999</v>
      </c>
      <c r="S16" s="1718">
        <f>SUM(S9:S15)</f>
        <v>883.37400000000002</v>
      </c>
      <c r="U16" s="1718">
        <f>SUM(U9:U15)</f>
        <v>872.49300000000005</v>
      </c>
      <c r="W16" s="1718">
        <f>SUM(W9:W15)</f>
        <v>736.37699999999995</v>
      </c>
      <c r="Y16" s="1718">
        <f>SUM(Y9:Y15)</f>
        <v>834.12799999999993</v>
      </c>
      <c r="AA16" s="1718">
        <f>SUM(AA9:AA15)</f>
        <v>877.98800000000006</v>
      </c>
      <c r="AC16" s="1718">
        <f>SUM(AC9:AC15)</f>
        <v>880.58200000000011</v>
      </c>
      <c r="AE16" s="1669">
        <f>SUM(AE9:AE15)</f>
        <v>1016.5200000000001</v>
      </c>
      <c r="AG16" s="1669">
        <f>SUM(AG9:AG15)</f>
        <v>987.48300000000006</v>
      </c>
      <c r="AH16" s="1669"/>
      <c r="AI16" s="1669">
        <f>SUM(AI9:AI15)</f>
        <v>932.98200000000008</v>
      </c>
      <c r="AJ16" s="1669"/>
      <c r="AK16" s="1669">
        <f>SUM(AK9:AK15)</f>
        <v>928.32399999999996</v>
      </c>
      <c r="AL16" s="1669"/>
      <c r="AM16" s="1669">
        <f>SUM(AM9:AM15)</f>
        <v>1100.433</v>
      </c>
      <c r="AN16" s="1669"/>
      <c r="AO16" s="1669">
        <f>SUM(AO9:AO15)</f>
        <v>1058.3158159750126</v>
      </c>
      <c r="AP16" s="1669"/>
      <c r="AQ16" s="1669">
        <f>SUM(AQ9:AQ15)</f>
        <v>1210.8937426064977</v>
      </c>
      <c r="AR16" s="1669"/>
      <c r="AS16" s="1669">
        <f>SUM(AS9:AS15)</f>
        <v>1439.8013684915315</v>
      </c>
      <c r="AT16" s="1669"/>
      <c r="AU16" s="1669">
        <f>SUM(AU9:AU15)</f>
        <v>1753.7457268132091</v>
      </c>
      <c r="AV16" s="1669"/>
      <c r="AW16" s="1669">
        <f>SUM(AW9:AW15)</f>
        <v>2152.6518708894318</v>
      </c>
      <c r="AX16" s="1669"/>
    </row>
    <row r="17" spans="1:258">
      <c r="AE17" s="1948"/>
    </row>
    <row r="18" spans="1:258">
      <c r="B18" s="1282" t="s">
        <v>14</v>
      </c>
      <c r="E18" s="1651">
        <v>318.31599999999997</v>
      </c>
      <c r="G18" s="1651">
        <v>364.02499999999998</v>
      </c>
      <c r="I18" s="1651">
        <v>482.072</v>
      </c>
      <c r="K18" s="1651">
        <v>570.58500000000004</v>
      </c>
      <c r="M18" s="1651">
        <v>623.81299999999999</v>
      </c>
      <c r="O18" s="1653">
        <f>621.773</f>
        <v>621.77300000000002</v>
      </c>
      <c r="Q18" s="1651">
        <v>1042.3979999999999</v>
      </c>
      <c r="S18" s="1651">
        <v>948.33399999999995</v>
      </c>
      <c r="U18" s="1651">
        <v>919.53499999999997</v>
      </c>
      <c r="W18" s="1651">
        <v>856.149</v>
      </c>
      <c r="Y18" s="1651">
        <v>857.58900000000006</v>
      </c>
      <c r="AA18" s="1651">
        <v>865.21500000000003</v>
      </c>
      <c r="AC18" s="1651">
        <v>878.30499999999995</v>
      </c>
      <c r="AE18" s="1651">
        <v>902.65700000000004</v>
      </c>
      <c r="AG18" s="1943">
        <v>970.41899999999998</v>
      </c>
      <c r="AH18" s="1652"/>
      <c r="AI18" s="1943">
        <v>1018.57</v>
      </c>
      <c r="AJ18" s="1652"/>
      <c r="AK18" s="1943">
        <v>1049.4469999999999</v>
      </c>
      <c r="AL18" s="1652"/>
      <c r="AM18" s="1943">
        <v>1134.7719999999999</v>
      </c>
      <c r="AN18" s="1643"/>
      <c r="AO18" s="1643">
        <f>+AM18-flow!AO11-flow!AO31</f>
        <v>1159.0565199999999</v>
      </c>
      <c r="AP18" s="1643"/>
      <c r="AQ18" s="1643">
        <f>+AO18-flow!AQ11-flow!AQ31</f>
        <v>1159.8756726107858</v>
      </c>
      <c r="AR18" s="1643"/>
      <c r="AS18" s="1643">
        <f>+AQ18-flow!AS11-flow!AS31</f>
        <v>1135.8599213170473</v>
      </c>
      <c r="AT18" s="1643"/>
      <c r="AU18" s="1643">
        <f>+AS18-flow!AU11-flow!AU31</f>
        <v>1085.5815080989007</v>
      </c>
      <c r="AV18" s="1643"/>
      <c r="AW18" s="1643">
        <f>+AU18-flow!AW11-flow!AW31</f>
        <v>1007.5517466006322</v>
      </c>
      <c r="AX18" s="1643"/>
    </row>
    <row r="19" spans="1:258">
      <c r="B19" s="1282" t="s">
        <v>298</v>
      </c>
      <c r="E19" s="1653">
        <v>23.658999999999999</v>
      </c>
      <c r="G19" s="1653">
        <v>6.2</v>
      </c>
      <c r="I19" s="1653">
        <v>1.9E-2</v>
      </c>
      <c r="K19" s="1653">
        <v>2.1999999999999999E-2</v>
      </c>
      <c r="M19" s="1653">
        <v>2.3E-2</v>
      </c>
      <c r="O19" s="1653">
        <v>2.7E-2</v>
      </c>
      <c r="Q19" s="1653">
        <v>0</v>
      </c>
      <c r="S19" s="1653">
        <v>0</v>
      </c>
      <c r="U19" s="1653">
        <v>0</v>
      </c>
      <c r="W19" s="1653">
        <v>0</v>
      </c>
      <c r="Y19" s="1653">
        <v>0</v>
      </c>
      <c r="AA19" s="1653">
        <v>0</v>
      </c>
      <c r="AC19" s="1653">
        <v>0</v>
      </c>
      <c r="AE19" s="1949">
        <v>0</v>
      </c>
      <c r="AF19" s="1283"/>
      <c r="AG19" s="1949">
        <v>0</v>
      </c>
      <c r="AH19" s="1950"/>
      <c r="AI19" s="1949">
        <v>0</v>
      </c>
      <c r="AJ19" s="1950"/>
      <c r="AK19" s="1949">
        <v>0</v>
      </c>
      <c r="AL19" s="1950"/>
      <c r="AM19" s="1949">
        <v>0</v>
      </c>
      <c r="AN19" s="1950"/>
      <c r="AO19" s="1949">
        <v>0</v>
      </c>
      <c r="AP19" s="1950"/>
      <c r="AQ19" s="1949">
        <v>0</v>
      </c>
      <c r="AR19" s="1950"/>
      <c r="AS19" s="1949">
        <v>0</v>
      </c>
      <c r="AT19" s="1950"/>
      <c r="AU19" s="1949">
        <v>0</v>
      </c>
      <c r="AV19" s="1950"/>
      <c r="AW19" s="1949">
        <v>0</v>
      </c>
      <c r="AX19" s="1950"/>
    </row>
    <row r="20" spans="1:258">
      <c r="B20" s="1282" t="s">
        <v>305</v>
      </c>
      <c r="E20" s="1653">
        <v>0</v>
      </c>
      <c r="G20" s="1653">
        <v>0</v>
      </c>
      <c r="I20" s="1653">
        <v>33.155999999999999</v>
      </c>
      <c r="K20" s="1653">
        <v>44.567</v>
      </c>
      <c r="M20" s="1653">
        <v>48.825000000000003</v>
      </c>
      <c r="O20" s="1653">
        <f>48.785</f>
        <v>48.784999999999997</v>
      </c>
      <c r="Q20" s="1653">
        <f>(526300+58985)/1000</f>
        <v>585.28499999999997</v>
      </c>
      <c r="S20" s="1653">
        <f>526.3+46.219</f>
        <v>572.51900000000001</v>
      </c>
      <c r="U20" s="1653">
        <f>526.3+
42.775</f>
        <v>569.07499999999993</v>
      </c>
      <c r="W20" s="1653">
        <f>238+47.064</f>
        <v>285.06400000000002</v>
      </c>
      <c r="Y20" s="1653">
        <f>238+47.064</f>
        <v>285.06400000000002</v>
      </c>
      <c r="AA20" s="1653">
        <f>(47064)/1000+238</f>
        <v>285.06400000000002</v>
      </c>
      <c r="AC20" s="1653">
        <f>(47064)/1000+238</f>
        <v>285.06400000000002</v>
      </c>
      <c r="AE20" s="1653">
        <f>238+47.064</f>
        <v>285.06400000000002</v>
      </c>
      <c r="AF20" s="1949"/>
      <c r="AG20" s="1653">
        <f>238+47.064</f>
        <v>285.06400000000002</v>
      </c>
      <c r="AH20" s="1653"/>
      <c r="AI20" s="1653">
        <f>238+47.064</f>
        <v>285.06400000000002</v>
      </c>
      <c r="AJ20" s="1653"/>
      <c r="AK20" s="1653">
        <f>238+47.064</f>
        <v>285.06400000000002</v>
      </c>
      <c r="AL20" s="1653"/>
      <c r="AM20" s="1653">
        <v>474.01100000000002</v>
      </c>
      <c r="AN20" s="1653"/>
      <c r="AO20" s="1653">
        <f>AM20</f>
        <v>474.01100000000002</v>
      </c>
      <c r="AP20" s="1653"/>
      <c r="AQ20" s="1653">
        <f>AO20</f>
        <v>474.01100000000002</v>
      </c>
      <c r="AR20" s="1653"/>
      <c r="AS20" s="1653">
        <f>AQ20</f>
        <v>474.01100000000002</v>
      </c>
      <c r="AT20" s="1653"/>
      <c r="AU20" s="1653">
        <f>AS20</f>
        <v>474.01100000000002</v>
      </c>
      <c r="AV20" s="1653"/>
      <c r="AW20" s="1653">
        <f>AU20</f>
        <v>474.01100000000002</v>
      </c>
      <c r="AX20" s="1653"/>
    </row>
    <row r="21" spans="1:258">
      <c r="B21" s="1282" t="s">
        <v>297</v>
      </c>
      <c r="E21" s="1653">
        <v>0</v>
      </c>
      <c r="G21" s="1653">
        <v>0</v>
      </c>
      <c r="I21" s="1653">
        <v>0</v>
      </c>
      <c r="K21" s="1653">
        <v>6.2629999999999999</v>
      </c>
      <c r="M21" s="1653">
        <v>13.577999999999999</v>
      </c>
      <c r="O21" s="1653">
        <v>16.553999999999998</v>
      </c>
      <c r="Q21" s="1653">
        <v>0</v>
      </c>
      <c r="S21" s="1653">
        <v>0</v>
      </c>
      <c r="U21" s="1653">
        <v>0</v>
      </c>
      <c r="W21" s="1653">
        <v>0</v>
      </c>
      <c r="Y21" s="1653">
        <v>0</v>
      </c>
      <c r="AA21" s="1653">
        <v>0</v>
      </c>
      <c r="AC21" s="1653">
        <v>0</v>
      </c>
      <c r="AE21" s="1653">
        <v>0</v>
      </c>
      <c r="AG21" s="1653">
        <v>0</v>
      </c>
      <c r="AH21" s="1643"/>
      <c r="AI21" s="1653">
        <v>0</v>
      </c>
      <c r="AJ21" s="1643"/>
      <c r="AK21" s="1653">
        <v>7.9729999999999999</v>
      </c>
      <c r="AL21" s="1643"/>
      <c r="AM21" s="1653">
        <v>6.952</v>
      </c>
      <c r="AN21" s="1643"/>
      <c r="AO21" s="1653">
        <f>AM21</f>
        <v>6.952</v>
      </c>
      <c r="AP21" s="1643"/>
      <c r="AQ21" s="1653">
        <f>AO21</f>
        <v>6.952</v>
      </c>
      <c r="AR21" s="1643"/>
      <c r="AS21" s="1653">
        <f>AQ21</f>
        <v>6.952</v>
      </c>
      <c r="AT21" s="1643"/>
      <c r="AU21" s="1653">
        <f>AS21</f>
        <v>6.952</v>
      </c>
      <c r="AV21" s="1643"/>
      <c r="AW21" s="1653">
        <f>AU21</f>
        <v>6.952</v>
      </c>
      <c r="AX21" s="1643"/>
    </row>
    <row r="22" spans="1:258">
      <c r="B22" s="1282" t="s">
        <v>306</v>
      </c>
      <c r="E22" s="1653">
        <v>10.538</v>
      </c>
      <c r="G22" s="1653">
        <v>12.497999999999999</v>
      </c>
      <c r="I22" s="1653">
        <v>7.8289999999999997</v>
      </c>
      <c r="K22" s="1653">
        <v>7.0679999999999996</v>
      </c>
      <c r="M22" s="1653">
        <v>1.19</v>
      </c>
      <c r="O22" s="1653">
        <v>1.754</v>
      </c>
      <c r="Q22" s="1653">
        <f>626.676+69.727</f>
        <v>696.40300000000002</v>
      </c>
      <c r="S22" s="1653">
        <f>574.879+57.415</f>
        <v>632.29399999999998</v>
      </c>
      <c r="U22" s="1945">
        <f>69.319+
534.07</f>
        <v>603.38900000000001</v>
      </c>
      <c r="W22" s="1653">
        <f>421.091+95.313</f>
        <v>516.404</v>
      </c>
      <c r="Y22" s="1653">
        <f>91.241+389.986</f>
        <v>481.22699999999998</v>
      </c>
      <c r="AA22" s="1653">
        <f>(359903)/1000+112.973</f>
        <v>472.87600000000003</v>
      </c>
      <c r="AC22" s="1653">
        <f>322.081+112.978</f>
        <v>435.05900000000003</v>
      </c>
      <c r="AE22" s="1653">
        <f>292.553+124.298</f>
        <v>416.851</v>
      </c>
      <c r="AG22" s="1944">
        <f>266.397+115.206</f>
        <v>381.60300000000001</v>
      </c>
      <c r="AH22" s="1951"/>
      <c r="AI22" s="1653">
        <f>238.753+104.778</f>
        <v>343.53100000000001</v>
      </c>
      <c r="AJ22" s="1951"/>
      <c r="AK22" s="1653">
        <f>90.495+213.18</f>
        <v>303.67500000000001</v>
      </c>
      <c r="AL22" s="1951"/>
      <c r="AM22" s="1653">
        <v>96.661000000000001</v>
      </c>
      <c r="AN22" s="1951"/>
      <c r="AO22" s="1653">
        <f>AM22</f>
        <v>96.661000000000001</v>
      </c>
      <c r="AP22" s="1951"/>
      <c r="AQ22" s="1653">
        <f>AO22</f>
        <v>96.661000000000001</v>
      </c>
      <c r="AR22" s="1951"/>
      <c r="AS22" s="1653">
        <f>AQ22</f>
        <v>96.661000000000001</v>
      </c>
      <c r="AT22" s="1951"/>
      <c r="AU22" s="1653">
        <f>AS22</f>
        <v>96.661000000000001</v>
      </c>
      <c r="AV22" s="1951"/>
      <c r="AW22" s="1653">
        <f>AU22</f>
        <v>96.661000000000001</v>
      </c>
      <c r="AX22" s="1951"/>
    </row>
    <row r="23" spans="1:258">
      <c r="A23" s="1282" t="s">
        <v>123</v>
      </c>
      <c r="E23" s="1952">
        <f>SUM(E18:E22)+E16</f>
        <v>1047.1469999999999</v>
      </c>
      <c r="G23" s="1952">
        <f>SUM(G18:G22)+G16</f>
        <v>1060.6749999999997</v>
      </c>
      <c r="I23" s="1952">
        <f>SUM(I18:I22)+I16</f>
        <v>1273.7909999999999</v>
      </c>
      <c r="K23" s="1952">
        <f>SUM(K18:K22)+K16</f>
        <v>1316.7260000000001</v>
      </c>
      <c r="M23" s="1952">
        <f>SUM(M18:M22)+M16</f>
        <v>1579.1779999999999</v>
      </c>
      <c r="O23" s="1952">
        <f>SUM(O18:O22)+O16</f>
        <v>1673.268</v>
      </c>
      <c r="Q23" s="1952">
        <f>SUM(Q18:Q22)+Q16</f>
        <v>3213.5</v>
      </c>
      <c r="S23" s="1952">
        <f>SUM(S18:S22)+S16</f>
        <v>3036.5209999999997</v>
      </c>
      <c r="U23" s="1952">
        <f>SUM(U18:U22)+U16</f>
        <v>2964.4919999999997</v>
      </c>
      <c r="W23" s="1952">
        <f>SUM(W18:W22)+W16</f>
        <v>2393.9939999999997</v>
      </c>
      <c r="Y23" s="1952">
        <f>SUM(Y18:Y22)+Y16</f>
        <v>2458.0079999999998</v>
      </c>
      <c r="Z23" s="1545"/>
      <c r="AA23" s="1952">
        <f>SUM(AA18:AA22)+AA16</f>
        <v>2501.143</v>
      </c>
      <c r="AB23" s="1545"/>
      <c r="AC23" s="1952">
        <f>SUM(AC18:AC22)+AC16</f>
        <v>2479.0100000000002</v>
      </c>
      <c r="AD23" s="1545"/>
      <c r="AE23" s="1952">
        <f>AE16+SUM(AE18:AE22)</f>
        <v>2621.0920000000001</v>
      </c>
      <c r="AF23" s="1545"/>
      <c r="AG23" s="1953">
        <f>AG16+SUM(AG18:AG22)</f>
        <v>2624.569</v>
      </c>
      <c r="AH23" s="1952"/>
      <c r="AI23" s="1952">
        <f>AI16+SUM(AI18:AI22)</f>
        <v>2580.1469999999999</v>
      </c>
      <c r="AJ23" s="1952"/>
      <c r="AK23" s="1952">
        <f>AK16+SUM(AK18:AK22)</f>
        <v>2574.4829999999997</v>
      </c>
      <c r="AL23" s="1952"/>
      <c r="AM23" s="1952">
        <f>AM16+SUM(AM18:AM22)</f>
        <v>2812.8289999999997</v>
      </c>
      <c r="AN23" s="1952"/>
      <c r="AO23" s="1952">
        <f>AO16+SUM(AO18:AO22)</f>
        <v>2794.9963359750127</v>
      </c>
      <c r="AP23" s="1952"/>
      <c r="AQ23" s="1952">
        <f>AQ16+SUM(AQ18:AQ22)</f>
        <v>2948.3934152172833</v>
      </c>
      <c r="AR23" s="1952"/>
      <c r="AS23" s="1952">
        <f>AS16+SUM(AS18:AS22)</f>
        <v>3153.2852898085789</v>
      </c>
      <c r="AT23" s="1952"/>
      <c r="AU23" s="1952">
        <f>AU16+SUM(AU18:AU22)</f>
        <v>3416.9512349121096</v>
      </c>
      <c r="AV23" s="1952"/>
      <c r="AW23" s="1952">
        <f>AW16+SUM(AW18:AW22)</f>
        <v>3737.8276174900639</v>
      </c>
      <c r="AX23" s="1718"/>
    </row>
    <row r="24" spans="1:258" ht="4.5" customHeight="1"/>
    <row r="25" spans="1:258">
      <c r="A25" s="1942" t="s">
        <v>23</v>
      </c>
      <c r="E25" s="1784"/>
      <c r="G25" s="1784"/>
      <c r="I25" s="1784"/>
      <c r="K25" s="1784"/>
      <c r="M25" s="1784"/>
      <c r="O25" s="1784"/>
      <c r="Q25" s="1784"/>
      <c r="S25" s="1784"/>
      <c r="AE25" s="1669"/>
      <c r="AO25" s="1670"/>
      <c r="BG25" s="2151"/>
    </row>
    <row r="26" spans="1:258">
      <c r="B26" s="1282" t="s">
        <v>15</v>
      </c>
      <c r="E26" s="1651">
        <v>274.33699999999999</v>
      </c>
      <c r="G26" s="1651">
        <v>260.678</v>
      </c>
      <c r="I26" s="1651">
        <v>372.726</v>
      </c>
      <c r="K26" s="1651">
        <v>312.12400000000002</v>
      </c>
      <c r="M26" s="1651">
        <v>364.33499999999998</v>
      </c>
      <c r="O26" s="1651">
        <v>390.89100000000002</v>
      </c>
      <c r="Q26" s="1651">
        <v>457.85500000000002</v>
      </c>
      <c r="S26" s="1651">
        <v>395.375</v>
      </c>
      <c r="U26" s="1954">
        <v>337.04</v>
      </c>
      <c r="W26" s="1651">
        <v>139.80199999999999</v>
      </c>
      <c r="Y26" s="1651">
        <v>190.46</v>
      </c>
      <c r="AA26" s="1651">
        <v>276.28500000000003</v>
      </c>
      <c r="AC26" s="1651">
        <v>500.40600000000001</v>
      </c>
      <c r="AE26" s="1651">
        <v>542.98699999999997</v>
      </c>
      <c r="AG26" s="1943">
        <v>621.68200000000002</v>
      </c>
      <c r="AH26" s="1643"/>
      <c r="AI26" s="1943">
        <v>598.19899999999996</v>
      </c>
      <c r="AJ26" s="1643"/>
      <c r="AK26" s="1943">
        <v>640.32600000000002</v>
      </c>
      <c r="AL26" s="1643"/>
      <c r="AM26" s="1943">
        <v>736.25199999999995</v>
      </c>
      <c r="AN26" s="1643"/>
      <c r="AO26" s="1643">
        <f>AO13*AO63</f>
        <v>773.35395323694399</v>
      </c>
      <c r="AP26" s="1643"/>
      <c r="AQ26" s="1643">
        <f>AQ13*AQ63</f>
        <v>853.75178255111416</v>
      </c>
      <c r="AR26" s="1643"/>
      <c r="AS26" s="1643">
        <f>AS13*AS63</f>
        <v>938.84196383962649</v>
      </c>
      <c r="AT26" s="1643"/>
      <c r="AU26" s="1643">
        <f>AU13*AU63</f>
        <v>1028.8239775755312</v>
      </c>
      <c r="AV26" s="1643"/>
      <c r="AW26" s="1643">
        <f>AW13*AW63</f>
        <v>1123.9065784679799</v>
      </c>
      <c r="AX26" s="1643"/>
    </row>
    <row r="27" spans="1:258">
      <c r="B27" s="1282" t="s">
        <v>16</v>
      </c>
      <c r="E27" s="1653">
        <v>16.472000000000001</v>
      </c>
      <c r="G27" s="1653">
        <v>8.3550000000000004</v>
      </c>
      <c r="I27" s="1653">
        <v>5.4240000000000004</v>
      </c>
      <c r="K27" s="1653">
        <v>10.458</v>
      </c>
      <c r="M27" s="1653">
        <v>20.829000000000001</v>
      </c>
      <c r="O27" s="1653">
        <v>5.7080000000000002</v>
      </c>
      <c r="Q27" s="1653">
        <v>6.274</v>
      </c>
      <c r="S27" s="1653">
        <v>0</v>
      </c>
      <c r="U27" s="1653">
        <v>5.8040000000000003</v>
      </c>
      <c r="W27" s="1653">
        <v>14.223000000000001</v>
      </c>
      <c r="Y27" s="1653">
        <v>4.4290000000000003</v>
      </c>
      <c r="AA27" s="1653">
        <v>0</v>
      </c>
      <c r="AC27" s="1653">
        <v>0</v>
      </c>
      <c r="AE27" s="1653">
        <v>0</v>
      </c>
      <c r="AG27" s="1944">
        <v>0</v>
      </c>
      <c r="AH27" s="1797"/>
      <c r="AI27" s="1797">
        <v>0</v>
      </c>
      <c r="AJ27" s="1797"/>
      <c r="AK27" s="1797">
        <v>0</v>
      </c>
      <c r="AL27" s="1797"/>
      <c r="AM27" s="1797">
        <v>0</v>
      </c>
      <c r="AN27" s="1797"/>
      <c r="AO27" s="1797">
        <f>AO58*AO64</f>
        <v>0</v>
      </c>
      <c r="AP27" s="1797"/>
      <c r="AQ27" s="1797">
        <f>AQ58*AQ64</f>
        <v>0</v>
      </c>
      <c r="AR27" s="1797"/>
      <c r="AS27" s="1797">
        <f>AS58*AS64</f>
        <v>0</v>
      </c>
      <c r="AT27" s="1797"/>
      <c r="AU27" s="1797">
        <f>AU58*AU64</f>
        <v>0</v>
      </c>
      <c r="AV27" s="1797"/>
      <c r="AW27" s="1797">
        <f>AW58*AW64</f>
        <v>0</v>
      </c>
      <c r="AX27" s="1797"/>
    </row>
    <row r="28" spans="1:258">
      <c r="B28" s="1282" t="s">
        <v>299</v>
      </c>
      <c r="E28" s="1653">
        <v>44.865000000000002</v>
      </c>
      <c r="G28" s="1653">
        <v>0.505</v>
      </c>
      <c r="I28" s="1653">
        <v>0.82799999999999996</v>
      </c>
      <c r="K28" s="1653">
        <v>0.91800000000000004</v>
      </c>
      <c r="M28" s="1653">
        <v>1.0469999999999999</v>
      </c>
      <c r="O28" s="1653">
        <v>1.19</v>
      </c>
      <c r="P28" s="1653"/>
      <c r="Q28" s="1653">
        <v>10.36</v>
      </c>
      <c r="R28" s="1653"/>
      <c r="S28" s="1653">
        <v>5.9740000000000002</v>
      </c>
      <c r="T28" s="1653"/>
      <c r="U28" s="1653">
        <v>3.653</v>
      </c>
      <c r="V28" s="1653"/>
      <c r="W28" s="1653">
        <v>14.201000000000001</v>
      </c>
      <c r="X28" s="1653"/>
      <c r="Y28" s="1653">
        <v>14.263999999999999</v>
      </c>
      <c r="Z28" s="1653"/>
      <c r="AA28" s="1653">
        <v>7.6589999999999998</v>
      </c>
      <c r="AB28" s="1653"/>
      <c r="AC28" s="1653">
        <v>0.78400000000000003</v>
      </c>
      <c r="AD28" s="1653"/>
      <c r="AE28" s="1653">
        <v>59.026000000000003</v>
      </c>
      <c r="AF28" s="1653"/>
      <c r="AG28" s="1944">
        <v>1.167</v>
      </c>
      <c r="AH28" s="1951"/>
      <c r="AI28" s="1944">
        <v>1.403</v>
      </c>
      <c r="AJ28" s="1951"/>
      <c r="AK28" s="1944">
        <v>1.6379999999999999</v>
      </c>
      <c r="AL28" s="1951"/>
      <c r="AM28" s="1944">
        <v>13.164</v>
      </c>
      <c r="AN28" s="1944"/>
      <c r="AO28" s="1944">
        <f>AM28</f>
        <v>13.164</v>
      </c>
      <c r="AP28" s="1944"/>
      <c r="AQ28" s="1944">
        <f>AO28</f>
        <v>13.164</v>
      </c>
      <c r="AR28" s="1944"/>
      <c r="AS28" s="1944">
        <f>AQ28</f>
        <v>13.164</v>
      </c>
      <c r="AT28" s="1944"/>
      <c r="AU28" s="1944">
        <f>AS28</f>
        <v>13.164</v>
      </c>
      <c r="AV28" s="1944"/>
      <c r="AW28" s="1944">
        <f>AU28</f>
        <v>13.164</v>
      </c>
      <c r="AX28" s="1944"/>
      <c r="BE28" s="1653"/>
      <c r="BF28" s="1653"/>
      <c r="BG28" s="1653"/>
      <c r="BH28" s="1653"/>
      <c r="BI28" s="1653"/>
      <c r="BJ28" s="1653"/>
      <c r="BK28" s="1653"/>
      <c r="BL28" s="1653"/>
      <c r="BM28" s="1653"/>
      <c r="BN28" s="1653"/>
      <c r="BO28" s="1653"/>
      <c r="BP28" s="1653"/>
      <c r="BQ28" s="1653"/>
      <c r="BR28" s="1653"/>
      <c r="BS28" s="1653"/>
      <c r="BT28" s="1653"/>
      <c r="BU28" s="1653"/>
      <c r="BV28" s="1653"/>
      <c r="BW28" s="1653"/>
      <c r="BX28" s="1653"/>
      <c r="BY28" s="1653"/>
      <c r="BZ28" s="1653"/>
      <c r="CA28" s="1653"/>
      <c r="CB28" s="1653"/>
      <c r="CC28" s="1653"/>
      <c r="CD28" s="1653"/>
      <c r="CE28" s="1653"/>
      <c r="CF28" s="1653"/>
      <c r="CG28" s="1653"/>
      <c r="CH28" s="1653"/>
      <c r="CI28" s="1653"/>
      <c r="CJ28" s="1653"/>
      <c r="CK28" s="1653"/>
      <c r="CL28" s="1653"/>
      <c r="CM28" s="1653"/>
      <c r="CN28" s="1653"/>
      <c r="CO28" s="1653"/>
      <c r="CP28" s="1653"/>
      <c r="CQ28" s="1653"/>
      <c r="CR28" s="1653"/>
      <c r="CS28" s="1653"/>
      <c r="CT28" s="1653"/>
      <c r="CU28" s="1653"/>
      <c r="CV28" s="1653"/>
      <c r="CW28" s="1653"/>
      <c r="CX28" s="1653"/>
      <c r="CY28" s="1653"/>
      <c r="CZ28" s="1653"/>
      <c r="DA28" s="1653"/>
      <c r="DB28" s="1653"/>
      <c r="DC28" s="1653"/>
      <c r="DD28" s="1653"/>
      <c r="DE28" s="1653"/>
      <c r="DF28" s="1653"/>
      <c r="DG28" s="1653"/>
      <c r="DH28" s="1653"/>
      <c r="DI28" s="1653"/>
      <c r="DJ28" s="1653"/>
      <c r="DK28" s="1653"/>
      <c r="DL28" s="1653"/>
      <c r="DM28" s="1653"/>
      <c r="DN28" s="1653"/>
      <c r="DO28" s="1653"/>
      <c r="DP28" s="1653"/>
      <c r="DQ28" s="1653"/>
      <c r="DR28" s="1653"/>
      <c r="DS28" s="1653"/>
      <c r="DT28" s="1653"/>
      <c r="DU28" s="1653"/>
      <c r="DV28" s="1653"/>
      <c r="DW28" s="1653"/>
      <c r="DX28" s="1653"/>
      <c r="DY28" s="1653"/>
      <c r="DZ28" s="1653"/>
      <c r="EA28" s="1653"/>
      <c r="EB28" s="1653"/>
      <c r="EC28" s="1653"/>
      <c r="ED28" s="1653"/>
      <c r="EE28" s="1653"/>
      <c r="EF28" s="1653"/>
      <c r="EG28" s="1653"/>
      <c r="EH28" s="1653"/>
      <c r="EI28" s="1653"/>
      <c r="EJ28" s="1653"/>
      <c r="EK28" s="1653"/>
      <c r="EL28" s="1653"/>
      <c r="EM28" s="1653"/>
      <c r="EN28" s="1653"/>
      <c r="EO28" s="1653"/>
      <c r="EP28" s="1653"/>
      <c r="EQ28" s="1653"/>
      <c r="ER28" s="1653"/>
      <c r="ES28" s="1653"/>
      <c r="ET28" s="1653"/>
      <c r="EU28" s="1653"/>
      <c r="EV28" s="1653"/>
      <c r="EW28" s="1653"/>
      <c r="EX28" s="1653"/>
      <c r="EY28" s="1653"/>
      <c r="EZ28" s="1653"/>
      <c r="FA28" s="1653"/>
      <c r="FB28" s="1653"/>
      <c r="FC28" s="1653"/>
      <c r="FD28" s="1653"/>
      <c r="FE28" s="1653"/>
      <c r="FF28" s="1653"/>
      <c r="FG28" s="1653"/>
      <c r="FH28" s="1653"/>
      <c r="FI28" s="1653"/>
      <c r="FJ28" s="1653"/>
      <c r="FK28" s="1653"/>
      <c r="FL28" s="1653"/>
      <c r="FM28" s="1653"/>
      <c r="FN28" s="1653"/>
      <c r="FO28" s="1653"/>
      <c r="FP28" s="1653"/>
      <c r="FQ28" s="1653"/>
      <c r="FR28" s="1653"/>
      <c r="FS28" s="1653"/>
      <c r="FT28" s="1653"/>
      <c r="FU28" s="1653"/>
      <c r="FV28" s="1653"/>
      <c r="FW28" s="1653"/>
      <c r="FX28" s="1653"/>
      <c r="FY28" s="1653"/>
      <c r="FZ28" s="1653"/>
      <c r="GA28" s="1653"/>
      <c r="GB28" s="1653"/>
      <c r="GC28" s="1653"/>
      <c r="GD28" s="1653"/>
      <c r="GE28" s="1653"/>
      <c r="GF28" s="1653"/>
      <c r="GG28" s="1653"/>
      <c r="GH28" s="1653"/>
      <c r="GI28" s="1653"/>
      <c r="GJ28" s="1653"/>
      <c r="GK28" s="1653"/>
      <c r="GL28" s="1653"/>
      <c r="GM28" s="1653"/>
      <c r="GN28" s="1653"/>
      <c r="GO28" s="1653"/>
      <c r="GP28" s="1653"/>
      <c r="GQ28" s="1653"/>
      <c r="GR28" s="1653"/>
      <c r="GS28" s="1653"/>
      <c r="GT28" s="1653"/>
      <c r="GU28" s="1653"/>
      <c r="GV28" s="1653"/>
      <c r="GW28" s="1653"/>
      <c r="GX28" s="1653"/>
      <c r="GY28" s="1653"/>
      <c r="GZ28" s="1653"/>
      <c r="HA28" s="1653"/>
      <c r="HB28" s="1653"/>
      <c r="HC28" s="1653"/>
      <c r="HD28" s="1653"/>
      <c r="HE28" s="1653"/>
      <c r="HF28" s="1653"/>
      <c r="HG28" s="1653"/>
      <c r="HH28" s="1653"/>
      <c r="HI28" s="1653"/>
      <c r="HJ28" s="1653"/>
      <c r="HK28" s="1653"/>
      <c r="HL28" s="1653"/>
      <c r="HM28" s="1653"/>
      <c r="HN28" s="1653"/>
      <c r="HO28" s="1653"/>
      <c r="HP28" s="1653"/>
      <c r="HQ28" s="1653"/>
      <c r="HR28" s="1653"/>
      <c r="HS28" s="1653"/>
      <c r="HT28" s="1653"/>
      <c r="HU28" s="1653"/>
      <c r="HV28" s="1653"/>
      <c r="HW28" s="1653"/>
      <c r="HX28" s="1653"/>
      <c r="HY28" s="1653"/>
      <c r="HZ28" s="1653"/>
      <c r="IA28" s="1653"/>
      <c r="IB28" s="1653"/>
      <c r="IC28" s="1653"/>
      <c r="ID28" s="1653"/>
      <c r="IE28" s="1653"/>
      <c r="IF28" s="1653"/>
      <c r="IG28" s="1653"/>
      <c r="IH28" s="1653"/>
      <c r="II28" s="1653"/>
      <c r="IJ28" s="1653"/>
      <c r="IK28" s="1653"/>
      <c r="IL28" s="1653"/>
      <c r="IM28" s="1653"/>
      <c r="IN28" s="1653"/>
      <c r="IO28" s="1653"/>
      <c r="IP28" s="1653"/>
      <c r="IQ28" s="1653"/>
      <c r="IR28" s="1653"/>
      <c r="IS28" s="1653"/>
      <c r="IT28" s="1653"/>
      <c r="IU28" s="1653"/>
      <c r="IV28" s="1653"/>
      <c r="IW28" s="1653"/>
      <c r="IX28" s="1653"/>
    </row>
    <row r="29" spans="1:258">
      <c r="B29" s="1282" t="s">
        <v>302</v>
      </c>
      <c r="E29" s="1946">
        <v>98.561000000000007</v>
      </c>
      <c r="G29" s="1946">
        <v>111.86</v>
      </c>
      <c r="I29" s="1946">
        <v>135.42400000000001</v>
      </c>
      <c r="K29" s="1946">
        <v>156.874</v>
      </c>
      <c r="M29" s="1946">
        <v>174.45</v>
      </c>
      <c r="O29" s="1946">
        <f>179.346</f>
        <v>179.346</v>
      </c>
      <c r="Q29" s="1946">
        <v>181.76</v>
      </c>
      <c r="S29" s="1946">
        <v>198.62700000000001</v>
      </c>
      <c r="U29" s="1955">
        <v>238.86600000000001</v>
      </c>
      <c r="W29" s="1946">
        <v>215.81399999999999</v>
      </c>
      <c r="Y29" s="1946">
        <v>208.51499999999999</v>
      </c>
      <c r="AA29" s="1946">
        <v>221.34299999999999</v>
      </c>
      <c r="AC29" s="1946">
        <v>238.86500000000001</v>
      </c>
      <c r="AE29" s="1946">
        <v>301.803</v>
      </c>
      <c r="AG29" s="1947">
        <v>310.26799999999997</v>
      </c>
      <c r="AH29" s="1956"/>
      <c r="AI29" s="1947">
        <v>286.98599999999999</v>
      </c>
      <c r="AJ29" s="1956"/>
      <c r="AK29" s="1947">
        <v>354.87</v>
      </c>
      <c r="AL29" s="1956"/>
      <c r="AM29" s="1947">
        <v>370.21499999999997</v>
      </c>
      <c r="AN29" s="1956"/>
      <c r="AO29" s="1947">
        <f>AM29</f>
        <v>370.21499999999997</v>
      </c>
      <c r="AP29" s="1956"/>
      <c r="AQ29" s="1947">
        <f>AO29</f>
        <v>370.21499999999997</v>
      </c>
      <c r="AR29" s="1956"/>
      <c r="AS29" s="1947">
        <f>AQ29</f>
        <v>370.21499999999997</v>
      </c>
      <c r="AT29" s="1956"/>
      <c r="AU29" s="1947">
        <f>AS29</f>
        <v>370.21499999999997</v>
      </c>
      <c r="AV29" s="1956"/>
      <c r="AW29" s="1947">
        <f>AU29</f>
        <v>370.21499999999997</v>
      </c>
      <c r="AX29" s="1963"/>
    </row>
    <row r="30" spans="1:258">
      <c r="C30" s="1282" t="s">
        <v>17</v>
      </c>
      <c r="E30" s="1669">
        <f>SUM(E26:E29)</f>
        <v>434.23500000000001</v>
      </c>
      <c r="G30" s="1669">
        <f>SUM(G26:G29)</f>
        <v>381.39800000000002</v>
      </c>
      <c r="I30" s="1669">
        <f>SUM(I26:I29)</f>
        <v>514.40199999999993</v>
      </c>
      <c r="K30" s="1669">
        <f>SUM(K26:K29)</f>
        <v>480.37400000000002</v>
      </c>
      <c r="M30" s="1669">
        <f>SUM(M26:M29)</f>
        <v>560.66100000000006</v>
      </c>
      <c r="O30" s="1669">
        <f>SUM(O26:O29)</f>
        <v>577.13499999999999</v>
      </c>
      <c r="Q30" s="1669">
        <f>SUM(Q26:Q29)</f>
        <v>656.24900000000002</v>
      </c>
      <c r="S30" s="1669">
        <f>SUM(S26:S29)</f>
        <v>599.976</v>
      </c>
      <c r="U30" s="1669">
        <f>SUM(U26:U29)</f>
        <v>585.36300000000006</v>
      </c>
      <c r="W30" s="1669">
        <f>SUM(W26:W29)</f>
        <v>384.03999999999996</v>
      </c>
      <c r="Y30" s="1669">
        <f>SUM(Y26:Y29)</f>
        <v>417.66800000000001</v>
      </c>
      <c r="AA30" s="1669">
        <f>SUM(AA26:AA29)</f>
        <v>505.28700000000003</v>
      </c>
      <c r="AC30" s="1669">
        <f>SUM(AC26:AC29)</f>
        <v>740.05500000000006</v>
      </c>
      <c r="AE30" s="1669">
        <f>SUM(AE26:AE29)</f>
        <v>903.81599999999992</v>
      </c>
      <c r="AG30" s="1669">
        <f>SUM(AG26:AG29)</f>
        <v>933.11699999999996</v>
      </c>
      <c r="AH30" s="1669"/>
      <c r="AI30" s="1669">
        <f>SUM(AI26:AI29)</f>
        <v>886.58799999999997</v>
      </c>
      <c r="AJ30" s="1669"/>
      <c r="AK30" s="1958">
        <f>SUM(AK26:AK29)</f>
        <v>996.83400000000006</v>
      </c>
      <c r="AL30" s="1669"/>
      <c r="AM30" s="1669">
        <f>SUM(AM26:AM29)</f>
        <v>1119.6309999999999</v>
      </c>
      <c r="AN30" s="1669"/>
      <c r="AO30" s="1669">
        <f>SUM(AO26:AO29)</f>
        <v>1156.732953236944</v>
      </c>
      <c r="AP30" s="1669"/>
      <c r="AQ30" s="1669">
        <f>SUM(AQ26:AQ29)</f>
        <v>1237.1307825511142</v>
      </c>
      <c r="AR30" s="1669"/>
      <c r="AS30" s="1669">
        <f>SUM(AS26:AS29)</f>
        <v>1322.2209638396264</v>
      </c>
      <c r="AT30" s="1669"/>
      <c r="AU30" s="1669">
        <f>SUM(AU26:AU29)</f>
        <v>1412.2029775755311</v>
      </c>
      <c r="AV30" s="1669"/>
      <c r="AW30" s="1669">
        <f>SUM(AW26:AW29)</f>
        <v>1507.2855784679798</v>
      </c>
      <c r="AX30" s="1669"/>
    </row>
    <row r="31" spans="1:258">
      <c r="AI31" s="1670"/>
    </row>
    <row r="32" spans="1:258">
      <c r="B32" s="1282" t="s">
        <v>300</v>
      </c>
      <c r="E32" s="1651">
        <v>8.1050000000000004</v>
      </c>
      <c r="G32" s="1651">
        <v>7.56</v>
      </c>
      <c r="I32" s="1651">
        <v>22.245000000000001</v>
      </c>
      <c r="K32" s="1651">
        <v>34.587000000000003</v>
      </c>
      <c r="M32" s="1651">
        <v>133.53800000000001</v>
      </c>
      <c r="O32" s="1651">
        <v>132.34700000000001</v>
      </c>
      <c r="Q32" s="1651">
        <v>1508.1189999999999</v>
      </c>
      <c r="S32" s="1651">
        <v>1456.33</v>
      </c>
      <c r="U32" s="1651">
        <v>1480.231</v>
      </c>
      <c r="W32" s="1651">
        <v>1399.152</v>
      </c>
      <c r="Y32" s="1651">
        <v>1358.021</v>
      </c>
      <c r="AA32" s="1651">
        <v>1605.4639999999999</v>
      </c>
      <c r="AC32" s="1651">
        <v>1335.5319999999999</v>
      </c>
      <c r="AE32" s="1651">
        <v>1369.1590000000001</v>
      </c>
      <c r="AG32" s="1943">
        <v>1249.2760000000001</v>
      </c>
      <c r="AI32" s="1943">
        <v>1303.4970000000001</v>
      </c>
      <c r="AK32" s="1943">
        <v>1128.8430000000001</v>
      </c>
      <c r="AM32" s="1943">
        <v>1113.808</v>
      </c>
      <c r="AO32" s="1643">
        <f>DebtSchedule!U65/1000</f>
        <v>879.03099999999995</v>
      </c>
      <c r="AQ32" s="1643">
        <f>AO32-150</f>
        <v>729.03099999999995</v>
      </c>
      <c r="AS32" s="1643">
        <f>AQ32-150</f>
        <v>579.03099999999995</v>
      </c>
      <c r="AU32" s="1643">
        <f>AS32-150</f>
        <v>429.03099999999995</v>
      </c>
      <c r="AW32" s="1643">
        <f>AU32-150</f>
        <v>279.03099999999995</v>
      </c>
    </row>
    <row r="33" spans="1:50">
      <c r="B33" s="1282" t="s">
        <v>307</v>
      </c>
      <c r="E33" s="1653">
        <v>0</v>
      </c>
      <c r="G33" s="1653">
        <v>0</v>
      </c>
      <c r="I33" s="1653">
        <v>0</v>
      </c>
      <c r="K33" s="1653">
        <v>0</v>
      </c>
      <c r="M33" s="1653">
        <v>0</v>
      </c>
      <c r="O33" s="1653">
        <v>0</v>
      </c>
      <c r="Q33" s="1653">
        <v>607.64599999999996</v>
      </c>
      <c r="S33" s="1653">
        <f>48.447</f>
        <v>48.447000000000003</v>
      </c>
      <c r="U33" s="1653">
        <v>464.59800000000001</v>
      </c>
      <c r="W33" s="1653">
        <v>283.23500000000001</v>
      </c>
      <c r="Y33" s="1653">
        <f>(279.279)</f>
        <v>279.279</v>
      </c>
      <c r="AA33" s="1653">
        <v>276.98500000000001</v>
      </c>
      <c r="AC33" s="1653">
        <v>253.339</v>
      </c>
      <c r="AE33" s="1653">
        <v>242.708</v>
      </c>
      <c r="AF33" s="1653"/>
      <c r="AG33" s="1653">
        <v>234.36</v>
      </c>
      <c r="AH33" s="1653"/>
      <c r="AI33" s="1653">
        <v>201.69499999999999</v>
      </c>
      <c r="AJ33" s="1653"/>
      <c r="AK33" s="1653">
        <v>207.935</v>
      </c>
      <c r="AL33" s="1653"/>
      <c r="AM33" s="1653">
        <v>179.48599999999999</v>
      </c>
      <c r="AN33" s="1653"/>
      <c r="AO33" s="1653">
        <f>AM33</f>
        <v>179.48599999999999</v>
      </c>
      <c r="AP33" s="1653"/>
      <c r="AQ33" s="1653">
        <f>AO33</f>
        <v>179.48599999999999</v>
      </c>
      <c r="AR33" s="1653"/>
      <c r="AS33" s="1653">
        <f>AQ33</f>
        <v>179.48599999999999</v>
      </c>
      <c r="AT33" s="1653"/>
      <c r="AU33" s="1653">
        <f>AS33</f>
        <v>179.48599999999999</v>
      </c>
      <c r="AV33" s="1653"/>
      <c r="AW33" s="1653">
        <f>AU33</f>
        <v>179.48599999999999</v>
      </c>
      <c r="AX33" s="1653"/>
    </row>
    <row r="34" spans="1:50">
      <c r="B34" s="1282" t="s">
        <v>18</v>
      </c>
      <c r="E34" s="1946">
        <f>15.064+3.302</f>
        <v>18.366</v>
      </c>
      <c r="G34" s="1946">
        <f>14.648+1.798</f>
        <v>16.445999999999998</v>
      </c>
      <c r="I34" s="1946">
        <f>13.795+0.851</f>
        <v>14.646000000000001</v>
      </c>
      <c r="K34" s="1946">
        <v>13.744</v>
      </c>
      <c r="M34" s="1946">
        <v>39.546999999999997</v>
      </c>
      <c r="O34" s="1946">
        <v>37.633000000000003</v>
      </c>
      <c r="Q34" s="1946">
        <v>21.974</v>
      </c>
      <c r="S34" s="1946">
        <f>551.298</f>
        <v>551.298</v>
      </c>
      <c r="U34" s="1946">
        <f>110.776</f>
        <v>110.776</v>
      </c>
      <c r="W34" s="1946">
        <f>173.067</f>
        <v>173.06700000000001</v>
      </c>
      <c r="Y34" s="2211">
        <f>(215528)/1000</f>
        <v>215.52799999999999</v>
      </c>
      <c r="AA34" s="2211">
        <f>224.352</f>
        <v>224.352</v>
      </c>
      <c r="AC34" s="2211">
        <f>229.425</f>
        <v>229.42500000000001</v>
      </c>
      <c r="AE34" s="2211">
        <v>255.87700000000001</v>
      </c>
      <c r="AF34" s="1782"/>
      <c r="AG34" s="2211">
        <v>273.767</v>
      </c>
      <c r="AH34" s="2211"/>
      <c r="AI34" s="2211">
        <v>287.38900000000001</v>
      </c>
      <c r="AJ34" s="1946"/>
      <c r="AK34" s="1946">
        <v>290.68299999999999</v>
      </c>
      <c r="AL34" s="1946"/>
      <c r="AM34" s="1946">
        <v>313.13</v>
      </c>
      <c r="AN34" s="1946"/>
      <c r="AO34" s="1946">
        <f>AM34</f>
        <v>313.13</v>
      </c>
      <c r="AP34" s="1946"/>
      <c r="AQ34" s="1946">
        <f>AO34</f>
        <v>313.13</v>
      </c>
      <c r="AR34" s="1946"/>
      <c r="AS34" s="1946">
        <f>AQ34</f>
        <v>313.13</v>
      </c>
      <c r="AT34" s="1946"/>
      <c r="AU34" s="1946">
        <f>AS34</f>
        <v>313.13</v>
      </c>
      <c r="AV34" s="1946"/>
      <c r="AW34" s="1946">
        <f>AU34</f>
        <v>313.13</v>
      </c>
      <c r="AX34" s="1715"/>
    </row>
    <row r="35" spans="1:50">
      <c r="C35" s="1282" t="s">
        <v>19</v>
      </c>
      <c r="E35" s="1669">
        <f>SUM(E32:E34)</f>
        <v>26.471</v>
      </c>
      <c r="G35" s="1669">
        <f>SUM(G32:G34)</f>
        <v>24.005999999999997</v>
      </c>
      <c r="I35" s="1669">
        <f>SUM(I32:I34)</f>
        <v>36.891000000000005</v>
      </c>
      <c r="K35" s="1669">
        <f>SUM(K32:K34)</f>
        <v>48.331000000000003</v>
      </c>
      <c r="M35" s="1669">
        <f>SUM(M32:M34)</f>
        <v>173.08500000000001</v>
      </c>
      <c r="O35" s="1669">
        <f>SUM(O32:O34)</f>
        <v>169.98000000000002</v>
      </c>
      <c r="Q35" s="1669">
        <f>SUM(Q32:Q34)</f>
        <v>2137.739</v>
      </c>
      <c r="S35" s="1669">
        <f>SUM(S32:S34)</f>
        <v>2056.0749999999998</v>
      </c>
      <c r="U35" s="1669">
        <f>SUM(U32:U34)</f>
        <v>2055.605</v>
      </c>
      <c r="W35" s="1669">
        <f>SUM(W32:W34)</f>
        <v>1855.4540000000002</v>
      </c>
      <c r="Y35" s="2210">
        <f>SUM(Y32:Y34)</f>
        <v>1852.828</v>
      </c>
      <c r="Z35" s="1350"/>
      <c r="AA35" s="2210">
        <f>SUM(AA32:AA34)</f>
        <v>2106.8009999999999</v>
      </c>
      <c r="AB35" s="1350"/>
      <c r="AC35" s="2210">
        <f>SUM(AC32:AC34)</f>
        <v>1818.2959999999998</v>
      </c>
      <c r="AD35" s="1350"/>
      <c r="AE35" s="2210">
        <f>SUM(AE32:AE34)</f>
        <v>1867.7440000000001</v>
      </c>
      <c r="AF35" s="1350"/>
      <c r="AG35" s="2210">
        <f>SUM(AG32:AG34)</f>
        <v>1757.403</v>
      </c>
      <c r="AH35" s="2210"/>
      <c r="AI35" s="2210">
        <f>SUM(AI32:AI34)</f>
        <v>1792.5810000000001</v>
      </c>
      <c r="AJ35" s="1669"/>
      <c r="AK35" s="1669">
        <f>SUM(AK32:AK34)</f>
        <v>1627.461</v>
      </c>
      <c r="AL35" s="1669"/>
      <c r="AM35" s="1669">
        <f>SUM(AM32:AM34)</f>
        <v>1606.424</v>
      </c>
      <c r="AN35" s="1669"/>
      <c r="AO35" s="1669">
        <f>SUM(AO32:AO34)</f>
        <v>1371.6469999999999</v>
      </c>
      <c r="AP35" s="1669"/>
      <c r="AQ35" s="1669">
        <f>SUM(AQ32:AQ34)</f>
        <v>1221.6469999999999</v>
      </c>
      <c r="AR35" s="1669"/>
      <c r="AS35" s="1669">
        <f>SUM(AS32:AS34)</f>
        <v>1071.6469999999999</v>
      </c>
      <c r="AT35" s="1669"/>
      <c r="AU35" s="1669">
        <f>SUM(AU32:AU34)</f>
        <v>921.64699999999993</v>
      </c>
      <c r="AV35" s="1669"/>
      <c r="AW35" s="1669">
        <f>SUM(AW32:AW34)</f>
        <v>771.64699999999993</v>
      </c>
      <c r="AX35" s="1669"/>
    </row>
    <row r="36" spans="1:50" ht="4.5" customHeight="1">
      <c r="E36" s="1669"/>
      <c r="G36" s="1669"/>
      <c r="I36" s="1669"/>
      <c r="K36" s="1669"/>
      <c r="M36" s="1669"/>
      <c r="O36" s="1669"/>
      <c r="Q36" s="1669"/>
      <c r="S36" s="1669"/>
      <c r="U36" s="1669"/>
      <c r="W36" s="1669"/>
      <c r="Y36" s="1669"/>
      <c r="AA36" s="1669"/>
      <c r="AC36" s="1669"/>
      <c r="AE36" s="1669"/>
      <c r="AG36" s="1669"/>
      <c r="AH36" s="1669"/>
      <c r="AI36" s="1669"/>
      <c r="AJ36" s="1669"/>
      <c r="AK36" s="1669"/>
      <c r="AL36" s="1669"/>
      <c r="AM36" s="1669"/>
      <c r="AN36" s="1669"/>
      <c r="AO36" s="1669"/>
      <c r="AP36" s="1669"/>
      <c r="AQ36" s="1669"/>
      <c r="AR36" s="1669"/>
      <c r="AS36" s="1669"/>
      <c r="AT36" s="1669"/>
      <c r="AU36" s="1669"/>
      <c r="AV36" s="1669"/>
      <c r="AW36" s="1669"/>
      <c r="AX36" s="1669"/>
    </row>
    <row r="37" spans="1:50">
      <c r="A37" s="1282" t="s">
        <v>24</v>
      </c>
      <c r="E37" s="1952">
        <f>E35+E30</f>
        <v>460.70600000000002</v>
      </c>
      <c r="G37" s="1952">
        <f>G35+G30</f>
        <v>405.404</v>
      </c>
      <c r="I37" s="1952">
        <f>I35+I30</f>
        <v>551.29299999999989</v>
      </c>
      <c r="K37" s="1952">
        <f>K35+K30</f>
        <v>528.70500000000004</v>
      </c>
      <c r="M37" s="1952">
        <f>M35+M30</f>
        <v>733.74600000000009</v>
      </c>
      <c r="O37" s="1952">
        <f>O35+O30</f>
        <v>747.11500000000001</v>
      </c>
      <c r="Q37" s="1952">
        <f>Q35+Q30</f>
        <v>2793.9880000000003</v>
      </c>
      <c r="S37" s="1952">
        <f>S35+S30</f>
        <v>2656.0509999999999</v>
      </c>
      <c r="U37" s="1952">
        <f>U35+U30</f>
        <v>2640.9679999999998</v>
      </c>
      <c r="W37" s="1952">
        <f>W35+W30</f>
        <v>2239.4940000000001</v>
      </c>
      <c r="Y37" s="1952">
        <f>Y35+Y30</f>
        <v>2270.4960000000001</v>
      </c>
      <c r="Z37" s="1545"/>
      <c r="AA37" s="1952">
        <f>AA35+AA30</f>
        <v>2612.0879999999997</v>
      </c>
      <c r="AB37" s="1545"/>
      <c r="AC37" s="1952">
        <f>AC35+AC30</f>
        <v>2558.3509999999997</v>
      </c>
      <c r="AD37" s="1545"/>
      <c r="AE37" s="1952">
        <f>AE30+AE35</f>
        <v>2771.56</v>
      </c>
      <c r="AF37" s="1545"/>
      <c r="AG37" s="1952">
        <f>AG30+AG35</f>
        <v>2690.52</v>
      </c>
      <c r="AH37" s="1952"/>
      <c r="AI37" s="1952">
        <f>AI30+AI35</f>
        <v>2679.1689999999999</v>
      </c>
      <c r="AJ37" s="1952"/>
      <c r="AK37" s="1952">
        <f>AK30+AK35</f>
        <v>2624.2950000000001</v>
      </c>
      <c r="AL37" s="1952"/>
      <c r="AM37" s="1952">
        <f>AM30+AM35</f>
        <v>2726.0549999999998</v>
      </c>
      <c r="AN37" s="1952"/>
      <c r="AO37" s="1952">
        <f>AO30+AO35</f>
        <v>2528.3799532369439</v>
      </c>
      <c r="AP37" s="1952"/>
      <c r="AQ37" s="1952">
        <f>AQ30+AQ35</f>
        <v>2458.7777825511139</v>
      </c>
      <c r="AR37" s="1952"/>
      <c r="AS37" s="1952">
        <f>AS30+AS35</f>
        <v>2393.8679638396261</v>
      </c>
      <c r="AT37" s="1952"/>
      <c r="AU37" s="1952">
        <f>AU30+AU35</f>
        <v>2333.8499775755308</v>
      </c>
      <c r="AV37" s="1952"/>
      <c r="AW37" s="1952">
        <f>AW30+AW35</f>
        <v>2278.9325784679795</v>
      </c>
      <c r="AX37" s="1718"/>
    </row>
    <row r="38" spans="1:50" ht="4.5" customHeight="1"/>
    <row r="39" spans="1:50">
      <c r="A39" s="1942" t="s">
        <v>117</v>
      </c>
    </row>
    <row r="40" spans="1:50">
      <c r="B40" s="1282" t="s">
        <v>25</v>
      </c>
      <c r="E40" s="1651">
        <v>49.703000000000003</v>
      </c>
      <c r="G40" s="1653">
        <v>49.715000000000003</v>
      </c>
      <c r="I40" s="1653">
        <v>49.749000000000002</v>
      </c>
      <c r="K40" s="1653">
        <v>49.765999999999998</v>
      </c>
      <c r="M40" s="1653">
        <v>49.808999999999997</v>
      </c>
      <c r="O40" s="1653">
        <v>49.898000000000003</v>
      </c>
      <c r="Q40" s="1653">
        <v>446.678</v>
      </c>
      <c r="S40" s="1653">
        <v>454.935</v>
      </c>
      <c r="U40" s="1653">
        <v>457.37099999999998</v>
      </c>
      <c r="W40" s="1653">
        <v>464.48899999999998</v>
      </c>
      <c r="Y40" s="1653">
        <v>466.75400000000002</v>
      </c>
      <c r="AA40" s="1653">
        <v>474.56900000000002</v>
      </c>
      <c r="AC40" s="1653">
        <v>479.572</v>
      </c>
      <c r="AE40" s="1653">
        <v>7.0000000000000001E-3</v>
      </c>
      <c r="AG40" s="1944">
        <v>7.0000000000000001E-3</v>
      </c>
      <c r="AH40" s="1797"/>
      <c r="AI40" s="1944">
        <v>7.0000000000000001E-3</v>
      </c>
      <c r="AJ40" s="1797"/>
      <c r="AK40" s="1944">
        <v>0</v>
      </c>
      <c r="AL40" s="1797"/>
      <c r="AM40" s="1797">
        <f>AK40</f>
        <v>0</v>
      </c>
      <c r="AN40" s="1797"/>
      <c r="AO40" s="1797">
        <f>AM40</f>
        <v>0</v>
      </c>
      <c r="AP40" s="1797"/>
      <c r="AQ40" s="1797">
        <f>AO40</f>
        <v>0</v>
      </c>
      <c r="AR40" s="1797"/>
      <c r="AS40" s="1797">
        <f>AQ40</f>
        <v>0</v>
      </c>
      <c r="AT40" s="1797"/>
      <c r="AU40" s="1797">
        <f>AS40</f>
        <v>0</v>
      </c>
      <c r="AV40" s="1797"/>
      <c r="AW40" s="1797">
        <f>AU40</f>
        <v>0</v>
      </c>
      <c r="AX40" s="1797"/>
    </row>
    <row r="41" spans="1:50">
      <c r="B41" s="1282" t="s">
        <v>26</v>
      </c>
      <c r="E41" s="1653">
        <v>19.937000000000001</v>
      </c>
      <c r="G41" s="1653">
        <v>20.538</v>
      </c>
      <c r="I41" s="1653">
        <v>21.259</v>
      </c>
      <c r="K41" s="1653">
        <v>22.030999999999999</v>
      </c>
      <c r="M41" s="1653">
        <v>23.015999999999998</v>
      </c>
      <c r="O41" s="1653">
        <v>24.776</v>
      </c>
      <c r="Q41" s="1653">
        <v>0</v>
      </c>
      <c r="S41" s="1653">
        <v>0</v>
      </c>
      <c r="U41" s="1653">
        <v>0</v>
      </c>
      <c r="W41" s="1653">
        <v>0</v>
      </c>
      <c r="Y41" s="1653">
        <v>0</v>
      </c>
      <c r="AA41" s="1653">
        <v>0</v>
      </c>
      <c r="AC41" s="1653">
        <v>0</v>
      </c>
      <c r="AE41" s="1653">
        <v>1346.259</v>
      </c>
      <c r="AG41" s="1944">
        <v>1370.498</v>
      </c>
      <c r="AH41" s="1797"/>
      <c r="AI41" s="1944">
        <v>1395.8630000000001</v>
      </c>
      <c r="AJ41" s="1797"/>
      <c r="AK41" s="1944">
        <v>1420.5809999999999</v>
      </c>
      <c r="AL41" s="1797"/>
      <c r="AM41" s="1944">
        <v>1457.2049999999999</v>
      </c>
      <c r="AN41" s="1797"/>
      <c r="AO41" s="1797">
        <f>AM41</f>
        <v>1457.2049999999999</v>
      </c>
      <c r="AP41" s="1797"/>
      <c r="AQ41" s="1797">
        <f>AO41</f>
        <v>1457.2049999999999</v>
      </c>
      <c r="AR41" s="1797"/>
      <c r="AS41" s="1797">
        <f>AQ41</f>
        <v>1457.2049999999999</v>
      </c>
      <c r="AT41" s="1797"/>
      <c r="AU41" s="1797">
        <f>AS41</f>
        <v>1457.2049999999999</v>
      </c>
      <c r="AV41" s="1797"/>
      <c r="AW41" s="1797">
        <f>AU41</f>
        <v>1457.2049999999999</v>
      </c>
      <c r="AX41" s="1797"/>
    </row>
    <row r="42" spans="1:50">
      <c r="B42" s="1282" t="s">
        <v>27</v>
      </c>
      <c r="E42" s="1653">
        <v>575.99400000000003</v>
      </c>
      <c r="G42" s="1653">
        <v>646.11300000000006</v>
      </c>
      <c r="I42" s="1653">
        <v>712.08900000000006</v>
      </c>
      <c r="K42" s="1653">
        <v>776.15300000000002</v>
      </c>
      <c r="M42" s="1653">
        <v>831.92600000000004</v>
      </c>
      <c r="O42" s="1653">
        <f>910.176</f>
        <v>910.17600000000004</v>
      </c>
      <c r="Q42" s="1653">
        <v>0</v>
      </c>
      <c r="S42" s="1653">
        <v>0</v>
      </c>
      <c r="U42" s="1653">
        <v>0</v>
      </c>
      <c r="W42" s="1653">
        <v>0</v>
      </c>
      <c r="Y42" s="1653">
        <v>0</v>
      </c>
      <c r="AA42" s="1653">
        <v>0</v>
      </c>
      <c r="AC42" s="1653">
        <v>0</v>
      </c>
      <c r="AE42" s="1653">
        <f>AC42</f>
        <v>0</v>
      </c>
      <c r="AG42" s="1797">
        <f>AE42</f>
        <v>0</v>
      </c>
      <c r="AH42" s="1797"/>
      <c r="AI42" s="1797">
        <f>AG42</f>
        <v>0</v>
      </c>
      <c r="AJ42" s="1797"/>
      <c r="AK42" s="1944">
        <f>AI42</f>
        <v>0</v>
      </c>
      <c r="AL42" s="1797"/>
      <c r="AM42" s="1797">
        <f>AK42</f>
        <v>0</v>
      </c>
      <c r="AN42" s="1797"/>
      <c r="AO42" s="1797">
        <f>AM42</f>
        <v>0</v>
      </c>
      <c r="AP42" s="1797"/>
      <c r="AQ42" s="1797">
        <f>AO42</f>
        <v>0</v>
      </c>
      <c r="AR42" s="1797"/>
      <c r="AS42" s="1797">
        <f>AQ42</f>
        <v>0</v>
      </c>
      <c r="AT42" s="1797"/>
      <c r="AU42" s="1797">
        <f>AS42</f>
        <v>0</v>
      </c>
      <c r="AV42" s="1797"/>
      <c r="AW42" s="1797">
        <f>AU42</f>
        <v>0</v>
      </c>
      <c r="AX42" s="1797"/>
    </row>
    <row r="43" spans="1:50">
      <c r="B43" s="1282" t="s">
        <v>301</v>
      </c>
      <c r="E43" s="1653">
        <v>-58.834000000000003</v>
      </c>
      <c r="G43" s="1653">
        <v>-60.991999999999997</v>
      </c>
      <c r="I43" s="1653">
        <v>-60.497</v>
      </c>
      <c r="K43" s="1653">
        <v>-59.847000000000001</v>
      </c>
      <c r="M43" s="1653">
        <v>-59.258000000000003</v>
      </c>
      <c r="O43" s="1653">
        <v>-58.66</v>
      </c>
      <c r="Q43" s="1653">
        <v>0</v>
      </c>
      <c r="S43" s="1653">
        <v>0</v>
      </c>
      <c r="U43" s="1653">
        <v>0</v>
      </c>
      <c r="W43" s="1653">
        <v>0</v>
      </c>
      <c r="Y43" s="1653">
        <v>0</v>
      </c>
      <c r="AA43" s="1653">
        <v>0</v>
      </c>
      <c r="AC43" s="1653">
        <v>0</v>
      </c>
      <c r="AE43" s="1653">
        <v>-4.3250000000000002</v>
      </c>
      <c r="AG43" s="1944">
        <v>-8.2579999999999991</v>
      </c>
      <c r="AH43" s="1797"/>
      <c r="AI43" s="1944">
        <v>-209.928</v>
      </c>
      <c r="AJ43" s="1797"/>
      <c r="AK43" s="1944">
        <v>-403.11</v>
      </c>
      <c r="AL43" s="1797"/>
      <c r="AM43" s="1944">
        <v>-692.88699999999994</v>
      </c>
      <c r="AN43" s="1797"/>
      <c r="AO43" s="1797">
        <f>AM43</f>
        <v>-692.88699999999994</v>
      </c>
      <c r="AP43" s="1797"/>
      <c r="AQ43" s="1797">
        <f>AO43</f>
        <v>-692.88699999999994</v>
      </c>
      <c r="AR43" s="1797"/>
      <c r="AS43" s="1797">
        <f>AQ43</f>
        <v>-692.88699999999994</v>
      </c>
      <c r="AT43" s="1797"/>
      <c r="AU43" s="1797">
        <f>AS43</f>
        <v>-692.88699999999994</v>
      </c>
      <c r="AV43" s="1797"/>
      <c r="AW43" s="1797">
        <f>AU43</f>
        <v>-692.88699999999994</v>
      </c>
      <c r="AX43" s="1797"/>
    </row>
    <row r="44" spans="1:50">
      <c r="B44" s="1282" t="s">
        <v>28</v>
      </c>
      <c r="E44" s="1946">
        <v>-0.35899999999999999</v>
      </c>
      <c r="G44" s="1946">
        <f>-0.003-0.1</f>
        <v>-0.10300000000000001</v>
      </c>
      <c r="I44" s="1946">
        <f>-0.002-0.1</f>
        <v>-0.10200000000000001</v>
      </c>
      <c r="K44" s="1946">
        <v>-8.2000000000000003E-2</v>
      </c>
      <c r="M44" s="1946">
        <f>0.002-0.063</f>
        <v>-6.0999999999999999E-2</v>
      </c>
      <c r="O44" s="1946">
        <f>0.004-0.041</f>
        <v>-3.7000000000000005E-2</v>
      </c>
      <c r="Q44" s="1946">
        <v>-27.166</v>
      </c>
      <c r="S44" s="1946">
        <f>-74.465</f>
        <v>-74.465000000000003</v>
      </c>
      <c r="U44" s="1946">
        <v>-133.84700000000001</v>
      </c>
      <c r="W44" s="1946">
        <v>-309.98899999999998</v>
      </c>
      <c r="Y44" s="2211">
        <v>-279.24200000000002</v>
      </c>
      <c r="AA44" s="2211">
        <v>-585.51400000000001</v>
      </c>
      <c r="AC44" s="2211">
        <f>-559.841+0.928</f>
        <v>-558.91300000000001</v>
      </c>
      <c r="AE44" s="2211">
        <v>-1492.4090000000001</v>
      </c>
      <c r="AG44" s="2209">
        <f>-1426.454+-1.744</f>
        <v>-1428.1979999999999</v>
      </c>
      <c r="AH44" s="1737"/>
      <c r="AI44" s="1947">
        <f>-1275.972-8.992</f>
        <v>-1284.9639999999999</v>
      </c>
      <c r="AJ44" s="1737"/>
      <c r="AK44" s="1947">
        <f>-1060.099-7.191+0.007</f>
        <v>-1067.2829999999999</v>
      </c>
      <c r="AL44" s="1737"/>
      <c r="AM44" s="1947">
        <f>-675.664+0.007-1.887</f>
        <v>-677.54399999999998</v>
      </c>
      <c r="AN44" s="1737"/>
      <c r="AO44" s="1737">
        <f>AM44+flow!AO21+flow!AO13+flow!AO58++flow!AO9+flow!AO62</f>
        <v>-497.70135303124778</v>
      </c>
      <c r="AP44" s="1737"/>
      <c r="AQ44" s="1737">
        <f>AO44+flow!AQ21+flow!AQ13+flow!AQ58++flow!AQ9+flow!AQ62</f>
        <v>-274.70174530952477</v>
      </c>
      <c r="AR44" s="1737"/>
      <c r="AS44" s="1737">
        <f>AQ44+flow!AS21+flow!AS13+flow!AS58++flow!AS9+flow!AS62</f>
        <v>-4.9002712361799468</v>
      </c>
      <c r="AT44" s="1737"/>
      <c r="AU44" s="1737">
        <f>AS44+flow!AU21+flow!AU13+flow!AU58++flow!AU9+flow!AU62</f>
        <v>318.78342272340012</v>
      </c>
      <c r="AV44" s="1737"/>
      <c r="AW44" s="1737">
        <f>AU44+flow!AW21+flow!AW13+flow!AW58++flow!AW9+flow!AW62</f>
        <v>694.57698541125467</v>
      </c>
      <c r="AX44" s="1687"/>
    </row>
    <row r="45" spans="1:50">
      <c r="C45" s="1282" t="s">
        <v>20</v>
      </c>
      <c r="E45" s="1669">
        <f>SUM(E40:E44)</f>
        <v>586.44099999999992</v>
      </c>
      <c r="G45" s="1669">
        <f>SUM(G40:G44)</f>
        <v>655.27100000000019</v>
      </c>
      <c r="I45" s="1669">
        <f>SUM(I40:I44)</f>
        <v>722.49800000000016</v>
      </c>
      <c r="K45" s="1669">
        <f>SUM(K40:K44)</f>
        <v>788.02100000000007</v>
      </c>
      <c r="M45" s="1669">
        <f>SUM(M40:M44)</f>
        <v>845.4319999999999</v>
      </c>
      <c r="O45" s="1669">
        <f>SUM(O40:O44)</f>
        <v>926.15300000000002</v>
      </c>
      <c r="Q45" s="1669">
        <f>SUM(Q40:Q44)</f>
        <v>419.512</v>
      </c>
      <c r="S45" s="1669">
        <f>SUM(S40:S44)</f>
        <v>380.47</v>
      </c>
      <c r="U45" s="1669">
        <f>SUM(U40:U44)</f>
        <v>323.524</v>
      </c>
      <c r="W45" s="1669">
        <f>SUM(W40:W44)</f>
        <v>154.5</v>
      </c>
      <c r="Y45" s="2210">
        <f>SUM(Y40:Y44)</f>
        <v>187.512</v>
      </c>
      <c r="Z45" s="1350"/>
      <c r="AA45" s="2210">
        <f>SUM(AA40:AA44)</f>
        <v>-110.94499999999999</v>
      </c>
      <c r="AB45" s="2210">
        <f>SUM(AB40:AB44)</f>
        <v>0</v>
      </c>
      <c r="AC45" s="2210">
        <f>SUM(AC40:AC44)</f>
        <v>-79.341000000000008</v>
      </c>
      <c r="AD45" s="1350"/>
      <c r="AE45" s="2210">
        <f>SUM(AE40:AE44)</f>
        <v>-150.46800000000007</v>
      </c>
      <c r="AF45" s="1350"/>
      <c r="AG45" s="2210">
        <f>SUM(AG40:AG44)</f>
        <v>-65.950999999999794</v>
      </c>
      <c r="AH45" s="1957"/>
      <c r="AI45" s="1958">
        <f>SUM(AI40:AI44)</f>
        <v>-99.021999999999935</v>
      </c>
      <c r="AJ45" s="1957"/>
      <c r="AK45" s="1958">
        <f>SUM(AK40:AK44)</f>
        <v>-49.812000000000012</v>
      </c>
      <c r="AL45" s="1957"/>
      <c r="AM45" s="1958">
        <f>SUM(AM40:AM44)</f>
        <v>86.774000000000001</v>
      </c>
      <c r="AN45" s="1957"/>
      <c r="AO45" s="1669">
        <f>SUM(AO40:AO44)</f>
        <v>266.61664696875221</v>
      </c>
      <c r="AP45" s="1957"/>
      <c r="AQ45" s="1669">
        <f>SUM(AQ40:AQ44)</f>
        <v>489.61625469047522</v>
      </c>
      <c r="AR45" s="1957"/>
      <c r="AS45" s="1669">
        <f>SUM(AS40:AS44)</f>
        <v>759.41772876382004</v>
      </c>
      <c r="AT45" s="1957"/>
      <c r="AU45" s="1669">
        <f>SUM(AU40:AU44)</f>
        <v>1083.1014227234</v>
      </c>
      <c r="AV45" s="1957"/>
      <c r="AW45" s="1669">
        <f>SUM(AW40:AW44)</f>
        <v>1458.8949854112548</v>
      </c>
      <c r="AX45" s="1957"/>
    </row>
    <row r="46" spans="1:50" ht="4.5" customHeight="1">
      <c r="Y46" s="1352"/>
      <c r="Z46" s="1352"/>
      <c r="AA46" s="1352"/>
      <c r="AB46" s="1352"/>
      <c r="AC46" s="1352"/>
      <c r="AD46" s="1352"/>
      <c r="AE46" s="1352"/>
      <c r="AF46" s="1352"/>
      <c r="AG46" s="1352"/>
    </row>
    <row r="47" spans="1:50">
      <c r="A47" s="1282" t="s">
        <v>135</v>
      </c>
      <c r="E47" s="1952">
        <f>E45+E37</f>
        <v>1047.1469999999999</v>
      </c>
      <c r="G47" s="1952">
        <f>G45+G37</f>
        <v>1060.6750000000002</v>
      </c>
      <c r="I47" s="1952">
        <f>I45+I37</f>
        <v>1273.7910000000002</v>
      </c>
      <c r="K47" s="1952">
        <f>K45+K37</f>
        <v>1316.7260000000001</v>
      </c>
      <c r="M47" s="1952">
        <f>M45+M37</f>
        <v>1579.1779999999999</v>
      </c>
      <c r="O47" s="1952">
        <f>O45+O37</f>
        <v>1673.268</v>
      </c>
      <c r="Q47" s="1952">
        <f>Q45+Q37</f>
        <v>3213.5000000000005</v>
      </c>
      <c r="S47" s="1952">
        <f>S45+S37</f>
        <v>3036.5209999999997</v>
      </c>
      <c r="U47" s="1952">
        <f>U45+U37</f>
        <v>2964.4919999999997</v>
      </c>
      <c r="W47" s="1952">
        <f>W45+W37</f>
        <v>2393.9940000000001</v>
      </c>
      <c r="Y47" s="1952">
        <f>Y45+Y37</f>
        <v>2458.0080000000003</v>
      </c>
      <c r="Z47" s="1545"/>
      <c r="AA47" s="1952">
        <f>AA45+AA37</f>
        <v>2501.1429999999996</v>
      </c>
      <c r="AB47" s="1545"/>
      <c r="AC47" s="1952">
        <f>AC45+AC37</f>
        <v>2479.0099999999998</v>
      </c>
      <c r="AD47" s="1545"/>
      <c r="AE47" s="1952">
        <f>AE45+AE37</f>
        <v>2621.0919999999996</v>
      </c>
      <c r="AF47" s="1545"/>
      <c r="AG47" s="1952">
        <f>AG45+AG37</f>
        <v>2624.5690000000004</v>
      </c>
      <c r="AH47" s="1952"/>
      <c r="AI47" s="2201">
        <f>AI45+AI37</f>
        <v>2580.1469999999999</v>
      </c>
      <c r="AJ47" s="1952"/>
      <c r="AK47" s="2201">
        <f>AK45+AK37</f>
        <v>2574.4830000000002</v>
      </c>
      <c r="AL47" s="1952"/>
      <c r="AM47" s="2207">
        <f>AM45+AM37</f>
        <v>2812.8289999999997</v>
      </c>
      <c r="AN47" s="1952"/>
      <c r="AO47" s="2208">
        <f>AO45+AO37</f>
        <v>2794.9966002056963</v>
      </c>
      <c r="AP47" s="1952"/>
      <c r="AQ47" s="2207">
        <f>AQ45+AQ37</f>
        <v>2948.3940372415891</v>
      </c>
      <c r="AR47" s="1952"/>
      <c r="AS47" s="1952">
        <f>AS45+AS37</f>
        <v>3153.285692603446</v>
      </c>
      <c r="AT47" s="1952"/>
      <c r="AU47" s="1952">
        <f>AU45+AU37</f>
        <v>3416.9514002989308</v>
      </c>
      <c r="AV47" s="1952"/>
      <c r="AW47" s="1952">
        <f>AW45+AW37</f>
        <v>3737.8275638792343</v>
      </c>
      <c r="AX47" s="1718"/>
    </row>
    <row r="48" spans="1:50" ht="4.5" customHeight="1"/>
    <row r="49" spans="1:56">
      <c r="A49" s="1282" t="s">
        <v>78</v>
      </c>
      <c r="W49" s="1784"/>
    </row>
    <row r="51" spans="1:56" s="1959" customFormat="1">
      <c r="A51" s="1959" t="s">
        <v>10</v>
      </c>
      <c r="E51" s="1957">
        <f>E23-E47</f>
        <v>0</v>
      </c>
      <c r="F51" s="1960"/>
      <c r="G51" s="1957">
        <f>G23-G47</f>
        <v>0</v>
      </c>
      <c r="H51" s="1960"/>
      <c r="I51" s="1957">
        <f>I23-I47</f>
        <v>0</v>
      </c>
      <c r="J51" s="1960"/>
      <c r="K51" s="1957">
        <f>K23-K47</f>
        <v>0</v>
      </c>
      <c r="L51" s="1960"/>
      <c r="M51" s="1957">
        <f>M23-M47</f>
        <v>0</v>
      </c>
      <c r="N51" s="1960"/>
      <c r="O51" s="1957">
        <f>O23-O47</f>
        <v>0</v>
      </c>
      <c r="P51" s="1960"/>
      <c r="Q51" s="1957">
        <f>Q23-Q47</f>
        <v>0</v>
      </c>
      <c r="S51" s="1957">
        <f>S23-S47</f>
        <v>0</v>
      </c>
      <c r="U51" s="1957">
        <f>U23-U47</f>
        <v>0</v>
      </c>
      <c r="W51" s="1957">
        <f>W23-W47</f>
        <v>0</v>
      </c>
      <c r="Y51" s="1957">
        <f>Y23-Y47</f>
        <v>0</v>
      </c>
      <c r="Z51" s="1957"/>
      <c r="AA51" s="1957">
        <f>AA23-AA47</f>
        <v>0</v>
      </c>
      <c r="AB51" s="1957"/>
      <c r="AC51" s="1957">
        <f>AC23-AC47</f>
        <v>0</v>
      </c>
      <c r="AD51" s="1961"/>
      <c r="AE51" s="1957">
        <f>AE23-AE47</f>
        <v>0</v>
      </c>
      <c r="AF51" s="1961"/>
      <c r="AG51" s="1957">
        <f>AG23-AG47</f>
        <v>0</v>
      </c>
      <c r="AH51" s="1957"/>
      <c r="AI51" s="1957">
        <f>AI23-AI47</f>
        <v>0</v>
      </c>
      <c r="AJ51" s="1961"/>
      <c r="AK51" s="1957">
        <f>AK23-AK47</f>
        <v>0</v>
      </c>
      <c r="AL51" s="1961"/>
      <c r="AM51" s="2212">
        <f>ROUND(AM47-AM23,2)</f>
        <v>0</v>
      </c>
      <c r="AN51" s="1961"/>
      <c r="AO51" s="2212">
        <f>ROUND(AO47-AO23,2)</f>
        <v>0</v>
      </c>
      <c r="AP51" s="1961"/>
      <c r="AQ51" s="2212">
        <f>ROUND(AQ47-AQ23,2)</f>
        <v>0</v>
      </c>
      <c r="AR51" s="1961"/>
      <c r="AS51" s="2212">
        <f>ROUND(AS47-AS23,2)</f>
        <v>0</v>
      </c>
      <c r="AT51" s="1961"/>
      <c r="AU51" s="2212">
        <f>ROUND(AU47-AU23,2)</f>
        <v>0</v>
      </c>
      <c r="AV51" s="1961"/>
      <c r="AW51" s="2212">
        <f>ROUND(AW47-AW23,2)</f>
        <v>0</v>
      </c>
      <c r="AX51" s="1961"/>
      <c r="AY51"/>
      <c r="AZ51"/>
      <c r="BA51"/>
      <c r="BB51"/>
      <c r="BC51"/>
      <c r="BD51"/>
    </row>
    <row r="52" spans="1:56">
      <c r="AC52" s="1669"/>
      <c r="AE52" s="1669"/>
      <c r="AG52" s="1669"/>
      <c r="AH52" s="1669"/>
      <c r="AI52" s="1669"/>
      <c r="AJ52" s="1669"/>
      <c r="AK52" s="1669"/>
      <c r="AL52" s="1669"/>
      <c r="AM52" s="1669"/>
      <c r="AN52" s="1669"/>
      <c r="AO52" s="2206"/>
      <c r="AP52" s="1669"/>
      <c r="AQ52" s="2206"/>
      <c r="AR52" s="1669"/>
      <c r="AS52" s="2206"/>
      <c r="AT52" s="1669"/>
      <c r="AU52" s="2206"/>
      <c r="AV52" s="1669"/>
      <c r="AW52" s="2206"/>
      <c r="AX52" s="1669"/>
    </row>
    <row r="53" spans="1:56" outlineLevel="1">
      <c r="A53" s="1282" t="s">
        <v>155</v>
      </c>
      <c r="AG53" s="1669"/>
      <c r="AH53" s="1669"/>
      <c r="AI53" s="1669"/>
      <c r="AJ53" s="1669"/>
      <c r="AK53" s="1669"/>
      <c r="AL53" s="1669"/>
      <c r="AM53" s="1669"/>
      <c r="AN53" s="1669"/>
      <c r="AO53" s="1669"/>
      <c r="AP53" s="1669"/>
      <c r="AQ53" s="1669"/>
      <c r="AR53" s="1669"/>
      <c r="AS53" s="1669"/>
      <c r="AT53" s="1669"/>
      <c r="AU53" s="1669"/>
      <c r="AV53" s="1669"/>
      <c r="AW53" s="1669"/>
      <c r="AX53" s="1669"/>
    </row>
    <row r="54" spans="1:56" outlineLevel="1"/>
    <row r="55" spans="1:56" outlineLevel="1">
      <c r="B55" s="1282" t="s">
        <v>98</v>
      </c>
      <c r="E55" s="1643">
        <f>'yrP&amp;L'!B8</f>
        <v>2226.183</v>
      </c>
      <c r="G55" s="1643">
        <f>'yrP&amp;L'!C8</f>
        <v>2428.5840000000003</v>
      </c>
      <c r="I55" s="1643">
        <f>'yrP&amp;L'!D8</f>
        <v>2553.7570000000001</v>
      </c>
      <c r="K55" s="1643">
        <f>'yrP&amp;L'!E8</f>
        <v>2678.1280000000002</v>
      </c>
      <c r="M55" s="1643">
        <f>'yrP&amp;L'!F8</f>
        <v>2859.96</v>
      </c>
      <c r="O55" s="1643">
        <f>'yrP&amp;L'!G8</f>
        <v>3199.84</v>
      </c>
      <c r="P55" s="1282"/>
      <c r="Q55" s="1643">
        <f>'yrP&amp;L'!H8</f>
        <v>3470.5540000000001</v>
      </c>
      <c r="S55" s="1643">
        <f>'yrP&amp;L'!I8</f>
        <v>3441.645</v>
      </c>
      <c r="U55" s="1643">
        <f>'yrP&amp;L'!J8</f>
        <v>3423.973</v>
      </c>
      <c r="W55" s="1643">
        <f>'yrP&amp;L'!L8</f>
        <v>3522.9139999999998</v>
      </c>
      <c r="Y55" s="1643">
        <f>'yrP&amp;L'!M8</f>
        <v>3669.6019999999999</v>
      </c>
      <c r="AA55" s="1643">
        <f>'yrP&amp;L'!P8</f>
        <v>4077.034171070005</v>
      </c>
      <c r="AC55" s="1643">
        <f>'yrP&amp;L'!P8</f>
        <v>4077.034171070005</v>
      </c>
      <c r="AE55" s="1643">
        <f>'yrP&amp;L'!Q8</f>
        <v>4427.5029999999997</v>
      </c>
      <c r="AG55" s="1643">
        <f>'yrP&amp;L_new'!G8</f>
        <v>4814.5039999999999</v>
      </c>
      <c r="AI55" s="1643">
        <f>'yrP&amp;L_new'!H8</f>
        <v>5098.9319999999998</v>
      </c>
      <c r="AK55" s="1643">
        <f>'yrP&amp;L_new'!I8</f>
        <v>5566.0379999999996</v>
      </c>
      <c r="AL55" s="1643">
        <f>'yrP&amp;L'!X8</f>
        <v>5.27511064879993</v>
      </c>
      <c r="AM55" s="1643">
        <f>'yrP&amp;L_new'!J8</f>
        <v>6084.7659999999996</v>
      </c>
      <c r="AN55" s="1643">
        <f>'yrP&amp;L'!Z8</f>
        <v>8.2706638144256051</v>
      </c>
      <c r="AO55" s="1643">
        <f>'yrP&amp;L_new'!K$8</f>
        <v>6587.3821933692661</v>
      </c>
      <c r="AP55" s="1643">
        <f>'yrP&amp;L'!AB8</f>
        <v>0</v>
      </c>
      <c r="AQ55" s="1643">
        <f>'yrP&amp;L_new'!$L$8</f>
        <v>7272.2060401899489</v>
      </c>
      <c r="AR55" s="1643">
        <f>'yrP&amp;L'!AD8</f>
        <v>0</v>
      </c>
      <c r="AS55" s="1643">
        <f>'yrP&amp;L_new'!$M$8</f>
        <v>7996.9990572869638</v>
      </c>
      <c r="AT55" s="1643"/>
      <c r="AU55" s="1643">
        <f>'yrP&amp;L_new'!$N$8</f>
        <v>8763.46040726315</v>
      </c>
      <c r="AV55" s="1643"/>
      <c r="AW55" s="1643">
        <f>'yrP&amp;L_new'!$O$8</f>
        <v>9573.3682501034527</v>
      </c>
      <c r="AX55" s="1643"/>
    </row>
    <row r="56" spans="1:56" outlineLevel="1">
      <c r="B56" s="1282" t="s">
        <v>156</v>
      </c>
      <c r="E56" s="1797">
        <f>'yrP&amp;L'!B11</f>
        <v>1406.625</v>
      </c>
      <c r="G56" s="1797">
        <f>'yrP&amp;L'!C11</f>
        <v>1517.6759999999999</v>
      </c>
      <c r="I56" s="1797">
        <f>'yrP&amp;L'!D11</f>
        <v>1583.634</v>
      </c>
      <c r="K56" s="1797">
        <f>'yrP&amp;L'!E11</f>
        <v>1660.17</v>
      </c>
      <c r="M56" s="1797">
        <f>'yrP&amp;L'!F11</f>
        <v>1765.4780000000001</v>
      </c>
      <c r="O56" s="1797">
        <f>'yrP&amp;L'!G11</f>
        <v>1987.1590000000001</v>
      </c>
      <c r="P56" s="1282"/>
      <c r="Q56" s="1797">
        <f>'yrP&amp;L'!H11</f>
        <v>2183.2629999999999</v>
      </c>
      <c r="S56" s="1797">
        <f>'yrP&amp;L'!I11</f>
        <v>2125.16</v>
      </c>
      <c r="U56" s="1797">
        <f>'yrP&amp;L'!J11</f>
        <v>2095.364</v>
      </c>
      <c r="W56" s="1797">
        <f>'yrP&amp;L'!L11</f>
        <v>2181.7069999999999</v>
      </c>
      <c r="Y56" s="1797">
        <f>'yrP&amp;L'!M11</f>
        <v>2252.346</v>
      </c>
      <c r="AA56" s="1797">
        <f>'yrP&amp;L'!P11</f>
        <v>2497.9727558300101</v>
      </c>
      <c r="AC56" s="1797">
        <f>'yrP&amp;L'!P11</f>
        <v>2497.9727558300101</v>
      </c>
      <c r="AE56" s="1797">
        <f>'yrP&amp;L'!Q11</f>
        <v>2695.9569999999999</v>
      </c>
      <c r="AG56" s="1797">
        <f>'yrP&amp;L_new'!G11</f>
        <v>2900.819</v>
      </c>
      <c r="AI56" s="1797">
        <f>'yrP&amp;L_new'!H11</f>
        <v>3059.6409999999996</v>
      </c>
      <c r="AK56" s="1797">
        <f>'yrP&amp;L_new'!I11</f>
        <v>3297.373</v>
      </c>
      <c r="AL56" s="1797">
        <f>'yrP&amp;L'!X11</f>
        <v>5.1697148918825153</v>
      </c>
      <c r="AM56" s="1797">
        <f>'yrP&amp;L_new'!J11</f>
        <v>3559.1579999999999</v>
      </c>
      <c r="AN56" s="1797">
        <f>'yrP&amp;L'!Z11</f>
        <v>7.6661025960911289</v>
      </c>
      <c r="AO56" s="1797">
        <f>'yrP&amp;L_new'!$K$11</f>
        <v>3824.8103971044711</v>
      </c>
      <c r="AP56" s="1797">
        <f>'yrP&amp;L'!AB11</f>
        <v>0</v>
      </c>
      <c r="AQ56" s="1797">
        <f>'yrP&amp;L_new'!$L$11</f>
        <v>4225.1517093503599</v>
      </c>
      <c r="AR56" s="1797">
        <f>'yrP&amp;L'!AD11</f>
        <v>0</v>
      </c>
      <c r="AS56" s="1797">
        <f>'yrP&amp;L_new'!$M$11</f>
        <v>4639.8588530378966</v>
      </c>
      <c r="AT56" s="1797"/>
      <c r="AU56" s="1797">
        <f>'yrP&amp;L_new'!$N$11</f>
        <v>5078.4253060089959</v>
      </c>
      <c r="AV56" s="1797"/>
      <c r="AW56" s="1797">
        <f>'yrP&amp;L_new'!$O$11</f>
        <v>5542.9802168098986</v>
      </c>
      <c r="AX56" s="1797"/>
    </row>
    <row r="57" spans="1:56" outlineLevel="1">
      <c r="B57" s="1282" t="s">
        <v>157</v>
      </c>
      <c r="E57" s="1797">
        <f>'yrP&amp;L'!B14</f>
        <v>673.02700000000004</v>
      </c>
      <c r="G57" s="1797">
        <f>'yrP&amp;L'!C14</f>
        <v>743.37599999999998</v>
      </c>
      <c r="I57" s="1797">
        <f>'yrP&amp;L'!D14</f>
        <v>801.09</v>
      </c>
      <c r="K57" s="1797">
        <f>'yrP&amp;L'!E14</f>
        <v>838.74</v>
      </c>
      <c r="M57" s="1797">
        <f>'yrP&amp;L'!F14</f>
        <v>900.05899999999997</v>
      </c>
      <c r="O57" s="1797">
        <f>'yrP&amp;L'!G14</f>
        <v>957.75900000000001</v>
      </c>
      <c r="P57" s="1282"/>
      <c r="Q57" s="1797">
        <f>'yrP&amp;L'!H14</f>
        <v>1051.922</v>
      </c>
      <c r="S57" s="1797">
        <f>'yrP&amp;L'!I14</f>
        <v>1062.4680000000001</v>
      </c>
      <c r="U57" s="1797">
        <f>'yrP&amp;L'!J14</f>
        <v>1090.829</v>
      </c>
      <c r="W57" s="1797">
        <f>'yrP&amp;L'!L14</f>
        <v>1113.96</v>
      </c>
      <c r="Y57" s="1797">
        <f>'yrP&amp;L'!M14</f>
        <v>1151.4840000000002</v>
      </c>
      <c r="AA57" s="1797">
        <f>'yrP&amp;L'!P14</f>
        <v>1289.1741698830001</v>
      </c>
      <c r="AC57" s="1797">
        <f>'yrP&amp;L'!P14</f>
        <v>1289.1741698830001</v>
      </c>
      <c r="AE57" s="1797">
        <f>'yrP&amp;L'!Q14</f>
        <v>1391.788</v>
      </c>
      <c r="AG57" s="1797">
        <f>'yrP&amp;L_new'!G14</f>
        <v>1511.6480000000001</v>
      </c>
      <c r="AI57" s="1797">
        <f>'yrP&amp;L_new'!H14</f>
        <v>1597.7180000000001</v>
      </c>
      <c r="AK57" s="1797">
        <f>'yrP&amp;L_new'!I14</f>
        <v>1723.251</v>
      </c>
      <c r="AL57" s="1797">
        <f>'yrP&amp;L'!X14</f>
        <v>4.9937101211491086</v>
      </c>
      <c r="AM57" s="1797">
        <f>'yrP&amp;L_new'!J14</f>
        <v>1863.5</v>
      </c>
      <c r="AN57" s="1797">
        <f>'yrP&amp;L'!Z14</f>
        <v>8.6366792922259563</v>
      </c>
      <c r="AO57" s="1797">
        <f>'yrP&amp;L_new'!$K$14</f>
        <v>2016.433830767297</v>
      </c>
      <c r="AP57" s="1797">
        <f>'yrP&amp;L'!AB14</f>
        <v>0</v>
      </c>
      <c r="AQ57" s="1797">
        <f>'yrP&amp;L_new'!$L$14</f>
        <v>2226.0222689021434</v>
      </c>
      <c r="AR57" s="1797">
        <f>'yrP&amp;L'!AD14</f>
        <v>0</v>
      </c>
      <c r="AS57" s="1797">
        <f>'yrP&amp;L_new'!$M$14</f>
        <v>2455.0787105870977</v>
      </c>
      <c r="AT57" s="1797"/>
      <c r="AU57" s="1797">
        <f>'yrP&amp;L_new'!$N$14</f>
        <v>2691.2586910705131</v>
      </c>
      <c r="AV57" s="1797"/>
      <c r="AW57" s="1797">
        <f>'yrP&amp;L_new'!$O$14</f>
        <v>2945.7254105568322</v>
      </c>
      <c r="AX57" s="1797"/>
    </row>
    <row r="58" spans="1:56" outlineLevel="1">
      <c r="B58" s="1282" t="s">
        <v>158</v>
      </c>
      <c r="E58" s="1797">
        <f>'yrP&amp;L'!B52</f>
        <v>61.119999999999962</v>
      </c>
      <c r="G58" s="1797">
        <f>'yrP&amp;L'!C52</f>
        <v>71.025000000000375</v>
      </c>
      <c r="I58" s="1797">
        <f>'yrP&amp;L'!D52</f>
        <v>68.041000000000011</v>
      </c>
      <c r="K58" s="1797">
        <f>'yrP&amp;L'!E52</f>
        <v>66.120000000000061</v>
      </c>
      <c r="M58" s="1797">
        <f>'yrP&amp;L'!F52</f>
        <v>67.975999999999999</v>
      </c>
      <c r="O58" s="1797">
        <f>'yrP&amp;L'!G52</f>
        <v>105.03500000000001</v>
      </c>
      <c r="P58" s="1282"/>
      <c r="Q58" s="1797">
        <f>'yrP&amp;L'!H52</f>
        <v>67.169000000000153</v>
      </c>
      <c r="S58" s="1797">
        <f>'yrP&amp;L'!I52</f>
        <v>-47.198999999999927</v>
      </c>
      <c r="U58" s="1797">
        <f>'yrP&amp;L'!J52</f>
        <v>-48.970000000000013</v>
      </c>
      <c r="W58" s="1797">
        <f>'yrP&amp;L'!L52</f>
        <v>36.068949999999866</v>
      </c>
      <c r="Y58" s="1797">
        <f>'yrP&amp;L'!M52</f>
        <v>56.080999999999705</v>
      </c>
      <c r="AA58" s="1797">
        <f>'yrP&amp;L'!P52</f>
        <v>62.211879829999255</v>
      </c>
      <c r="AC58" s="1797">
        <f>'yrP&amp;L'!P52</f>
        <v>62.211879829999255</v>
      </c>
      <c r="AE58" s="1797">
        <f>'yrP&amp;L'!Q52</f>
        <v>70.23899999999982</v>
      </c>
      <c r="AG58" s="1797">
        <f>'yrP&amp;L_new'!G52</f>
        <v>75.23335247826131</v>
      </c>
      <c r="AI58" s="1797">
        <f>'yrP&amp;L_new'!H52</f>
        <v>150.48200000000014</v>
      </c>
      <c r="AK58" s="1797">
        <f>'yrP&amp;L_new'!I52</f>
        <v>215.87299999999954</v>
      </c>
      <c r="AM58" s="1797">
        <f>'yrP&amp;L_new'!J52</f>
        <v>291.66444599999966</v>
      </c>
      <c r="AO58" s="1797">
        <f>'yrP&amp;L_new'!$K$52</f>
        <v>379.84264696875221</v>
      </c>
      <c r="AQ58" s="1797">
        <f>'yrP&amp;L_new'!$L$52</f>
        <v>422.99960772172301</v>
      </c>
      <c r="AS58" s="1797">
        <f>'yrP&amp;L_new'!$M$52</f>
        <v>469.80147407334482</v>
      </c>
      <c r="AU58" s="1797">
        <f>'yrP&amp;L_new'!$N$52</f>
        <v>523.68369395958007</v>
      </c>
      <c r="AW58" s="1797">
        <f>'yrP&amp;L_new'!$O$52</f>
        <v>575.79356268785455</v>
      </c>
    </row>
    <row r="59" spans="1:56" outlineLevel="1">
      <c r="N59" s="1282"/>
      <c r="P59" s="1282"/>
    </row>
    <row r="60" spans="1:56" outlineLevel="1">
      <c r="B60" s="1282" t="s">
        <v>159</v>
      </c>
      <c r="E60" s="1587">
        <f>E12/E55</f>
        <v>9.0374421150462465E-3</v>
      </c>
      <c r="G60" s="1587">
        <f>G12/G55</f>
        <v>8.3316039305208305E-3</v>
      </c>
      <c r="I60" s="1587">
        <f>I12/I55</f>
        <v>5.7848103793743883E-3</v>
      </c>
      <c r="K60" s="1587">
        <f>K12/K55</f>
        <v>6.3204596643625689E-3</v>
      </c>
      <c r="M60" s="1587">
        <f>M12/M55</f>
        <v>8.3022140169792587E-3</v>
      </c>
      <c r="N60" s="1587"/>
      <c r="O60" s="1587">
        <f>O12/O55</f>
        <v>7.7632006600330018E-3</v>
      </c>
      <c r="P60" s="1282"/>
      <c r="Q60" s="1587">
        <f>Q12/Q55</f>
        <v>1.21257297826226E-2</v>
      </c>
      <c r="R60" s="1349"/>
      <c r="S60" s="1587">
        <f>S12/S55</f>
        <v>8.8881915479371056E-3</v>
      </c>
      <c r="T60" s="1349"/>
      <c r="U60" s="1587">
        <f>U12/U55</f>
        <v>7.9255881982714244E-3</v>
      </c>
      <c r="V60" s="1349"/>
      <c r="W60" s="1587">
        <f>W12/W55</f>
        <v>8.8784455141397156E-3</v>
      </c>
      <c r="X60" s="1349"/>
      <c r="Y60" s="1587">
        <f>Y12/Y55</f>
        <v>1.3591392200026052E-2</v>
      </c>
      <c r="Z60" s="1587"/>
      <c r="AA60" s="1587">
        <f>AA12/AA55</f>
        <v>9.8402412922310376E-3</v>
      </c>
      <c r="AC60" s="1587">
        <f>AC12/AC55</f>
        <v>1.0236362573592814E-2</v>
      </c>
      <c r="AE60" s="1587">
        <f>AE12/AE55</f>
        <v>8.058266702473154E-3</v>
      </c>
      <c r="AF60" s="1283"/>
      <c r="AG60" s="1587">
        <f>AG12/AG55</f>
        <v>1.0326297371442625E-2</v>
      </c>
      <c r="AH60" s="1283"/>
      <c r="AI60" s="1587">
        <f>AI12/AI55</f>
        <v>7.5645252770580188E-3</v>
      </c>
      <c r="AJ60" s="1283"/>
      <c r="AK60" s="1587">
        <f>AK12/AK55</f>
        <v>7.7706979363058619E-3</v>
      </c>
      <c r="AL60" s="1283"/>
      <c r="AM60" s="1587">
        <f>AM12/AM55</f>
        <v>1.1775144680995128E-2</v>
      </c>
      <c r="AN60" s="1283"/>
      <c r="AO60" s="1886">
        <v>9.4999999999999998E-3</v>
      </c>
      <c r="AP60" s="1283"/>
      <c r="AQ60" s="1886">
        <v>9.4999999999999998E-3</v>
      </c>
      <c r="AR60" s="1283"/>
      <c r="AS60" s="1886">
        <v>9.4999999999999998E-3</v>
      </c>
      <c r="AT60" s="1283"/>
      <c r="AU60" s="1886">
        <v>9.4999999999999998E-3</v>
      </c>
      <c r="AV60" s="1283"/>
      <c r="AW60" s="1886">
        <v>9.4999999999999998E-3</v>
      </c>
      <c r="AX60" s="1283"/>
    </row>
    <row r="61" spans="1:56" outlineLevel="1">
      <c r="B61" s="1282" t="s">
        <v>160</v>
      </c>
      <c r="E61" s="1587">
        <f>E13/E55</f>
        <v>0.23044736214408251</v>
      </c>
      <c r="G61" s="1587">
        <f>G13/G55</f>
        <v>0.22046962345136092</v>
      </c>
      <c r="I61" s="1587">
        <f>I13/I55</f>
        <v>0.22110639344307231</v>
      </c>
      <c r="K61" s="1587">
        <f>K13/K55</f>
        <v>0.21773903263772307</v>
      </c>
      <c r="M61" s="1587">
        <f>M13/M55</f>
        <v>0.21767367375767493</v>
      </c>
      <c r="N61" s="1587"/>
      <c r="O61" s="1587">
        <f>O13/O55</f>
        <v>0.22528688934446719</v>
      </c>
      <c r="P61" s="1282"/>
      <c r="Q61" s="1587">
        <f>Q13/Q55</f>
        <v>0.20405531796940773</v>
      </c>
      <c r="R61" s="1349"/>
      <c r="S61" s="1587">
        <f>S13/S55</f>
        <v>0.20646260727065111</v>
      </c>
      <c r="T61" s="1349"/>
      <c r="U61" s="1587">
        <f>U13/U55</f>
        <v>0.21014447251774473</v>
      </c>
      <c r="V61" s="1349"/>
      <c r="W61" s="1587">
        <f>W13/W55</f>
        <v>0.17408741740502323</v>
      </c>
      <c r="X61" s="1349"/>
      <c r="Y61" s="1587">
        <f>Y13/Y55</f>
        <v>0.17555800329300017</v>
      </c>
      <c r="Z61" s="1587"/>
      <c r="AA61" s="1587">
        <f>AA13/AA55</f>
        <v>0.16734223245937205</v>
      </c>
      <c r="AC61" s="1587">
        <f>AC13/AC55</f>
        <v>0.16683451044549041</v>
      </c>
      <c r="AE61" s="1587">
        <f>AE13/AE55</f>
        <v>0.16263162328743766</v>
      </c>
      <c r="AF61" s="1283"/>
      <c r="AG61" s="1587">
        <f>AG13/AG55</f>
        <v>0.16381915977222161</v>
      </c>
      <c r="AH61" s="1283"/>
      <c r="AI61" s="1587">
        <f>AI13/AI55</f>
        <v>0.15366512046051997</v>
      </c>
      <c r="AJ61" s="1283"/>
      <c r="AK61" s="1587">
        <f>AK13/AK55</f>
        <v>0.12610244486293481</v>
      </c>
      <c r="AL61" s="1283"/>
      <c r="AM61" s="1587">
        <f>AM13/AM55</f>
        <v>0.12367969450263167</v>
      </c>
      <c r="AN61" s="1283"/>
      <c r="AO61" s="1886">
        <v>0.12</v>
      </c>
      <c r="AP61" s="1283"/>
      <c r="AQ61" s="1886">
        <v>0.12</v>
      </c>
      <c r="AR61" s="1283"/>
      <c r="AS61" s="1886">
        <v>0.12</v>
      </c>
      <c r="AT61" s="1283"/>
      <c r="AU61" s="1886">
        <v>0.12</v>
      </c>
      <c r="AV61" s="1283"/>
      <c r="AW61" s="1886">
        <v>0.12</v>
      </c>
      <c r="AX61" s="1283"/>
    </row>
    <row r="62" spans="1:56" outlineLevel="1">
      <c r="B62" s="1282" t="s">
        <v>163</v>
      </c>
      <c r="E62" s="1587">
        <f>E15/E55</f>
        <v>1.0675672215626477E-2</v>
      </c>
      <c r="G62" s="1587">
        <f>G15/G55</f>
        <v>1.4354455106350035E-2</v>
      </c>
      <c r="I62" s="1587">
        <f>I15/I55</f>
        <v>1.2445193493351167E-2</v>
      </c>
      <c r="K62" s="1587">
        <f>K15/K55</f>
        <v>7.5108433950879126E-3</v>
      </c>
      <c r="M62" s="1587">
        <f>M15/M55</f>
        <v>6.3679212296675475E-3</v>
      </c>
      <c r="N62" s="1587"/>
      <c r="O62" s="1587">
        <f>O15/O55</f>
        <v>5.9037326866343311E-3</v>
      </c>
      <c r="P62" s="1282"/>
      <c r="Q62" s="1587">
        <f>Q15/Q55</f>
        <v>1.1078058431017066E-2</v>
      </c>
      <c r="R62" s="1349"/>
      <c r="S62" s="1587">
        <f>S15/S55</f>
        <v>2.0466666376107934E-2</v>
      </c>
      <c r="T62" s="1349"/>
      <c r="U62" s="1587">
        <f>U15/U55</f>
        <v>9.2459841242906998E-3</v>
      </c>
      <c r="V62" s="1349"/>
      <c r="W62" s="1587">
        <f>W15/W55</f>
        <v>9.8796053494351558E-3</v>
      </c>
      <c r="X62" s="1349"/>
      <c r="Y62" s="1587">
        <f>Y15/Y55</f>
        <v>1.4909518797951387E-2</v>
      </c>
      <c r="Z62" s="1587"/>
      <c r="AA62" s="1587">
        <f>AA15/AA55</f>
        <v>1.5183095702078458E-2</v>
      </c>
      <c r="AC62" s="1587">
        <f>AC15/AC55</f>
        <v>1.8018244860753863E-2</v>
      </c>
      <c r="AE62" s="1587">
        <f>AE15/AE55</f>
        <v>1.8572771153401817E-2</v>
      </c>
      <c r="AF62" s="1283"/>
      <c r="AG62" s="1587">
        <f>AG15/AG55</f>
        <v>1.2188379114442526E-2</v>
      </c>
      <c r="AH62" s="1283"/>
      <c r="AI62" s="1587">
        <f>AI15/AI55</f>
        <v>1.2192357144594202E-2</v>
      </c>
      <c r="AJ62" s="1283"/>
      <c r="AK62" s="1587">
        <f>AK15/AK55</f>
        <v>1.3256107845472849E-2</v>
      </c>
      <c r="AL62" s="1283"/>
      <c r="AM62" s="1587">
        <f>AM15/AM55</f>
        <v>1.8922009490586821E-2</v>
      </c>
      <c r="AN62" s="1283"/>
      <c r="AO62" s="1886">
        <v>0.01</v>
      </c>
      <c r="AP62" s="1283"/>
      <c r="AQ62" s="1886">
        <v>0.01</v>
      </c>
      <c r="AR62" s="1283"/>
      <c r="AS62" s="1886">
        <v>0.01</v>
      </c>
      <c r="AT62" s="1283"/>
      <c r="AU62" s="1886">
        <v>0.01</v>
      </c>
      <c r="AV62" s="1283"/>
      <c r="AW62" s="1886">
        <v>0.01</v>
      </c>
      <c r="AX62" s="1283"/>
    </row>
    <row r="63" spans="1:56" outlineLevel="1">
      <c r="B63" s="1282" t="s">
        <v>161</v>
      </c>
      <c r="E63" s="1587">
        <f>E26/E13</f>
        <v>0.53475121730621533</v>
      </c>
      <c r="G63" s="1587">
        <f>G26/G13</f>
        <v>0.48685820155426773</v>
      </c>
      <c r="I63" s="1587">
        <f>I26/I13</f>
        <v>0.66009860940898102</v>
      </c>
      <c r="K63" s="1587">
        <f>K26/K13</f>
        <v>0.53525353564281219</v>
      </c>
      <c r="M63" s="1587">
        <f>M26/M13</f>
        <v>0.58524138285534377</v>
      </c>
      <c r="N63" s="1587"/>
      <c r="O63" s="1587">
        <f>O26/O13</f>
        <v>0.54223992276128419</v>
      </c>
      <c r="P63" s="1282"/>
      <c r="Q63" s="1587">
        <f>Q26/Q13</f>
        <v>0.6465189180793155</v>
      </c>
      <c r="R63" s="1349"/>
      <c r="S63" s="1587">
        <f>S26/S13</f>
        <v>0.55641871114920249</v>
      </c>
      <c r="T63" s="1349"/>
      <c r="U63" s="1587">
        <f>U26/U13</f>
        <v>0.46841753424809845</v>
      </c>
      <c r="V63" s="1349"/>
      <c r="W63" s="1587">
        <f>W26/W13</f>
        <v>0.22795229049641691</v>
      </c>
      <c r="X63" s="1349"/>
      <c r="Y63" s="1587">
        <f>Y26/Y13</f>
        <v>0.29564067379871728</v>
      </c>
      <c r="Z63" s="1587"/>
      <c r="AA63" s="1587">
        <f>AA26/AA13</f>
        <v>0.4049555887784716</v>
      </c>
      <c r="AC63" s="1587">
        <f>AC26/AC13</f>
        <v>0.7356856172540025</v>
      </c>
      <c r="AE63" s="1587">
        <f>AE26/AE13</f>
        <v>0.75409414875592307</v>
      </c>
      <c r="AF63" s="1283"/>
      <c r="AG63" s="1587">
        <f>AG26/AG13</f>
        <v>0.78822834306232481</v>
      </c>
      <c r="AH63" s="1283"/>
      <c r="AI63" s="1587">
        <f>AI26/AI13</f>
        <v>0.76346856781123318</v>
      </c>
      <c r="AJ63" s="1283"/>
      <c r="AK63" s="1587">
        <f>AK26/AK13</f>
        <v>0.9122869505379041</v>
      </c>
      <c r="AL63" s="1283"/>
      <c r="AM63" s="1587">
        <f>AM26/AM13</f>
        <v>0.97832736704749901</v>
      </c>
      <c r="AN63" s="1283"/>
      <c r="AO63" s="1886">
        <f>AM63</f>
        <v>0.97832736704749901</v>
      </c>
      <c r="AP63" s="1283"/>
      <c r="AQ63" s="1886">
        <f>AO63</f>
        <v>0.97832736704749901</v>
      </c>
      <c r="AR63" s="1283"/>
      <c r="AS63" s="1886">
        <f>AQ63</f>
        <v>0.97832736704749901</v>
      </c>
      <c r="AT63" s="1283"/>
      <c r="AU63" s="1886">
        <f>AS63</f>
        <v>0.97832736704749901</v>
      </c>
      <c r="AV63" s="1283"/>
      <c r="AW63" s="1886">
        <f>AU63</f>
        <v>0.97832736704749901</v>
      </c>
      <c r="AX63" s="1283"/>
    </row>
    <row r="64" spans="1:56" outlineLevel="1">
      <c r="B64" s="1282" t="s">
        <v>162</v>
      </c>
      <c r="E64" s="1587">
        <f>E27/E58</f>
        <v>0.26950261780104728</v>
      </c>
      <c r="G64" s="1587">
        <f>G27/G58</f>
        <v>0.11763463569165725</v>
      </c>
      <c r="I64" s="1587">
        <f>I27/I58</f>
        <v>7.9716641436780755E-2</v>
      </c>
      <c r="K64" s="1587">
        <f>K27/K58</f>
        <v>0.15816696914700529</v>
      </c>
      <c r="M64" s="1587">
        <f>M27/M58</f>
        <v>0.30641697069553964</v>
      </c>
      <c r="N64" s="1587"/>
      <c r="O64" s="1587">
        <f>O27/O58</f>
        <v>5.434379016518303E-2</v>
      </c>
      <c r="P64" s="1282"/>
      <c r="Q64" s="1587">
        <f>Q27/Q58</f>
        <v>9.34061844005417E-2</v>
      </c>
      <c r="R64" s="1349"/>
      <c r="S64" s="1587">
        <f>S27/S58</f>
        <v>0</v>
      </c>
      <c r="T64" s="1349"/>
      <c r="U64" s="1587">
        <f>U27/U58</f>
        <v>-0.11852154380232793</v>
      </c>
      <c r="V64" s="1349"/>
      <c r="W64" s="1587">
        <f>W27/W58</f>
        <v>0.39432808551399623</v>
      </c>
      <c r="X64" s="1349"/>
      <c r="Y64" s="1587">
        <f>Y27/Y58</f>
        <v>7.8975053939837447E-2</v>
      </c>
      <c r="Z64" s="1587"/>
      <c r="AA64" s="1587">
        <f>AA27/AA58</f>
        <v>0</v>
      </c>
      <c r="AC64" s="1587">
        <f>AC27/AC58</f>
        <v>0</v>
      </c>
      <c r="AE64" s="1587">
        <f>AE27/AE58</f>
        <v>0</v>
      </c>
      <c r="AF64" s="1283"/>
      <c r="AG64" s="1587">
        <f>AG27/AG58</f>
        <v>0</v>
      </c>
      <c r="AH64" s="1283"/>
      <c r="AI64" s="1587">
        <f>AI27/AI58</f>
        <v>0</v>
      </c>
      <c r="AJ64" s="1283"/>
      <c r="AK64" s="1587">
        <f>AK27/AK58</f>
        <v>0</v>
      </c>
      <c r="AL64" s="1283"/>
      <c r="AM64" s="1587">
        <f>AM27/AM58</f>
        <v>0</v>
      </c>
      <c r="AN64" s="1283"/>
      <c r="AO64" s="1886">
        <v>0</v>
      </c>
      <c r="AP64" s="1283"/>
      <c r="AQ64" s="1886">
        <v>0</v>
      </c>
      <c r="AR64" s="1283"/>
      <c r="AS64" s="1886">
        <v>0</v>
      </c>
      <c r="AT64" s="1283"/>
      <c r="AU64" s="1886">
        <v>0</v>
      </c>
      <c r="AV64" s="1283"/>
      <c r="AW64" s="1886">
        <v>0</v>
      </c>
      <c r="AX64" s="1283"/>
    </row>
    <row r="65" spans="2:50" outlineLevel="1">
      <c r="N65" s="1282"/>
      <c r="P65" s="1282"/>
    </row>
    <row r="66" spans="2:50" outlineLevel="1">
      <c r="B66" s="1282" t="s">
        <v>164</v>
      </c>
      <c r="E66" s="1962"/>
      <c r="G66" s="1962"/>
      <c r="I66" s="1962"/>
      <c r="K66" s="1962"/>
      <c r="M66" s="1962"/>
      <c r="N66" s="1962"/>
      <c r="O66" s="1962"/>
      <c r="P66" s="1962"/>
      <c r="Q66" s="1962"/>
      <c r="R66" s="1962"/>
      <c r="S66" s="1962"/>
      <c r="T66" s="1962"/>
      <c r="U66" s="1962"/>
      <c r="W66" s="1962">
        <f>W9/'yrP&amp;L'!L58</f>
        <v>0.34611499898088366</v>
      </c>
      <c r="Y66" s="1962">
        <f>Y9/'yrP&amp;L_new'!C58</f>
        <v>0.42252600320034017</v>
      </c>
      <c r="AA66" s="1962">
        <f>AA9/'yrP&amp;L_new'!D58</f>
        <v>0.49874122519815095</v>
      </c>
      <c r="AC66" s="1962">
        <f>AC9/'yrP&amp;L_new'!E58</f>
        <v>0.61900744706625599</v>
      </c>
      <c r="AE66" s="1962">
        <f>AE9/'yrP&amp;L_new'!F58</f>
        <v>1.7908201318972479</v>
      </c>
      <c r="AG66" s="1962">
        <f>AG9/'yrP&amp;L_new'!G58</f>
        <v>0.3341329994068411</v>
      </c>
      <c r="AI66" s="1962">
        <f>AI9/'yrP&amp;L_new'!H58</f>
        <v>0.27722916639051998</v>
      </c>
      <c r="AK66" s="1962">
        <f>AK9/'yrP&amp;L_new'!I58</f>
        <v>1.1377002551553939</v>
      </c>
      <c r="AL66" s="1962"/>
      <c r="AM66" s="1962">
        <f>AM9/'yrP&amp;L_new'!J58</f>
        <v>1.8962838606874575</v>
      </c>
      <c r="AN66" s="1962"/>
      <c r="AO66" s="1962">
        <f>AO9/'yrP&amp;L_new'!K58</f>
        <v>1.6436031523900716</v>
      </c>
      <c r="AP66" s="1962"/>
      <c r="AQ66" s="1962">
        <f>AQ9/'yrP&amp;L_new'!L58</f>
        <v>2.5393383326965608</v>
      </c>
      <c r="AR66" s="1962"/>
      <c r="AS66" s="1962">
        <f>AS9/'yrP&amp;L_new'!M58</f>
        <v>4.5620660466203296</v>
      </c>
      <c r="AT66" s="1962"/>
      <c r="AU66" s="1962">
        <f>AU9/'yrP&amp;L_new'!N58</f>
        <v>7.9105945038623622</v>
      </c>
      <c r="AV66" s="1962"/>
      <c r="AW66" s="1962">
        <f>AW9/'yrP&amp;L_new'!O58</f>
        <v>12.403315274480569</v>
      </c>
      <c r="AX66" s="1962"/>
    </row>
    <row r="67" spans="2:50" outlineLevel="1">
      <c r="D67" s="1850"/>
      <c r="E67" s="1850"/>
      <c r="F67" s="1783"/>
      <c r="G67" s="1850"/>
      <c r="H67" s="1783"/>
      <c r="I67" s="1850"/>
      <c r="J67" s="1783"/>
      <c r="K67" s="1850"/>
      <c r="L67" s="1783"/>
      <c r="M67" s="1850"/>
      <c r="N67" s="1850"/>
      <c r="O67" s="1850" t="s">
        <v>97</v>
      </c>
      <c r="P67" s="1850"/>
      <c r="Q67" s="1850" t="s">
        <v>97</v>
      </c>
      <c r="R67" s="1850"/>
      <c r="S67" s="1850" t="s">
        <v>97</v>
      </c>
      <c r="T67" s="1850"/>
      <c r="U67" s="1850" t="s">
        <v>97</v>
      </c>
      <c r="V67" s="1850"/>
      <c r="W67" s="1850" t="s">
        <v>97</v>
      </c>
      <c r="X67" s="1850"/>
      <c r="Y67" s="1850" t="s">
        <v>97</v>
      </c>
      <c r="Z67" s="1850"/>
      <c r="AA67" s="1850" t="s">
        <v>97</v>
      </c>
      <c r="AB67" s="1850"/>
      <c r="AC67" s="1850" t="s">
        <v>97</v>
      </c>
      <c r="AD67" s="1850"/>
      <c r="AE67" s="1850" t="s">
        <v>97</v>
      </c>
      <c r="AF67" s="1850"/>
      <c r="AG67" s="1850" t="s">
        <v>97</v>
      </c>
      <c r="AI67" s="1850" t="s">
        <v>97</v>
      </c>
      <c r="AK67" s="1850" t="s">
        <v>97</v>
      </c>
      <c r="AM67" s="1850" t="s">
        <v>97</v>
      </c>
      <c r="AO67" s="1850" t="s">
        <v>97</v>
      </c>
      <c r="AQ67" s="1850" t="s">
        <v>97</v>
      </c>
      <c r="AS67" s="1850" t="s">
        <v>97</v>
      </c>
      <c r="AU67" s="1850" t="s">
        <v>97</v>
      </c>
      <c r="AW67" s="1850" t="s">
        <v>97</v>
      </c>
    </row>
    <row r="68" spans="2:50" customFormat="1" outlineLevel="1"/>
    <row r="69" spans="2:50" outlineLevel="1"/>
    <row r="70" spans="2:50" outlineLevel="1"/>
    <row r="71" spans="2:50" outlineLevel="1"/>
  </sheetData>
  <phoneticPr fontId="11" type="noConversion"/>
  <printOptions horizontalCentered="1" verticalCentered="1"/>
  <pageMargins left="0" right="0" top="0" bottom="0" header="0" footer="0"/>
  <pageSetup paperSize="5" orientation="landscape"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pageSetUpPr fitToPage="1"/>
  </sheetPr>
  <dimension ref="A1:BF82"/>
  <sheetViews>
    <sheetView zoomScale="85" zoomScaleNormal="85" workbookViewId="0">
      <selection activeCell="AN69" sqref="AN69:AO69"/>
    </sheetView>
  </sheetViews>
  <sheetFormatPr defaultRowHeight="12.75" outlineLevelRow="1" outlineLevelCol="2"/>
  <cols>
    <col min="1" max="1" width="1.85546875" style="1282" customWidth="1"/>
    <col min="2" max="2" width="4" style="1282" customWidth="1"/>
    <col min="3" max="3" width="38.42578125" style="1282" customWidth="1"/>
    <col min="4" max="4" width="2.140625" style="1282" customWidth="1"/>
    <col min="5" max="5" width="9.140625" style="1282" hidden="1" customWidth="1" outlineLevel="2"/>
    <col min="6" max="6" width="2.140625" style="1282" hidden="1" customWidth="1" outlineLevel="2"/>
    <col min="7" max="7" width="9.140625" style="1282" hidden="1" customWidth="1" outlineLevel="2"/>
    <col min="8" max="8" width="2.140625" style="1282" hidden="1" customWidth="1" outlineLevel="2"/>
    <col min="9" max="9" width="9.140625" style="1282" hidden="1" customWidth="1" outlineLevel="2"/>
    <col min="10" max="10" width="2.140625" style="1282" hidden="1" customWidth="1" outlineLevel="2"/>
    <col min="11" max="11" width="9.140625" style="1282" hidden="1" customWidth="1" outlineLevel="2"/>
    <col min="12" max="12" width="2.140625" style="1282" hidden="1" customWidth="1" outlineLevel="2"/>
    <col min="13" max="13" width="9.140625" style="1282" hidden="1" customWidth="1" outlineLevel="1" collapsed="1"/>
    <col min="14" max="14" width="2.140625" style="1282" hidden="1" customWidth="1" outlineLevel="1"/>
    <col min="15" max="15" width="9.140625" style="1282" hidden="1" customWidth="1" outlineLevel="1" collapsed="1"/>
    <col min="16" max="16" width="2.140625" style="1282" hidden="1" customWidth="1" outlineLevel="1"/>
    <col min="17" max="17" width="10" style="1282" hidden="1" customWidth="1" outlineLevel="1"/>
    <col min="18" max="18" width="2.140625" style="1282" hidden="1" customWidth="1" outlineLevel="1"/>
    <col min="19" max="19" width="9.140625" style="1282" hidden="1" customWidth="1" outlineLevel="1"/>
    <col min="20" max="20" width="2.140625" style="1282" hidden="1" customWidth="1" outlineLevel="1"/>
    <col min="21" max="21" width="9.140625" style="1282" hidden="1" customWidth="1" outlineLevel="1"/>
    <col min="22" max="22" width="2.140625" style="1282" hidden="1" customWidth="1" outlineLevel="1"/>
    <col min="23" max="23" width="9.140625" style="1282" hidden="1" customWidth="1" outlineLevel="1" collapsed="1"/>
    <col min="24" max="24" width="2.140625" style="1282" hidden="1" customWidth="1" outlineLevel="1"/>
    <col min="25" max="25" width="9.140625" style="1282" customWidth="1" collapsed="1"/>
    <col min="26" max="26" width="2.140625" style="1282" customWidth="1"/>
    <col min="27" max="27" width="9.5703125" style="1282" customWidth="1"/>
    <col min="28" max="28" width="2.140625" style="1282" customWidth="1"/>
    <col min="29" max="29" width="9.140625" style="1282" customWidth="1"/>
    <col min="30" max="30" width="2" style="1282" customWidth="1"/>
    <col min="31" max="31" width="9.140625" style="1282" customWidth="1"/>
    <col min="32" max="32" width="2.140625" style="1282" customWidth="1"/>
    <col min="33" max="33" width="10.7109375" style="1282" customWidth="1"/>
    <col min="34" max="34" width="2.140625" style="1282" customWidth="1"/>
    <col min="35" max="35" width="9.7109375" style="1282" customWidth="1"/>
    <col min="36" max="36" width="2.140625" style="1282" customWidth="1"/>
    <col min="37" max="37" width="10" style="1282" customWidth="1"/>
    <col min="38" max="38" width="2.140625" style="1282" customWidth="1"/>
    <col min="39" max="39" width="10" style="1282" bestFit="1" customWidth="1"/>
    <col min="40" max="40" width="2.140625" style="1282" customWidth="1"/>
    <col min="41" max="41" width="9.140625" style="1282"/>
    <col min="42" max="42" width="2.140625" style="1282" customWidth="1"/>
    <col min="43" max="43" width="9.140625" style="1282"/>
    <col min="44" max="44" width="2.140625" style="1282" customWidth="1"/>
    <col min="45" max="45" width="9.140625" style="1282"/>
    <col min="46" max="46" width="2.140625" style="1282" customWidth="1"/>
    <col min="47" max="47" width="9.140625" style="1282"/>
    <col min="48" max="48" width="2.140625" style="1282" customWidth="1"/>
    <col min="49" max="51" width="9.140625" style="1282"/>
    <col min="52" max="52" width="40.140625" hidden="1" customWidth="1" outlineLevel="1"/>
    <col min="53" max="54" width="12.42578125" hidden="1" customWidth="1" outlineLevel="1"/>
    <col min="55" max="55" width="13" hidden="1" customWidth="1" outlineLevel="1"/>
    <col min="56" max="57" width="9.140625" hidden="1" customWidth="1" outlineLevel="1"/>
    <col min="58" max="58" width="10" style="1282" bestFit="1" customWidth="1" collapsed="1"/>
    <col min="59" max="16384" width="9.140625" style="1282"/>
  </cols>
  <sheetData>
    <row r="1" spans="1:57">
      <c r="A1" s="1283" t="s">
        <v>441</v>
      </c>
    </row>
    <row r="2" spans="1:57" s="1352" customFormat="1">
      <c r="A2" s="1246" t="s">
        <v>165</v>
      </c>
      <c r="AZ2"/>
      <c r="BA2"/>
      <c r="BB2"/>
      <c r="BC2"/>
      <c r="BD2"/>
      <c r="BE2"/>
    </row>
    <row r="3" spans="1:57">
      <c r="A3" s="1249" t="s">
        <v>91</v>
      </c>
      <c r="O3" s="1669"/>
      <c r="AE3" s="1784"/>
    </row>
    <row r="4" spans="1:57">
      <c r="A4" s="1249" t="s">
        <v>92</v>
      </c>
      <c r="Y4" s="1785"/>
    </row>
    <row r="5" spans="1:57">
      <c r="E5" s="1303" t="s">
        <v>260</v>
      </c>
      <c r="F5" s="1303"/>
      <c r="G5" s="1303"/>
      <c r="H5" s="1303"/>
      <c r="I5" s="1303"/>
      <c r="J5" s="1303"/>
      <c r="K5" s="1303"/>
      <c r="L5" s="1303"/>
      <c r="M5" s="1303"/>
      <c r="N5" s="1303"/>
      <c r="O5" s="1303"/>
      <c r="P5" s="1304"/>
      <c r="Q5" s="1304"/>
      <c r="R5" s="1304"/>
      <c r="S5" s="1304"/>
      <c r="T5" s="1304"/>
      <c r="U5" s="1304"/>
      <c r="X5" s="1303"/>
      <c r="Y5" s="1303" t="s">
        <v>259</v>
      </c>
      <c r="Z5" s="1303"/>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1303"/>
      <c r="AX5" s="1392"/>
      <c r="AY5" s="1392"/>
    </row>
    <row r="6" spans="1:57">
      <c r="E6" s="1392"/>
      <c r="F6" s="1392"/>
      <c r="G6" s="1392"/>
      <c r="H6" s="1392"/>
      <c r="I6" s="1392"/>
      <c r="J6" s="1392"/>
      <c r="K6" s="1392"/>
      <c r="L6" s="1392"/>
      <c r="M6" s="1392"/>
      <c r="N6" s="1392"/>
      <c r="O6" s="1392"/>
      <c r="P6" s="1395"/>
      <c r="Q6" s="1673" t="s">
        <v>263</v>
      </c>
      <c r="R6" s="1395" t="s">
        <v>264</v>
      </c>
      <c r="S6" s="1395"/>
      <c r="T6" s="1395"/>
      <c r="U6" s="1395"/>
      <c r="W6" s="1392"/>
      <c r="X6" s="1392"/>
      <c r="Y6" s="1392"/>
      <c r="Z6" s="1392"/>
      <c r="AA6" s="1392"/>
      <c r="AB6" s="1392"/>
      <c r="AC6" s="1392"/>
      <c r="AD6" s="1392"/>
      <c r="AE6" s="1392"/>
      <c r="AF6" s="1392"/>
      <c r="AG6" s="1392"/>
      <c r="AH6" s="1392"/>
      <c r="AI6" s="1392"/>
      <c r="AJ6" s="1392"/>
      <c r="AK6" s="1392"/>
      <c r="AL6" s="1392"/>
      <c r="AM6" s="1392"/>
      <c r="AN6" s="1392"/>
      <c r="AO6" s="1392"/>
      <c r="AP6" s="1392"/>
      <c r="AQ6" s="1392"/>
      <c r="AR6" s="1392"/>
      <c r="AS6" s="1392"/>
      <c r="AT6" s="1392"/>
      <c r="AU6" s="1392"/>
      <c r="AV6" s="1392"/>
      <c r="AW6" s="1392"/>
      <c r="AX6" s="1392"/>
      <c r="AY6" s="1392"/>
    </row>
    <row r="7" spans="1:57">
      <c r="E7" s="1940" t="s">
        <v>252</v>
      </c>
      <c r="F7" s="1940"/>
      <c r="G7" s="1940" t="s">
        <v>253</v>
      </c>
      <c r="H7" s="1940"/>
      <c r="I7" s="1940" t="s">
        <v>254</v>
      </c>
      <c r="J7" s="1940"/>
      <c r="K7" s="1940" t="s">
        <v>255</v>
      </c>
      <c r="L7" s="1940"/>
      <c r="M7" s="1940" t="s">
        <v>166</v>
      </c>
      <c r="N7" s="1940"/>
      <c r="O7" s="1940" t="s">
        <v>96</v>
      </c>
      <c r="P7" s="1940"/>
      <c r="Q7" s="1940" t="s">
        <v>95</v>
      </c>
      <c r="R7" s="1940"/>
      <c r="S7" s="1940" t="s">
        <v>94</v>
      </c>
      <c r="T7" s="1940"/>
      <c r="U7" s="1940" t="s">
        <v>93</v>
      </c>
      <c r="V7" s="1940"/>
      <c r="W7" s="1940" t="s">
        <v>83</v>
      </c>
      <c r="X7" s="1940"/>
      <c r="Y7" s="1940" t="s">
        <v>84</v>
      </c>
      <c r="Z7" s="1940"/>
      <c r="AA7" s="1940" t="s">
        <v>242</v>
      </c>
      <c r="AB7" s="1940"/>
      <c r="AC7" s="1940" t="s">
        <v>247</v>
      </c>
      <c r="AD7" s="1940"/>
      <c r="AE7" s="1940" t="s">
        <v>611</v>
      </c>
      <c r="AF7" s="1940"/>
      <c r="AG7" s="1940" t="s">
        <v>626</v>
      </c>
      <c r="AH7" s="1940"/>
      <c r="AI7" s="1940" t="s">
        <v>933</v>
      </c>
      <c r="AJ7" s="1940"/>
      <c r="AK7" s="1940" t="s">
        <v>988</v>
      </c>
      <c r="AL7" s="1940"/>
      <c r="AM7" s="1940" t="s">
        <v>245</v>
      </c>
      <c r="AN7" s="1940"/>
      <c r="AO7" s="1941" t="s">
        <v>341</v>
      </c>
      <c r="AP7" s="1940"/>
      <c r="AQ7" s="1941" t="s">
        <v>420</v>
      </c>
      <c r="AR7" s="1940"/>
      <c r="AS7" s="1941" t="s">
        <v>421</v>
      </c>
      <c r="AT7" s="1940"/>
      <c r="AU7" s="1941" t="s">
        <v>422</v>
      </c>
      <c r="AV7" s="1940"/>
      <c r="AW7" s="1941" t="s">
        <v>422</v>
      </c>
      <c r="AX7" s="1941"/>
      <c r="AY7" s="1941"/>
    </row>
    <row r="8" spans="1:57">
      <c r="Q8" s="1785"/>
    </row>
    <row r="9" spans="1:57">
      <c r="B9" s="1282" t="s">
        <v>158</v>
      </c>
      <c r="E9" s="1643">
        <f>'yrP&amp;L'!B52</f>
        <v>61.119999999999962</v>
      </c>
      <c r="G9" s="1643">
        <f>'yrP&amp;L'!C52</f>
        <v>71.025000000000375</v>
      </c>
      <c r="I9" s="1643">
        <f>'yrP&amp;L'!D52</f>
        <v>68.041000000000011</v>
      </c>
      <c r="K9" s="1643">
        <f>'yrP&amp;L'!E52</f>
        <v>66.120000000000061</v>
      </c>
      <c r="L9" s="1643"/>
      <c r="M9" s="1643">
        <f>'yrP&amp;L'!F52</f>
        <v>67.975999999999999</v>
      </c>
      <c r="N9" s="1643"/>
      <c r="O9" s="1643">
        <f>'yrP&amp;L'!G52-0.002</f>
        <v>105.03300000000002</v>
      </c>
      <c r="P9" s="1643"/>
      <c r="Q9" s="1643">
        <f>ROUND('yrP&amp;L'!H44,3)</f>
        <v>67.173000000000002</v>
      </c>
      <c r="R9" s="1643"/>
      <c r="S9" s="1643">
        <f>ROUND('yrP&amp;L'!I52,3)</f>
        <v>-47.198999999999998</v>
      </c>
      <c r="T9" s="1643"/>
      <c r="U9" s="1643">
        <f>'yrP&amp;L'!J52</f>
        <v>-48.970000000000013</v>
      </c>
      <c r="V9" s="1643"/>
      <c r="W9" s="1643">
        <f>'yrP&amp;L'!L44</f>
        <v>-15.17900000000013</v>
      </c>
      <c r="Y9" s="1643">
        <f>'yrP&amp;L'!M44</f>
        <v>30.997999999999703</v>
      </c>
      <c r="AA9" s="1643">
        <f>'yrP&amp;L'!N44</f>
        <v>-6.2719999999998457</v>
      </c>
      <c r="AC9" s="1643">
        <f>'yrP&amp;L'!P44</f>
        <v>28.311879829999256</v>
      </c>
      <c r="AE9" s="1643">
        <f>'yrP&amp;L'!Q44</f>
        <v>16.149999999999807</v>
      </c>
      <c r="AG9" s="1643">
        <v>65.954999999999998</v>
      </c>
      <c r="AI9" s="1964">
        <f>'yrP&amp;L_new'!H52</f>
        <v>150.48200000000014</v>
      </c>
      <c r="AK9" s="1964">
        <f>'yrP&amp;L_new'!I52</f>
        <v>215.87299999999954</v>
      </c>
      <c r="AM9" s="1643">
        <f>'yrP&amp;L_new'!J52+93.188</f>
        <v>384.85244599999965</v>
      </c>
      <c r="AO9" s="1643">
        <f>'yrP&amp;L_new'!K52</f>
        <v>379.84264696875221</v>
      </c>
      <c r="AQ9" s="1643">
        <f>'yrP&amp;L_new'!$L$52</f>
        <v>422.99960772172301</v>
      </c>
      <c r="AS9" s="1643">
        <f>'yrP&amp;L_new'!$M$52</f>
        <v>469.80147407334482</v>
      </c>
      <c r="AU9" s="1643">
        <f>'yrP&amp;L_new'!$N$52</f>
        <v>523.68369395958007</v>
      </c>
      <c r="AW9" s="1643">
        <f>'yrP&amp;L_new'!$O$52</f>
        <v>575.79356268785455</v>
      </c>
      <c r="AX9" s="1643"/>
      <c r="AY9" s="1643"/>
    </row>
    <row r="10" spans="1:57">
      <c r="C10" s="1282" t="s">
        <v>182</v>
      </c>
      <c r="E10" s="1653">
        <v>0</v>
      </c>
      <c r="G10" s="1797">
        <f>'yrP&amp;L'!C50</f>
        <v>0</v>
      </c>
      <c r="I10" s="1797">
        <f>'yrP&amp;L'!D50</f>
        <v>3.3540000000000001</v>
      </c>
      <c r="K10" s="1797">
        <f>'yrP&amp;L'!E50</f>
        <v>4.3929999999999998</v>
      </c>
      <c r="M10" s="1797">
        <f>'yrP&amp;L'!F50</f>
        <v>4.3630000000000004</v>
      </c>
      <c r="N10" s="1653"/>
      <c r="O10" s="1653">
        <v>1.014</v>
      </c>
      <c r="P10" s="1653"/>
      <c r="Q10" s="1653">
        <v>0</v>
      </c>
      <c r="R10" s="1653"/>
      <c r="S10" s="1653">
        <v>0</v>
      </c>
      <c r="T10" s="1653"/>
      <c r="U10" s="1653">
        <v>0</v>
      </c>
      <c r="V10" s="1653"/>
      <c r="W10" s="1653">
        <v>0</v>
      </c>
      <c r="X10" s="1653"/>
      <c r="Y10" s="1653">
        <v>0</v>
      </c>
      <c r="Z10" s="1653"/>
      <c r="AA10" s="1653">
        <v>0</v>
      </c>
      <c r="AB10" s="1653"/>
      <c r="AC10" s="1653"/>
      <c r="AD10" s="1653"/>
      <c r="AE10" s="1653">
        <v>0</v>
      </c>
      <c r="AF10" s="1653"/>
      <c r="AG10" s="1653">
        <v>0</v>
      </c>
      <c r="AH10" s="1653"/>
      <c r="AI10" s="1965">
        <v>0</v>
      </c>
      <c r="AJ10" s="1653"/>
      <c r="AK10" s="1653">
        <v>0</v>
      </c>
      <c r="AL10" s="1653"/>
      <c r="AM10" s="1653">
        <v>0</v>
      </c>
      <c r="AN10" s="1653"/>
      <c r="AO10" s="1653">
        <v>0</v>
      </c>
      <c r="AP10" s="1653"/>
      <c r="AQ10" s="1653">
        <v>0</v>
      </c>
      <c r="AR10" s="1653"/>
      <c r="AS10" s="1653">
        <v>0</v>
      </c>
      <c r="AT10" s="1653"/>
      <c r="AU10" s="1653">
        <v>0</v>
      </c>
      <c r="AV10" s="1653"/>
      <c r="AW10" s="1653">
        <v>0</v>
      </c>
      <c r="AX10" s="1653"/>
      <c r="AY10" s="1653"/>
    </row>
    <row r="11" spans="1:57">
      <c r="C11" s="1282" t="s">
        <v>167</v>
      </c>
      <c r="E11" s="1797">
        <f>'yrP&amp;L'!B26</f>
        <v>41.027999999999999</v>
      </c>
      <c r="G11" s="1797">
        <f>'yrP&amp;L'!C26</f>
        <v>52.839999999999996</v>
      </c>
      <c r="I11" s="1797">
        <f>'yrP&amp;L'!D26</f>
        <v>59.853999999999999</v>
      </c>
      <c r="K11" s="1797">
        <f>'yrP&amp;L'!E26</f>
        <v>69.147000000000006</v>
      </c>
      <c r="M11" s="1797">
        <f>'yrP&amp;L'!F26</f>
        <v>83.915000000000006</v>
      </c>
      <c r="N11" s="1653"/>
      <c r="O11" s="1797">
        <f>'yrP&amp;L'!G26</f>
        <v>89.093000000000004</v>
      </c>
      <c r="Q11" s="1797">
        <f>'yrP&amp;L'!H26</f>
        <v>107.15299999999999</v>
      </c>
      <c r="S11" s="1797">
        <f>'yrP&amp;L'!I26</f>
        <v>174.08699999999999</v>
      </c>
      <c r="U11" s="1797">
        <f>'yrP&amp;L'!J26</f>
        <v>166.666</v>
      </c>
      <c r="V11" s="1653"/>
      <c r="W11" s="1797">
        <f>'yrP&amp;L'!L26</f>
        <v>156.38800000000001</v>
      </c>
      <c r="X11" s="1797"/>
      <c r="Y11" s="1797">
        <f>'yrP&amp;L'!M26</f>
        <v>146.75899999999999</v>
      </c>
      <c r="AA11" s="1797">
        <f>'yrP&amp;L'!N26</f>
        <v>153.07</v>
      </c>
      <c r="AC11" s="1797">
        <f>'yrP&amp;L'!P26</f>
        <v>163.80918510199999</v>
      </c>
      <c r="AD11" s="1653"/>
      <c r="AE11" s="1797">
        <f>'yrP&amp;L'!Q26</f>
        <v>168.19499999999999</v>
      </c>
      <c r="AF11" s="1653"/>
      <c r="AG11" s="1797">
        <f>'yrP&amp;L'!R26</f>
        <v>167.58</v>
      </c>
      <c r="AH11" s="1653"/>
      <c r="AI11" s="2205">
        <f>'yrP&amp;L_new'!H33</f>
        <v>172.09900000000002</v>
      </c>
      <c r="AJ11" s="1653"/>
      <c r="AK11" s="1779">
        <f>'yrP&amp;L_new'!I33</f>
        <v>183.58600000000001</v>
      </c>
      <c r="AL11" s="1653"/>
      <c r="AM11" s="1797">
        <f>'yrP&amp;L_new'!J33</f>
        <v>201.10300000000001</v>
      </c>
      <c r="AN11" s="1653"/>
      <c r="AO11" s="1797">
        <f>'yrP&amp;L_new'!K33</f>
        <v>225.71548000000001</v>
      </c>
      <c r="AP11" s="1653"/>
      <c r="AQ11" s="1797">
        <f>'yrP&amp;L_new'!$L$33</f>
        <v>249.18084738921414</v>
      </c>
      <c r="AR11" s="1653"/>
      <c r="AS11" s="1797">
        <f>'yrP&amp;L_new'!$M$33</f>
        <v>274.01575129373856</v>
      </c>
      <c r="AT11" s="1653"/>
      <c r="AU11" s="1797">
        <f>'yrP&amp;L_new'!$N$33</f>
        <v>300.27841321814662</v>
      </c>
      <c r="AV11" s="1653"/>
      <c r="AW11" s="1797">
        <f>'yrP&amp;L_new'!$O$33</f>
        <v>328.0297614982685</v>
      </c>
      <c r="AX11" s="1797"/>
      <c r="AY11" s="1797"/>
    </row>
    <row r="12" spans="1:57" outlineLevel="1">
      <c r="C12" s="1282" t="s">
        <v>268</v>
      </c>
      <c r="E12" s="1653">
        <v>0</v>
      </c>
      <c r="F12" s="1653"/>
      <c r="G12" s="1653">
        <v>0</v>
      </c>
      <c r="H12" s="1653"/>
      <c r="I12" s="1653">
        <v>0</v>
      </c>
      <c r="J12" s="1653"/>
      <c r="K12" s="1653">
        <v>0</v>
      </c>
      <c r="L12" s="1653"/>
      <c r="M12" s="1653">
        <v>0</v>
      </c>
      <c r="N12" s="1653"/>
      <c r="O12" s="1653">
        <v>0</v>
      </c>
      <c r="P12" s="1653"/>
      <c r="Q12" s="1653">
        <v>0</v>
      </c>
      <c r="R12" s="1653"/>
      <c r="S12" s="1653">
        <v>0</v>
      </c>
      <c r="T12" s="1653"/>
      <c r="U12" s="1653">
        <v>10.308999999999999</v>
      </c>
      <c r="V12" s="1653"/>
      <c r="W12" s="1653">
        <v>11.616</v>
      </c>
      <c r="X12" s="1653"/>
      <c r="Y12" s="1653">
        <v>12.346</v>
      </c>
      <c r="Z12" s="1653"/>
      <c r="AA12" s="1653">
        <v>11.904</v>
      </c>
      <c r="AB12" s="1653"/>
      <c r="AC12" s="1653"/>
      <c r="AD12" s="1653"/>
      <c r="AE12" s="1653">
        <v>9.5739999999999998</v>
      </c>
      <c r="AF12" s="1653"/>
      <c r="AG12" s="1653">
        <v>6.0570000000000004</v>
      </c>
      <c r="AH12" s="1653"/>
      <c r="AI12" s="1653">
        <v>2.8679999999999999</v>
      </c>
      <c r="AJ12" s="1653"/>
      <c r="AK12" s="1653">
        <v>2.6789999999999998</v>
      </c>
      <c r="AL12" s="1653"/>
      <c r="AM12" s="1653"/>
      <c r="AN12" s="1653"/>
      <c r="AO12" s="1653"/>
      <c r="AP12" s="1653"/>
      <c r="AQ12" s="1653"/>
      <c r="AR12" s="1653"/>
      <c r="AS12" s="1653"/>
      <c r="AT12" s="1653"/>
      <c r="AU12" s="1653"/>
      <c r="AV12" s="1653"/>
      <c r="AW12" s="1653"/>
      <c r="AX12" s="1653"/>
      <c r="AY12" s="1653"/>
    </row>
    <row r="13" spans="1:57" outlineLevel="1">
      <c r="C13" s="1282" t="s">
        <v>269</v>
      </c>
      <c r="E13" s="1653">
        <v>0</v>
      </c>
      <c r="F13" s="1653"/>
      <c r="G13" s="1653">
        <v>0</v>
      </c>
      <c r="H13" s="1653"/>
      <c r="I13" s="1653">
        <v>0</v>
      </c>
      <c r="J13" s="1653"/>
      <c r="K13" s="1653">
        <v>0</v>
      </c>
      <c r="L13" s="1653"/>
      <c r="M13" s="1653">
        <v>0</v>
      </c>
      <c r="N13" s="1653"/>
      <c r="O13" s="1653">
        <v>0.86299999999999999</v>
      </c>
      <c r="P13" s="1653"/>
      <c r="Q13" s="1653">
        <v>0</v>
      </c>
      <c r="R13" s="1653"/>
      <c r="S13" s="1653">
        <v>24.420999999999999</v>
      </c>
      <c r="T13" s="1653"/>
      <c r="U13" s="1653">
        <f>25.256</f>
        <v>25.256</v>
      </c>
      <c r="V13" s="1653"/>
      <c r="W13" s="1653">
        <f>56.141+15.25</f>
        <v>71.390999999999991</v>
      </c>
      <c r="X13" s="1653"/>
      <c r="Y13" s="1653">
        <v>2.08</v>
      </c>
      <c r="Z13" s="1653"/>
      <c r="AA13" s="1653">
        <v>1.7350000000000001</v>
      </c>
      <c r="AB13" s="1653"/>
      <c r="AC13" s="1653">
        <v>11.5</v>
      </c>
      <c r="AD13" s="1653">
        <v>11.539</v>
      </c>
      <c r="AE13" s="1653">
        <v>3.18</v>
      </c>
      <c r="AF13" s="1653"/>
      <c r="AG13" s="1653">
        <v>2.5790000000000002</v>
      </c>
      <c r="AH13" s="1653"/>
      <c r="AI13" s="1653">
        <v>6.1109999999999998</v>
      </c>
      <c r="AJ13" s="1653"/>
      <c r="AK13" s="1653">
        <v>2.4500000000000002</v>
      </c>
      <c r="AL13" s="1653"/>
      <c r="AM13" s="1653">
        <v>0</v>
      </c>
      <c r="AN13" s="1653"/>
      <c r="AO13" s="1653">
        <v>0</v>
      </c>
      <c r="AP13" s="1653"/>
      <c r="AQ13" s="1653">
        <v>0</v>
      </c>
      <c r="AR13" s="1653"/>
      <c r="AS13" s="1653">
        <v>0</v>
      </c>
      <c r="AT13" s="1653"/>
      <c r="AU13" s="1653">
        <v>0</v>
      </c>
      <c r="AV13" s="1653"/>
      <c r="AW13" s="1653">
        <v>0</v>
      </c>
      <c r="AX13" s="1653"/>
      <c r="AY13" s="1653"/>
    </row>
    <row r="14" spans="1:57" outlineLevel="1">
      <c r="C14" s="1282" t="s">
        <v>270</v>
      </c>
      <c r="E14" s="1653">
        <v>0</v>
      </c>
      <c r="F14" s="1653"/>
      <c r="G14" s="1653">
        <v>0</v>
      </c>
      <c r="H14" s="1653"/>
      <c r="I14" s="1653">
        <v>0</v>
      </c>
      <c r="J14" s="1653"/>
      <c r="K14" s="1653">
        <v>0</v>
      </c>
      <c r="L14" s="1653"/>
      <c r="M14" s="1653">
        <v>0</v>
      </c>
      <c r="N14" s="1653"/>
      <c r="O14" s="1653">
        <v>0</v>
      </c>
      <c r="P14" s="1653"/>
      <c r="Q14" s="1653">
        <v>0</v>
      </c>
      <c r="R14" s="1653"/>
      <c r="S14" s="1653">
        <v>11.948</v>
      </c>
      <c r="T14" s="1653"/>
      <c r="U14" s="1653">
        <v>11.872</v>
      </c>
      <c r="V14" s="1653"/>
      <c r="W14" s="1653">
        <v>0.65500000000000003</v>
      </c>
      <c r="X14" s="1653"/>
      <c r="Y14" s="1653">
        <v>0.73299999999999998</v>
      </c>
      <c r="Z14" s="1653"/>
      <c r="AA14" s="1653">
        <v>5.8999999999999997E-2</v>
      </c>
      <c r="AB14" s="1653"/>
      <c r="AC14" s="1653">
        <v>0</v>
      </c>
      <c r="AD14" s="1653">
        <v>1.899</v>
      </c>
      <c r="AE14" s="1653">
        <v>2.9980000000000002</v>
      </c>
      <c r="AF14" s="1653"/>
      <c r="AG14" s="1653">
        <v>1.579</v>
      </c>
      <c r="AH14" s="1653"/>
      <c r="AI14" s="1653">
        <v>0.80900000000000005</v>
      </c>
      <c r="AJ14" s="1653"/>
      <c r="AK14" s="1653">
        <v>0.94199999999999995</v>
      </c>
      <c r="AL14" s="1653"/>
      <c r="AM14" s="1653">
        <v>0</v>
      </c>
      <c r="AN14" s="1653"/>
      <c r="AO14" s="1653">
        <v>0</v>
      </c>
      <c r="AP14" s="1653"/>
      <c r="AQ14" s="1653">
        <v>0</v>
      </c>
      <c r="AR14" s="1653"/>
      <c r="AS14" s="1653">
        <v>0</v>
      </c>
      <c r="AT14" s="1653"/>
      <c r="AU14" s="1653">
        <v>0</v>
      </c>
      <c r="AV14" s="1653"/>
      <c r="AW14" s="1653">
        <v>0</v>
      </c>
      <c r="AX14" s="1653"/>
      <c r="AY14" s="1653"/>
    </row>
    <row r="15" spans="1:57" outlineLevel="1">
      <c r="C15" s="1282" t="s">
        <v>271</v>
      </c>
      <c r="E15" s="1653">
        <v>0</v>
      </c>
      <c r="F15" s="1653"/>
      <c r="G15" s="1653">
        <v>0</v>
      </c>
      <c r="H15" s="1653"/>
      <c r="I15" s="1653">
        <v>0</v>
      </c>
      <c r="J15" s="1653"/>
      <c r="K15" s="1653">
        <v>0</v>
      </c>
      <c r="L15" s="1653"/>
      <c r="M15" s="1653">
        <v>0</v>
      </c>
      <c r="N15" s="1653"/>
      <c r="O15" s="1653">
        <v>0</v>
      </c>
      <c r="P15" s="1653"/>
      <c r="Q15" s="1653">
        <v>0</v>
      </c>
      <c r="R15" s="1653"/>
      <c r="S15" s="1653">
        <v>1.9710000000000001</v>
      </c>
      <c r="T15" s="1653"/>
      <c r="U15" s="1653">
        <v>-7.0000000000000007E-2</v>
      </c>
      <c r="V15" s="1653"/>
      <c r="W15" s="1653">
        <v>-5.4429999999999996</v>
      </c>
      <c r="X15" s="1653"/>
      <c r="Y15" s="1653">
        <v>5.5</v>
      </c>
      <c r="Z15" s="1653"/>
      <c r="AA15" s="1653">
        <v>3.165</v>
      </c>
      <c r="AB15" s="1653"/>
      <c r="AC15" s="1653">
        <v>0</v>
      </c>
      <c r="AD15" s="1653">
        <v>4.4999999999999998E-2</v>
      </c>
      <c r="AE15" s="1653">
        <v>6.8000000000000005E-2</v>
      </c>
      <c r="AF15" s="1653"/>
      <c r="AG15" s="1653">
        <v>0</v>
      </c>
      <c r="AH15" s="1653"/>
      <c r="AI15" s="1653">
        <v>0</v>
      </c>
      <c r="AJ15" s="1653"/>
      <c r="AK15" s="1653">
        <v>0</v>
      </c>
      <c r="AL15" s="1653"/>
      <c r="AM15" s="1653">
        <v>0</v>
      </c>
      <c r="AN15" s="1653"/>
      <c r="AO15" s="1653">
        <v>0</v>
      </c>
      <c r="AP15" s="1653"/>
      <c r="AQ15" s="1653">
        <v>0</v>
      </c>
      <c r="AR15" s="1653"/>
      <c r="AS15" s="1653">
        <v>0</v>
      </c>
      <c r="AT15" s="1653"/>
      <c r="AU15" s="1653">
        <v>0</v>
      </c>
      <c r="AV15" s="1653"/>
      <c r="AW15" s="1653">
        <v>0</v>
      </c>
      <c r="AX15" s="1653"/>
      <c r="AY15" s="1653"/>
    </row>
    <row r="16" spans="1:57" outlineLevel="1">
      <c r="C16" s="1282" t="s">
        <v>272</v>
      </c>
      <c r="E16" s="1653">
        <v>8.4819999999999993</v>
      </c>
      <c r="F16" s="1653"/>
      <c r="G16" s="1653">
        <v>8.1750000000000007</v>
      </c>
      <c r="H16" s="1653"/>
      <c r="I16" s="1653">
        <v>12.108000000000001</v>
      </c>
      <c r="J16" s="1653"/>
      <c r="K16" s="1653">
        <v>9.8949999999999996</v>
      </c>
      <c r="L16" s="1653"/>
      <c r="M16" s="1653">
        <v>9.2010000000000005</v>
      </c>
      <c r="N16" s="1653"/>
      <c r="O16" s="1653">
        <v>7.5010000000000003</v>
      </c>
      <c r="P16" s="1653"/>
      <c r="Q16" s="1653">
        <f>0.374+3.479</f>
        <v>3.8530000000000002</v>
      </c>
      <c r="R16" s="1653"/>
      <c r="S16" s="1653">
        <v>2.8260000000000001</v>
      </c>
      <c r="T16" s="1653"/>
      <c r="U16" s="1653">
        <v>2.9769999999999999</v>
      </c>
      <c r="V16" s="1653"/>
      <c r="W16" s="1653">
        <v>2.7989999999999999</v>
      </c>
      <c r="X16" s="1653"/>
      <c r="Y16" s="1653">
        <v>2.0979999999999999</v>
      </c>
      <c r="Z16" s="1653"/>
      <c r="AA16" s="1653">
        <v>1.2110000000000001</v>
      </c>
      <c r="AB16" s="1653"/>
      <c r="AC16" s="1653">
        <v>0</v>
      </c>
      <c r="AD16" s="1653">
        <v>0.115</v>
      </c>
      <c r="AE16" s="1653">
        <v>0.30399999999999999</v>
      </c>
      <c r="AF16" s="1653"/>
      <c r="AG16" s="1653">
        <v>0</v>
      </c>
      <c r="AH16" s="1653"/>
      <c r="AI16" s="1653">
        <v>0</v>
      </c>
      <c r="AJ16" s="1653"/>
      <c r="AK16" s="1653">
        <v>0</v>
      </c>
      <c r="AL16" s="1653"/>
      <c r="AM16" s="1653">
        <v>0</v>
      </c>
      <c r="AN16" s="1653"/>
      <c r="AO16" s="1653">
        <v>0</v>
      </c>
      <c r="AP16" s="1653"/>
      <c r="AQ16" s="1653">
        <v>0</v>
      </c>
      <c r="AR16" s="1653"/>
      <c r="AS16" s="1653">
        <v>0</v>
      </c>
      <c r="AT16" s="1653"/>
      <c r="AU16" s="1653">
        <v>0</v>
      </c>
      <c r="AV16" s="1653"/>
      <c r="AW16" s="1653">
        <v>0</v>
      </c>
      <c r="AX16" s="1653"/>
      <c r="AY16" s="1653"/>
    </row>
    <row r="17" spans="1:57" outlineLevel="1">
      <c r="C17" s="1282" t="s">
        <v>273</v>
      </c>
      <c r="E17" s="1653">
        <v>-1.1890000000000001</v>
      </c>
      <c r="F17" s="1653"/>
      <c r="G17" s="1653">
        <v>-1.6120000000000001</v>
      </c>
      <c r="H17" s="1653"/>
      <c r="I17" s="1653">
        <v>-0.73399999999999999</v>
      </c>
      <c r="J17" s="1653"/>
      <c r="K17" s="1653">
        <v>-11.843999999999999</v>
      </c>
      <c r="L17" s="1653"/>
      <c r="M17" s="1653">
        <v>-3.5920000000000001</v>
      </c>
      <c r="N17" s="1653"/>
      <c r="O17" s="1653">
        <v>-5.5030000000000001</v>
      </c>
      <c r="P17" s="1653"/>
      <c r="Q17" s="1653">
        <f>-11.305-11.328</f>
        <v>-22.632999999999999</v>
      </c>
      <c r="R17" s="1653"/>
      <c r="S17" s="1653">
        <v>-61.834000000000003</v>
      </c>
      <c r="T17" s="1653"/>
      <c r="U17" s="1653">
        <v>-61.960999999999999</v>
      </c>
      <c r="V17" s="1653"/>
      <c r="W17" s="1653">
        <v>-25.931000000000001</v>
      </c>
      <c r="X17" s="1653"/>
      <c r="Y17" s="1653">
        <v>0.88600000000000001</v>
      </c>
      <c r="Z17" s="1653"/>
      <c r="AA17" s="1653">
        <v>-0.70099999999999996</v>
      </c>
      <c r="AB17" s="1653"/>
      <c r="AC17" s="1653">
        <v>0</v>
      </c>
      <c r="AD17" s="1653">
        <v>-6.5359999999999996</v>
      </c>
      <c r="AE17" s="1653">
        <v>-17.972999999999999</v>
      </c>
      <c r="AF17" s="1653"/>
      <c r="AG17" s="1653">
        <v>-30.94</v>
      </c>
      <c r="AH17" s="1653"/>
      <c r="AI17" s="1653">
        <v>5.9089999999999998</v>
      </c>
      <c r="AJ17" s="1653"/>
      <c r="AK17" s="1653">
        <v>-2.919</v>
      </c>
      <c r="AL17" s="1653"/>
      <c r="AM17" s="1653">
        <v>-30.727</v>
      </c>
      <c r="AN17" s="1653"/>
      <c r="AO17" s="1653">
        <f>bal!AM14-bal!AO14</f>
        <v>0</v>
      </c>
      <c r="AP17" s="1653"/>
      <c r="AQ17" s="1653">
        <f>bal!AO14-bal!AQ14</f>
        <v>0</v>
      </c>
      <c r="AR17" s="1653"/>
      <c r="AS17" s="1653">
        <f>bal!AQ14-bal!AS14</f>
        <v>0</v>
      </c>
      <c r="AT17" s="1653"/>
      <c r="AU17" s="1653">
        <f>bal!AS14-bal!AU14</f>
        <v>0</v>
      </c>
      <c r="AV17" s="1653"/>
      <c r="AW17" s="1653">
        <f>bal!AU14-bal!AW14</f>
        <v>0</v>
      </c>
      <c r="AX17" s="1653"/>
      <c r="AY17" s="1653"/>
    </row>
    <row r="18" spans="1:57" outlineLevel="1">
      <c r="C18" s="1282" t="s">
        <v>274</v>
      </c>
      <c r="E18" s="1653">
        <v>0.314</v>
      </c>
      <c r="F18" s="1653"/>
      <c r="G18" s="1653">
        <v>0.496</v>
      </c>
      <c r="H18" s="1653"/>
      <c r="I18" s="1653">
        <v>-1.9239999999999999</v>
      </c>
      <c r="J18" s="1653"/>
      <c r="K18" s="1653">
        <v>-1.464</v>
      </c>
      <c r="L18" s="1653"/>
      <c r="M18" s="1653">
        <v>-1.71</v>
      </c>
      <c r="N18" s="1653"/>
      <c r="O18" s="1653">
        <v>-0.75</v>
      </c>
      <c r="P18" s="1653"/>
      <c r="Q18" s="1653">
        <f>2.742+0.001</f>
        <v>2.7429999999999999</v>
      </c>
      <c r="R18" s="1653"/>
      <c r="S18" s="1653">
        <v>3.637</v>
      </c>
      <c r="T18" s="1653"/>
      <c r="U18" s="1653">
        <v>1.0960000000000001</v>
      </c>
      <c r="V18" s="1653"/>
      <c r="W18" s="1653">
        <v>5.4169999999999998</v>
      </c>
      <c r="X18" s="1653"/>
      <c r="Y18" s="1653">
        <v>1.5389999999999999</v>
      </c>
      <c r="Z18" s="1653"/>
      <c r="AA18" s="1653">
        <v>2.2610000000000001</v>
      </c>
      <c r="AB18" s="1653"/>
      <c r="AC18" s="1653">
        <v>0</v>
      </c>
      <c r="AD18" s="1653">
        <v>2.2330000000000001</v>
      </c>
      <c r="AE18" s="1653">
        <v>1.157</v>
      </c>
      <c r="AF18" s="1653"/>
      <c r="AG18" s="1653">
        <v>0.89700000000000002</v>
      </c>
      <c r="AH18" s="1653"/>
      <c r="AI18" s="1653">
        <v>0</v>
      </c>
      <c r="AJ18" s="1653"/>
      <c r="AK18" s="1653">
        <v>0</v>
      </c>
      <c r="AL18" s="1653"/>
      <c r="AM18" s="1653">
        <v>0</v>
      </c>
      <c r="AN18" s="1653"/>
      <c r="AO18" s="1653">
        <v>0</v>
      </c>
      <c r="AP18" s="1653"/>
      <c r="AQ18" s="1653">
        <v>0</v>
      </c>
      <c r="AR18" s="1653"/>
      <c r="AS18" s="1653">
        <v>0</v>
      </c>
      <c r="AT18" s="1653"/>
      <c r="AU18" s="1653">
        <v>0</v>
      </c>
      <c r="AV18" s="1653"/>
      <c r="AW18" s="1653">
        <v>0</v>
      </c>
      <c r="AX18" s="1653"/>
      <c r="AY18" s="1653"/>
    </row>
    <row r="19" spans="1:57" outlineLevel="1">
      <c r="C19" s="1282" t="s">
        <v>275</v>
      </c>
      <c r="E19" s="1653"/>
      <c r="F19" s="1653"/>
      <c r="G19" s="1653">
        <v>0</v>
      </c>
      <c r="H19" s="1653"/>
      <c r="I19" s="1653">
        <v>0</v>
      </c>
      <c r="J19" s="1653"/>
      <c r="K19" s="1653">
        <v>0</v>
      </c>
      <c r="L19" s="1653"/>
      <c r="M19" s="1653">
        <v>0</v>
      </c>
      <c r="N19" s="1653"/>
      <c r="O19" s="1653">
        <v>0</v>
      </c>
      <c r="P19" s="1653"/>
      <c r="Q19" s="1653">
        <v>0</v>
      </c>
      <c r="R19" s="1653"/>
      <c r="S19" s="1653">
        <v>0</v>
      </c>
      <c r="T19" s="1653"/>
      <c r="U19" s="1653">
        <v>0</v>
      </c>
      <c r="V19" s="1653"/>
      <c r="W19" s="1653">
        <v>-0.85699999999999998</v>
      </c>
      <c r="X19" s="1653"/>
      <c r="Y19" s="1653">
        <v>-0.24</v>
      </c>
      <c r="Z19" s="1653"/>
      <c r="AA19" s="1653">
        <v>0</v>
      </c>
      <c r="AB19" s="1653"/>
      <c r="AC19" s="1653">
        <v>0</v>
      </c>
      <c r="AD19" s="1653">
        <v>0</v>
      </c>
      <c r="AE19" s="1653">
        <v>0</v>
      </c>
      <c r="AF19" s="1653"/>
      <c r="AG19" s="1653">
        <v>0</v>
      </c>
      <c r="AH19" s="1653"/>
      <c r="AI19" s="1653">
        <v>0</v>
      </c>
      <c r="AJ19" s="1653"/>
      <c r="AK19" s="1653">
        <v>0</v>
      </c>
      <c r="AL19" s="1653"/>
      <c r="AM19" s="1653">
        <v>0</v>
      </c>
      <c r="AN19" s="1653"/>
      <c r="AO19" s="1653">
        <v>0</v>
      </c>
      <c r="AP19" s="1653"/>
      <c r="AQ19" s="1653">
        <v>0</v>
      </c>
      <c r="AR19" s="1653"/>
      <c r="AS19" s="1653">
        <v>0</v>
      </c>
      <c r="AT19" s="1653"/>
      <c r="AU19" s="1653">
        <v>0</v>
      </c>
      <c r="AV19" s="1653"/>
      <c r="AW19" s="1653">
        <v>0</v>
      </c>
      <c r="AX19" s="1653"/>
      <c r="AY19" s="1653"/>
    </row>
    <row r="20" spans="1:57" outlineLevel="1">
      <c r="C20" s="1282" t="s">
        <v>276</v>
      </c>
      <c r="E20" s="1653"/>
      <c r="F20" s="1653"/>
      <c r="G20" s="1653">
        <v>0</v>
      </c>
      <c r="H20" s="1653"/>
      <c r="I20" s="1653">
        <v>0</v>
      </c>
      <c r="J20" s="1653"/>
      <c r="K20" s="1653">
        <v>0</v>
      </c>
      <c r="L20" s="1653"/>
      <c r="M20" s="1653">
        <v>0</v>
      </c>
      <c r="N20" s="1653"/>
      <c r="O20" s="1653">
        <v>0</v>
      </c>
      <c r="P20" s="1653"/>
      <c r="Q20" s="1653">
        <v>0</v>
      </c>
      <c r="R20" s="1653"/>
      <c r="S20" s="1653">
        <v>0</v>
      </c>
      <c r="T20" s="1653"/>
      <c r="U20" s="1653">
        <v>0</v>
      </c>
      <c r="V20" s="1653"/>
      <c r="W20" s="1653">
        <v>0</v>
      </c>
      <c r="X20" s="1653"/>
      <c r="Y20" s="1653">
        <v>0</v>
      </c>
      <c r="Z20" s="1653"/>
      <c r="AA20" s="1653">
        <v>16.434999999999999</v>
      </c>
      <c r="AB20" s="1653"/>
      <c r="AC20" s="1653">
        <v>0</v>
      </c>
      <c r="AD20" s="1653">
        <v>2.222</v>
      </c>
      <c r="AE20" s="1653">
        <v>11.506</v>
      </c>
      <c r="AF20" s="1653"/>
      <c r="AG20" s="1653">
        <v>28.050999999999998</v>
      </c>
      <c r="AH20" s="1653"/>
      <c r="AI20" s="1653">
        <v>0.64900000000000002</v>
      </c>
      <c r="AJ20" s="1653"/>
      <c r="AK20" s="1653">
        <v>3.8050000000000002</v>
      </c>
      <c r="AL20" s="1653"/>
      <c r="AM20" s="1653">
        <v>2.8809999999999998</v>
      </c>
      <c r="AN20" s="1653"/>
      <c r="AO20" s="1653">
        <v>0</v>
      </c>
      <c r="AP20" s="1653"/>
      <c r="AQ20" s="1653">
        <v>0</v>
      </c>
      <c r="AR20" s="1653"/>
      <c r="AS20" s="1653">
        <v>0</v>
      </c>
      <c r="AT20" s="1653"/>
      <c r="AU20" s="1653">
        <v>0</v>
      </c>
      <c r="AV20" s="1653"/>
      <c r="AW20" s="1653">
        <v>0</v>
      </c>
      <c r="AX20" s="1653"/>
      <c r="AY20" s="1653"/>
    </row>
    <row r="21" spans="1:57" outlineLevel="1">
      <c r="C21" s="1282" t="s">
        <v>277</v>
      </c>
      <c r="E21" s="1653"/>
      <c r="F21" s="1653"/>
      <c r="G21" s="1653">
        <v>0</v>
      </c>
      <c r="H21" s="1653"/>
      <c r="I21" s="1653">
        <v>0</v>
      </c>
      <c r="J21" s="1653"/>
      <c r="K21" s="1653">
        <v>0</v>
      </c>
      <c r="L21" s="1653"/>
      <c r="M21" s="1653">
        <v>0</v>
      </c>
      <c r="N21" s="1653"/>
      <c r="O21" s="1653">
        <v>0</v>
      </c>
      <c r="P21" s="1653"/>
      <c r="Q21" s="1653">
        <v>0.84799999999999998</v>
      </c>
      <c r="R21" s="1653"/>
      <c r="S21" s="1653">
        <v>7.9569999999999999</v>
      </c>
      <c r="T21" s="1653"/>
      <c r="U21" s="1653">
        <v>2.4359999999999999</v>
      </c>
      <c r="V21" s="1653"/>
      <c r="W21" s="1653">
        <v>4.3899999999999997</v>
      </c>
      <c r="X21" s="1653"/>
      <c r="Y21" s="1653">
        <v>2.23</v>
      </c>
      <c r="Z21" s="1653"/>
      <c r="AA21" s="1653">
        <v>5.7969999999999997</v>
      </c>
      <c r="AB21" s="1653"/>
      <c r="AC21" s="1653">
        <v>0</v>
      </c>
      <c r="AD21" s="1653">
        <v>2.7469999999999999</v>
      </c>
      <c r="AE21" s="1653">
        <v>10.202999999999999</v>
      </c>
      <c r="AF21" s="1653"/>
      <c r="AG21" s="1653">
        <v>6.2640000000000002</v>
      </c>
      <c r="AH21" s="1653"/>
      <c r="AI21" s="1653">
        <v>11.161</v>
      </c>
      <c r="AJ21" s="1653"/>
      <c r="AK21" s="1653">
        <v>15.952999999999999</v>
      </c>
      <c r="AL21" s="1653"/>
      <c r="AM21" s="1653">
        <v>27.033999999999999</v>
      </c>
      <c r="AN21" s="1653"/>
      <c r="AO21" s="1653">
        <v>0</v>
      </c>
      <c r="AP21" s="1653"/>
      <c r="AQ21" s="1653">
        <v>0</v>
      </c>
      <c r="AR21" s="1653"/>
      <c r="AS21" s="1653">
        <v>0</v>
      </c>
      <c r="AT21" s="1653"/>
      <c r="AU21" s="1653">
        <v>0</v>
      </c>
      <c r="AV21" s="1653"/>
      <c r="AW21" s="1653">
        <v>0</v>
      </c>
      <c r="AX21" s="1653"/>
      <c r="AY21" s="1653"/>
    </row>
    <row r="22" spans="1:57" outlineLevel="1">
      <c r="C22" s="1282" t="s">
        <v>278</v>
      </c>
      <c r="E22" s="1653">
        <v>3.4140000000000001</v>
      </c>
      <c r="F22" s="1653"/>
      <c r="G22" s="1653">
        <v>2.1379999999999999</v>
      </c>
      <c r="H22" s="1653"/>
      <c r="I22" s="1653">
        <v>2.42</v>
      </c>
      <c r="J22" s="1653"/>
      <c r="K22" s="1653">
        <v>5.109</v>
      </c>
      <c r="L22" s="1653"/>
      <c r="M22" s="1653">
        <v>7.0179999999999998</v>
      </c>
      <c r="N22" s="1653"/>
      <c r="O22" s="1653">
        <v>3.355</v>
      </c>
      <c r="P22" s="1653"/>
      <c r="Q22" s="1653">
        <f>1.38</f>
        <v>1.38</v>
      </c>
      <c r="R22" s="1653"/>
      <c r="S22" s="1653">
        <v>9.3970000000000002</v>
      </c>
      <c r="T22" s="1653"/>
      <c r="U22" s="1653">
        <v>0.98099999999999998</v>
      </c>
      <c r="V22" s="1653"/>
      <c r="W22" s="1653">
        <v>-5.3339999999999996</v>
      </c>
      <c r="X22" s="1653"/>
      <c r="Y22" s="1653">
        <v>-1.4850000000000001</v>
      </c>
      <c r="Z22" s="1653"/>
      <c r="AA22" s="1653">
        <v>-5.3630000000000004</v>
      </c>
      <c r="AB22" s="1653"/>
      <c r="AC22" s="1653">
        <v>0</v>
      </c>
      <c r="AD22" s="1653">
        <v>-9.8729999999999993</v>
      </c>
      <c r="AE22" s="1653">
        <v>-11.509</v>
      </c>
      <c r="AF22" s="1653"/>
      <c r="AG22" s="1653">
        <v>-19.463000000000001</v>
      </c>
      <c r="AH22" s="1653"/>
      <c r="AI22" s="1653">
        <v>-24.143000000000001</v>
      </c>
      <c r="AJ22" s="1653"/>
      <c r="AK22" s="1653">
        <v>-27.91</v>
      </c>
      <c r="AL22" s="1653"/>
      <c r="AM22" s="1653">
        <v>-24.689</v>
      </c>
      <c r="AN22" s="1653"/>
      <c r="AO22" s="1653">
        <v>0</v>
      </c>
      <c r="AP22" s="1653"/>
      <c r="AQ22" s="1653">
        <v>0</v>
      </c>
      <c r="AR22" s="1653"/>
      <c r="AS22" s="1653">
        <v>0</v>
      </c>
      <c r="AT22" s="1653"/>
      <c r="AU22" s="1653">
        <v>0</v>
      </c>
      <c r="AV22" s="1653"/>
      <c r="AW22" s="1653">
        <v>0</v>
      </c>
      <c r="AX22" s="1653"/>
      <c r="AY22" s="1653"/>
    </row>
    <row r="23" spans="1:57" s="1349" customFormat="1" outlineLevel="1">
      <c r="C23" s="1349" t="s">
        <v>279</v>
      </c>
      <c r="E23" s="1653"/>
      <c r="F23" s="1715"/>
      <c r="G23" s="1653">
        <v>0</v>
      </c>
      <c r="H23" s="1715"/>
      <c r="I23" s="1653">
        <v>0</v>
      </c>
      <c r="J23" s="1715"/>
      <c r="K23" s="1653">
        <v>0</v>
      </c>
      <c r="L23" s="1715"/>
      <c r="M23" s="1653">
        <v>0</v>
      </c>
      <c r="N23" s="1715"/>
      <c r="O23" s="1715">
        <v>0</v>
      </c>
      <c r="P23" s="1715"/>
      <c r="Q23" s="1715">
        <v>0</v>
      </c>
      <c r="R23" s="1715"/>
      <c r="S23" s="1715">
        <v>0</v>
      </c>
      <c r="T23" s="1715"/>
      <c r="U23" s="1715">
        <v>0</v>
      </c>
      <c r="V23" s="1715"/>
      <c r="W23" s="1715">
        <v>0</v>
      </c>
      <c r="X23" s="1715"/>
      <c r="Y23" s="1715">
        <v>0</v>
      </c>
      <c r="Z23" s="1715"/>
      <c r="AA23" s="1715">
        <v>3.2000000000000001E-2</v>
      </c>
      <c r="AB23" s="1715"/>
      <c r="AC23" s="1653">
        <v>0</v>
      </c>
      <c r="AD23" s="1715">
        <v>-0.497</v>
      </c>
      <c r="AE23" s="1653">
        <v>0</v>
      </c>
      <c r="AF23" s="1653"/>
      <c r="AG23" s="1653">
        <v>0</v>
      </c>
      <c r="AH23" s="1653"/>
      <c r="AI23" s="1653">
        <f>-11.941+11.941</f>
        <v>0</v>
      </c>
      <c r="AJ23" s="1653"/>
      <c r="AK23" s="1653">
        <v>-13.47</v>
      </c>
      <c r="AL23" s="1653"/>
      <c r="AM23" s="1653">
        <v>0</v>
      </c>
      <c r="AN23" s="1653"/>
      <c r="AO23" s="1653">
        <v>0</v>
      </c>
      <c r="AP23" s="1653"/>
      <c r="AQ23" s="1653">
        <v>0</v>
      </c>
      <c r="AR23" s="1653"/>
      <c r="AS23" s="1653">
        <v>0</v>
      </c>
      <c r="AT23" s="1653"/>
      <c r="AU23" s="1653">
        <v>0</v>
      </c>
      <c r="AV23" s="1653"/>
      <c r="AW23" s="1653">
        <v>0</v>
      </c>
      <c r="AX23" s="1653"/>
      <c r="AY23" s="1653"/>
      <c r="AZ23"/>
      <c r="BA23"/>
      <c r="BB23"/>
      <c r="BC23"/>
      <c r="BD23"/>
      <c r="BE23"/>
    </row>
    <row r="24" spans="1:57" s="1349" customFormat="1" outlineLevel="1">
      <c r="C24" s="1349" t="s">
        <v>295</v>
      </c>
      <c r="E24" s="1653"/>
      <c r="F24" s="1715"/>
      <c r="G24" s="1653">
        <v>0</v>
      </c>
      <c r="H24" s="1715"/>
      <c r="I24" s="1653">
        <v>0</v>
      </c>
      <c r="J24" s="1715"/>
      <c r="K24" s="1653">
        <v>-0.113</v>
      </c>
      <c r="L24" s="1715"/>
      <c r="M24" s="1653">
        <v>0.46899999999999997</v>
      </c>
      <c r="N24" s="1715"/>
      <c r="O24" s="1715">
        <v>0.108</v>
      </c>
      <c r="P24" s="1715"/>
      <c r="Q24" s="1715">
        <v>0</v>
      </c>
      <c r="R24" s="1715"/>
      <c r="S24" s="1715">
        <v>0</v>
      </c>
      <c r="T24" s="1715"/>
      <c r="U24" s="1715">
        <v>0</v>
      </c>
      <c r="V24" s="1715"/>
      <c r="W24" s="1715">
        <v>0</v>
      </c>
      <c r="X24" s="1715"/>
      <c r="Y24" s="1715">
        <v>0</v>
      </c>
      <c r="Z24" s="1715"/>
      <c r="AA24" s="1715">
        <v>0</v>
      </c>
      <c r="AB24" s="1715"/>
      <c r="AC24" s="1653">
        <v>0</v>
      </c>
      <c r="AD24" s="1715">
        <v>0</v>
      </c>
      <c r="AE24" s="1653">
        <v>0</v>
      </c>
      <c r="AF24" s="1653"/>
      <c r="AG24" s="1653">
        <v>0</v>
      </c>
      <c r="AH24" s="1653"/>
      <c r="AI24" s="1653">
        <v>0</v>
      </c>
      <c r="AJ24" s="1653"/>
      <c r="AK24" s="1653">
        <v>0</v>
      </c>
      <c r="AL24" s="1653"/>
      <c r="AM24" s="1653">
        <v>0</v>
      </c>
      <c r="AN24" s="1653"/>
      <c r="AO24" s="1653">
        <v>0</v>
      </c>
      <c r="AP24" s="1653"/>
      <c r="AQ24" s="1653">
        <v>0</v>
      </c>
      <c r="AR24" s="1653"/>
      <c r="AS24" s="1653">
        <v>0</v>
      </c>
      <c r="AT24" s="1653"/>
      <c r="AU24" s="1653">
        <v>0</v>
      </c>
      <c r="AV24" s="1653"/>
      <c r="AW24" s="1653">
        <v>0</v>
      </c>
      <c r="AX24" s="1653"/>
      <c r="AY24" s="1653"/>
      <c r="AZ24"/>
      <c r="BA24"/>
      <c r="BB24"/>
      <c r="BC24"/>
      <c r="BD24"/>
      <c r="BE24"/>
    </row>
    <row r="25" spans="1:57" outlineLevel="1">
      <c r="AC25" s="1653">
        <v>0</v>
      </c>
      <c r="AE25" s="1653">
        <v>0</v>
      </c>
      <c r="AF25" s="1653"/>
      <c r="AG25" s="1653">
        <v>0</v>
      </c>
      <c r="AH25" s="1653"/>
      <c r="AI25" s="1653">
        <v>0</v>
      </c>
      <c r="AJ25" s="1653"/>
      <c r="AK25" s="1653">
        <v>0</v>
      </c>
      <c r="AL25" s="1653"/>
      <c r="AM25" s="1653">
        <v>0</v>
      </c>
      <c r="AN25" s="1653"/>
      <c r="AO25" s="1653">
        <v>0</v>
      </c>
      <c r="AP25" s="1653"/>
      <c r="AQ25" s="1653">
        <v>0</v>
      </c>
      <c r="AR25" s="1653"/>
      <c r="AS25" s="1653">
        <v>0</v>
      </c>
      <c r="AT25" s="1653"/>
      <c r="AU25" s="1653">
        <v>0</v>
      </c>
      <c r="AV25" s="1653"/>
      <c r="AW25" s="1653">
        <v>0</v>
      </c>
      <c r="AX25" s="1653"/>
      <c r="AY25" s="1653"/>
    </row>
    <row r="26" spans="1:57" outlineLevel="1">
      <c r="C26" s="1282" t="s">
        <v>281</v>
      </c>
      <c r="E26" s="1715">
        <v>-1.085</v>
      </c>
      <c r="F26" s="1715"/>
      <c r="G26" s="1715">
        <v>-1.085</v>
      </c>
      <c r="H26" s="1715"/>
      <c r="I26" s="1715">
        <v>-1.7110000000000001</v>
      </c>
      <c r="J26" s="1715"/>
      <c r="K26" s="1715">
        <v>-2.2280000000000002</v>
      </c>
      <c r="L26" s="1715"/>
      <c r="M26" s="1715">
        <v>-1.1419999999999999</v>
      </c>
      <c r="N26" s="1715"/>
      <c r="O26" s="1715">
        <v>-1.6519999999999999</v>
      </c>
      <c r="P26" s="1715"/>
      <c r="Q26" s="1715">
        <f>-0.113+3.052</f>
        <v>2.9390000000000001</v>
      </c>
      <c r="R26" s="1715"/>
      <c r="S26" s="1715">
        <v>31.957000000000001</v>
      </c>
      <c r="T26" s="1715"/>
      <c r="U26" s="1715">
        <v>32.884999999999998</v>
      </c>
      <c r="V26" s="1715"/>
      <c r="W26" s="1715">
        <v>13.285</v>
      </c>
      <c r="X26" s="1715"/>
      <c r="Y26" s="1715">
        <v>19.428999999999998</v>
      </c>
      <c r="Z26" s="1715"/>
      <c r="AA26" s="1715">
        <v>32.427</v>
      </c>
      <c r="AB26" s="1715"/>
      <c r="AC26" s="1653">
        <v>0</v>
      </c>
      <c r="AD26" s="1715">
        <v>33.4</v>
      </c>
      <c r="AE26" s="1653">
        <v>41.570999999999998</v>
      </c>
      <c r="AF26" s="1653"/>
      <c r="AG26" s="1653">
        <v>38.417999999999999</v>
      </c>
      <c r="AH26" s="1653"/>
      <c r="AI26" s="1653">
        <v>41.786000000000001</v>
      </c>
      <c r="AJ26" s="1653"/>
      <c r="AK26" s="1653">
        <v>32.212000000000003</v>
      </c>
      <c r="AL26" s="1653"/>
      <c r="AM26" s="1653">
        <v>48.834000000000003</v>
      </c>
      <c r="AN26" s="1653"/>
      <c r="AO26" s="1653"/>
      <c r="AP26" s="1653"/>
      <c r="AQ26" s="1653"/>
      <c r="AR26" s="1653"/>
      <c r="AS26" s="1653"/>
      <c r="AT26" s="1653"/>
      <c r="AU26" s="1653"/>
      <c r="AV26" s="1653"/>
      <c r="AW26" s="1653"/>
      <c r="AX26" s="1653"/>
      <c r="AY26" s="1653"/>
    </row>
    <row r="27" spans="1:57" s="1349" customFormat="1" outlineLevel="1">
      <c r="C27" s="1349" t="s">
        <v>101</v>
      </c>
      <c r="E27" s="1715">
        <v>0</v>
      </c>
      <c r="F27" s="1715"/>
      <c r="G27" s="1715">
        <v>0</v>
      </c>
      <c r="H27" s="1715"/>
      <c r="I27" s="1715">
        <v>-2.9809999999999999</v>
      </c>
      <c r="J27" s="1715"/>
      <c r="K27" s="1715">
        <v>-2.0339999999999998</v>
      </c>
      <c r="L27" s="1715"/>
      <c r="M27" s="1715">
        <v>-1.409</v>
      </c>
      <c r="N27" s="1715"/>
      <c r="O27" s="1715">
        <v>6.7000000000000004E-2</v>
      </c>
      <c r="P27" s="1715"/>
      <c r="Q27" s="1715">
        <f>2.269+0.325</f>
        <v>2.5940000000000003</v>
      </c>
      <c r="R27" s="1715"/>
      <c r="S27" s="1715">
        <v>0.78800000000000003</v>
      </c>
      <c r="T27" s="1715"/>
      <c r="U27" s="1715">
        <v>-0.99099999999999999</v>
      </c>
      <c r="V27" s="1715"/>
      <c r="W27" s="1715">
        <v>3.4550000000000001</v>
      </c>
      <c r="X27" s="1715"/>
      <c r="Y27" s="1715">
        <v>13.728</v>
      </c>
      <c r="Z27" s="1715"/>
      <c r="AA27" s="1715">
        <v>-10.032</v>
      </c>
      <c r="AB27" s="1715"/>
      <c r="AC27" s="1715">
        <f>6.4+4.3+5.5+1.9+18.2-18.2-2.8-4.3+2.3-4.2+111.7-106.1+33.4-7</f>
        <v>41.1</v>
      </c>
      <c r="AD27" s="1715">
        <v>-3.9580000000000002</v>
      </c>
      <c r="AE27" s="1715">
        <v>3.573</v>
      </c>
      <c r="AF27" s="1715"/>
      <c r="AG27" s="1715">
        <v>0</v>
      </c>
      <c r="AH27" s="1715"/>
      <c r="AI27" s="1715">
        <v>0</v>
      </c>
      <c r="AJ27" s="1715"/>
      <c r="AK27" s="1715">
        <v>0</v>
      </c>
      <c r="AL27" s="1715"/>
      <c r="AM27" s="1715"/>
      <c r="AN27" s="1715"/>
      <c r="AO27" s="1715">
        <v>0</v>
      </c>
      <c r="AP27" s="1715"/>
      <c r="AQ27" s="1715">
        <v>0</v>
      </c>
      <c r="AR27" s="1715"/>
      <c r="AS27" s="1715">
        <v>0</v>
      </c>
      <c r="AT27" s="1715"/>
      <c r="AU27" s="1715">
        <v>0</v>
      </c>
      <c r="AV27" s="1715"/>
      <c r="AW27" s="1715">
        <v>0</v>
      </c>
      <c r="AX27" s="1715"/>
      <c r="AY27" s="1715"/>
      <c r="AZ27"/>
      <c r="BA27"/>
      <c r="BB27"/>
      <c r="BC27"/>
      <c r="BD27"/>
      <c r="BE27"/>
    </row>
    <row r="28" spans="1:57">
      <c r="C28" s="1282" t="s">
        <v>343</v>
      </c>
      <c r="E28" s="1737">
        <f>SUM(E12:E27)</f>
        <v>9.9359999999999999</v>
      </c>
      <c r="F28" s="1946"/>
      <c r="G28" s="1737">
        <f>SUM(G12:G27)</f>
        <v>8.1120000000000019</v>
      </c>
      <c r="H28" s="1946"/>
      <c r="I28" s="1737">
        <f>SUM(I12:I27)</f>
        <v>7.1780000000000008</v>
      </c>
      <c r="J28" s="1946"/>
      <c r="K28" s="1737">
        <f>SUM(K12:K27)</f>
        <v>-2.6789999999999998</v>
      </c>
      <c r="L28" s="1946"/>
      <c r="M28" s="1737">
        <f>SUM(M12:M27)</f>
        <v>8.8349999999999991</v>
      </c>
      <c r="N28" s="1946"/>
      <c r="O28" s="1737">
        <f>SUM(O12:O27)</f>
        <v>3.9890000000000008</v>
      </c>
      <c r="P28" s="1946"/>
      <c r="Q28" s="1737">
        <f>SUM(Q12:Q27)</f>
        <v>-8.2759999999999962</v>
      </c>
      <c r="R28" s="1946"/>
      <c r="S28" s="1737">
        <f>SUM(S12:S27)</f>
        <v>33.067999999999998</v>
      </c>
      <c r="T28" s="1946"/>
      <c r="U28" s="1737">
        <f>SUM(U12:U27)</f>
        <v>24.789999999999992</v>
      </c>
      <c r="V28" s="1946"/>
      <c r="W28" s="1737">
        <f>SUM(W12:W27)</f>
        <v>75.442999999999998</v>
      </c>
      <c r="X28" s="1946"/>
      <c r="Y28" s="1737">
        <f>SUM(Y12:Y27)</f>
        <v>58.844000000000001</v>
      </c>
      <c r="Z28" s="1946"/>
      <c r="AA28" s="1737">
        <f>SUM(AA12:AA27)</f>
        <v>58.929999999999993</v>
      </c>
      <c r="AB28" s="1946"/>
      <c r="AC28" s="1737">
        <f>SUM(AC12:AC27)</f>
        <v>52.6</v>
      </c>
      <c r="AD28" s="1946"/>
      <c r="AE28" s="1737">
        <f>SUM(AE12:AE27)</f>
        <v>54.651999999999994</v>
      </c>
      <c r="AF28" s="1946"/>
      <c r="AG28" s="1737">
        <f>SUM(AG12:AG27)</f>
        <v>33.441999999999993</v>
      </c>
      <c r="AH28" s="1715"/>
      <c r="AI28" s="1737">
        <f>SUM(AI12:AI27)</f>
        <v>45.15</v>
      </c>
      <c r="AJ28" s="1715"/>
      <c r="AK28" s="1737">
        <f>SUM(AK12:AK27)</f>
        <v>13.742000000000004</v>
      </c>
      <c r="AL28" s="1715"/>
      <c r="AM28" s="1737">
        <f>SUM(AM12:AM27)</f>
        <v>23.333000000000002</v>
      </c>
      <c r="AN28" s="1715"/>
      <c r="AO28" s="1737">
        <f>SUM(AO12:AO27)</f>
        <v>0</v>
      </c>
      <c r="AP28" s="1715"/>
      <c r="AQ28" s="1737">
        <f>SUM(AQ12:AQ27)</f>
        <v>0</v>
      </c>
      <c r="AR28" s="1715"/>
      <c r="AS28" s="1737">
        <f>SUM(AS12:AS27)</f>
        <v>0</v>
      </c>
      <c r="AT28" s="1715"/>
      <c r="AU28" s="1737">
        <f>SUM(AU12:AU27)</f>
        <v>0</v>
      </c>
      <c r="AV28" s="1715"/>
      <c r="AW28" s="1737">
        <f>SUM(AW12:AW27)</f>
        <v>0</v>
      </c>
      <c r="AX28" s="1687"/>
      <c r="AY28" s="1687"/>
    </row>
    <row r="29" spans="1:57">
      <c r="A29" s="1282" t="s">
        <v>171</v>
      </c>
      <c r="E29" s="1669">
        <f>SUM(E9:E27)</f>
        <v>112.08399999999997</v>
      </c>
      <c r="F29" s="1669"/>
      <c r="G29" s="1669">
        <f>SUM(G9:G27)</f>
        <v>131.9770000000004</v>
      </c>
      <c r="H29" s="1669"/>
      <c r="I29" s="1669">
        <f>SUM(I9:I27)</f>
        <v>138.42699999999999</v>
      </c>
      <c r="J29" s="1669"/>
      <c r="K29" s="1669">
        <f>SUM(K9:K27)</f>
        <v>136.98100000000011</v>
      </c>
      <c r="L29" s="1669"/>
      <c r="M29" s="1669">
        <f>SUM(M9:M27)</f>
        <v>165.089</v>
      </c>
      <c r="N29" s="1669"/>
      <c r="O29" s="1669">
        <f>SUM(O9:O27)</f>
        <v>199.12900000000005</v>
      </c>
      <c r="P29" s="1669"/>
      <c r="Q29" s="1669">
        <f>SUM(Q9:Q27)</f>
        <v>166.04999999999998</v>
      </c>
      <c r="R29" s="1669"/>
      <c r="S29" s="1669">
        <f>SUM(S9:S27)</f>
        <v>159.95600000000002</v>
      </c>
      <c r="T29" s="1669"/>
      <c r="U29" s="1669">
        <f>SUM(U9:U27)</f>
        <v>142.48599999999996</v>
      </c>
      <c r="V29" s="1669"/>
      <c r="W29" s="1669">
        <f>SUM(W9:W27)</f>
        <v>216.65199999999984</v>
      </c>
      <c r="X29" s="1669"/>
      <c r="Y29" s="1669">
        <f>SUM(Y9:Y27)</f>
        <v>236.60099999999969</v>
      </c>
      <c r="Z29" s="1669"/>
      <c r="AA29" s="1669">
        <f>SUM(AA9:AA27)</f>
        <v>205.72800000000015</v>
      </c>
      <c r="AB29" s="1669"/>
      <c r="AC29" s="1669">
        <f>SUM(AC9:AC27)</f>
        <v>244.72106493199922</v>
      </c>
      <c r="AD29" s="1669"/>
      <c r="AE29" s="1669">
        <f>SUM(AE9:AE27)</f>
        <v>238.99699999999984</v>
      </c>
      <c r="AF29" s="1669"/>
      <c r="AG29" s="1669">
        <f>SUM(AG9:AG27)</f>
        <v>266.97700000000003</v>
      </c>
      <c r="AH29" s="1718"/>
      <c r="AI29" s="1669">
        <f>SUM(AI9:AI27)</f>
        <v>367.73100000000017</v>
      </c>
      <c r="AJ29" s="1718"/>
      <c r="AK29" s="1669">
        <f>SUM(AK9:AK27)</f>
        <v>413.20099999999945</v>
      </c>
      <c r="AL29" s="1718"/>
      <c r="AM29" s="1669">
        <f>SUM(AM9:AM27)</f>
        <v>609.28844599999979</v>
      </c>
      <c r="AN29" s="1718"/>
      <c r="AO29" s="1669">
        <f>SUM(AO9:AO27)</f>
        <v>605.55812696875228</v>
      </c>
      <c r="AP29" s="1718"/>
      <c r="AQ29" s="1669">
        <f>SUM(AQ9:AQ27)</f>
        <v>672.18045511093715</v>
      </c>
      <c r="AR29" s="1718"/>
      <c r="AS29" s="1669">
        <f>SUM(AS9:AS27)</f>
        <v>743.81722536708344</v>
      </c>
      <c r="AT29" s="1718"/>
      <c r="AU29" s="1669">
        <f>SUM(AU9:AU27)</f>
        <v>823.96210717772669</v>
      </c>
      <c r="AV29" s="1718"/>
      <c r="AW29" s="1669">
        <f>SUM(AW9:AW27)</f>
        <v>903.82332418612305</v>
      </c>
      <c r="AX29" s="1669"/>
      <c r="AY29" s="1669"/>
    </row>
    <row r="31" spans="1:57">
      <c r="B31" s="1282" t="s">
        <v>168</v>
      </c>
      <c r="E31" s="1653">
        <v>-107.578</v>
      </c>
      <c r="F31" s="1653"/>
      <c r="G31" s="1653">
        <v>-95.772000000000006</v>
      </c>
      <c r="H31" s="1653"/>
      <c r="I31" s="1653">
        <v>-164.79499999999999</v>
      </c>
      <c r="J31" s="1653"/>
      <c r="K31" s="1653">
        <v>-147.071</v>
      </c>
      <c r="L31" s="1653"/>
      <c r="M31" s="1653">
        <v>-125.55</v>
      </c>
      <c r="N31" s="1653"/>
      <c r="O31" s="1653">
        <v>-93.114999999999995</v>
      </c>
      <c r="P31" s="1653"/>
      <c r="Q31" s="1653">
        <f>-6.275-68.923</f>
        <v>-75.198000000000008</v>
      </c>
      <c r="R31" s="1653"/>
      <c r="S31" s="1653">
        <v>-69.188000000000002</v>
      </c>
      <c r="T31" s="1653"/>
      <c r="U31" s="1653">
        <v>-95.614999999999995</v>
      </c>
      <c r="V31" s="1653"/>
      <c r="W31" s="1653">
        <v>-94.07</v>
      </c>
      <c r="X31" s="1653"/>
      <c r="Y31" s="1653">
        <v>-132.131</v>
      </c>
      <c r="Z31" s="1653"/>
      <c r="AA31" s="1653">
        <v>-153.37299999999999</v>
      </c>
      <c r="AB31" s="1653"/>
      <c r="AC31" s="1653">
        <v>-167.3</v>
      </c>
      <c r="AD31" s="1653"/>
      <c r="AE31" s="1653">
        <v>-168.267</v>
      </c>
      <c r="AF31" s="1653"/>
      <c r="AG31" s="1653">
        <v>-220.98</v>
      </c>
      <c r="AH31" s="1715"/>
      <c r="AI31" s="1653">
        <v>-201.78700000000001</v>
      </c>
      <c r="AJ31" s="1715"/>
      <c r="AK31" s="1653">
        <v>-187.50700000000001</v>
      </c>
      <c r="AM31" s="1653">
        <v>-268.19400000000002</v>
      </c>
      <c r="AO31" s="1653">
        <v>-250</v>
      </c>
      <c r="AQ31" s="1653">
        <f>AO31</f>
        <v>-250</v>
      </c>
      <c r="AS31" s="1653">
        <v>-250</v>
      </c>
      <c r="AU31" s="1653">
        <v>-250</v>
      </c>
      <c r="AW31" s="1653">
        <v>-250</v>
      </c>
      <c r="AX31" s="1653"/>
      <c r="AY31" s="1653"/>
    </row>
    <row r="32" spans="1:57" outlineLevel="1">
      <c r="B32" s="1282" t="s">
        <v>282</v>
      </c>
      <c r="E32" s="1653">
        <v>0</v>
      </c>
      <c r="F32" s="1653"/>
      <c r="G32" s="1653">
        <v>0</v>
      </c>
      <c r="H32" s="1653"/>
      <c r="I32" s="1653">
        <v>-6.5</v>
      </c>
      <c r="J32" s="1653"/>
      <c r="K32" s="1653">
        <v>-2.3260000000000001</v>
      </c>
      <c r="L32" s="1653"/>
      <c r="M32" s="1653">
        <v>-0.47799999999999998</v>
      </c>
      <c r="N32" s="1653"/>
      <c r="O32" s="1653">
        <v>-5.6529999999999996</v>
      </c>
      <c r="P32" s="1653"/>
      <c r="Q32" s="1653">
        <f>0.006+1.135</f>
        <v>1.141</v>
      </c>
      <c r="R32" s="1653"/>
      <c r="S32" s="1653">
        <v>11.063000000000001</v>
      </c>
      <c r="T32" s="1653"/>
      <c r="U32" s="1653">
        <v>6.0999999999999999E-2</v>
      </c>
      <c r="V32" s="1653"/>
      <c r="W32" s="1653">
        <v>-0.315</v>
      </c>
      <c r="X32" s="1653"/>
      <c r="Y32" s="1653">
        <v>-27.658999999999999</v>
      </c>
      <c r="Z32" s="1653"/>
      <c r="AA32" s="1653">
        <v>-4.5359999999999996</v>
      </c>
      <c r="AB32" s="1653"/>
      <c r="AC32" s="1653">
        <v>0</v>
      </c>
      <c r="AD32" s="1653"/>
      <c r="AE32" s="1653">
        <v>2.7</v>
      </c>
      <c r="AF32" s="1653"/>
      <c r="AG32" s="1653">
        <v>4.3</v>
      </c>
      <c r="AH32" s="1653"/>
      <c r="AI32" s="1653">
        <v>0</v>
      </c>
      <c r="AJ32" s="1653"/>
      <c r="AK32" s="1653">
        <v>0</v>
      </c>
      <c r="AL32" s="1653"/>
      <c r="AM32" s="2252">
        <v>0</v>
      </c>
      <c r="AN32" s="1653"/>
      <c r="AO32" s="1653">
        <v>0</v>
      </c>
      <c r="AP32" s="1653"/>
      <c r="AQ32" s="1653">
        <v>0</v>
      </c>
      <c r="AR32" s="1653"/>
      <c r="AS32" s="1653">
        <v>0</v>
      </c>
      <c r="AT32" s="1653"/>
      <c r="AU32" s="1653">
        <v>0</v>
      </c>
      <c r="AV32" s="1653"/>
      <c r="AW32" s="1653">
        <v>0</v>
      </c>
      <c r="AX32" s="1653"/>
      <c r="AY32" s="1653"/>
    </row>
    <row r="33" spans="1:58" outlineLevel="1">
      <c r="B33" s="1282" t="s">
        <v>289</v>
      </c>
      <c r="E33" s="1653">
        <v>1.1859999999999999</v>
      </c>
      <c r="F33" s="1653"/>
      <c r="G33" s="1653">
        <v>0.25800000000000001</v>
      </c>
      <c r="H33" s="1653"/>
      <c r="I33" s="1653">
        <v>5.6470000000000002</v>
      </c>
      <c r="J33" s="1653"/>
      <c r="K33" s="1653">
        <v>3.23</v>
      </c>
      <c r="L33" s="1653"/>
      <c r="M33" s="1653">
        <v>7.31</v>
      </c>
      <c r="N33" s="1653"/>
      <c r="O33" s="1653">
        <v>4.5069999999999997</v>
      </c>
      <c r="P33" s="1653"/>
      <c r="Q33" s="1653">
        <f>4.337+0.697</f>
        <v>5.0339999999999998</v>
      </c>
      <c r="R33" s="1653"/>
      <c r="S33" s="1653">
        <v>4.6689999999999996</v>
      </c>
      <c r="T33" s="1653"/>
      <c r="U33" s="1653">
        <v>2.4289999999999998</v>
      </c>
      <c r="V33" s="1653"/>
      <c r="W33" s="1653">
        <v>1.32</v>
      </c>
      <c r="X33" s="1653"/>
      <c r="Y33" s="1653">
        <v>-3.7999999999999999E-2</v>
      </c>
      <c r="Z33" s="1653"/>
      <c r="AA33" s="1653">
        <v>0.75700000000000001</v>
      </c>
      <c r="AB33" s="1653"/>
      <c r="AC33" s="1653"/>
      <c r="AD33" s="1653"/>
      <c r="AE33" s="1653">
        <v>0.77300000000000002</v>
      </c>
      <c r="AF33" s="1653"/>
      <c r="AG33" s="1653">
        <v>0.17399999999999999</v>
      </c>
      <c r="AH33" s="1653"/>
      <c r="AI33" s="1653">
        <v>4.25</v>
      </c>
      <c r="AJ33" s="1653"/>
      <c r="AK33" s="1653">
        <v>7.2880000000000003</v>
      </c>
      <c r="AL33" s="1653"/>
      <c r="AM33" s="2252">
        <f>5.98+0.006</f>
        <v>5.9860000000000007</v>
      </c>
      <c r="AN33" s="1653"/>
      <c r="AO33" s="1653">
        <v>0</v>
      </c>
      <c r="AP33" s="1653"/>
      <c r="AQ33" s="1653">
        <v>0</v>
      </c>
      <c r="AR33" s="1653"/>
      <c r="AS33" s="1653">
        <v>0</v>
      </c>
      <c r="AT33" s="1653"/>
      <c r="AU33" s="1653">
        <v>0</v>
      </c>
      <c r="AV33" s="1653"/>
      <c r="AW33" s="1653">
        <v>0</v>
      </c>
      <c r="AX33" s="1653"/>
      <c r="AY33" s="1653"/>
    </row>
    <row r="34" spans="1:58" outlineLevel="1">
      <c r="B34" s="1282" t="s">
        <v>283</v>
      </c>
      <c r="E34" s="1653">
        <v>-1.5229999999999999</v>
      </c>
      <c r="F34" s="1653"/>
      <c r="G34" s="1653">
        <v>-5.68</v>
      </c>
      <c r="H34" s="1653"/>
      <c r="I34" s="1653">
        <v>-24.768999999999998</v>
      </c>
      <c r="J34" s="1653"/>
      <c r="K34" s="1653">
        <v>-18.779</v>
      </c>
      <c r="L34" s="1653"/>
      <c r="M34" s="1653">
        <v>-0.22500000000000001</v>
      </c>
      <c r="N34" s="1653"/>
      <c r="O34" s="1653">
        <v>-4.2249999999999996</v>
      </c>
      <c r="P34" s="1653"/>
      <c r="Q34" s="1653">
        <v>-0.63500000000000001</v>
      </c>
      <c r="R34" s="1653"/>
      <c r="S34" s="1653">
        <f>0.85</f>
        <v>0.85</v>
      </c>
      <c r="T34" s="1653"/>
      <c r="U34" s="1653">
        <v>-7.1360000000000001</v>
      </c>
      <c r="V34" s="1653"/>
      <c r="W34" s="1653">
        <v>-1.337</v>
      </c>
      <c r="X34" s="1653"/>
      <c r="Y34" s="1653">
        <v>-0.42199999999999999</v>
      </c>
      <c r="Z34" s="1653"/>
      <c r="AA34" s="1653">
        <v>-0.55700000000000005</v>
      </c>
      <c r="AB34" s="1653"/>
      <c r="AC34" s="1653"/>
      <c r="AD34" s="1653"/>
      <c r="AE34" s="1653">
        <v>0</v>
      </c>
      <c r="AF34" s="1653"/>
      <c r="AG34" s="1653">
        <v>0</v>
      </c>
      <c r="AH34" s="1653"/>
      <c r="AI34" s="1653">
        <v>0</v>
      </c>
      <c r="AJ34" s="1653"/>
      <c r="AK34" s="1653">
        <v>0</v>
      </c>
      <c r="AL34" s="1653"/>
      <c r="AM34" s="1653">
        <v>0</v>
      </c>
      <c r="AN34" s="1653"/>
      <c r="AO34" s="1653">
        <v>0</v>
      </c>
      <c r="AP34" s="1653"/>
      <c r="AQ34" s="1653">
        <v>0</v>
      </c>
      <c r="AR34" s="1653"/>
      <c r="AS34" s="1653">
        <v>0</v>
      </c>
      <c r="AT34" s="1653"/>
      <c r="AU34" s="1653">
        <v>0</v>
      </c>
      <c r="AV34" s="1653"/>
      <c r="AW34" s="1653">
        <v>0</v>
      </c>
      <c r="AX34" s="1653"/>
      <c r="AY34" s="1653"/>
    </row>
    <row r="35" spans="1:58" outlineLevel="1">
      <c r="B35" s="1282" t="s">
        <v>292</v>
      </c>
      <c r="E35" s="1653">
        <v>0</v>
      </c>
      <c r="F35" s="1653"/>
      <c r="G35" s="1653">
        <v>0</v>
      </c>
      <c r="H35" s="1653"/>
      <c r="I35" s="1653">
        <v>0</v>
      </c>
      <c r="J35" s="1653"/>
      <c r="K35" s="1653">
        <v>0</v>
      </c>
      <c r="L35" s="1653"/>
      <c r="M35" s="1653">
        <v>0</v>
      </c>
      <c r="N35" s="1653"/>
      <c r="O35" s="1653">
        <v>0</v>
      </c>
      <c r="P35" s="1653"/>
      <c r="Q35" s="1653">
        <v>-2055.7469999999998</v>
      </c>
      <c r="R35" s="1653"/>
      <c r="S35" s="1949">
        <v>0</v>
      </c>
      <c r="T35" s="1653"/>
      <c r="U35" s="1949">
        <v>0</v>
      </c>
      <c r="V35" s="1653"/>
      <c r="W35" s="1653">
        <v>0</v>
      </c>
      <c r="X35" s="1653"/>
      <c r="Y35" s="1653">
        <v>0</v>
      </c>
      <c r="Z35" s="1653"/>
      <c r="AA35" s="1653">
        <v>0</v>
      </c>
      <c r="AB35" s="1653"/>
      <c r="AC35" s="1653">
        <v>0</v>
      </c>
      <c r="AD35" s="1653"/>
      <c r="AE35" s="1653">
        <v>0</v>
      </c>
      <c r="AF35" s="1653"/>
      <c r="AG35" s="1653">
        <v>0</v>
      </c>
      <c r="AH35" s="1653"/>
      <c r="AI35" s="1653">
        <v>0</v>
      </c>
      <c r="AJ35" s="1653"/>
      <c r="AK35" s="1653">
        <v>0</v>
      </c>
      <c r="AL35" s="1653"/>
      <c r="AM35" s="1653">
        <v>0</v>
      </c>
      <c r="AN35" s="1653"/>
      <c r="AO35" s="1653">
        <v>0</v>
      </c>
      <c r="AP35" s="1653"/>
      <c r="AQ35" s="1653">
        <v>0</v>
      </c>
      <c r="AR35" s="1653"/>
      <c r="AS35" s="1653">
        <v>0</v>
      </c>
      <c r="AT35" s="1653"/>
      <c r="AU35" s="1653">
        <v>0</v>
      </c>
      <c r="AV35" s="1653"/>
      <c r="AW35" s="1653">
        <v>0</v>
      </c>
      <c r="AX35" s="1653"/>
      <c r="AY35" s="1653"/>
    </row>
    <row r="36" spans="1:58" outlineLevel="1">
      <c r="B36" s="1282" t="s">
        <v>101</v>
      </c>
      <c r="E36" s="1653">
        <f>-0.182-3.601+0.119</f>
        <v>-3.6639999999999997</v>
      </c>
      <c r="F36" s="1653"/>
      <c r="G36" s="1653">
        <f>13.7+25+0.073-14.2-6.5+0.035</f>
        <v>18.108000000000004</v>
      </c>
      <c r="H36" s="1653"/>
      <c r="I36" s="1653">
        <f>-2.965+0.06+0.113+6.2-3.323</f>
        <v>8.5000000000000409E-2</v>
      </c>
      <c r="J36" s="1653"/>
      <c r="K36" s="1653">
        <f>-6.35+4.089+0.759-1.863</f>
        <v>-3.3649999999999993</v>
      </c>
      <c r="L36" s="1653"/>
      <c r="M36" s="1653">
        <f>-0.085+0.729-0.031-0.468</f>
        <v>0.14499999999999996</v>
      </c>
      <c r="N36" s="1653"/>
      <c r="O36" s="1653">
        <f>-0.058+0.035+0.016-0.078</f>
        <v>-8.4999999999999992E-2</v>
      </c>
      <c r="P36" s="1653"/>
      <c r="Q36" s="1653">
        <f>0.039-0.055-0.009+3.822+0.019</f>
        <v>3.8160000000000003</v>
      </c>
      <c r="R36" s="1653"/>
      <c r="S36" s="1653">
        <f>0.082-0.067</f>
        <v>1.4999999999999999E-2</v>
      </c>
      <c r="T36" s="1653"/>
      <c r="U36" s="1653">
        <f>-0.072+0.02</f>
        <v>-5.1999999999999991E-2</v>
      </c>
      <c r="V36" s="1653"/>
      <c r="W36" s="1653">
        <f>0.072-6.25+11.115</f>
        <v>4.9370000000000003</v>
      </c>
      <c r="X36" s="1653"/>
      <c r="Y36" s="1653">
        <f>0.048+0.24</f>
        <v>0.28799999999999998</v>
      </c>
      <c r="Z36" s="1653"/>
      <c r="AA36" s="1653">
        <v>-1.0640000000000001</v>
      </c>
      <c r="AB36" s="1653"/>
      <c r="AC36" s="1653">
        <v>0</v>
      </c>
      <c r="AD36" s="1653"/>
      <c r="AE36" s="1653">
        <v>0</v>
      </c>
      <c r="AF36" s="1653"/>
      <c r="AG36" s="1653">
        <v>0.34200000000000003</v>
      </c>
      <c r="AH36" s="1653"/>
      <c r="AI36" s="1653">
        <v>2.8050000000000002</v>
      </c>
      <c r="AJ36" s="1653"/>
      <c r="AK36" s="1653">
        <f>-0.132+13.47-6.149</f>
        <v>7.1890000000000009</v>
      </c>
      <c r="AL36" s="1653"/>
      <c r="AM36" s="1653">
        <v>0</v>
      </c>
      <c r="AN36" s="1653"/>
      <c r="AO36" s="1653">
        <v>0</v>
      </c>
      <c r="AP36" s="1653"/>
      <c r="AQ36" s="1653">
        <v>0</v>
      </c>
      <c r="AR36" s="1653"/>
      <c r="AS36" s="1653">
        <v>0</v>
      </c>
      <c r="AT36" s="1653"/>
      <c r="AU36" s="1653">
        <v>0</v>
      </c>
      <c r="AV36" s="1653"/>
      <c r="AW36" s="1653">
        <v>0</v>
      </c>
      <c r="AX36" s="1653"/>
      <c r="AY36" s="1653"/>
    </row>
    <row r="37" spans="1:58">
      <c r="B37" s="1282" t="s">
        <v>343</v>
      </c>
      <c r="E37" s="1797">
        <f>SUM(E32:E36)</f>
        <v>-4.0009999999999994</v>
      </c>
      <c r="F37" s="1653"/>
      <c r="G37" s="1797">
        <f>SUM(G32:G36)</f>
        <v>12.686000000000003</v>
      </c>
      <c r="H37" s="1653"/>
      <c r="I37" s="1797">
        <f>SUM(I32:I36)</f>
        <v>-25.536999999999999</v>
      </c>
      <c r="J37" s="1653"/>
      <c r="K37" s="1797">
        <f>SUM(K32:K36)</f>
        <v>-21.24</v>
      </c>
      <c r="L37" s="1653"/>
      <c r="M37" s="1797">
        <f>SUM(M32:M36)</f>
        <v>6.7519999999999998</v>
      </c>
      <c r="N37" s="1653"/>
      <c r="O37" s="1797">
        <f>SUM(O32:O36)</f>
        <v>-5.4559999999999995</v>
      </c>
      <c r="P37" s="1653"/>
      <c r="Q37" s="1797">
        <f>SUM(Q32:Q36)</f>
        <v>-2046.3909999999998</v>
      </c>
      <c r="R37" s="1653"/>
      <c r="S37" s="1797">
        <f>SUM(S32:S36)</f>
        <v>16.597000000000001</v>
      </c>
      <c r="T37" s="1653"/>
      <c r="U37" s="1797">
        <f>SUM(U32:U36)</f>
        <v>-4.6980000000000004</v>
      </c>
      <c r="V37" s="1653"/>
      <c r="W37" s="1797">
        <f>SUM(W32:W36)</f>
        <v>4.6050000000000004</v>
      </c>
      <c r="X37" s="1797"/>
      <c r="Y37" s="1797">
        <f>SUM(Y32:Y36)</f>
        <v>-27.831</v>
      </c>
      <c r="Z37" s="1797"/>
      <c r="AA37" s="1797">
        <f>SUM(AA32:AA36)</f>
        <v>-5.3999999999999995</v>
      </c>
      <c r="AB37" s="1797"/>
      <c r="AC37" s="1797">
        <f>SUM(AC32:AC36)</f>
        <v>0</v>
      </c>
      <c r="AD37" s="1653"/>
      <c r="AE37" s="1797">
        <f>SUM(AE32:AE36)</f>
        <v>3.4730000000000003</v>
      </c>
      <c r="AF37" s="1653"/>
      <c r="AG37" s="1653">
        <f>SUM(AG32:AG36)</f>
        <v>4.8159999999999998</v>
      </c>
      <c r="AH37" s="1653"/>
      <c r="AI37" s="1653">
        <v>0</v>
      </c>
      <c r="AJ37" s="1653"/>
      <c r="AK37" s="1653">
        <v>0</v>
      </c>
      <c r="AL37" s="1653"/>
      <c r="AM37" s="1653">
        <v>0</v>
      </c>
      <c r="AN37" s="1653"/>
      <c r="AO37" s="1653">
        <v>0</v>
      </c>
      <c r="AP37" s="1653"/>
      <c r="AQ37" s="1653">
        <v>0</v>
      </c>
      <c r="AR37" s="1653"/>
      <c r="AS37" s="1653">
        <v>0</v>
      </c>
      <c r="AT37" s="1653"/>
      <c r="AU37" s="1653">
        <v>0</v>
      </c>
      <c r="AV37" s="1653"/>
      <c r="AW37" s="1653">
        <v>0</v>
      </c>
      <c r="AX37" s="1653"/>
      <c r="AY37" s="1653"/>
      <c r="BF37" s="1958">
        <f>AK29+AK46</f>
        <v>602.44599999999946</v>
      </c>
    </row>
    <row r="38" spans="1:58">
      <c r="AH38" s="1349"/>
      <c r="AJ38" s="1349"/>
      <c r="AL38" s="1349"/>
      <c r="AN38" s="1349"/>
      <c r="AP38" s="1349"/>
      <c r="AR38" s="1349"/>
      <c r="AT38" s="1349"/>
      <c r="AV38" s="1349"/>
    </row>
    <row r="39" spans="1:58">
      <c r="B39" s="1282" t="s">
        <v>178</v>
      </c>
      <c r="AM39" s="1958"/>
    </row>
    <row r="40" spans="1:58">
      <c r="C40" s="1282" t="s">
        <v>21</v>
      </c>
      <c r="E40" s="1651">
        <v>-9.9700000000000006</v>
      </c>
      <c r="F40" s="1651"/>
      <c r="G40" s="1651">
        <v>-8.3970000000000002</v>
      </c>
      <c r="H40" s="1651"/>
      <c r="I40" s="1651">
        <v>-11.218999999999999</v>
      </c>
      <c r="J40" s="1651"/>
      <c r="K40" s="1651">
        <v>-11.503</v>
      </c>
      <c r="L40" s="1651"/>
      <c r="M40" s="1651">
        <v>-16.521999999999998</v>
      </c>
      <c r="N40" s="1651"/>
      <c r="O40" s="1651">
        <v>-8.5399999999999991</v>
      </c>
      <c r="P40" s="1651"/>
      <c r="Q40" s="1651">
        <f>-2.296+2.059</f>
        <v>-0.23699999999999966</v>
      </c>
      <c r="R40" s="1651"/>
      <c r="S40" s="1651">
        <v>-4.258</v>
      </c>
      <c r="T40" s="1651"/>
      <c r="U40" s="1651">
        <v>-3.1869999999999998</v>
      </c>
      <c r="V40" s="1651"/>
      <c r="W40" s="1651">
        <v>-1.3160000000000001</v>
      </c>
      <c r="X40" s="1651"/>
      <c r="Y40" s="1651">
        <v>-1.1679999999999999</v>
      </c>
      <c r="Z40" s="1651"/>
      <c r="AA40" s="1651">
        <v>-1.65</v>
      </c>
      <c r="AB40" s="1651"/>
      <c r="AC40" s="1643">
        <f>bal!AA12-bal!AC12</f>
        <v>-1.615000000000002</v>
      </c>
      <c r="AD40" s="1651"/>
      <c r="AE40" s="1651">
        <v>1.573</v>
      </c>
      <c r="AF40" s="1651"/>
      <c r="AG40" s="1943">
        <v>-8.6159999999999997</v>
      </c>
      <c r="AH40" s="1966"/>
      <c r="AI40" s="1943">
        <v>1.2629999999999999</v>
      </c>
      <c r="AJ40" s="1966"/>
      <c r="AK40" s="1943">
        <v>-3.4889999999999999</v>
      </c>
      <c r="AL40" s="1966"/>
      <c r="AM40" s="1943">
        <v>-19.983000000000001</v>
      </c>
      <c r="AN40" s="1966"/>
      <c r="AO40" s="1643">
        <f>bal!AM12-bal!AO12</f>
        <v>9.0688691629919731</v>
      </c>
      <c r="AP40" s="1966"/>
      <c r="AQ40" s="1643">
        <f>bal!AO12-bal!AQ12</f>
        <v>-6.5058265447964914</v>
      </c>
      <c r="AR40" s="1966"/>
      <c r="AS40" s="1643">
        <f>bal!AQ12-bal!AS12</f>
        <v>-6.8855336624216363</v>
      </c>
      <c r="AT40" s="1966"/>
      <c r="AU40" s="1643">
        <f>bal!AS12-bal!AU12</f>
        <v>-7.2813828247737717</v>
      </c>
      <c r="AV40" s="1966"/>
      <c r="AW40" s="1643">
        <f>bal!AU12-bal!AW12</f>
        <v>-7.6941245069828739</v>
      </c>
      <c r="AX40" s="1643"/>
      <c r="AY40" s="1643"/>
    </row>
    <row r="41" spans="1:58">
      <c r="C41" s="1282" t="s">
        <v>12</v>
      </c>
      <c r="E41" s="1945">
        <v>-11.978</v>
      </c>
      <c r="F41" s="1653"/>
      <c r="G41" s="1945">
        <v>-22.411000000000001</v>
      </c>
      <c r="H41" s="1653"/>
      <c r="I41" s="1945">
        <v>-29.222999999999999</v>
      </c>
      <c r="J41" s="1653"/>
      <c r="K41" s="1945">
        <v>-18.481000000000002</v>
      </c>
      <c r="L41" s="1653"/>
      <c r="M41" s="1653">
        <v>-39.405000000000001</v>
      </c>
      <c r="N41" s="1653"/>
      <c r="O41" s="1653">
        <v>-98.343999999999994</v>
      </c>
      <c r="P41" s="1653"/>
      <c r="Q41" s="1653">
        <f>48.971-36.274</f>
        <v>12.696999999999996</v>
      </c>
      <c r="R41" s="1653"/>
      <c r="S41" s="1653">
        <v>-2.3860000000000001</v>
      </c>
      <c r="T41" s="1653"/>
      <c r="U41" s="1653">
        <v>-8.9580000000000002</v>
      </c>
      <c r="V41" s="1653"/>
      <c r="W41" s="1346">
        <v>81.742999999999995</v>
      </c>
      <c r="X41" s="1653"/>
      <c r="Y41" s="1653">
        <v>-30.933</v>
      </c>
      <c r="Z41" s="1653"/>
      <c r="AA41" s="1653">
        <v>-38.033000000000001</v>
      </c>
      <c r="AB41" s="1653"/>
      <c r="AC41" s="1797">
        <f>bal!AA13-bal!AC13</f>
        <v>2.0699999999999363</v>
      </c>
      <c r="AD41" s="1653"/>
      <c r="AE41" s="1653">
        <v>-39.862000000000002</v>
      </c>
      <c r="AF41" s="1653"/>
      <c r="AG41" s="1944">
        <v>-68.658000000000001</v>
      </c>
      <c r="AH41" s="1715"/>
      <c r="AI41" s="1944">
        <v>5.18</v>
      </c>
      <c r="AJ41" s="1715"/>
      <c r="AK41" s="1944">
        <v>81.048000000000002</v>
      </c>
      <c r="AL41" s="1715"/>
      <c r="AM41" s="1944">
        <v>-50.670999999999999</v>
      </c>
      <c r="AN41" s="1715"/>
      <c r="AO41" s="1797">
        <f>bal!AM13-bal!AO13</f>
        <v>-37.923863204311942</v>
      </c>
      <c r="AP41" s="1715"/>
      <c r="AQ41" s="1797">
        <f>bal!AO13-bal!AQ13</f>
        <v>-82.178861618481847</v>
      </c>
      <c r="AR41" s="1715"/>
      <c r="AS41" s="1797">
        <f>bal!AQ13-bal!AS13</f>
        <v>-86.97516205164186</v>
      </c>
      <c r="AT41" s="1715"/>
      <c r="AU41" s="1797">
        <f>bal!AS13-bal!AU13</f>
        <v>-91.975361997142272</v>
      </c>
      <c r="AV41" s="1715"/>
      <c r="AW41" s="1797">
        <f>bal!AU13-bal!AW13</f>
        <v>-97.188941140836278</v>
      </c>
      <c r="AX41" s="1797"/>
      <c r="AY41" s="1797"/>
    </row>
    <row r="42" spans="1:58">
      <c r="C42" s="1282" t="s">
        <v>13</v>
      </c>
      <c r="E42" s="1653">
        <v>-4.5460000000000003</v>
      </c>
      <c r="F42" s="1653"/>
      <c r="G42" s="1653">
        <v>-11.095000000000001</v>
      </c>
      <c r="H42" s="1653"/>
      <c r="I42" s="1653">
        <v>3.0790000000000002</v>
      </c>
      <c r="J42" s="1653"/>
      <c r="K42" s="1653">
        <v>16.404</v>
      </c>
      <c r="L42" s="1653"/>
      <c r="M42" s="1653">
        <v>-1.7529999999999999</v>
      </c>
      <c r="N42" s="1653"/>
      <c r="O42" s="1653">
        <v>-1.7250000000000001</v>
      </c>
      <c r="P42" s="1653"/>
      <c r="Q42" s="1653">
        <f>9.154-8.098</f>
        <v>1.0559999999999992</v>
      </c>
      <c r="R42" s="1653"/>
      <c r="S42" s="1653">
        <f>0.91+0.591</f>
        <v>1.5009999999999999</v>
      </c>
      <c r="T42" s="1653"/>
      <c r="U42" s="1653">
        <v>4.6820000000000004</v>
      </c>
      <c r="V42" s="1653"/>
      <c r="W42" s="1346">
        <v>-6.7629999999999999</v>
      </c>
      <c r="X42" s="1653"/>
      <c r="Y42" s="1653">
        <v>-18.271999999999998</v>
      </c>
      <c r="Z42" s="1653"/>
      <c r="AA42" s="1653">
        <v>-8.8450000000000006</v>
      </c>
      <c r="AB42" s="1653"/>
      <c r="AC42" s="1797">
        <f>bal!AA15-bal!AC15</f>
        <v>-11.558999999999997</v>
      </c>
      <c r="AD42" s="1653"/>
      <c r="AE42" s="1653">
        <v>-8.9610000000000003</v>
      </c>
      <c r="AF42" s="1653"/>
      <c r="AG42" s="1944">
        <v>27.545999999999999</v>
      </c>
      <c r="AH42" s="1715"/>
      <c r="AI42" s="1944">
        <v>-6.4539999999999997</v>
      </c>
      <c r="AJ42" s="1715"/>
      <c r="AK42" s="1944">
        <v>-13.266999999999999</v>
      </c>
      <c r="AL42" s="1715"/>
      <c r="AM42" s="1797"/>
      <c r="AN42" s="1715"/>
      <c r="AO42" s="1797">
        <f>bal!AM15-bal!AO15</f>
        <v>49.262178066307328</v>
      </c>
      <c r="AP42" s="1715"/>
      <c r="AQ42" s="1797">
        <f>bal!AO15-bal!AQ15</f>
        <v>-6.84823846820683</v>
      </c>
      <c r="AR42" s="1715"/>
      <c r="AS42" s="1797">
        <f>bal!AQ15-bal!AS15</f>
        <v>-7.247930170970136</v>
      </c>
      <c r="AT42" s="1715"/>
      <c r="AU42" s="1797">
        <f>bal!AS15-bal!AU15</f>
        <v>-7.6646134997618702</v>
      </c>
      <c r="AV42" s="1715"/>
      <c r="AW42" s="1797">
        <f>bal!AU15-bal!AW15</f>
        <v>-8.0990784284030326</v>
      </c>
      <c r="AX42" s="1797"/>
      <c r="AY42" s="1797"/>
    </row>
    <row r="43" spans="1:58">
      <c r="B43" s="1282" t="s">
        <v>179</v>
      </c>
      <c r="W43" s="1312"/>
      <c r="AH43" s="1349"/>
      <c r="AJ43" s="1349"/>
      <c r="AL43" s="1349"/>
      <c r="AN43" s="1349"/>
      <c r="AP43" s="1349"/>
      <c r="AR43" s="1349"/>
      <c r="AT43" s="1349"/>
      <c r="AV43" s="1349"/>
    </row>
    <row r="44" spans="1:58">
      <c r="C44" s="1282" t="s">
        <v>15</v>
      </c>
      <c r="E44" s="1966">
        <v>51.570999999999998</v>
      </c>
      <c r="F44" s="1966"/>
      <c r="G44" s="1966">
        <v>-13.659000000000001</v>
      </c>
      <c r="H44" s="1966"/>
      <c r="I44" s="1966">
        <v>112.048</v>
      </c>
      <c r="J44" s="1966"/>
      <c r="K44" s="1966">
        <v>-60.601999999999997</v>
      </c>
      <c r="L44" s="1966"/>
      <c r="M44" s="1966">
        <v>52.210999999999999</v>
      </c>
      <c r="N44" s="1966"/>
      <c r="O44" s="1966">
        <v>26.556000000000001</v>
      </c>
      <c r="P44" s="1966"/>
      <c r="Q44" s="1966">
        <f>-62.176+116.189</f>
        <v>54.012999999999991</v>
      </c>
      <c r="R44" s="1966"/>
      <c r="S44" s="1966">
        <v>-62.48</v>
      </c>
      <c r="T44" s="1966"/>
      <c r="U44" s="1966">
        <v>-58.335000000000001</v>
      </c>
      <c r="V44" s="1966"/>
      <c r="W44" s="1966">
        <v>-258.82600000000002</v>
      </c>
      <c r="X44" s="1966"/>
      <c r="Y44" s="1966">
        <v>50.658999999999999</v>
      </c>
      <c r="Z44" s="1966"/>
      <c r="AA44" s="1966">
        <v>85.823999999999998</v>
      </c>
      <c r="AB44" s="1966"/>
      <c r="AC44" s="1967">
        <f>-(bal!AA26-bal!AC26)</f>
        <v>224.12099999999998</v>
      </c>
      <c r="AD44" s="1967"/>
      <c r="AE44" s="1966">
        <v>42.581000000000003</v>
      </c>
      <c r="AF44" s="1967"/>
      <c r="AG44" s="1968">
        <v>78.694999999999993</v>
      </c>
      <c r="AH44" s="1967"/>
      <c r="AI44" s="1968">
        <v>-23.483000000000001</v>
      </c>
      <c r="AJ44" s="1967"/>
      <c r="AK44" s="1968">
        <v>41.542999999999999</v>
      </c>
      <c r="AL44" s="1967"/>
      <c r="AM44" s="1968">
        <v>97.003</v>
      </c>
      <c r="AN44" s="1967"/>
      <c r="AO44" s="1967">
        <f>-(bal!AM26-bal!AO26)</f>
        <v>37.101953236944041</v>
      </c>
      <c r="AP44" s="1967"/>
      <c r="AQ44" s="1967">
        <f>-(bal!AO26-bal!AQ26)</f>
        <v>80.397829314170167</v>
      </c>
      <c r="AR44" s="1967"/>
      <c r="AS44" s="1967">
        <f>-(bal!AQ26-bal!AS26)</f>
        <v>85.090181288512326</v>
      </c>
      <c r="AT44" s="1967"/>
      <c r="AU44" s="1967">
        <f>-(bal!AS26-bal!AU26)</f>
        <v>89.982013735904729</v>
      </c>
      <c r="AV44" s="1967"/>
      <c r="AW44" s="1967">
        <f>-(bal!AU26-bal!AW26)</f>
        <v>95.082600892448681</v>
      </c>
      <c r="AX44" s="1967"/>
      <c r="AY44" s="1967"/>
    </row>
    <row r="45" spans="1:58">
      <c r="C45" s="1282" t="s">
        <v>280</v>
      </c>
      <c r="E45" s="1946">
        <v>25.707999999999998</v>
      </c>
      <c r="F45" s="1946"/>
      <c r="G45" s="1946">
        <v>5.1820000000000004</v>
      </c>
      <c r="H45" s="1946"/>
      <c r="I45" s="1946">
        <v>20.632999999999999</v>
      </c>
      <c r="J45" s="1946"/>
      <c r="K45" s="1946">
        <f>26.484-(15.153)</f>
        <v>11.331000000000001</v>
      </c>
      <c r="L45" s="1946"/>
      <c r="M45" s="1955">
        <f>15.984-153.677</f>
        <v>-137.69299999999998</v>
      </c>
      <c r="N45" s="1946"/>
      <c r="O45" s="1946">
        <f>-8.687+33.702</f>
        <v>25.015000000000001</v>
      </c>
      <c r="P45" s="1946"/>
      <c r="Q45" s="1946">
        <f>-39.759+50.193+133.89+0.183</f>
        <v>144.50699999999998</v>
      </c>
      <c r="R45" s="1946"/>
      <c r="S45" s="1946">
        <v>3.6829999999999998</v>
      </c>
      <c r="T45" s="1946"/>
      <c r="U45" s="1946">
        <v>21.289000000000001</v>
      </c>
      <c r="V45" s="1946"/>
      <c r="W45" s="1946">
        <v>-23.51</v>
      </c>
      <c r="X45" s="1946"/>
      <c r="Y45" s="1946">
        <v>-28.183</v>
      </c>
      <c r="Z45" s="1946"/>
      <c r="AA45" s="1946">
        <v>6.9589999999999996</v>
      </c>
      <c r="AB45" s="1946"/>
      <c r="AC45" s="1956">
        <f>203.7-SUM(AC40:AC44)</f>
        <v>-9.316999999999922</v>
      </c>
      <c r="AD45" s="1946"/>
      <c r="AE45" s="1946">
        <f>51.096+3.477</f>
        <v>54.572999999999993</v>
      </c>
      <c r="AF45" s="1946"/>
      <c r="AG45" s="1947">
        <f>18.958+2.552</f>
        <v>21.509999999999998</v>
      </c>
      <c r="AH45" s="1715"/>
      <c r="AI45" s="1956">
        <f>-10.642+3.85+1.957</f>
        <v>-4.835</v>
      </c>
      <c r="AJ45" s="1715"/>
      <c r="AK45" s="1947">
        <f>74.819+5.715+2.876</f>
        <v>83.410000000000011</v>
      </c>
      <c r="AL45" s="1715"/>
      <c r="AM45" s="1956">
        <f>-40.346-2.109+14.068</f>
        <v>-28.387</v>
      </c>
      <c r="AN45" s="1715"/>
      <c r="AO45" s="1956"/>
      <c r="AP45" s="1715"/>
      <c r="AQ45" s="1956"/>
      <c r="AR45" s="1715"/>
      <c r="AS45" s="1956"/>
      <c r="AT45" s="1715"/>
      <c r="AU45" s="1956"/>
      <c r="AV45" s="1715"/>
      <c r="AW45" s="1956"/>
      <c r="AX45" s="1963"/>
      <c r="AY45" s="1963"/>
    </row>
    <row r="46" spans="1:58">
      <c r="B46" s="1282" t="s">
        <v>172</v>
      </c>
      <c r="E46" s="1669">
        <f>SUM(E40:E45)</f>
        <v>50.784999999999997</v>
      </c>
      <c r="F46" s="1669"/>
      <c r="G46" s="1669">
        <f>SUM(G40:G45)</f>
        <v>-50.379999999999995</v>
      </c>
      <c r="H46" s="1669"/>
      <c r="I46" s="1669">
        <f>SUM(I40:I45)</f>
        <v>95.317999999999998</v>
      </c>
      <c r="J46" s="1669"/>
      <c r="K46" s="1669">
        <f>SUM(K40:K45)</f>
        <v>-62.850999999999999</v>
      </c>
      <c r="L46" s="1669"/>
      <c r="M46" s="1669">
        <f>SUM(M40:M45)</f>
        <v>-143.16199999999998</v>
      </c>
      <c r="N46" s="1669"/>
      <c r="O46" s="1669">
        <f>SUM(O40:O45)</f>
        <v>-57.037999999999982</v>
      </c>
      <c r="P46" s="1669"/>
      <c r="Q46" s="1669">
        <f>SUM(Q40:Q45)</f>
        <v>212.03599999999994</v>
      </c>
      <c r="R46" s="1669"/>
      <c r="S46" s="1669">
        <f>SUM(S40:S45)</f>
        <v>-63.939999999999991</v>
      </c>
      <c r="T46" s="1669"/>
      <c r="U46" s="1669">
        <f>SUM(U40:U45)</f>
        <v>-44.509</v>
      </c>
      <c r="V46" s="1669"/>
      <c r="W46" s="1669">
        <f>SUM(W40:W45)</f>
        <v>-208.67200000000003</v>
      </c>
      <c r="X46" s="1669"/>
      <c r="Y46" s="1669">
        <f>SUM(Y40:Y45)</f>
        <v>-27.896999999999998</v>
      </c>
      <c r="Z46" s="1669"/>
      <c r="AA46" s="1669">
        <f>SUM(AA40:AA45)</f>
        <v>44.254999999999995</v>
      </c>
      <c r="AB46" s="1669"/>
      <c r="AC46" s="1669">
        <f>SUM(AC40:AC45)</f>
        <v>203.7</v>
      </c>
      <c r="AD46" s="1669"/>
      <c r="AE46" s="1669">
        <f>SUM(AE40:AE45)</f>
        <v>49.903999999999996</v>
      </c>
      <c r="AF46" s="1669"/>
      <c r="AG46" s="1669">
        <f>SUM(AG40:AG45)</f>
        <v>50.47699999999999</v>
      </c>
      <c r="AH46" s="1718"/>
      <c r="AI46" s="1669">
        <f>SUM(AI40:AI45)</f>
        <v>-28.329000000000001</v>
      </c>
      <c r="AJ46" s="1718"/>
      <c r="AK46" s="1669">
        <f>SUM(AK40:AK45)</f>
        <v>189.245</v>
      </c>
      <c r="AL46" s="1718"/>
      <c r="AM46" s="1958">
        <f>SUM(AM40:AM45)</f>
        <v>-2.0379999999999967</v>
      </c>
      <c r="AN46" s="1718"/>
      <c r="AO46" s="1669">
        <f>SUM(AO40:AO45)</f>
        <v>57.5091372619314</v>
      </c>
      <c r="AP46" s="1718"/>
      <c r="AQ46" s="1669">
        <f>SUM(AQ40:AQ45)</f>
        <v>-15.135097317315001</v>
      </c>
      <c r="AR46" s="1718"/>
      <c r="AS46" s="1669">
        <f>SUM(AS40:AS45)</f>
        <v>-16.018444596521306</v>
      </c>
      <c r="AT46" s="1718"/>
      <c r="AU46" s="1669">
        <f>SUM(AU40:AU45)</f>
        <v>-16.939344585773185</v>
      </c>
      <c r="AV46" s="1718"/>
      <c r="AW46" s="1669">
        <f>SUM(AW40:AW45)</f>
        <v>-17.899543183773503</v>
      </c>
      <c r="AX46" s="1669"/>
      <c r="AY46" s="1669"/>
    </row>
    <row r="47" spans="1:58" ht="4.5" customHeight="1">
      <c r="E47" s="1669"/>
      <c r="F47" s="1669"/>
      <c r="G47" s="1669"/>
      <c r="H47" s="1669"/>
      <c r="I47" s="1669"/>
      <c r="J47" s="1669"/>
      <c r="K47" s="1669"/>
      <c r="L47" s="1669"/>
      <c r="M47" s="1669"/>
      <c r="N47" s="1669"/>
      <c r="O47" s="1669"/>
      <c r="P47" s="1669"/>
      <c r="Q47" s="1669"/>
      <c r="R47" s="1669"/>
      <c r="S47" s="1669"/>
      <c r="T47" s="1669"/>
      <c r="U47" s="1669"/>
      <c r="V47" s="1669"/>
      <c r="W47" s="1669"/>
      <c r="X47" s="1669"/>
      <c r="Y47" s="1669"/>
      <c r="Z47" s="1669"/>
      <c r="AA47" s="1669"/>
      <c r="AB47" s="1669"/>
      <c r="AC47" s="1669"/>
      <c r="AD47" s="1669"/>
      <c r="AE47" s="1669"/>
      <c r="AF47" s="1669"/>
      <c r="AG47" s="1669"/>
      <c r="AH47" s="1718"/>
      <c r="AI47" s="1669"/>
      <c r="AJ47" s="1718"/>
      <c r="AK47" s="1669"/>
      <c r="AL47" s="1718"/>
      <c r="AM47" s="1669"/>
      <c r="AN47" s="1718"/>
      <c r="AO47" s="1669"/>
      <c r="AP47" s="1718"/>
      <c r="AQ47" s="1669"/>
      <c r="AR47" s="1718"/>
      <c r="AS47" s="1669"/>
      <c r="AT47" s="1718"/>
      <c r="AU47" s="1669"/>
      <c r="AV47" s="1718"/>
      <c r="AW47" s="1669"/>
      <c r="AX47" s="1669"/>
      <c r="AY47" s="1669"/>
    </row>
    <row r="48" spans="1:58">
      <c r="A48" s="1282" t="s">
        <v>173</v>
      </c>
      <c r="E48" s="1669">
        <f>SUM(E31:E36)+E46</f>
        <v>-60.793999999999997</v>
      </c>
      <c r="F48" s="1669"/>
      <c r="G48" s="1669">
        <f>SUM(G31:G36)+G46</f>
        <v>-133.46600000000001</v>
      </c>
      <c r="H48" s="1669"/>
      <c r="I48" s="1669">
        <f>SUM(I31:I36)+I46</f>
        <v>-95.013999999999996</v>
      </c>
      <c r="J48" s="1669"/>
      <c r="K48" s="1669">
        <f>SUM(K31:K36)+K46</f>
        <v>-231.16200000000001</v>
      </c>
      <c r="L48" s="1669"/>
      <c r="M48" s="1669">
        <f>SUM(M31:M36)+M46</f>
        <v>-261.95999999999998</v>
      </c>
      <c r="N48" s="1669"/>
      <c r="O48" s="1669">
        <f>SUM(O31:O36)+O46</f>
        <v>-155.60899999999998</v>
      </c>
      <c r="P48" s="1669"/>
      <c r="Q48" s="1669">
        <f>SUM(Q31:Q36)+Q46</f>
        <v>-1909.5529999999999</v>
      </c>
      <c r="R48" s="1669"/>
      <c r="S48" s="1669">
        <f>SUM(S31:S36)+S46</f>
        <v>-116.53099999999999</v>
      </c>
      <c r="T48" s="1669"/>
      <c r="U48" s="1669">
        <f>SUM(U31:U36)+U46</f>
        <v>-144.822</v>
      </c>
      <c r="V48" s="1669"/>
      <c r="W48" s="1669">
        <f>SUM(W31:W36)+W46</f>
        <v>-298.13700000000006</v>
      </c>
      <c r="X48" s="1669"/>
      <c r="Y48" s="1669">
        <f>SUM(Y31:Y36)+Y46</f>
        <v>-187.85899999999998</v>
      </c>
      <c r="Z48" s="1669"/>
      <c r="AA48" s="1669">
        <f>SUM(AA31:AA36)+AA46</f>
        <v>-114.51799999999997</v>
      </c>
      <c r="AB48" s="1669"/>
      <c r="AC48" s="1669">
        <f>SUM(AC31:AC36)+AC46</f>
        <v>36.399999999999977</v>
      </c>
      <c r="AD48" s="1669"/>
      <c r="AE48" s="1669">
        <f>SUM(AE31:AE36)+AE46</f>
        <v>-114.89000000000001</v>
      </c>
      <c r="AF48" s="1669"/>
      <c r="AG48" s="1669">
        <f>SUM(AG31:AG36)+AG46</f>
        <v>-165.68699999999995</v>
      </c>
      <c r="AH48" s="1718"/>
      <c r="AI48" s="1669">
        <f>SUM(AI31:AI36)+AI46</f>
        <v>-223.06100000000001</v>
      </c>
      <c r="AJ48" s="1718"/>
      <c r="AK48" s="1669">
        <f>SUM(AK31:AK36)+AK46</f>
        <v>16.215000000000003</v>
      </c>
      <c r="AL48" s="1718"/>
      <c r="AM48" s="1669">
        <f>SUM(AM31:AM36)+AM46</f>
        <v>-264.24600000000004</v>
      </c>
      <c r="AN48" s="1718"/>
      <c r="AO48" s="1669">
        <f>SUM(AO31:AO36)+AO46</f>
        <v>-192.49086273806859</v>
      </c>
      <c r="AP48" s="1718"/>
      <c r="AQ48" s="1669">
        <f>SUM(AQ31:AQ36)+AQ46</f>
        <v>-265.135097317315</v>
      </c>
      <c r="AR48" s="1718"/>
      <c r="AS48" s="1669">
        <f>SUM(AS31:AS36)+AS46</f>
        <v>-266.01844459652131</v>
      </c>
      <c r="AT48" s="1718"/>
      <c r="AU48" s="1669">
        <f>SUM(AU31:AU36)+AU46</f>
        <v>-266.9393445857732</v>
      </c>
      <c r="AV48" s="1718"/>
      <c r="AW48" s="1669">
        <f>SUM(AW31:AW36)+AW46</f>
        <v>-267.89954318377352</v>
      </c>
      <c r="AX48" s="1669"/>
      <c r="AY48" s="1669"/>
    </row>
    <row r="49" spans="1:51" ht="4.5" customHeight="1">
      <c r="E49" s="1669"/>
      <c r="F49" s="1669"/>
      <c r="G49" s="1669"/>
      <c r="H49" s="1669"/>
      <c r="I49" s="1669"/>
      <c r="J49" s="1669"/>
      <c r="K49" s="1669"/>
      <c r="L49" s="1669"/>
      <c r="M49" s="1669"/>
      <c r="N49" s="1669"/>
      <c r="O49" s="1669"/>
      <c r="P49" s="1669"/>
      <c r="Q49" s="1669"/>
      <c r="R49" s="1669"/>
      <c r="S49" s="1669"/>
      <c r="T49" s="1669"/>
      <c r="U49" s="1669"/>
      <c r="V49" s="1669"/>
      <c r="W49" s="1669"/>
      <c r="X49" s="1669"/>
      <c r="Y49" s="1669"/>
      <c r="Z49" s="1669"/>
      <c r="AA49" s="1669"/>
      <c r="AB49" s="1669"/>
      <c r="AC49" s="1669"/>
      <c r="AD49" s="1669"/>
      <c r="AE49" s="1669"/>
      <c r="AF49" s="1669"/>
      <c r="AG49" s="1669"/>
      <c r="AH49" s="1718"/>
      <c r="AI49" s="1669"/>
      <c r="AJ49" s="1718"/>
      <c r="AK49" s="1669"/>
      <c r="AL49" s="1718"/>
      <c r="AM49" s="1669"/>
      <c r="AN49" s="1718"/>
      <c r="AO49" s="1669"/>
      <c r="AP49" s="1718"/>
      <c r="AQ49" s="1669"/>
      <c r="AR49" s="1718"/>
      <c r="AS49" s="1669"/>
      <c r="AT49" s="1718"/>
      <c r="AU49" s="1669"/>
      <c r="AV49" s="1718"/>
      <c r="AW49" s="1669"/>
      <c r="AX49" s="1669"/>
      <c r="AY49" s="1669"/>
    </row>
    <row r="50" spans="1:51">
      <c r="A50" s="1545" t="s">
        <v>174</v>
      </c>
      <c r="B50" s="1545"/>
      <c r="C50" s="1545"/>
      <c r="D50" s="1545"/>
      <c r="E50" s="1952">
        <f>E29+E31+E46</f>
        <v>55.290999999999968</v>
      </c>
      <c r="F50" s="1952"/>
      <c r="G50" s="1952">
        <f>G29+G31+G46</f>
        <v>-14.174999999999599</v>
      </c>
      <c r="H50" s="1952"/>
      <c r="I50" s="1952">
        <f>I29+I31+I46</f>
        <v>68.95</v>
      </c>
      <c r="J50" s="1952"/>
      <c r="K50" s="1952">
        <f>K29+K31+K46</f>
        <v>-72.940999999999889</v>
      </c>
      <c r="L50" s="1952"/>
      <c r="M50" s="1952">
        <f>M29+M31+M46</f>
        <v>-103.62299999999998</v>
      </c>
      <c r="N50" s="1952"/>
      <c r="O50" s="1952">
        <f>O29+O31+O46</f>
        <v>48.97600000000007</v>
      </c>
      <c r="P50" s="1952"/>
      <c r="Q50" s="1952">
        <f>Q29+Q31+Q46</f>
        <v>302.88799999999992</v>
      </c>
      <c r="R50" s="1952"/>
      <c r="S50" s="1952">
        <f>S29+S31+S46</f>
        <v>26.828000000000024</v>
      </c>
      <c r="T50" s="1952"/>
      <c r="U50" s="1952">
        <f>U29+U31+U46</f>
        <v>2.3619999999999663</v>
      </c>
      <c r="V50" s="1952"/>
      <c r="W50" s="1952">
        <f>ROUND(W29+W31+W46,3)</f>
        <v>-86.09</v>
      </c>
      <c r="X50" s="1952"/>
      <c r="Y50" s="1952">
        <f>Y29+Y31+Y46</f>
        <v>76.572999999999695</v>
      </c>
      <c r="Z50" s="1952"/>
      <c r="AA50" s="1952">
        <f>AA29+AA31+AA46</f>
        <v>96.610000000000156</v>
      </c>
      <c r="AB50" s="1952"/>
      <c r="AC50" s="1952">
        <f>AC29+AC31+AC46</f>
        <v>281.12106493199917</v>
      </c>
      <c r="AD50" s="1952">
        <f>AD29-AD31+AD46</f>
        <v>0</v>
      </c>
      <c r="AE50" s="1952">
        <f>AE29+AE31+AE46</f>
        <v>120.63399999999984</v>
      </c>
      <c r="AF50" s="1952"/>
      <c r="AG50" s="1952">
        <f>AG29+AG31+AG46</f>
        <v>96.474000000000032</v>
      </c>
      <c r="AH50" s="1718"/>
      <c r="AI50" s="1952">
        <f>AI29+AI31+AI46</f>
        <v>137.61500000000015</v>
      </c>
      <c r="AJ50" s="1718"/>
      <c r="AK50" s="1952">
        <f>AK29+AK31+AK46</f>
        <v>414.93899999999945</v>
      </c>
      <c r="AL50" s="1718"/>
      <c r="AM50" s="1952">
        <f>AM29+AM31+AM46</f>
        <v>339.05644599999977</v>
      </c>
      <c r="AN50" s="1718"/>
      <c r="AO50" s="1952">
        <f>AO29+AO31+AO46</f>
        <v>413.06726423068369</v>
      </c>
      <c r="AP50" s="1718"/>
      <c r="AQ50" s="1952">
        <f>AQ29+AQ31+AQ46</f>
        <v>407.04535779362214</v>
      </c>
      <c r="AR50" s="1718"/>
      <c r="AS50" s="1952">
        <f>AS29+AS31+AS46</f>
        <v>477.79878077056213</v>
      </c>
      <c r="AT50" s="1718"/>
      <c r="AU50" s="1952">
        <f>AU29+AU31+AU46</f>
        <v>557.02276259195355</v>
      </c>
      <c r="AV50" s="1718"/>
      <c r="AW50" s="1952">
        <f>AW29+AW31+AW46</f>
        <v>635.92378100234953</v>
      </c>
      <c r="AX50" s="1718"/>
      <c r="AY50" s="1718"/>
    </row>
    <row r="51" spans="1:51" ht="4.5" customHeight="1">
      <c r="AH51" s="1349"/>
      <c r="AJ51" s="1349"/>
      <c r="AL51" s="1349"/>
      <c r="AN51" s="1349"/>
      <c r="AP51" s="1349"/>
      <c r="AR51" s="1349"/>
      <c r="AT51" s="1349"/>
      <c r="AV51" s="1349"/>
    </row>
    <row r="52" spans="1:51">
      <c r="C52" s="1282" t="s">
        <v>284</v>
      </c>
      <c r="E52" s="1651"/>
      <c r="F52" s="1651"/>
      <c r="G52" s="1651"/>
      <c r="H52" s="1651"/>
      <c r="I52" s="1651">
        <v>0</v>
      </c>
      <c r="J52" s="1651"/>
      <c r="K52" s="1651">
        <v>0</v>
      </c>
      <c r="L52" s="1651"/>
      <c r="M52" s="1651">
        <v>0</v>
      </c>
      <c r="N52" s="1651"/>
      <c r="O52" s="1651">
        <v>0</v>
      </c>
      <c r="P52" s="1651"/>
      <c r="Q52" s="1651">
        <v>428</v>
      </c>
      <c r="R52" s="1651"/>
      <c r="S52" s="1651">
        <v>649.65499999999997</v>
      </c>
      <c r="T52" s="1651"/>
      <c r="U52" s="1651">
        <v>685.65499999999997</v>
      </c>
      <c r="V52" s="1651"/>
      <c r="W52" s="1651">
        <v>715.11500000000001</v>
      </c>
      <c r="X52" s="1651"/>
      <c r="Y52" s="1651">
        <v>204.2</v>
      </c>
      <c r="Z52" s="1651"/>
      <c r="AA52" s="1651">
        <v>1073.7</v>
      </c>
      <c r="AB52" s="1651"/>
      <c r="AC52" s="1651">
        <v>459.8</v>
      </c>
      <c r="AD52" s="1651"/>
      <c r="AE52" s="1651">
        <v>806.8</v>
      </c>
      <c r="AF52" s="1651"/>
      <c r="AG52" s="1651">
        <v>962.5</v>
      </c>
      <c r="AH52" s="1651"/>
      <c r="AI52" s="1651">
        <v>1607.4</v>
      </c>
      <c r="AJ52" s="1651"/>
      <c r="AK52" s="1651">
        <v>1392.7</v>
      </c>
      <c r="AL52" s="1651"/>
      <c r="AM52" s="1651">
        <v>1215.5</v>
      </c>
      <c r="AN52" s="1651"/>
      <c r="AO52" s="1651">
        <v>0</v>
      </c>
      <c r="AP52" s="1651"/>
      <c r="AQ52" s="1651">
        <v>0</v>
      </c>
      <c r="AR52" s="1651"/>
      <c r="AS52" s="1651">
        <v>0</v>
      </c>
      <c r="AT52" s="1651"/>
      <c r="AU52" s="1651">
        <v>0</v>
      </c>
      <c r="AV52" s="1651"/>
      <c r="AW52" s="1651">
        <v>0</v>
      </c>
      <c r="AX52" s="1651"/>
      <c r="AY52" s="1651"/>
    </row>
    <row r="53" spans="1:51">
      <c r="C53" s="1282" t="s">
        <v>287</v>
      </c>
      <c r="E53" s="1653"/>
      <c r="G53" s="1653"/>
      <c r="I53" s="1653">
        <v>2</v>
      </c>
      <c r="K53" s="1653">
        <v>0</v>
      </c>
      <c r="M53" s="1653">
        <v>100</v>
      </c>
      <c r="N53" s="1651"/>
      <c r="O53" s="1653">
        <v>0</v>
      </c>
      <c r="P53" s="1653"/>
      <c r="Q53" s="1653">
        <f>900+75+299.114+0.47</f>
        <v>1274.5840000000001</v>
      </c>
      <c r="R53" s="1653"/>
      <c r="S53" s="1653">
        <v>0</v>
      </c>
      <c r="T53" s="1653"/>
      <c r="U53" s="1653">
        <v>0</v>
      </c>
      <c r="V53" s="1653"/>
      <c r="W53" s="1653">
        <v>0</v>
      </c>
      <c r="X53" s="1653"/>
      <c r="Y53" s="1653">
        <v>0</v>
      </c>
      <c r="Z53" s="1653"/>
      <c r="AA53" s="1653">
        <f>450+991.623</f>
        <v>1441.623</v>
      </c>
      <c r="AB53" s="1653"/>
      <c r="AC53" s="1653">
        <v>116.913</v>
      </c>
      <c r="AD53" s="1651"/>
      <c r="AE53" s="1653">
        <f>343</f>
        <v>343</v>
      </c>
      <c r="AF53" s="1653"/>
      <c r="AG53" s="1653">
        <v>1194</v>
      </c>
      <c r="AH53" s="1653"/>
      <c r="AI53" s="1653">
        <v>0</v>
      </c>
      <c r="AJ53" s="1653"/>
      <c r="AK53" s="1653">
        <f>1114.208-1117</f>
        <v>-2.7919999999999163</v>
      </c>
      <c r="AL53" s="1653"/>
      <c r="AM53" s="1653">
        <f>1114.207-1119.793+2.01</f>
        <v>-3.5759999999997856</v>
      </c>
      <c r="AN53" s="1653"/>
      <c r="AO53" s="1653">
        <v>0</v>
      </c>
      <c r="AP53" s="1653"/>
      <c r="AQ53" s="1653">
        <v>0</v>
      </c>
      <c r="AR53" s="1653"/>
      <c r="AS53" s="1653">
        <v>0</v>
      </c>
      <c r="AT53" s="1653"/>
      <c r="AU53" s="1653">
        <v>0</v>
      </c>
      <c r="AV53" s="1653"/>
      <c r="AW53" s="1653">
        <v>0</v>
      </c>
      <c r="AX53" s="1653"/>
      <c r="AY53" s="1653"/>
    </row>
    <row r="54" spans="1:51">
      <c r="C54" s="1282" t="s">
        <v>285</v>
      </c>
      <c r="E54" s="1653"/>
      <c r="F54" s="1651"/>
      <c r="G54" s="1653"/>
      <c r="H54" s="1651"/>
      <c r="I54" s="1653">
        <v>0</v>
      </c>
      <c r="J54" s="1651"/>
      <c r="K54" s="1653">
        <v>0</v>
      </c>
      <c r="L54" s="1651"/>
      <c r="M54" s="1653">
        <v>0</v>
      </c>
      <c r="N54" s="1651"/>
      <c r="O54" s="1653">
        <v>0</v>
      </c>
      <c r="P54" s="1653"/>
      <c r="Q54" s="1653">
        <v>-215.761</v>
      </c>
      <c r="R54" s="1653"/>
      <c r="S54" s="1653">
        <v>-702.89400000000001</v>
      </c>
      <c r="T54" s="1653"/>
      <c r="U54" s="1653">
        <v>-663.05600000000004</v>
      </c>
      <c r="V54" s="1653"/>
      <c r="W54" s="1653">
        <f>-623.915</f>
        <v>-623.91499999999996</v>
      </c>
      <c r="X54" s="1653"/>
      <c r="Y54" s="1653">
        <v>-156.80000000000001</v>
      </c>
      <c r="Z54" s="1653"/>
      <c r="AA54" s="1653">
        <v>-1052.3</v>
      </c>
      <c r="AB54" s="1653"/>
      <c r="AC54" s="1653">
        <f>-649.8+6.5</f>
        <v>-643.29999999999995</v>
      </c>
      <c r="AD54" s="1651"/>
      <c r="AE54" s="1653">
        <v>-806.8</v>
      </c>
      <c r="AG54" s="1944">
        <v>-899.2</v>
      </c>
      <c r="AI54" s="1944">
        <f>-1503.3+-50</f>
        <v>-1553.3</v>
      </c>
      <c r="AK54" s="1944">
        <v>-1560.1</v>
      </c>
      <c r="AM54" s="1944">
        <v>-1215.5</v>
      </c>
      <c r="AO54" s="1797">
        <f>bal!AO32-bal!AM32</f>
        <v>-234.77700000000004</v>
      </c>
      <c r="AQ54" s="1797">
        <f>bal!AQ32-bal!AO32</f>
        <v>-150</v>
      </c>
      <c r="AS54" s="1797">
        <f>bal!AS32-bal!AQ32</f>
        <v>-150</v>
      </c>
      <c r="AU54" s="1797">
        <f>bal!AU32-bal!AS32</f>
        <v>-150</v>
      </c>
      <c r="AW54" s="1797">
        <f>bal!AW32-bal!AU32</f>
        <v>-150</v>
      </c>
      <c r="AX54" s="1797"/>
      <c r="AY54" s="1797"/>
    </row>
    <row r="55" spans="1:51" hidden="1">
      <c r="C55" s="1282" t="s">
        <v>286</v>
      </c>
      <c r="E55" s="1653">
        <v>-7.9189999999999996</v>
      </c>
      <c r="F55" s="1653"/>
      <c r="G55" s="1653">
        <v>-44.905000000000001</v>
      </c>
      <c r="H55" s="1653"/>
      <c r="I55" s="1653">
        <v>-0.70699999999999996</v>
      </c>
      <c r="J55" s="1653"/>
      <c r="K55" s="1653">
        <v>-0.93400000000000005</v>
      </c>
      <c r="L55" s="1653"/>
      <c r="M55" s="1653">
        <v>-0.92100000000000004</v>
      </c>
      <c r="N55" s="1651"/>
      <c r="O55" s="1653">
        <v>-1.048</v>
      </c>
      <c r="P55" s="1653"/>
      <c r="Q55" s="1653">
        <f>-0.046-101.167-2.25</f>
        <v>-103.46300000000001</v>
      </c>
      <c r="R55" s="1653"/>
      <c r="S55" s="1653">
        <f>-1.384-13.5</f>
        <v>-14.884</v>
      </c>
      <c r="T55" s="1653"/>
      <c r="U55" s="1653">
        <f>-1.448-11.443</f>
        <v>-12.891</v>
      </c>
      <c r="V55" s="1653"/>
      <c r="W55" s="1653">
        <f>-1.743-8.055</f>
        <v>-9.798</v>
      </c>
      <c r="X55" s="1653"/>
      <c r="Y55" s="1653">
        <f>-1.998-87.202</f>
        <v>-89.2</v>
      </c>
      <c r="Z55" s="1653"/>
      <c r="AA55" s="1653">
        <f>-99.309-0.829-42.5-777.55-302.056</f>
        <v>-1222.2439999999999</v>
      </c>
      <c r="AB55" s="1653"/>
      <c r="AC55" s="1653">
        <f>-0.768-205.749</f>
        <v>-206.517</v>
      </c>
      <c r="AD55" s="1651"/>
      <c r="AE55" s="1653">
        <f>-36.533-221.777-0.92</f>
        <v>-259.23</v>
      </c>
      <c r="AF55" s="1653"/>
      <c r="AG55" s="1944">
        <f>-834.507-33-450-128.223-0.94</f>
        <v>-1446.67</v>
      </c>
      <c r="AH55" s="1797"/>
      <c r="AI55" s="1797"/>
      <c r="AJ55" s="1797"/>
      <c r="AK55" s="1797"/>
      <c r="AL55" s="1797"/>
      <c r="AM55" s="1797"/>
      <c r="AN55" s="1797"/>
      <c r="AO55" s="1797"/>
      <c r="AP55" s="1797"/>
      <c r="AQ55" s="1797"/>
      <c r="AR55" s="1797"/>
      <c r="AS55" s="1797"/>
      <c r="AT55" s="1797"/>
      <c r="AU55" s="1797"/>
      <c r="AV55" s="1797"/>
      <c r="AW55" s="1797"/>
      <c r="AX55" s="1653"/>
      <c r="AY55" s="1653"/>
    </row>
    <row r="56" spans="1:51">
      <c r="C56" s="1282" t="s">
        <v>293</v>
      </c>
      <c r="E56" s="1651">
        <v>0.873</v>
      </c>
      <c r="F56" s="1651"/>
      <c r="G56" s="1651"/>
      <c r="H56" s="1651"/>
      <c r="I56" s="1653">
        <v>0</v>
      </c>
      <c r="J56" s="1653"/>
      <c r="K56" s="1653">
        <v>0</v>
      </c>
      <c r="L56" s="1653"/>
      <c r="M56" s="1653">
        <v>0</v>
      </c>
      <c r="N56" s="1653"/>
      <c r="O56" s="1653">
        <v>1.3640000000000001</v>
      </c>
      <c r="P56" s="1653"/>
      <c r="Q56" s="1653">
        <v>445.83</v>
      </c>
      <c r="R56" s="1653"/>
      <c r="S56" s="1653">
        <v>0</v>
      </c>
      <c r="T56" s="1653"/>
      <c r="U56" s="1653">
        <v>0</v>
      </c>
      <c r="V56" s="1653"/>
      <c r="W56" s="1653">
        <v>0</v>
      </c>
      <c r="X56" s="1653"/>
      <c r="Y56" s="1653">
        <v>0</v>
      </c>
      <c r="Z56" s="1653"/>
      <c r="AA56" s="1653">
        <v>0</v>
      </c>
      <c r="AB56" s="1653"/>
      <c r="AC56" s="1653">
        <v>0</v>
      </c>
      <c r="AD56" s="1651"/>
      <c r="AE56" s="1653">
        <f>260.667-23.747</f>
        <v>236.91999999999996</v>
      </c>
      <c r="AF56" s="1653"/>
      <c r="AG56" s="1653">
        <v>0</v>
      </c>
      <c r="AH56" s="1653"/>
      <c r="AI56" s="1653">
        <v>0</v>
      </c>
      <c r="AJ56" s="1653"/>
      <c r="AK56" s="1653">
        <v>0</v>
      </c>
      <c r="AL56" s="1653"/>
      <c r="AM56" s="1944">
        <v>0</v>
      </c>
      <c r="AN56" s="1653"/>
      <c r="AO56" s="1653">
        <v>0</v>
      </c>
      <c r="AP56" s="1653"/>
      <c r="AQ56" s="1653">
        <v>0</v>
      </c>
      <c r="AR56" s="1653"/>
      <c r="AS56" s="1653">
        <v>0</v>
      </c>
      <c r="AT56" s="1653"/>
      <c r="AU56" s="1653">
        <v>0</v>
      </c>
      <c r="AV56" s="1653"/>
      <c r="AW56" s="1653">
        <v>0</v>
      </c>
      <c r="AX56" s="1653"/>
      <c r="AY56" s="1653"/>
    </row>
    <row r="57" spans="1:51">
      <c r="C57" s="1282" t="s">
        <v>170</v>
      </c>
      <c r="E57" s="1653">
        <v>-0.94</v>
      </c>
      <c r="F57" s="1653"/>
      <c r="G57" s="1653">
        <v>-0.90600000000000003</v>
      </c>
      <c r="H57" s="1653"/>
      <c r="I57" s="1653">
        <v>-0.88800000000000001</v>
      </c>
      <c r="J57" s="1653"/>
      <c r="K57" s="1653">
        <v>-0.89300000000000002</v>
      </c>
      <c r="L57" s="1653"/>
      <c r="M57" s="1653">
        <v>-1.3340000000000001</v>
      </c>
      <c r="N57" s="1653"/>
      <c r="O57" s="1653">
        <v>-26.783000000000001</v>
      </c>
      <c r="P57" s="1653"/>
      <c r="Q57" s="1653">
        <v>-1.7909999999999999</v>
      </c>
      <c r="R57" s="1653"/>
      <c r="S57" s="1653">
        <v>-0.1</v>
      </c>
      <c r="T57" s="1653"/>
      <c r="U57" s="1653">
        <v>-0.72499999999999998</v>
      </c>
      <c r="V57" s="1653"/>
      <c r="W57" s="1653">
        <v>-3.214</v>
      </c>
      <c r="X57" s="1653"/>
      <c r="Y57" s="1653">
        <v>-0.251</v>
      </c>
      <c r="Z57" s="1653"/>
      <c r="AA57" s="1653">
        <v>-297.91699999999997</v>
      </c>
      <c r="AB57" s="1653"/>
      <c r="AC57" s="1653">
        <v>-1.7110000000000001</v>
      </c>
      <c r="AD57" s="1653"/>
      <c r="AE57" s="1653">
        <v>-336</v>
      </c>
      <c r="AF57" s="1653"/>
      <c r="AG57" s="1797">
        <v>0</v>
      </c>
      <c r="AH57" s="1715"/>
      <c r="AI57" s="1797">
        <f>AG57</f>
        <v>0</v>
      </c>
      <c r="AJ57" s="1715"/>
      <c r="AK57" s="1797">
        <f>AI57</f>
        <v>0</v>
      </c>
      <c r="AL57" s="1715"/>
      <c r="AM57" s="1797">
        <f>AK57</f>
        <v>0</v>
      </c>
      <c r="AN57" s="1715"/>
      <c r="AO57" s="1797">
        <f>AM57</f>
        <v>0</v>
      </c>
      <c r="AP57" s="1715"/>
      <c r="AQ57" s="1797">
        <f>AO57</f>
        <v>0</v>
      </c>
      <c r="AR57" s="1715"/>
      <c r="AS57" s="1797">
        <f>AQ57</f>
        <v>0</v>
      </c>
      <c r="AT57" s="1715"/>
      <c r="AU57" s="1797">
        <f>AS57</f>
        <v>0</v>
      </c>
      <c r="AV57" s="1715"/>
      <c r="AW57" s="1797">
        <f>AU57</f>
        <v>0</v>
      </c>
      <c r="AX57" s="1797"/>
      <c r="AY57" s="1797"/>
    </row>
    <row r="58" spans="1:51">
      <c r="C58" s="1282" t="s">
        <v>169</v>
      </c>
      <c r="E58" s="1653"/>
      <c r="F58" s="1653"/>
      <c r="G58" s="1653">
        <v>0.106</v>
      </c>
      <c r="H58" s="1653"/>
      <c r="I58" s="1653">
        <v>0.441</v>
      </c>
      <c r="J58" s="1653"/>
      <c r="K58" s="1653">
        <v>0.52200000000000002</v>
      </c>
      <c r="L58" s="1653"/>
      <c r="M58" s="1653">
        <v>1.028</v>
      </c>
      <c r="N58" s="1653"/>
      <c r="O58" s="1653">
        <v>0</v>
      </c>
      <c r="P58" s="1653"/>
      <c r="Q58" s="1653">
        <v>0.42499999999999999</v>
      </c>
      <c r="R58" s="1653"/>
      <c r="S58" s="1653">
        <v>0</v>
      </c>
      <c r="T58" s="1653"/>
      <c r="U58" s="1653">
        <v>0</v>
      </c>
      <c r="V58" s="1653"/>
      <c r="W58" s="1653">
        <v>0</v>
      </c>
      <c r="X58" s="1653"/>
      <c r="Y58" s="1653">
        <v>0</v>
      </c>
      <c r="Z58" s="1653"/>
      <c r="AA58" s="1653">
        <v>2.0179999999999998</v>
      </c>
      <c r="AB58" s="1653"/>
      <c r="AC58" s="1653">
        <v>2.7530000000000001</v>
      </c>
      <c r="AD58" s="1653"/>
      <c r="AE58" s="1653">
        <v>2.5270000000000001</v>
      </c>
      <c r="AF58" s="1653"/>
      <c r="AG58" s="1653">
        <f>2.514</f>
        <v>2.5139999999999998</v>
      </c>
      <c r="AH58" s="1653"/>
      <c r="AI58" s="1653">
        <v>2.1</v>
      </c>
      <c r="AJ58" s="1653"/>
      <c r="AK58" s="1653">
        <v>4.484</v>
      </c>
      <c r="AL58" s="1653"/>
      <c r="AM58" s="1653">
        <v>0</v>
      </c>
      <c r="AN58" s="1653"/>
      <c r="AO58" s="1653">
        <v>0</v>
      </c>
      <c r="AP58" s="1653"/>
      <c r="AQ58" s="1653">
        <v>0</v>
      </c>
      <c r="AR58" s="1653"/>
      <c r="AS58" s="1653">
        <v>0</v>
      </c>
      <c r="AT58" s="1653"/>
      <c r="AU58" s="1653">
        <v>0</v>
      </c>
      <c r="AV58" s="1653"/>
      <c r="AW58" s="1653">
        <v>0</v>
      </c>
      <c r="AX58" s="1653"/>
      <c r="AY58" s="1653"/>
    </row>
    <row r="59" spans="1:51">
      <c r="C59" s="1282" t="s">
        <v>290</v>
      </c>
      <c r="E59" s="1653"/>
      <c r="F59" s="1653"/>
      <c r="G59" s="1653"/>
      <c r="H59" s="1653"/>
      <c r="I59" s="1653"/>
      <c r="J59" s="1653"/>
      <c r="K59" s="1653"/>
      <c r="L59" s="1653"/>
      <c r="M59" s="1653"/>
      <c r="N59" s="1653"/>
      <c r="O59" s="1653">
        <v>0</v>
      </c>
      <c r="P59" s="1653"/>
      <c r="Q59" s="1653">
        <v>0</v>
      </c>
      <c r="R59" s="1653"/>
      <c r="S59" s="1653">
        <v>0.3</v>
      </c>
      <c r="T59" s="1653"/>
      <c r="U59" s="1653">
        <v>0</v>
      </c>
      <c r="V59" s="1653"/>
      <c r="W59" s="1653">
        <v>0</v>
      </c>
      <c r="X59" s="1653"/>
      <c r="Y59" s="1653">
        <v>0</v>
      </c>
      <c r="Z59" s="1653"/>
      <c r="AA59" s="1653">
        <v>0</v>
      </c>
      <c r="AB59" s="1653"/>
      <c r="AC59" s="1653"/>
      <c r="AD59" s="1653"/>
      <c r="AE59" s="1653"/>
      <c r="AF59" s="1653"/>
      <c r="AG59" s="1653">
        <v>0</v>
      </c>
      <c r="AH59" s="1653"/>
      <c r="AI59" s="1653">
        <v>0</v>
      </c>
      <c r="AJ59" s="1653"/>
      <c r="AK59" s="1653">
        <v>0</v>
      </c>
      <c r="AL59" s="1653"/>
      <c r="AM59" s="1653">
        <v>0</v>
      </c>
      <c r="AN59" s="1653"/>
      <c r="AO59" s="1653">
        <v>0</v>
      </c>
      <c r="AP59" s="1653"/>
      <c r="AQ59" s="1653">
        <v>0</v>
      </c>
      <c r="AR59" s="1653"/>
      <c r="AS59" s="1653">
        <v>0</v>
      </c>
      <c r="AT59" s="1653"/>
      <c r="AU59" s="1653">
        <v>0</v>
      </c>
      <c r="AV59" s="1653"/>
      <c r="AW59" s="1653">
        <v>0</v>
      </c>
      <c r="AX59" s="1653"/>
      <c r="AY59" s="1653"/>
    </row>
    <row r="60" spans="1:51">
      <c r="C60" s="1282" t="s">
        <v>288</v>
      </c>
      <c r="E60" s="1653"/>
      <c r="F60" s="1653"/>
      <c r="G60" s="1653"/>
      <c r="H60" s="1653"/>
      <c r="I60" s="1653"/>
      <c r="J60" s="1653"/>
      <c r="K60" s="1653"/>
      <c r="L60" s="1653"/>
      <c r="M60" s="1653">
        <v>-0.57799999999999996</v>
      </c>
      <c r="N60" s="1653"/>
      <c r="O60" s="1653">
        <v>0</v>
      </c>
      <c r="P60" s="1653"/>
      <c r="Q60" s="1653">
        <v>-71.397999999999996</v>
      </c>
      <c r="R60" s="1653"/>
      <c r="S60" s="1653">
        <v>0</v>
      </c>
      <c r="T60" s="1653"/>
      <c r="U60" s="1653">
        <v>-0.42399999999999999</v>
      </c>
      <c r="V60" s="1653"/>
      <c r="W60" s="1653">
        <v>-13.659000000000001</v>
      </c>
      <c r="X60" s="1653"/>
      <c r="Y60" s="1653">
        <v>-1.2270000000000001</v>
      </c>
      <c r="Z60" s="1653"/>
      <c r="AA60" s="1653">
        <v>-30.64</v>
      </c>
      <c r="AB60" s="1653"/>
      <c r="AC60" s="1653">
        <v>-0.45900000000000002</v>
      </c>
      <c r="AD60" s="1653"/>
      <c r="AE60" s="1653">
        <v>-22.126000000000001</v>
      </c>
      <c r="AF60" s="1653"/>
      <c r="AG60" s="1653">
        <v>-13.657999999999999</v>
      </c>
      <c r="AH60" s="1653"/>
      <c r="AI60" s="1653">
        <v>-0.16800000000000001</v>
      </c>
      <c r="AJ60" s="1653"/>
      <c r="AK60" s="1653">
        <v>-0.65500000000000003</v>
      </c>
      <c r="AL60" s="1653"/>
      <c r="AM60" s="1653">
        <v>0</v>
      </c>
      <c r="AN60" s="1653"/>
      <c r="AO60" s="1653">
        <v>0</v>
      </c>
      <c r="AP60" s="1653"/>
      <c r="AQ60" s="1653">
        <v>0</v>
      </c>
      <c r="AR60" s="1653"/>
      <c r="AS60" s="1653">
        <v>0</v>
      </c>
      <c r="AT60" s="1653"/>
      <c r="AU60" s="1653">
        <v>0</v>
      </c>
      <c r="AV60" s="1653"/>
      <c r="AW60" s="1653">
        <v>0</v>
      </c>
      <c r="AX60" s="1653"/>
      <c r="AY60" s="1653"/>
    </row>
    <row r="61" spans="1:51">
      <c r="C61" s="1282" t="s">
        <v>294</v>
      </c>
      <c r="E61" s="1653"/>
      <c r="F61" s="1653"/>
      <c r="G61" s="1653"/>
      <c r="H61" s="1653"/>
      <c r="I61" s="1653"/>
      <c r="J61" s="1653"/>
      <c r="K61" s="1653"/>
      <c r="L61" s="1653"/>
      <c r="M61" s="1653"/>
      <c r="N61" s="1653"/>
      <c r="O61" s="1653">
        <v>0</v>
      </c>
      <c r="P61" s="1653"/>
      <c r="Q61" s="1653">
        <v>-2.5</v>
      </c>
      <c r="R61" s="1653"/>
      <c r="S61" s="1653">
        <v>0</v>
      </c>
      <c r="T61" s="1653"/>
      <c r="U61" s="1653">
        <v>0</v>
      </c>
      <c r="V61" s="1653"/>
      <c r="W61" s="1653">
        <v>0</v>
      </c>
      <c r="X61" s="1653"/>
      <c r="Y61" s="1653">
        <v>0</v>
      </c>
      <c r="Z61" s="1653"/>
      <c r="AA61" s="1653">
        <v>0</v>
      </c>
      <c r="AB61" s="1653"/>
      <c r="AC61" s="1653">
        <v>0</v>
      </c>
      <c r="AD61" s="1653"/>
      <c r="AE61" s="1653"/>
      <c r="AF61" s="1653"/>
      <c r="AG61" s="1653">
        <v>-4.4779999999999998</v>
      </c>
      <c r="AH61" s="1653"/>
      <c r="AI61" s="1653">
        <f>+-3.466</f>
        <v>-3.4660000000000002</v>
      </c>
      <c r="AJ61" s="1653"/>
      <c r="AK61" s="1653">
        <v>0</v>
      </c>
      <c r="AL61" s="1653"/>
      <c r="AM61" s="1653">
        <v>0</v>
      </c>
      <c r="AN61" s="1653"/>
      <c r="AO61" s="1653">
        <v>0</v>
      </c>
      <c r="AP61" s="1653"/>
      <c r="AQ61" s="1653">
        <v>0</v>
      </c>
      <c r="AR61" s="1653"/>
      <c r="AS61" s="1653">
        <v>0</v>
      </c>
      <c r="AT61" s="1653"/>
      <c r="AU61" s="1653">
        <v>0</v>
      </c>
      <c r="AV61" s="1653"/>
      <c r="AW61" s="1653">
        <v>0</v>
      </c>
      <c r="AX61" s="1653"/>
      <c r="AY61" s="1653"/>
    </row>
    <row r="62" spans="1:51">
      <c r="C62" s="1282" t="s">
        <v>296</v>
      </c>
      <c r="E62" s="1653">
        <v>-22.437999999999999</v>
      </c>
      <c r="F62" s="1653"/>
      <c r="G62" s="1653">
        <v>-3.2170000000000001</v>
      </c>
      <c r="H62" s="1653"/>
      <c r="I62" s="1653">
        <v>0.80800000000000005</v>
      </c>
      <c r="J62" s="1653"/>
      <c r="K62" s="1653">
        <v>0.91600000000000004</v>
      </c>
      <c r="L62" s="1653"/>
      <c r="M62" s="1653">
        <v>0.58899999999999997</v>
      </c>
      <c r="N62" s="1653"/>
      <c r="O62" s="1653">
        <v>1.083</v>
      </c>
      <c r="P62" s="1653"/>
      <c r="Q62" s="1653">
        <v>0</v>
      </c>
      <c r="R62" s="1653"/>
      <c r="S62" s="1653">
        <v>0</v>
      </c>
      <c r="T62" s="1653"/>
      <c r="U62" s="1653">
        <v>0</v>
      </c>
      <c r="V62" s="1653"/>
      <c r="W62" s="1653">
        <v>0</v>
      </c>
      <c r="X62" s="1653"/>
      <c r="Y62" s="1653">
        <v>0</v>
      </c>
      <c r="Z62" s="1653"/>
      <c r="AA62" s="1653">
        <v>0</v>
      </c>
      <c r="AB62" s="1653"/>
      <c r="AC62" s="1653">
        <v>0</v>
      </c>
      <c r="AD62" s="1653"/>
      <c r="AE62" s="1653">
        <v>0</v>
      </c>
      <c r="AF62" s="1653"/>
      <c r="AG62" s="1653">
        <f>-3.933</f>
        <v>-3.9329999999999998</v>
      </c>
      <c r="AH62" s="1653"/>
      <c r="AI62" s="1653">
        <v>-201.67</v>
      </c>
      <c r="AJ62" s="1653"/>
      <c r="AK62" s="1653">
        <f>-202.371</f>
        <v>-202.37100000000001</v>
      </c>
      <c r="AL62" s="1653"/>
      <c r="AM62" s="1653">
        <v>-289.77699999999999</v>
      </c>
      <c r="AN62" s="1653"/>
      <c r="AO62" s="1653">
        <v>-200</v>
      </c>
      <c r="AP62" s="1653"/>
      <c r="AQ62" s="1653">
        <v>-200</v>
      </c>
      <c r="AR62" s="1653"/>
      <c r="AS62" s="1653">
        <v>-200</v>
      </c>
      <c r="AT62" s="1653"/>
      <c r="AU62" s="1653">
        <v>-200</v>
      </c>
      <c r="AV62" s="1653"/>
      <c r="AW62" s="1653">
        <v>-200</v>
      </c>
      <c r="AX62" s="1653"/>
      <c r="AY62" s="1653"/>
    </row>
    <row r="63" spans="1:51" ht="4.5" customHeight="1"/>
    <row r="64" spans="1:51">
      <c r="A64" s="1282" t="s">
        <v>175</v>
      </c>
      <c r="E64" s="1669">
        <f>SUM(E52:E63)</f>
        <v>-30.423999999999999</v>
      </c>
      <c r="F64" s="1669"/>
      <c r="G64" s="1669">
        <f>SUM(G52:G63)</f>
        <v>-48.921999999999997</v>
      </c>
      <c r="H64" s="1669"/>
      <c r="I64" s="1669">
        <f>SUM(I52:I63)</f>
        <v>1.6540000000000001</v>
      </c>
      <c r="J64" s="1669"/>
      <c r="K64" s="1669">
        <f>SUM(K52:K63)</f>
        <v>-0.3889999999999999</v>
      </c>
      <c r="L64" s="1669"/>
      <c r="M64" s="1669">
        <f>SUM(M52:M63)</f>
        <v>98.783999999999992</v>
      </c>
      <c r="N64" s="1669"/>
      <c r="O64" s="1669">
        <f>SUM(O52:O63)</f>
        <v>-25.384000000000004</v>
      </c>
      <c r="P64" s="1669"/>
      <c r="Q64" s="1669">
        <f>SUM(Q52:Q63)</f>
        <v>1753.9260000000002</v>
      </c>
      <c r="R64" s="1669"/>
      <c r="S64" s="1669">
        <f>SUM(S52:S63)</f>
        <v>-67.92300000000003</v>
      </c>
      <c r="T64" s="1669"/>
      <c r="U64" s="1669">
        <f>ROUND(SUM(U52:U63),3)</f>
        <v>8.5589999999999993</v>
      </c>
      <c r="V64" s="1669"/>
      <c r="W64" s="1669">
        <f>SUM(W52:W63)</f>
        <v>64.529000000000039</v>
      </c>
      <c r="X64" s="1669"/>
      <c r="Y64" s="1669">
        <f>SUM(Y52:Y63)</f>
        <v>-43.27800000000002</v>
      </c>
      <c r="Z64" s="1669"/>
      <c r="AA64" s="1669">
        <f>ROUND(SUM(AA52:AA63),3)</f>
        <v>-85.76</v>
      </c>
      <c r="AB64" s="1669"/>
      <c r="AC64" s="1669">
        <f>SUM(AC52:AC63)</f>
        <v>-272.52100000000002</v>
      </c>
      <c r="AD64" s="1669"/>
      <c r="AE64" s="1669">
        <f>SUM(AE52:AE63)</f>
        <v>-34.909000000000063</v>
      </c>
      <c r="AF64" s="1669"/>
      <c r="AG64" s="1669">
        <f>SUM(AG52:AG63)</f>
        <v>-208.9250000000001</v>
      </c>
      <c r="AH64" s="1718"/>
      <c r="AI64" s="1669">
        <f>SUM(AI52:AI63)</f>
        <v>-149.10399999999984</v>
      </c>
      <c r="AJ64" s="1718"/>
      <c r="AK64" s="1669">
        <f>SUM(AK52:AK63)</f>
        <v>-368.73399999999981</v>
      </c>
      <c r="AL64" s="1718"/>
      <c r="AM64" s="1669">
        <f>SUM(AM52:AM63)</f>
        <v>-293.35299999999978</v>
      </c>
      <c r="AN64" s="1718"/>
      <c r="AO64" s="1669">
        <f>SUM(AO52:AO63)</f>
        <v>-434.77700000000004</v>
      </c>
      <c r="AP64" s="1718"/>
      <c r="AQ64" s="1669">
        <f>SUM(AQ52:AQ63)</f>
        <v>-350</v>
      </c>
      <c r="AR64" s="1718"/>
      <c r="AS64" s="1669">
        <f>SUM(AS52:AS63)</f>
        <v>-350</v>
      </c>
      <c r="AT64" s="1718"/>
      <c r="AU64" s="1669">
        <f>SUM(AU52:AU63)</f>
        <v>-350</v>
      </c>
      <c r="AV64" s="1718"/>
      <c r="AW64" s="1669">
        <f>SUM(AW52:AW63)</f>
        <v>-350</v>
      </c>
      <c r="AX64" s="1669"/>
      <c r="AY64" s="1669"/>
    </row>
    <row r="65" spans="1:51" ht="4.5" customHeight="1">
      <c r="AH65" s="1349"/>
      <c r="AJ65" s="1349"/>
      <c r="AL65" s="1349"/>
      <c r="AN65" s="1349"/>
      <c r="AP65" s="1349"/>
      <c r="AR65" s="1349"/>
      <c r="AT65" s="1349"/>
      <c r="AV65" s="1349"/>
    </row>
    <row r="66" spans="1:51">
      <c r="B66" s="1282" t="s">
        <v>176</v>
      </c>
      <c r="E66" s="1653">
        <v>106.952</v>
      </c>
      <c r="F66" s="1653"/>
      <c r="G66" s="1784">
        <f>E69</f>
        <v>127.818</v>
      </c>
      <c r="H66" s="1653"/>
      <c r="I66" s="1784">
        <f>G69</f>
        <v>77.406999999999996</v>
      </c>
      <c r="J66" s="1653"/>
      <c r="K66" s="1784">
        <f>I69</f>
        <v>122.47399999999999</v>
      </c>
      <c r="L66" s="1653"/>
      <c r="M66" s="1784">
        <f>K69</f>
        <v>27.903999999999996</v>
      </c>
      <c r="N66" s="1653"/>
      <c r="O66" s="1784">
        <f>M69</f>
        <v>29.816999999999997</v>
      </c>
      <c r="P66" s="1653"/>
      <c r="Q66" s="1784">
        <f>O69</f>
        <v>47.952999999999996</v>
      </c>
      <c r="R66" s="1653"/>
      <c r="S66" s="1784">
        <f>Q69</f>
        <v>58.375999999999998</v>
      </c>
      <c r="T66" s="1653"/>
      <c r="U66" s="1784">
        <f>S69</f>
        <v>33.878</v>
      </c>
      <c r="V66" s="1653"/>
      <c r="W66" s="1653">
        <v>41.706000000000003</v>
      </c>
      <c r="X66" s="1653"/>
      <c r="Y66" s="1784">
        <f>W69</f>
        <v>24.750000000000004</v>
      </c>
      <c r="Z66" s="1653"/>
      <c r="AA66" s="1797">
        <f>Y69</f>
        <v>30.214000000000006</v>
      </c>
      <c r="AB66" s="1653"/>
      <c r="AC66" s="1797">
        <f>AA69</f>
        <v>35.664000000000009</v>
      </c>
      <c r="AD66" s="1653"/>
      <c r="AE66" s="1797">
        <f>AC69</f>
        <v>44.26400000000001</v>
      </c>
      <c r="AF66" s="1653"/>
      <c r="AG66" s="1797">
        <f>AE69</f>
        <v>133.46199999999999</v>
      </c>
      <c r="AH66" s="1715"/>
      <c r="AI66" s="1797">
        <f>AG69</f>
        <v>25.349</v>
      </c>
      <c r="AJ66" s="1715"/>
      <c r="AK66" s="1797">
        <f>AI69</f>
        <v>20.914999999999999</v>
      </c>
      <c r="AL66" s="1715"/>
      <c r="AM66" s="1797">
        <f>AK69</f>
        <v>81.597000000000008</v>
      </c>
      <c r="AN66" s="1715"/>
      <c r="AO66" s="1797">
        <f>AM69</f>
        <v>133.286</v>
      </c>
      <c r="AP66" s="1715"/>
      <c r="AQ66" s="1797">
        <f>AO69</f>
        <v>111.57599999999999</v>
      </c>
      <c r="AR66" s="1715"/>
      <c r="AS66" s="1797">
        <f>AQ69</f>
        <v>168.62099999999998</v>
      </c>
      <c r="AT66" s="1715"/>
      <c r="AU66" s="1797">
        <f>AS69</f>
        <v>296.41999999999996</v>
      </c>
      <c r="AV66" s="1715"/>
      <c r="AW66" s="1797">
        <f>AU69</f>
        <v>503.44299999999998</v>
      </c>
      <c r="AX66" s="1797"/>
      <c r="AY66" s="1797"/>
    </row>
    <row r="67" spans="1:51">
      <c r="C67" s="1282" t="s">
        <v>339</v>
      </c>
      <c r="E67" s="1653">
        <v>0</v>
      </c>
      <c r="F67" s="1653">
        <v>0</v>
      </c>
      <c r="G67" s="1784"/>
      <c r="H67" s="1653"/>
      <c r="I67" s="1784">
        <v>0</v>
      </c>
      <c r="J67" s="1653"/>
      <c r="K67" s="1784">
        <v>0</v>
      </c>
      <c r="L67" s="1653"/>
      <c r="M67" s="1784">
        <v>0</v>
      </c>
      <c r="N67" s="1653"/>
      <c r="O67" s="1784">
        <v>0</v>
      </c>
      <c r="P67" s="1653"/>
      <c r="Q67" s="1784">
        <v>0</v>
      </c>
      <c r="R67" s="1653"/>
      <c r="S67" s="1784">
        <v>0</v>
      </c>
      <c r="T67" s="1653"/>
      <c r="U67" s="1784">
        <v>0</v>
      </c>
      <c r="V67" s="1653"/>
      <c r="W67" s="1784">
        <v>1.6</v>
      </c>
      <c r="X67" s="1653"/>
      <c r="Y67" s="1784">
        <v>0</v>
      </c>
      <c r="Z67" s="1653"/>
      <c r="AA67" s="1797">
        <v>0</v>
      </c>
      <c r="AB67" s="1653"/>
      <c r="AC67" s="1797">
        <v>0</v>
      </c>
      <c r="AD67" s="1653"/>
      <c r="AE67" s="1797">
        <v>0</v>
      </c>
      <c r="AF67" s="1653"/>
      <c r="AG67" s="1797"/>
      <c r="AH67" s="1715"/>
      <c r="AI67" s="1797">
        <v>0</v>
      </c>
      <c r="AJ67" s="1715"/>
      <c r="AK67" s="1797">
        <v>0</v>
      </c>
      <c r="AL67" s="1715"/>
      <c r="AM67" s="1797">
        <v>0</v>
      </c>
      <c r="AN67" s="1715"/>
      <c r="AO67" s="1797">
        <v>0</v>
      </c>
      <c r="AP67" s="1715"/>
      <c r="AQ67" s="1797">
        <v>0</v>
      </c>
      <c r="AR67" s="1715"/>
      <c r="AS67" s="1797">
        <v>0</v>
      </c>
      <c r="AT67" s="1715"/>
      <c r="AU67" s="1797">
        <v>0</v>
      </c>
      <c r="AV67" s="1715"/>
      <c r="AW67" s="1797">
        <v>0</v>
      </c>
      <c r="AX67" s="1797"/>
      <c r="AY67" s="1797"/>
    </row>
    <row r="68" spans="1:51">
      <c r="C68" s="1282" t="s">
        <v>177</v>
      </c>
      <c r="E68" s="1669">
        <f>ROUND(E64+E29+E48,3)</f>
        <v>20.866</v>
      </c>
      <c r="F68" s="1669"/>
      <c r="G68" s="1669">
        <f>ROUND(G64+G29+G48,3)</f>
        <v>-50.411000000000001</v>
      </c>
      <c r="H68" s="1669"/>
      <c r="I68" s="1669">
        <f>ROUND(I64+I29+I48,3)</f>
        <v>45.067</v>
      </c>
      <c r="J68" s="1669"/>
      <c r="K68" s="1669">
        <f>ROUND(K64+K29+K48,3)</f>
        <v>-94.57</v>
      </c>
      <c r="L68" s="1669"/>
      <c r="M68" s="1669">
        <f>ROUND(M64+M29+M48,3)</f>
        <v>1.913</v>
      </c>
      <c r="N68" s="1669"/>
      <c r="O68" s="1669">
        <f>ROUND(O64+O29+O48,3)</f>
        <v>18.135999999999999</v>
      </c>
      <c r="P68" s="1669"/>
      <c r="Q68" s="1669">
        <f>ROUND(Q64+Q29+Q48,3)</f>
        <v>10.423</v>
      </c>
      <c r="R68" s="1669"/>
      <c r="S68" s="1669">
        <f>ROUND(S64+S29+S48,3)</f>
        <v>-24.498000000000001</v>
      </c>
      <c r="T68" s="1669"/>
      <c r="U68" s="1669">
        <f>ROUND(U64+U29+U48,3)</f>
        <v>6.2229999999999999</v>
      </c>
      <c r="V68" s="1669"/>
      <c r="W68" s="1669">
        <f>ROUND(W64+W29+W48,3)</f>
        <v>-16.956</v>
      </c>
      <c r="X68" s="1669"/>
      <c r="Y68" s="1669">
        <f>ROUND(Y64+Y29+Y48,3)</f>
        <v>5.4640000000000004</v>
      </c>
      <c r="Z68" s="1669"/>
      <c r="AA68" s="1669">
        <f>ROUND(AA64+AA29+AA48,3)</f>
        <v>5.45</v>
      </c>
      <c r="AB68" s="1669"/>
      <c r="AC68" s="1669">
        <f>ROUND(AC64+AC29+AC48,3)</f>
        <v>8.6</v>
      </c>
      <c r="AD68" s="1669"/>
      <c r="AE68" s="1669">
        <f>ROUND(AE64+AE29+AE48,3)</f>
        <v>89.197999999999993</v>
      </c>
      <c r="AF68" s="1669"/>
      <c r="AG68" s="1958">
        <f>ROUND(AG64+AG29+AG48,3)</f>
        <v>-107.63500000000001</v>
      </c>
      <c r="AH68" s="1718"/>
      <c r="AI68" s="1669">
        <f>ROUND(AI64+AI29+AI48,3)</f>
        <v>-4.4340000000000002</v>
      </c>
      <c r="AJ68" s="1718"/>
      <c r="AK68" s="1958">
        <f>ROUND(AK64+AK29+AK48,3)</f>
        <v>60.682000000000002</v>
      </c>
      <c r="AL68" s="1718"/>
      <c r="AM68" s="1669">
        <f>ROUND(AM64+AM29+AM48,3)</f>
        <v>51.689</v>
      </c>
      <c r="AN68" s="1718"/>
      <c r="AO68" s="1669">
        <f>ROUND(AO64+AO29+AO48,3)</f>
        <v>-21.71</v>
      </c>
      <c r="AP68" s="1718"/>
      <c r="AQ68" s="1669">
        <f>ROUND(AQ64+AQ29+AQ48,3)</f>
        <v>57.045000000000002</v>
      </c>
      <c r="AR68" s="1718"/>
      <c r="AS68" s="1669">
        <f>ROUND(AS64+AS29+AS48,3)</f>
        <v>127.79900000000001</v>
      </c>
      <c r="AT68" s="1718"/>
      <c r="AU68" s="1669">
        <f>ROUND(AU64+AU29+AU48,3)</f>
        <v>207.023</v>
      </c>
      <c r="AV68" s="1718"/>
      <c r="AW68" s="1669">
        <f>ROUND(AW64+AW29+AW48,3)</f>
        <v>285.92399999999998</v>
      </c>
      <c r="AX68" s="1669"/>
      <c r="AY68" s="1669"/>
    </row>
    <row r="69" spans="1:51">
      <c r="B69" s="1282" t="s">
        <v>180</v>
      </c>
      <c r="E69" s="1784">
        <f>SUM(E66:E68)</f>
        <v>127.818</v>
      </c>
      <c r="F69" s="1784"/>
      <c r="G69" s="1784">
        <f>SUM(G66:G68)</f>
        <v>77.406999999999996</v>
      </c>
      <c r="H69" s="1784"/>
      <c r="I69" s="1784">
        <f>SUM(I66:I68)</f>
        <v>122.47399999999999</v>
      </c>
      <c r="J69" s="1784"/>
      <c r="K69" s="1784">
        <f>SUM(K66:K68)</f>
        <v>27.903999999999996</v>
      </c>
      <c r="L69" s="1784"/>
      <c r="M69" s="1784">
        <f>SUM(M66:M68)</f>
        <v>29.816999999999997</v>
      </c>
      <c r="N69" s="1784"/>
      <c r="O69" s="1784">
        <f>O66+O68</f>
        <v>47.952999999999996</v>
      </c>
      <c r="P69" s="1784"/>
      <c r="Q69" s="1784">
        <f>Q66+Q68</f>
        <v>58.375999999999998</v>
      </c>
      <c r="R69" s="1784"/>
      <c r="S69" s="1784">
        <f>S66+S68</f>
        <v>33.878</v>
      </c>
      <c r="T69" s="1784"/>
      <c r="U69" s="1784">
        <f>U66+U68</f>
        <v>40.100999999999999</v>
      </c>
      <c r="V69" s="1784"/>
      <c r="W69" s="1784">
        <f>W66+W68</f>
        <v>24.750000000000004</v>
      </c>
      <c r="X69" s="1784"/>
      <c r="Y69" s="1784">
        <f>Y66+Y68</f>
        <v>30.214000000000006</v>
      </c>
      <c r="Z69" s="1784"/>
      <c r="AA69" s="1784">
        <f>AA66+AA68</f>
        <v>35.664000000000009</v>
      </c>
      <c r="AB69" s="1784"/>
      <c r="AC69" s="1784">
        <f>AC66+AC68</f>
        <v>44.26400000000001</v>
      </c>
      <c r="AD69" s="1784"/>
      <c r="AE69" s="1784">
        <f>AE66+AE68</f>
        <v>133.46199999999999</v>
      </c>
      <c r="AF69" s="1784"/>
      <c r="AG69" s="1784">
        <v>25.349</v>
      </c>
      <c r="AH69" s="1969"/>
      <c r="AI69" s="1787">
        <f>AI66+AI68</f>
        <v>20.914999999999999</v>
      </c>
      <c r="AJ69" s="1969"/>
      <c r="AK69" s="1787">
        <f>AK66+AK68</f>
        <v>81.597000000000008</v>
      </c>
      <c r="AL69" s="1969"/>
      <c r="AM69" s="1784">
        <f>AM66+AM68</f>
        <v>133.286</v>
      </c>
      <c r="AN69" s="1969"/>
      <c r="AO69" s="1784">
        <f>AO66+AO68</f>
        <v>111.57599999999999</v>
      </c>
      <c r="AP69" s="1969"/>
      <c r="AQ69" s="1784">
        <f>AQ66+AQ68</f>
        <v>168.62099999999998</v>
      </c>
      <c r="AR69" s="1969"/>
      <c r="AS69" s="1784">
        <f>AS66+AS68</f>
        <v>296.41999999999996</v>
      </c>
      <c r="AT69" s="1969"/>
      <c r="AU69" s="1784">
        <f>AU66+AU68</f>
        <v>503.44299999999998</v>
      </c>
      <c r="AV69" s="1969"/>
      <c r="AW69" s="1784">
        <f>AW66+AW68</f>
        <v>789.36699999999996</v>
      </c>
      <c r="AX69" s="1784"/>
      <c r="AY69" s="1784"/>
    </row>
    <row r="70" spans="1:51" ht="4.5" customHeight="1">
      <c r="AH70" s="1349"/>
      <c r="AJ70" s="1349"/>
      <c r="AL70" s="1349"/>
      <c r="AN70" s="1349"/>
      <c r="AP70" s="1349"/>
      <c r="AR70" s="1349"/>
      <c r="AT70" s="1349"/>
      <c r="AV70" s="1349"/>
    </row>
    <row r="71" spans="1:51">
      <c r="A71" s="1282" t="s">
        <v>181</v>
      </c>
      <c r="E71" s="1669">
        <f>-E64+E68</f>
        <v>51.29</v>
      </c>
      <c r="F71" s="1669"/>
      <c r="G71" s="1669">
        <f>-G64+G68</f>
        <v>-1.4890000000000043</v>
      </c>
      <c r="H71" s="1669"/>
      <c r="I71" s="1669">
        <f>-I64+I68</f>
        <v>43.412999999999997</v>
      </c>
      <c r="J71" s="1669"/>
      <c r="K71" s="1669">
        <f>-K64+K68</f>
        <v>-94.180999999999997</v>
      </c>
      <c r="L71" s="1669"/>
      <c r="M71" s="1669">
        <f>-M64+M68</f>
        <v>-96.870999999999995</v>
      </c>
      <c r="N71" s="1669"/>
      <c r="O71" s="1669">
        <f>-O64+O68</f>
        <v>43.52</v>
      </c>
      <c r="P71" s="1669"/>
      <c r="Q71" s="1669">
        <f>-Q64+Q68</f>
        <v>-1743.5030000000002</v>
      </c>
      <c r="R71" s="1669"/>
      <c r="S71" s="1669">
        <f>-S64+S68</f>
        <v>43.425000000000026</v>
      </c>
      <c r="T71" s="1669"/>
      <c r="U71" s="1669">
        <f>-U64+U68</f>
        <v>-2.3359999999999994</v>
      </c>
      <c r="V71" s="1669"/>
      <c r="W71" s="1669">
        <f>-W64+W68</f>
        <v>-81.485000000000042</v>
      </c>
      <c r="X71" s="1669"/>
      <c r="Y71" s="1669">
        <f>-Y64+Y68</f>
        <v>48.742000000000019</v>
      </c>
      <c r="Z71" s="1669"/>
      <c r="AA71" s="1669">
        <f>-AA64+AA68</f>
        <v>91.210000000000008</v>
      </c>
      <c r="AB71" s="1669"/>
      <c r="AC71" s="1669">
        <f>-AC64+AC68</f>
        <v>281.12100000000004</v>
      </c>
      <c r="AD71" s="1669"/>
      <c r="AE71" s="1669">
        <f>-AE64+AE68</f>
        <v>124.10700000000006</v>
      </c>
      <c r="AF71" s="1669"/>
      <c r="AG71" s="1669">
        <f>-AG64+AG68</f>
        <v>101.29000000000009</v>
      </c>
      <c r="AH71" s="1718"/>
      <c r="AI71" s="1669">
        <f>-AI64+AI68</f>
        <v>144.66999999999985</v>
      </c>
      <c r="AJ71" s="1718"/>
      <c r="AK71" s="1669">
        <f>-AK64+AK68</f>
        <v>429.41599999999983</v>
      </c>
      <c r="AL71" s="1718"/>
      <c r="AM71" s="1669">
        <f>-AM64+AM68</f>
        <v>345.0419999999998</v>
      </c>
      <c r="AN71" s="1718"/>
      <c r="AO71" s="1669">
        <f>-AO64+AO68</f>
        <v>413.06700000000006</v>
      </c>
      <c r="AP71" s="1718"/>
      <c r="AQ71" s="1669">
        <f>-AQ64+AQ68</f>
        <v>407.04500000000002</v>
      </c>
      <c r="AR71" s="1718"/>
      <c r="AS71" s="1669">
        <f>-AS64+AS68</f>
        <v>477.79899999999998</v>
      </c>
      <c r="AT71" s="1718"/>
      <c r="AU71" s="1669">
        <f>-AU64+AU68</f>
        <v>557.02300000000002</v>
      </c>
      <c r="AV71" s="1718"/>
      <c r="AW71" s="1669">
        <f>-AW64+AW68</f>
        <v>635.92399999999998</v>
      </c>
      <c r="AX71" s="1669"/>
      <c r="AY71" s="1669"/>
    </row>
    <row r="72" spans="1:51" ht="4.5" customHeight="1">
      <c r="AH72" s="1349"/>
      <c r="AI72" s="1349"/>
      <c r="AJ72" s="1349"/>
      <c r="AK72" s="1349"/>
      <c r="AL72" s="1349"/>
      <c r="AM72" s="1349"/>
      <c r="AN72" s="1349"/>
      <c r="AO72" s="1349"/>
      <c r="AP72" s="1349"/>
      <c r="AQ72" s="1349"/>
      <c r="AR72" s="1349"/>
      <c r="AS72" s="1349"/>
      <c r="AT72" s="1349"/>
      <c r="AU72" s="1349"/>
      <c r="AV72" s="1349"/>
      <c r="AW72" s="1349"/>
      <c r="AX72" s="1349"/>
      <c r="AY72" s="1349"/>
    </row>
    <row r="73" spans="1:51">
      <c r="S73" s="1785"/>
      <c r="AH73" s="1349"/>
      <c r="AI73" s="1349"/>
      <c r="AJ73" s="1349"/>
      <c r="AK73" s="1349"/>
      <c r="AL73" s="1349"/>
      <c r="AM73" s="1349"/>
      <c r="AN73" s="1349"/>
      <c r="AO73" s="1349"/>
      <c r="AP73" s="1349"/>
      <c r="AQ73" s="1349"/>
      <c r="AR73" s="1349"/>
      <c r="AS73" s="1349"/>
      <c r="AT73" s="1349"/>
      <c r="AU73" s="1349"/>
      <c r="AV73" s="1349"/>
      <c r="AW73" s="1349"/>
      <c r="AX73" s="1349"/>
      <c r="AY73" s="1349"/>
    </row>
    <row r="74" spans="1:51">
      <c r="A74" s="1282" t="s">
        <v>78</v>
      </c>
      <c r="W74" s="1784"/>
      <c r="AC74" s="1669"/>
      <c r="AH74" s="1349"/>
      <c r="AI74" s="1349"/>
      <c r="AJ74" s="1349"/>
      <c r="AK74" s="1349"/>
      <c r="AL74" s="1349"/>
      <c r="AM74" s="1721"/>
      <c r="AN74" s="1349"/>
      <c r="AO74" s="1349"/>
      <c r="AP74" s="1349"/>
      <c r="AQ74" s="1349"/>
      <c r="AR74" s="1349"/>
      <c r="AS74" s="1349"/>
      <c r="AT74" s="1349"/>
      <c r="AU74" s="1349"/>
      <c r="AV74" s="1349"/>
      <c r="AW74" s="1349"/>
      <c r="AX74" s="1349"/>
      <c r="AY74" s="1349"/>
    </row>
    <row r="75" spans="1:51">
      <c r="W75" s="1669"/>
      <c r="X75" s="1669"/>
      <c r="Y75" s="1669"/>
      <c r="Z75" s="1669"/>
      <c r="AA75" s="1669"/>
      <c r="AB75" s="1669"/>
      <c r="AC75" s="1669"/>
      <c r="AH75" s="1349"/>
      <c r="AI75" s="1969"/>
      <c r="AJ75" s="1349"/>
      <c r="AK75" s="1349"/>
      <c r="AL75" s="1349"/>
      <c r="AM75" s="1349"/>
      <c r="AN75" s="1349"/>
      <c r="AO75" s="1349"/>
      <c r="AP75" s="1349"/>
      <c r="AQ75" s="1349"/>
      <c r="AR75" s="1349"/>
      <c r="AS75" s="1349"/>
      <c r="AT75" s="1349"/>
      <c r="AU75" s="1349"/>
      <c r="AV75" s="1349"/>
      <c r="AW75" s="1349"/>
      <c r="AX75" s="1349"/>
      <c r="AY75" s="1349"/>
    </row>
    <row r="76" spans="1:51">
      <c r="A76" s="1282" t="s">
        <v>155</v>
      </c>
      <c r="Y76" s="1787"/>
      <c r="AA76" s="1787"/>
      <c r="AI76" s="1784"/>
    </row>
    <row r="78" spans="1:51">
      <c r="B78" s="1282" t="s">
        <v>183</v>
      </c>
      <c r="E78" s="1587">
        <f>O31/'yrP&amp;L'!B8</f>
        <v>-4.182719929134307E-2</v>
      </c>
      <c r="F78" s="1587"/>
      <c r="G78" s="1587">
        <f>O31/'yrP&amp;L'!C8</f>
        <v>-3.8341272115767863E-2</v>
      </c>
      <c r="H78" s="1587"/>
      <c r="I78" s="1587">
        <f>O31/'yrP&amp;L'!D8</f>
        <v>-3.6461965645125979E-2</v>
      </c>
      <c r="J78" s="1587"/>
      <c r="K78" s="1587">
        <f>O31/'yrP&amp;L'!E8</f>
        <v>-3.4768689173930445E-2</v>
      </c>
      <c r="L78" s="1587"/>
      <c r="M78" s="1587">
        <f>O31/'yrP&amp;L'!F8</f>
        <v>-3.2558147666400923E-2</v>
      </c>
      <c r="N78" s="1587"/>
      <c r="O78" s="1587">
        <f>O31/'yrP&amp;L'!G8</f>
        <v>-2.9099892494624729E-2</v>
      </c>
      <c r="P78" s="1587"/>
      <c r="Q78" s="1587">
        <f>Q31/'yrP&amp;L'!H8</f>
        <v>-2.1667434075366643E-2</v>
      </c>
      <c r="R78" s="1587"/>
      <c r="S78" s="1587">
        <f>S31/'yrP&amp;L'!I8</f>
        <v>-2.010317740499093E-2</v>
      </c>
      <c r="T78" s="1587"/>
      <c r="U78" s="1587">
        <f>U31/'yrP&amp;L'!J8</f>
        <v>-2.7925161793039839E-2</v>
      </c>
      <c r="V78" s="1587"/>
      <c r="W78" s="1587">
        <f>W31/'yrP&amp;L'!L8</f>
        <v>-2.6702326539904182E-2</v>
      </c>
      <c r="X78" s="1587"/>
      <c r="Y78" s="1587">
        <f>Y31/'yrP&amp;L'!M8</f>
        <v>-3.6006902110910122E-2</v>
      </c>
      <c r="Z78" s="1587"/>
      <c r="AA78" s="1587">
        <f>AA31/'yrP&amp;L'!P8</f>
        <v>-3.7618767359937952E-2</v>
      </c>
      <c r="AB78" s="1587"/>
      <c r="AC78" s="1587">
        <f>AC31/'yrP&amp;L'!R8</f>
        <v>-3.47491662692564E-2</v>
      </c>
      <c r="AD78" s="1587"/>
      <c r="AE78" s="1587">
        <f>AE31/'yrP&amp;L'!T8</f>
        <v>-3.023101890429063E-2</v>
      </c>
      <c r="AF78" s="1587"/>
      <c r="AG78" s="1587">
        <f>AG31/'yrP&amp;L'!V8</f>
        <v>-3.3545950957944153E-2</v>
      </c>
      <c r="AH78" s="1745"/>
      <c r="AI78" s="1587">
        <f>AI31/'yrP&amp;L_new'!H8</f>
        <v>-3.9574365769145387E-2</v>
      </c>
      <c r="AJ78" s="1587"/>
      <c r="AK78" s="2190">
        <f>AK31/'yrP&amp;L_new'!I8</f>
        <v>-3.3687696706346602E-2</v>
      </c>
      <c r="AL78" s="1587"/>
      <c r="AM78" s="2190">
        <f>AM31/'yrP&amp;L_new'!K8</f>
        <v>-4.0713289760226604E-2</v>
      </c>
      <c r="AN78" s="1587"/>
      <c r="AO78" s="1781">
        <v>3.3000000000000002E-2</v>
      </c>
      <c r="AP78" s="1587"/>
      <c r="AQ78" s="1781">
        <v>3.3000000000000002E-2</v>
      </c>
      <c r="AR78" s="1587"/>
      <c r="AS78" s="1781">
        <v>3.3000000000000002E-2</v>
      </c>
      <c r="AT78" s="1587"/>
      <c r="AU78" s="1781">
        <v>3.3000000000000002E-2</v>
      </c>
      <c r="AV78" s="1587"/>
      <c r="AW78" s="1781">
        <v>3.3000000000000002E-2</v>
      </c>
      <c r="AX78" s="1781"/>
      <c r="AY78" s="1781"/>
    </row>
    <row r="79" spans="1:51">
      <c r="AH79" s="1349"/>
      <c r="AI79" s="1349"/>
      <c r="AJ79" s="1349"/>
      <c r="AK79" s="1349"/>
      <c r="AL79" s="1349"/>
      <c r="AM79" s="1349"/>
      <c r="AN79" s="1349"/>
      <c r="AO79" s="1349"/>
      <c r="AP79" s="1349"/>
      <c r="AQ79" s="1349"/>
      <c r="AR79" s="1349"/>
      <c r="AS79" s="1349"/>
      <c r="AT79" s="1349"/>
      <c r="AU79" s="1349"/>
      <c r="AV79" s="1349"/>
      <c r="AW79" s="1349"/>
      <c r="AX79" s="1349"/>
      <c r="AY79" s="1349"/>
    </row>
    <row r="80" spans="1:51" hidden="1">
      <c r="B80" s="1282" t="s">
        <v>184</v>
      </c>
      <c r="E80" s="1962"/>
      <c r="F80" s="1962"/>
      <c r="G80" s="1962"/>
      <c r="H80" s="1962"/>
      <c r="I80" s="1962"/>
      <c r="J80" s="1962"/>
      <c r="K80" s="1962"/>
      <c r="L80" s="1962"/>
      <c r="M80" s="1962"/>
      <c r="N80" s="1962"/>
      <c r="O80" s="1962" t="e">
        <f>O50/'yrP&amp;L'!G58</f>
        <v>#VALUE!</v>
      </c>
      <c r="P80" s="1962"/>
      <c r="Q80" s="1962" t="e">
        <f>Q50/'yrP&amp;L'!H58</f>
        <v>#VALUE!</v>
      </c>
      <c r="R80" s="1962"/>
      <c r="S80" s="1962" t="e">
        <f>S50/'yrP&amp;L'!I58</f>
        <v>#VALUE!</v>
      </c>
      <c r="T80" s="1962"/>
      <c r="U80" s="1962" t="e">
        <f>U50/'yrP&amp;L'!J58</f>
        <v>#VALUE!</v>
      </c>
      <c r="V80" s="1962"/>
      <c r="W80" s="1962">
        <f>W50/'yrP&amp;L'!L58</f>
        <v>-1.2039208186773442</v>
      </c>
      <c r="X80" s="1962"/>
      <c r="Y80" s="1962">
        <f>Y50/'yrP&amp;L'!M58</f>
        <v>1.0708308612914381</v>
      </c>
      <c r="Z80" s="1962"/>
      <c r="AA80" s="1962">
        <f>AA50/'yrP&amp;L'!N58</f>
        <v>1.351037173799726</v>
      </c>
      <c r="AB80" s="1962"/>
      <c r="AC80" s="1962">
        <f>AC50/'yrP&amp;L'!P58</f>
        <v>3.9313219031290427</v>
      </c>
      <c r="AD80" s="1962"/>
      <c r="AE80" s="1962">
        <f>AE50/'yrP&amp;L'!Q58</f>
        <v>1.6245096838062647</v>
      </c>
      <c r="AF80" s="1962"/>
      <c r="AG80" s="1962">
        <f>AG50/'yrP&amp;L'!R58</f>
        <v>1.2716535952020041</v>
      </c>
      <c r="AH80" s="1962"/>
      <c r="AI80" s="1962">
        <f>AI50/'yrP&amp;L'!S58</f>
        <v>1.8010489704972978</v>
      </c>
      <c r="AJ80" s="1962"/>
      <c r="AK80" s="1962">
        <f>AK50/'yrP&amp;L'!T58</f>
        <v>5.4374729724417117</v>
      </c>
      <c r="AL80" s="1962"/>
      <c r="AM80" s="1982">
        <f>AM50/'yrP&amp;L_new'!J58</f>
        <v>4.8238169531072126</v>
      </c>
      <c r="AN80" s="1962"/>
      <c r="AO80" s="1982">
        <f>AO50/'yrP&amp;L_new'!K58</f>
        <v>6.0848090775677059</v>
      </c>
      <c r="AP80" s="1962"/>
      <c r="AQ80" s="1982">
        <f>AQ50/'yrP&amp;L_new'!L58</f>
        <v>6.1298763510566987</v>
      </c>
      <c r="AR80" s="1962"/>
      <c r="AS80" s="1982">
        <f>AS50/'yrP&amp;L_new'!M58</f>
        <v>7.3535847610484186</v>
      </c>
      <c r="AT80" s="1962"/>
      <c r="AU80" s="1982">
        <f>AU50/'yrP&amp;L_new'!N58</f>
        <v>8.7524927435402571</v>
      </c>
      <c r="AV80" s="1962"/>
      <c r="AW80" s="1982" t="e">
        <f>AW50/'yrP&amp;L_new'!P58</f>
        <v>#DIV/0!</v>
      </c>
      <c r="AX80" s="1349"/>
      <c r="AY80" s="1349"/>
    </row>
    <row r="81" spans="34:51">
      <c r="AH81" s="1349"/>
      <c r="AI81" s="1349"/>
      <c r="AJ81" s="1349"/>
      <c r="AK81" s="1349"/>
      <c r="AL81" s="1349"/>
      <c r="AM81" s="1349"/>
      <c r="AN81" s="1349"/>
      <c r="AO81" s="1349"/>
      <c r="AP81" s="1349"/>
      <c r="AQ81" s="1349"/>
      <c r="AR81" s="1349"/>
      <c r="AS81" s="1349"/>
      <c r="AT81" s="1349"/>
      <c r="AU81" s="1349"/>
      <c r="AV81" s="1349"/>
      <c r="AW81" s="1349"/>
      <c r="AX81" s="1349"/>
      <c r="AY81" s="1349"/>
    </row>
    <row r="82" spans="34:51" customFormat="1"/>
  </sheetData>
  <phoneticPr fontId="11" type="noConversion"/>
  <printOptions horizontalCentered="1" verticalCentered="1"/>
  <pageMargins left="0" right="0" top="0" bottom="0" header="0" footer="0"/>
  <pageSetup paperSize="5" scale="71" orientation="landscape"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pageSetUpPr fitToPage="1"/>
  </sheetPr>
  <dimension ref="A1:BY45"/>
  <sheetViews>
    <sheetView zoomScaleNormal="100" workbookViewId="0">
      <selection activeCell="A39" sqref="A39"/>
    </sheetView>
  </sheetViews>
  <sheetFormatPr defaultRowHeight="12.75" outlineLevelCol="2"/>
  <cols>
    <col min="1" max="1" width="3.140625" style="1282" customWidth="1"/>
    <col min="2" max="2" width="4.42578125" style="1282" customWidth="1"/>
    <col min="3" max="3" width="4.42578125" style="1282" hidden="1" customWidth="1" outlineLevel="1"/>
    <col min="4" max="4" width="7.85546875" style="1282" hidden="1" customWidth="1" outlineLevel="1"/>
    <col min="5" max="5" width="5.5703125" style="1282" hidden="1" customWidth="1" outlineLevel="2"/>
    <col min="6" max="6" width="4.42578125" style="1282" hidden="1" customWidth="1" outlineLevel="2"/>
    <col min="7" max="7" width="0.7109375" style="1282" hidden="1" customWidth="1" outlineLevel="2"/>
    <col min="8" max="8" width="7.85546875" style="1282" hidden="1" customWidth="1" outlineLevel="1" collapsed="1"/>
    <col min="9" max="9" width="5.5703125" style="1282" hidden="1" customWidth="1" outlineLevel="2"/>
    <col min="10" max="10" width="4.42578125" style="1282" hidden="1" customWidth="1" outlineLevel="2"/>
    <col min="11" max="11" width="0.7109375" style="1282" hidden="1" customWidth="1" outlineLevel="2"/>
    <col min="12" max="12" width="7.85546875" style="1282" hidden="1" customWidth="1" outlineLevel="1" collapsed="1"/>
    <col min="13" max="13" width="5.5703125" style="1282" hidden="1" customWidth="1" outlineLevel="2"/>
    <col min="14" max="14" width="4.42578125" style="1282" hidden="1" customWidth="1" outlineLevel="2"/>
    <col min="15" max="15" width="0.7109375" style="1282" hidden="1" customWidth="1" outlineLevel="2"/>
    <col min="16" max="16" width="7.85546875" style="1282" hidden="1" customWidth="1" outlineLevel="1" collapsed="1"/>
    <col min="17" max="17" width="5.5703125" style="1282" hidden="1" customWidth="1" outlineLevel="2"/>
    <col min="18" max="18" width="4.42578125" style="1282" hidden="1" customWidth="1" outlineLevel="2"/>
    <col min="19" max="19" width="0.7109375" style="1282" hidden="1" customWidth="1" outlineLevel="2"/>
    <col min="20" max="20" width="7.85546875" style="1282" hidden="1" customWidth="1" outlineLevel="1" collapsed="1"/>
    <col min="21" max="21" width="5.5703125" style="1282" hidden="1" customWidth="1" outlineLevel="2"/>
    <col min="22" max="22" width="4.42578125" style="1282" hidden="1" customWidth="1" outlineLevel="2"/>
    <col min="23" max="23" width="0.7109375" style="1282" hidden="1" customWidth="1" outlineLevel="2"/>
    <col min="24" max="24" width="7.85546875" style="1282" hidden="1" customWidth="1" outlineLevel="1" collapsed="1"/>
    <col min="25" max="25" width="5.5703125" style="1282" hidden="1" customWidth="1" outlineLevel="1"/>
    <col min="26" max="26" width="5.28515625" style="1282" hidden="1" customWidth="1" outlineLevel="1"/>
    <col min="27" max="27" width="0.7109375" style="1282" hidden="1" customWidth="1" outlineLevel="2"/>
    <col min="28" max="28" width="7.85546875" style="1282" hidden="1" customWidth="1" outlineLevel="1" collapsed="1"/>
    <col min="29" max="29" width="5.5703125" style="1282" hidden="1" customWidth="1" outlineLevel="1"/>
    <col min="30" max="30" width="5.28515625" style="1282" hidden="1" customWidth="1" outlineLevel="1"/>
    <col min="31" max="31" width="0.7109375" style="1282" hidden="1" customWidth="1" outlineLevel="1"/>
    <col min="32" max="32" width="7.85546875" style="1282" customWidth="1" collapsed="1"/>
    <col min="33" max="33" width="5.5703125" style="1282" customWidth="1"/>
    <col min="34" max="34" width="5.28515625" style="1282" customWidth="1"/>
    <col min="35" max="35" width="0.7109375" style="1282" customWidth="1"/>
    <col min="36" max="36" width="7.85546875" style="1282" customWidth="1"/>
    <col min="37" max="37" width="5.5703125" style="1282" customWidth="1"/>
    <col min="38" max="38" width="5.28515625" style="1282" customWidth="1"/>
    <col min="39" max="39" width="0.7109375" style="1282" customWidth="1"/>
    <col min="40" max="40" width="7.85546875" style="1282" customWidth="1"/>
    <col min="41" max="41" width="6.85546875" style="1282" customWidth="1"/>
    <col min="42" max="42" width="5.28515625" style="1282" customWidth="1"/>
    <col min="43" max="43" width="0.7109375" style="1282" customWidth="1"/>
    <col min="44" max="44" width="7.85546875" style="1282" customWidth="1"/>
    <col min="45" max="45" width="5.5703125" style="1282" customWidth="1"/>
    <col min="46" max="46" width="5.28515625" style="1282" customWidth="1"/>
    <col min="47" max="47" width="0.7109375" style="1282" customWidth="1"/>
    <col min="48" max="48" width="7.85546875" style="1282" customWidth="1"/>
    <col min="49" max="49" width="6.5703125" style="1282" customWidth="1"/>
    <col min="50" max="50" width="5.28515625" style="1282" customWidth="1"/>
    <col min="51" max="51" width="0.7109375" style="1282" customWidth="1"/>
    <col min="52" max="53" width="7.7109375" style="1282" bestFit="1" customWidth="1"/>
    <col min="54" max="54" width="5.28515625" style="1282" customWidth="1"/>
    <col min="55" max="55" width="0.7109375" style="1282" customWidth="1"/>
    <col min="56" max="56" width="7.85546875" style="1282" customWidth="1" outlineLevel="1"/>
    <col min="57" max="57" width="8.5703125" style="1282" customWidth="1" outlineLevel="1"/>
    <col min="58" max="58" width="5.28515625" style="1282" customWidth="1" outlineLevel="1"/>
    <col min="59" max="59" width="0.7109375" style="1282" customWidth="1"/>
    <col min="60" max="61" width="8.5703125" style="1282" customWidth="1" outlineLevel="1"/>
    <col min="62" max="62" width="5.28515625" style="1282" customWidth="1" outlineLevel="1"/>
    <col min="63" max="63" width="0.7109375" style="1282" customWidth="1"/>
    <col min="64" max="65" width="8.5703125" style="1282" customWidth="1" outlineLevel="1"/>
    <col min="66" max="66" width="5.28515625" style="1282" customWidth="1" outlineLevel="1"/>
    <col min="67" max="67" width="0.7109375" style="1282" customWidth="1"/>
    <col min="68" max="69" width="8.5703125" style="1282" customWidth="1" outlineLevel="1"/>
    <col min="70" max="70" width="5.28515625" style="1282" customWidth="1" outlineLevel="1"/>
    <col min="71" max="74" width="9.140625" style="1282"/>
    <col min="75" max="75" width="16.7109375" style="1282" bestFit="1" customWidth="1"/>
    <col min="76" max="16384" width="9.140625" style="1282"/>
  </cols>
  <sheetData>
    <row r="1" spans="1:77">
      <c r="A1" s="1283" t="s">
        <v>441</v>
      </c>
    </row>
    <row r="2" spans="1:77" s="1352" customFormat="1">
      <c r="A2" s="1246" t="s">
        <v>1077</v>
      </c>
    </row>
    <row r="3" spans="1:77">
      <c r="A3" s="1633" t="s">
        <v>314</v>
      </c>
    </row>
    <row r="6" spans="1:77">
      <c r="D6" s="1303" t="s">
        <v>260</v>
      </c>
      <c r="E6" s="1303"/>
      <c r="F6" s="1303"/>
      <c r="G6" s="1303"/>
      <c r="H6" s="1303"/>
      <c r="I6" s="1303"/>
      <c r="J6" s="1303"/>
      <c r="K6" s="1303"/>
      <c r="L6" s="1303"/>
      <c r="M6" s="1303"/>
      <c r="N6" s="1303"/>
      <c r="O6" s="1303"/>
      <c r="P6" s="1303"/>
      <c r="Q6" s="1303"/>
      <c r="R6" s="1303"/>
      <c r="S6" s="1303"/>
      <c r="T6" s="1303"/>
      <c r="U6" s="1303"/>
      <c r="V6" s="1303"/>
      <c r="W6" s="1303"/>
      <c r="X6" s="1303"/>
      <c r="Y6" s="1303"/>
      <c r="Z6" s="1303"/>
      <c r="AA6" s="1303"/>
      <c r="AB6" s="1303"/>
      <c r="AC6" s="1303"/>
      <c r="AD6" s="1303"/>
      <c r="AE6" s="1303"/>
      <c r="AF6" s="1303" t="s">
        <v>259</v>
      </c>
      <c r="AG6" s="1303"/>
      <c r="AH6" s="1303"/>
      <c r="AI6" s="1303"/>
      <c r="AJ6" s="1303"/>
      <c r="AK6" s="1303"/>
      <c r="AL6" s="1303"/>
      <c r="AM6" s="1303"/>
      <c r="AN6" s="1303"/>
      <c r="AO6" s="1303"/>
      <c r="AP6" s="1303"/>
      <c r="AQ6" s="1303"/>
      <c r="AR6" s="1303"/>
      <c r="AS6" s="1303"/>
      <c r="AT6" s="1303"/>
      <c r="AU6" s="1303"/>
      <c r="AV6" s="1303"/>
      <c r="AW6" s="1303"/>
      <c r="AX6" s="1303"/>
      <c r="AY6" s="1303"/>
      <c r="AZ6" s="1303"/>
      <c r="BA6" s="1303"/>
      <c r="BB6" s="1303"/>
      <c r="BC6" s="1303"/>
      <c r="BD6" s="1303"/>
      <c r="BE6" s="1303"/>
      <c r="BF6" s="1303"/>
      <c r="BG6" s="1303"/>
      <c r="BH6" s="1303"/>
      <c r="BI6" s="1303"/>
      <c r="BJ6" s="1303"/>
      <c r="BK6" s="1303"/>
      <c r="BL6" s="1303"/>
      <c r="BM6" s="1303"/>
      <c r="BN6" s="1303"/>
      <c r="BO6" s="1303"/>
      <c r="BP6" s="1303"/>
      <c r="BQ6" s="1303"/>
      <c r="BR6" s="1303"/>
    </row>
    <row r="7" spans="1:77">
      <c r="D7" s="1303" t="s">
        <v>254</v>
      </c>
      <c r="E7" s="1303"/>
      <c r="F7" s="1303"/>
      <c r="H7" s="1303" t="s">
        <v>255</v>
      </c>
      <c r="I7" s="1303"/>
      <c r="J7" s="1303"/>
      <c r="L7" s="1303" t="s">
        <v>166</v>
      </c>
      <c r="M7" s="1303"/>
      <c r="N7" s="1303"/>
      <c r="P7" s="1303" t="s">
        <v>96</v>
      </c>
      <c r="Q7" s="1303"/>
      <c r="R7" s="1303"/>
      <c r="T7" s="1303" t="s">
        <v>95</v>
      </c>
      <c r="U7" s="1303"/>
      <c r="V7" s="1303"/>
      <c r="X7" s="1303" t="s">
        <v>94</v>
      </c>
      <c r="Y7" s="1303"/>
      <c r="Z7" s="1303"/>
      <c r="AB7" s="1303" t="s">
        <v>93</v>
      </c>
      <c r="AC7" s="1303"/>
      <c r="AD7" s="1303"/>
      <c r="AF7" s="1303" t="s">
        <v>83</v>
      </c>
      <c r="AG7" s="1303"/>
      <c r="AH7" s="1303"/>
      <c r="AJ7" s="1303" t="s">
        <v>84</v>
      </c>
      <c r="AK7" s="1303"/>
      <c r="AL7" s="1303"/>
      <c r="AN7" s="1303" t="s">
        <v>242</v>
      </c>
      <c r="AO7" s="1303"/>
      <c r="AP7" s="1303"/>
      <c r="AR7" s="1303" t="s">
        <v>247</v>
      </c>
      <c r="AS7" s="1303"/>
      <c r="AT7" s="1303"/>
      <c r="AV7" s="1303" t="s">
        <v>611</v>
      </c>
      <c r="AW7" s="1303"/>
      <c r="AX7" s="1303"/>
      <c r="AZ7" s="1303" t="s">
        <v>626</v>
      </c>
      <c r="BA7" s="1303"/>
      <c r="BB7" s="1303"/>
      <c r="BD7" s="1303" t="s">
        <v>933</v>
      </c>
      <c r="BE7" s="1303"/>
      <c r="BF7" s="1303"/>
      <c r="BH7" s="1303" t="s">
        <v>988</v>
      </c>
      <c r="BI7" s="1303"/>
      <c r="BJ7" s="1303"/>
      <c r="BL7" s="1303" t="s">
        <v>1097</v>
      </c>
      <c r="BM7" s="1303"/>
      <c r="BN7" s="1303"/>
      <c r="BP7" s="1303" t="s">
        <v>341</v>
      </c>
      <c r="BQ7" s="1303"/>
      <c r="BR7" s="1303"/>
    </row>
    <row r="9" spans="1:77">
      <c r="A9" s="1635" t="s">
        <v>109</v>
      </c>
      <c r="B9" s="1281"/>
      <c r="C9" s="1281"/>
      <c r="D9" s="1281"/>
      <c r="E9" s="1281"/>
      <c r="F9" s="1281"/>
      <c r="G9" s="1281"/>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Y9" s="1281"/>
      <c r="BC9" s="1281"/>
      <c r="BG9" s="1281"/>
      <c r="BK9" s="1281"/>
      <c r="BO9" s="1281"/>
    </row>
    <row r="10" spans="1:77">
      <c r="A10" s="1282" t="s">
        <v>105</v>
      </c>
      <c r="B10" s="1282" t="s">
        <v>79</v>
      </c>
      <c r="D10" s="1651">
        <v>652.75800000000004</v>
      </c>
      <c r="E10" s="1850" t="s">
        <v>90</v>
      </c>
      <c r="F10" s="1970" t="str">
        <f>'qtrP&amp;L'!D11</f>
        <v>NA</v>
      </c>
      <c r="H10" s="1651">
        <v>687.05700000000002</v>
      </c>
      <c r="I10" s="1850">
        <f>(H10/D10-1)*100</f>
        <v>5.2544740930023037</v>
      </c>
      <c r="J10" s="1970">
        <f>'qtrP&amp;L'!H11</f>
        <v>12.281820652412145</v>
      </c>
      <c r="L10" s="1651">
        <v>669.94399999999996</v>
      </c>
      <c r="M10" s="1970">
        <f>'qtrP&amp;L'!Q11</f>
        <v>2.9</v>
      </c>
      <c r="N10" s="1970">
        <f>'qtrP&amp;L'!L11</f>
        <v>3.7488654441115044</v>
      </c>
      <c r="P10" s="1651">
        <v>727.76400000000001</v>
      </c>
      <c r="Q10" s="1850">
        <f>(P10/L10-1)*100</f>
        <v>8.6305721075194519</v>
      </c>
      <c r="R10" s="1970">
        <f>'qtrP&amp;L'!P11</f>
        <v>9.225976019762161</v>
      </c>
      <c r="T10" s="1651">
        <v>771.971</v>
      </c>
      <c r="U10" s="1850">
        <f>(T10/P10-1)*100</f>
        <v>6.0743592703129012</v>
      </c>
      <c r="V10" s="1970">
        <f>'qtrP&amp;L'!T11</f>
        <v>13.368667094989494</v>
      </c>
      <c r="X10" s="1887" t="s">
        <v>90</v>
      </c>
      <c r="Y10" s="1850" t="s">
        <v>90</v>
      </c>
      <c r="Z10" s="1970">
        <f>'qtrP&amp;L'!X11</f>
        <v>0.92589778963552138</v>
      </c>
      <c r="AB10" s="1651">
        <v>729.73699999999997</v>
      </c>
      <c r="AC10" s="1850" t="s">
        <v>90</v>
      </c>
      <c r="AD10" s="1970">
        <f>'qtrP&amp;L'!AB11</f>
        <v>3.20368647499647</v>
      </c>
      <c r="AF10" s="1651">
        <v>672.21600000000001</v>
      </c>
      <c r="AG10" s="1971" t="s">
        <v>90</v>
      </c>
      <c r="AH10" s="1970" t="str">
        <f>'qtrP&amp;L'!AJ11</f>
        <v>NA</v>
      </c>
      <c r="AJ10" s="1954">
        <v>634.00800000000004</v>
      </c>
      <c r="AK10" s="1972">
        <f>(AJ10/AF10-1)*100</f>
        <v>-5.683887321932235</v>
      </c>
      <c r="AL10" s="1970">
        <f>'qtrP&amp;L'!AN11</f>
        <v>7.7869459774975391</v>
      </c>
      <c r="AN10" s="1651">
        <v>688.98500000000001</v>
      </c>
      <c r="AO10" s="1972">
        <f>(AN10/AJ10-1)*100</f>
        <v>8.6713416865402237</v>
      </c>
      <c r="AP10" s="1970">
        <f>'qtrP&amp;L'!AR11</f>
        <v>3.8452940611035435</v>
      </c>
      <c r="AR10" s="1651">
        <v>660.94</v>
      </c>
      <c r="AS10" s="1972">
        <f>(AR10/AN10-1)*100</f>
        <v>-4.0704804894155844</v>
      </c>
      <c r="AT10" s="1970">
        <f>'qtrP&amp;L'!AV11</f>
        <v>5.7412422264582874</v>
      </c>
      <c r="AV10" s="1651">
        <v>727.21900000000005</v>
      </c>
      <c r="AW10" s="1972">
        <f>(AV10/AR10-1)*100</f>
        <v>10.027990437861224</v>
      </c>
      <c r="AX10" s="1970">
        <f>'qtrP&amp;L'!AZ11</f>
        <v>8.4069406697496074</v>
      </c>
      <c r="AZ10" s="1651">
        <v>707.62699999999995</v>
      </c>
      <c r="BA10" s="1972">
        <f>(AZ10/AV10-1)*100</f>
        <v>-2.6940990265655995</v>
      </c>
      <c r="BB10" s="1970">
        <f>'qtrP&amp;L'!BD11</f>
        <v>5.9394174551325118</v>
      </c>
      <c r="BD10" s="1651">
        <v>822.31299999999999</v>
      </c>
      <c r="BE10" s="1972">
        <f>(BD10/AZ10-1)*100</f>
        <v>16.207126070655864</v>
      </c>
      <c r="BF10" s="1970">
        <f>'qtrP&amp;L_new'!BH11</f>
        <v>4.8561114415090589</v>
      </c>
      <c r="BH10" s="1651">
        <v>804.69399999999996</v>
      </c>
      <c r="BI10" s="1972">
        <f>(BH10/BD10-1)*100</f>
        <v>-2.1426147950962759</v>
      </c>
      <c r="BJ10" s="1970">
        <f>'qtrP&amp;L_new'!BL11</f>
        <v>8.4197829524985668</v>
      </c>
      <c r="BL10" s="1651">
        <v>725.5</v>
      </c>
      <c r="BM10" s="1972">
        <f>(BL10/BH10-1)*100</f>
        <v>-9.84150496959092</v>
      </c>
      <c r="BN10" s="1970">
        <f>'qtrP&amp;L_new'!BP11</f>
        <v>4.9799246883454051</v>
      </c>
      <c r="BP10" s="2192">
        <f t="shared" ref="BP10:BP11" si="0">BL10*(1+BQ10/100)</f>
        <v>710.99</v>
      </c>
      <c r="BQ10" s="1973">
        <v>-2</v>
      </c>
      <c r="BR10" s="1970">
        <f>'qtrP&amp;L_new'!BT11</f>
        <v>10.356902356902363</v>
      </c>
      <c r="BW10" s="1283" t="s">
        <v>931</v>
      </c>
      <c r="BX10" s="1283"/>
      <c r="BY10" s="1283"/>
    </row>
    <row r="11" spans="1:77">
      <c r="A11" s="1282" t="s">
        <v>106</v>
      </c>
      <c r="B11" s="1282" t="s">
        <v>80</v>
      </c>
      <c r="D11" s="1653">
        <v>747.61800000000005</v>
      </c>
      <c r="E11" s="1850" t="s">
        <v>90</v>
      </c>
      <c r="F11" s="1970" t="str">
        <f>'qtrP&amp;L'!D12</f>
        <v>NA</v>
      </c>
      <c r="H11" s="1653">
        <v>759.00099999999998</v>
      </c>
      <c r="I11" s="1850">
        <f>(H11/D11-1)*100</f>
        <v>1.5225690125170832</v>
      </c>
      <c r="J11" s="1970">
        <f>'qtrP&amp;L'!H12</f>
        <v>5.3654656359173991</v>
      </c>
      <c r="L11" s="1653">
        <v>790.89499999999998</v>
      </c>
      <c r="M11" s="1970">
        <f>'qtrP&amp;L'!Q12</f>
        <v>4.8</v>
      </c>
      <c r="N11" s="1970">
        <f>'qtrP&amp;L'!L12</f>
        <v>0.41401583983631252</v>
      </c>
      <c r="P11" s="1653">
        <v>880.03899999999999</v>
      </c>
      <c r="Q11" s="1850">
        <f>(P11/L11-1)*100</f>
        <v>11.27128126995367</v>
      </c>
      <c r="R11" s="1970">
        <f>'qtrP&amp;L'!P12</f>
        <v>10.817880148350568</v>
      </c>
      <c r="T11" s="1653">
        <v>900.37199999999996</v>
      </c>
      <c r="U11" s="1850">
        <f>(T11/P11-1)*100</f>
        <v>2.3104657861753752</v>
      </c>
      <c r="V11" s="1970">
        <f>'qtrP&amp;L'!T12</f>
        <v>8.4048701881663579</v>
      </c>
      <c r="X11" s="1653">
        <v>913.25900000000001</v>
      </c>
      <c r="Y11" s="1850">
        <f>(X11/T11-1)*100</f>
        <v>1.4312972860106798</v>
      </c>
      <c r="Z11" s="1970">
        <f>'qtrP&amp;L'!X12</f>
        <v>4.5050664307294097</v>
      </c>
      <c r="AB11" s="1653">
        <v>870.93399999999997</v>
      </c>
      <c r="AC11" s="1850">
        <f>(AB11/X11-1)*100</f>
        <v>-4.6345012751037862</v>
      </c>
      <c r="AD11" s="1970">
        <f>'qtrP&amp;L'!AB12</f>
        <v>-4.1378231138297643</v>
      </c>
      <c r="AF11" s="1653">
        <v>661.53800000000001</v>
      </c>
      <c r="AG11" s="1971" t="s">
        <v>90</v>
      </c>
      <c r="AH11" s="1970" t="str">
        <f>'qtrP&amp;L'!AJ12</f>
        <v>NA</v>
      </c>
      <c r="AJ11" s="1653">
        <v>661.22400000000005</v>
      </c>
      <c r="AK11" s="1972">
        <f>(AJ11/AF11-1)*100</f>
        <v>-4.746514939428792E-2</v>
      </c>
      <c r="AL11" s="1970">
        <f>'qtrP&amp;L'!AN12</f>
        <v>3.9618932405867335</v>
      </c>
      <c r="AN11" s="1653">
        <f>665.204</f>
        <v>665.20399999999995</v>
      </c>
      <c r="AO11" s="1972">
        <f>(AN11/AJ11-1)*100</f>
        <v>0.60191402610914047</v>
      </c>
      <c r="AP11" s="1970">
        <f>'qtrP&amp;L'!AR12</f>
        <v>8.864356775300152</v>
      </c>
      <c r="AR11" s="1653">
        <v>636.84799999999996</v>
      </c>
      <c r="AS11" s="1972">
        <f>(AR11/AN11-1)*100</f>
        <v>-4.2627524789387916</v>
      </c>
      <c r="AT11" s="1970">
        <f>'qtrP&amp;L'!AV12</f>
        <v>8.928255026476517</v>
      </c>
      <c r="AV11" s="1653">
        <v>748.30799999999999</v>
      </c>
      <c r="AW11" s="1972">
        <f>(AV11/AR11-1)*100</f>
        <v>17.501821470743415</v>
      </c>
      <c r="AX11" s="1970">
        <f>'qtrP&amp;L'!AZ12</f>
        <v>11.500991512676627</v>
      </c>
      <c r="AZ11" s="1653">
        <v>711.51</v>
      </c>
      <c r="BA11" s="1972">
        <f>(AZ11/AV11-1)*100</f>
        <v>-4.9174938661620597</v>
      </c>
      <c r="BB11" s="1970">
        <f>'qtrP&amp;L'!BD12</f>
        <v>8.3035292345022818</v>
      </c>
      <c r="BD11" s="1653">
        <v>802.34100000000001</v>
      </c>
      <c r="BE11" s="1972">
        <f>(BD11/AZ11-1)*100</f>
        <v>12.765948475776877</v>
      </c>
      <c r="BF11" s="1970">
        <f>'qtrP&amp;L_new'!BH12</f>
        <v>9.6434296906517289</v>
      </c>
      <c r="BH11" s="1653">
        <v>744.96500000000003</v>
      </c>
      <c r="BI11" s="1972">
        <f>(BH11/BD11-1)*100</f>
        <v>-7.1510741692123343</v>
      </c>
      <c r="BJ11" s="1970">
        <f>'qtrP&amp;L_new'!BL12</f>
        <v>9.6865282664666985</v>
      </c>
      <c r="BL11" s="1653">
        <v>726.98500000000001</v>
      </c>
      <c r="BM11" s="1972">
        <f>(BL11/BH11-1)*100</f>
        <v>-2.4135362063989585</v>
      </c>
      <c r="BN11" s="1970">
        <f>'qtrP&amp;L_new'!BP12</f>
        <v>8.6188392044001194</v>
      </c>
      <c r="BP11" s="2191">
        <f t="shared" si="0"/>
        <v>712.44529999999997</v>
      </c>
      <c r="BQ11" s="1973">
        <v>-2</v>
      </c>
      <c r="BR11" s="1970">
        <f>'qtrP&amp;L_new'!BT12</f>
        <v>9.9607023411371287</v>
      </c>
      <c r="BW11" s="1598"/>
      <c r="BX11" s="1599">
        <v>2014</v>
      </c>
      <c r="BY11" s="1599">
        <v>2015</v>
      </c>
    </row>
    <row r="12" spans="1:77">
      <c r="A12" s="1282" t="s">
        <v>107</v>
      </c>
      <c r="B12" s="1282" t="s">
        <v>81</v>
      </c>
      <c r="D12" s="1653">
        <v>573.93200000000002</v>
      </c>
      <c r="E12" s="1850" t="s">
        <v>90</v>
      </c>
      <c r="F12" s="1970" t="str">
        <f>'qtrP&amp;L'!D13</f>
        <v>NA</v>
      </c>
      <c r="H12" s="1653">
        <v>583.38599999999997</v>
      </c>
      <c r="I12" s="1850">
        <f>(H12/D12-1)*100</f>
        <v>1.6472334701671976</v>
      </c>
      <c r="J12" s="1970">
        <f>'qtrP&amp;L'!H13</f>
        <v>2.5523491236735696</v>
      </c>
      <c r="L12" s="1653">
        <v>608.16099999999994</v>
      </c>
      <c r="M12" s="1970">
        <f>'qtrP&amp;L'!Q13</f>
        <v>8.4</v>
      </c>
      <c r="N12" s="1970">
        <f>'qtrP&amp;L'!L13</f>
        <v>6.2064012876865027</v>
      </c>
      <c r="P12" s="1653">
        <v>173.08799999999999</v>
      </c>
      <c r="Q12" s="1850">
        <f>(P12/L12-1)*100</f>
        <v>-71.539115464490493</v>
      </c>
      <c r="R12" s="1970">
        <f>'qtrP&amp;L'!P13</f>
        <v>13.738435209192158</v>
      </c>
      <c r="T12" s="1653">
        <v>709.76199999999994</v>
      </c>
      <c r="U12" s="1850">
        <f>(T12/P12-1)*100</f>
        <v>310.05846736919949</v>
      </c>
      <c r="V12" s="1970">
        <f>'qtrP&amp;L'!T13</f>
        <v>5.7818558641111739</v>
      </c>
      <c r="X12" s="1653">
        <v>766.64300000000003</v>
      </c>
      <c r="Y12" s="1850">
        <f>(X12/T12-1)*100</f>
        <v>8.0140948656028499</v>
      </c>
      <c r="Z12" s="1970">
        <f>'qtrP&amp;L'!X13</f>
        <v>-3.2859509897968042</v>
      </c>
      <c r="AB12" s="1653">
        <v>784.13900000000001</v>
      </c>
      <c r="AC12" s="1850">
        <f>(AB12/X12-1)*100</f>
        <v>2.2821574057286131</v>
      </c>
      <c r="AD12" s="1970">
        <f>'qtrP&amp;L'!AB13</f>
        <v>-0.29074718620444306</v>
      </c>
      <c r="AF12" s="1653">
        <v>845.97299999999996</v>
      </c>
      <c r="AG12" s="1971" t="s">
        <v>90</v>
      </c>
      <c r="AH12" s="1970" t="str">
        <f>'qtrP&amp;L'!AJ13</f>
        <v>NA</v>
      </c>
      <c r="AJ12" s="1653">
        <v>892.19299999999998</v>
      </c>
      <c r="AK12" s="1972">
        <f>(AJ12/AF12-1)*100</f>
        <v>5.4635313420168252</v>
      </c>
      <c r="AL12" s="1970">
        <f>'qtrP&amp;L'!AN13</f>
        <v>-1.6263666730095161</v>
      </c>
      <c r="AN12" s="1653">
        <v>945.71900000000005</v>
      </c>
      <c r="AO12" s="1972">
        <f>(AN12/AJ12-1)*100</f>
        <v>5.9993745747837224</v>
      </c>
      <c r="AP12" s="1970">
        <f>'qtrP&amp;L'!AR13</f>
        <v>4.716576592953059</v>
      </c>
      <c r="AR12" s="1653">
        <v>844.99099999999999</v>
      </c>
      <c r="AS12" s="1972">
        <f>(AR12/AN12-1)*100</f>
        <v>-10.650943885022935</v>
      </c>
      <c r="AT12" s="1970">
        <f>'qtrP&amp;L'!AV13</f>
        <v>7.7037588094760689</v>
      </c>
      <c r="AV12" s="1653">
        <v>902.42600000000004</v>
      </c>
      <c r="AW12" s="1972">
        <f>(AV12/AR12-1)*100</f>
        <v>6.7971138154134358</v>
      </c>
      <c r="AX12" s="1970">
        <f>'qtrP&amp;L'!AZ13</f>
        <v>9.9812775918825203</v>
      </c>
      <c r="AZ12" s="1653">
        <v>899.88</v>
      </c>
      <c r="BA12" s="1972">
        <f>(AZ12/AV12-1)*100</f>
        <v>-0.28212839612334895</v>
      </c>
      <c r="BB12" s="1970">
        <f>'qtrP&amp;L'!BD13</f>
        <v>8.7167520587091438</v>
      </c>
      <c r="BD12" s="1653">
        <v>934.01099999999997</v>
      </c>
      <c r="BE12" s="1972">
        <f>(BD12/AZ12-1)*100</f>
        <v>3.7928390452060201</v>
      </c>
      <c r="BF12" s="1970">
        <f>'qtrP&amp;L_new'!BH13</f>
        <v>6.3591556841315899</v>
      </c>
      <c r="BH12" s="1653">
        <v>822.46900000000005</v>
      </c>
      <c r="BI12" s="1972">
        <f>(BH12/BD12-1)*100</f>
        <v>-11.942257639363984</v>
      </c>
      <c r="BJ12" s="1970">
        <f>'qtrP&amp;L_new'!BL13</f>
        <v>9.075901423852418</v>
      </c>
      <c r="BL12" s="1944">
        <v>903.66300000000001</v>
      </c>
      <c r="BM12" s="2224">
        <f>(BL12/BH12-1)*100</f>
        <v>9.8719830169890841</v>
      </c>
      <c r="BN12" s="1970">
        <f>'qtrP&amp;L_new'!BP13</f>
        <v>7.1180545210784985</v>
      </c>
      <c r="BP12" s="1797">
        <f>BL12*(1+BQ12/100)</f>
        <v>885.58974000000001</v>
      </c>
      <c r="BQ12" s="1973">
        <v>-2</v>
      </c>
      <c r="BR12" s="1970">
        <f>'qtrP&amp;L_new'!BT13</f>
        <v>10.01868399675061</v>
      </c>
      <c r="BW12" s="1601" t="s">
        <v>929</v>
      </c>
      <c r="BX12" s="1600">
        <f>0.12*AZ12</f>
        <v>107.98559999999999</v>
      </c>
      <c r="BY12" s="1600">
        <f>0.14*BD12</f>
        <v>130.76154</v>
      </c>
    </row>
    <row r="13" spans="1:77">
      <c r="A13" s="1282" t="s">
        <v>108</v>
      </c>
      <c r="B13" s="1282" t="s">
        <v>82</v>
      </c>
      <c r="D13" s="1797">
        <f>bal!$I$13</f>
        <v>564.65200000000004</v>
      </c>
      <c r="E13" s="1850" t="s">
        <v>90</v>
      </c>
      <c r="F13" s="1970" t="str">
        <f>'qtrP&amp;L'!D14</f>
        <v>NA</v>
      </c>
      <c r="H13" s="1797">
        <f>bal!$K$13</f>
        <v>583.13300000000004</v>
      </c>
      <c r="I13" s="1850">
        <f>(H13/D13-1)*100</f>
        <v>3.2729893810701016</v>
      </c>
      <c r="J13" s="1970">
        <f>'qtrP&amp;L'!H14</f>
        <v>9.9705810368422298E-2</v>
      </c>
      <c r="L13" s="1797">
        <f>bal!$M$13</f>
        <v>622.53800000000001</v>
      </c>
      <c r="M13" s="1970">
        <f>'qtrP&amp;L'!Q14</f>
        <v>7.9</v>
      </c>
      <c r="N13" s="1970">
        <f>'qtrP&amp;L'!L14</f>
        <v>12.376476457093721</v>
      </c>
      <c r="P13" s="1797">
        <f>bal!$O$13</f>
        <v>720.88199999999995</v>
      </c>
      <c r="Q13" s="1850">
        <f>(P13/L13-1)*100</f>
        <v>15.797268600470971</v>
      </c>
      <c r="R13" s="1970">
        <f>'qtrP&amp;L'!P14</f>
        <v>11.517479045588619</v>
      </c>
      <c r="T13" s="1797">
        <f>bal!$Q$13</f>
        <v>708.18499999999995</v>
      </c>
      <c r="U13" s="1850">
        <f>(T13/P13-1)*100</f>
        <v>-1.7613146118227396</v>
      </c>
      <c r="V13" s="1970">
        <f>'qtrP&amp;L'!T14</f>
        <v>8.214284778982206</v>
      </c>
      <c r="X13" s="1797">
        <f>bal!$S$13</f>
        <v>710.57100000000003</v>
      </c>
      <c r="Y13" s="1850">
        <f>(X13/T13-1)*100</f>
        <v>0.33691761333551895</v>
      </c>
      <c r="Z13" s="1970">
        <f>'qtrP&amp;L'!X14</f>
        <v>-5.3321168501475285</v>
      </c>
      <c r="AB13" s="1797">
        <f>bal!$U$13</f>
        <v>719.529</v>
      </c>
      <c r="AC13" s="1850">
        <f>(AB13/X13-1)*100</f>
        <v>1.260676273025485</v>
      </c>
      <c r="AD13" s="1970">
        <f>'qtrP&amp;L'!AB14</f>
        <v>0.66452783884658473</v>
      </c>
      <c r="AF13" s="1653">
        <v>613.29499999999996</v>
      </c>
      <c r="AG13" s="1971" t="s">
        <v>90</v>
      </c>
      <c r="AH13" s="1970" t="str">
        <f>'qtrP&amp;L'!AJ14</f>
        <v>NA</v>
      </c>
      <c r="AJ13" s="1653">
        <v>644.22799999999995</v>
      </c>
      <c r="AK13" s="1972">
        <f>(AJ13/AF13-1)*100</f>
        <v>5.0437391467401449</v>
      </c>
      <c r="AL13" s="1970">
        <f>'qtrP&amp;L'!AN14</f>
        <v>6.115930144999826</v>
      </c>
      <c r="AN13" s="1653">
        <v>682.26</v>
      </c>
      <c r="AO13" s="1972">
        <f>(AN13/AJ13-1)*100</f>
        <v>5.9035000031044893</v>
      </c>
      <c r="AP13" s="1970">
        <f>'qtrP&amp;L'!AR14</f>
        <v>3.7923783741923289</v>
      </c>
      <c r="AR13" s="1653">
        <v>680.19</v>
      </c>
      <c r="AS13" s="1972">
        <f>(AR13/AN13-1)*100</f>
        <v>-0.30340339460028787</v>
      </c>
      <c r="AT13" s="1970">
        <f>'qtrP&amp;L'!AV14</f>
        <v>2.3921611998303893</v>
      </c>
      <c r="AV13" s="1653">
        <v>720.1</v>
      </c>
      <c r="AW13" s="1972">
        <f>(AV13/AR13-1)*100</f>
        <v>5.867478204619303</v>
      </c>
      <c r="AX13" s="1970">
        <f>'qtrP&amp;L'!AZ14</f>
        <v>5.6821822220536333</v>
      </c>
      <c r="AZ13" s="1653">
        <v>788.70799999999997</v>
      </c>
      <c r="BA13" s="1972">
        <f>(AZ13/AV13-1)*100</f>
        <v>9.5275656158866795</v>
      </c>
      <c r="BB13" s="1970">
        <f>'qtrP&amp;L'!BD14</f>
        <v>11.32336089132917</v>
      </c>
      <c r="BD13" s="1653">
        <v>783.52800000000002</v>
      </c>
      <c r="BE13" s="1972">
        <f>(BD13/AZ13-1)*100</f>
        <v>-0.65677031296752508</v>
      </c>
      <c r="BF13" s="1970">
        <f>'qtrP&amp;L_new'!BH14</f>
        <v>3.7302017959258471</v>
      </c>
      <c r="BH13" s="1653">
        <v>701.89099999999996</v>
      </c>
      <c r="BI13" s="1972">
        <f>(BH13/BD13-1)*100</f>
        <v>-10.419155409889635</v>
      </c>
      <c r="BJ13" s="1970">
        <f>'qtrP&amp;L_new'!BL14</f>
        <v>9.4073803405961609</v>
      </c>
      <c r="BL13" s="1944">
        <v>752.56200000000001</v>
      </c>
      <c r="BM13" s="1972">
        <f>(BL13/BH13-1)*100</f>
        <v>7.2192120998844533</v>
      </c>
      <c r="BN13" s="1970">
        <f>'qtrP&amp;L_new'!BP14</f>
        <v>14.896586908225885</v>
      </c>
      <c r="BP13" s="1797">
        <f>bal!$AO$13</f>
        <v>790.48586320431195</v>
      </c>
      <c r="BQ13" s="1972">
        <f>(BP13/BL13-1)*100</f>
        <v>5.0393008422311869</v>
      </c>
      <c r="BR13" s="1970">
        <f>'qtrP&amp;L_new'!BT14</f>
        <v>4.2999999999999927</v>
      </c>
      <c r="BW13" s="1601" t="s">
        <v>930</v>
      </c>
      <c r="BX13" s="1600">
        <f>0.27*AZ13</f>
        <v>212.95116000000002</v>
      </c>
      <c r="BY13" s="1600">
        <f>0.25*BD13</f>
        <v>195.88200000000001</v>
      </c>
    </row>
    <row r="14" spans="1:77">
      <c r="BW14" s="1601" t="s">
        <v>932</v>
      </c>
      <c r="BX14" s="1600">
        <f>BX13-BX12</f>
        <v>104.96556000000002</v>
      </c>
      <c r="BY14" s="1600">
        <f>BY13-BY12</f>
        <v>65.120460000000008</v>
      </c>
    </row>
    <row r="15" spans="1:77">
      <c r="A15" s="1635" t="s">
        <v>316</v>
      </c>
      <c r="B15" s="1281"/>
      <c r="C15" s="1281"/>
      <c r="D15" s="1281"/>
      <c r="E15" s="1281"/>
      <c r="F15" s="1281"/>
      <c r="G15" s="1281"/>
      <c r="H15" s="1281"/>
      <c r="I15" s="1281"/>
      <c r="J15" s="1281"/>
      <c r="K15" s="1281"/>
      <c r="L15" s="1281"/>
      <c r="M15" s="1281"/>
      <c r="N15" s="1281"/>
      <c r="O15" s="1281"/>
      <c r="P15" s="1281"/>
      <c r="Q15" s="1281"/>
      <c r="R15" s="1281"/>
      <c r="S15" s="1281"/>
      <c r="T15" s="1281"/>
      <c r="U15" s="1281"/>
      <c r="V15" s="1281"/>
      <c r="W15" s="1281"/>
      <c r="X15" s="1281"/>
      <c r="Y15" s="1281"/>
      <c r="Z15" s="1281"/>
      <c r="AA15" s="1281"/>
      <c r="AB15" s="1281"/>
      <c r="AC15" s="1281"/>
      <c r="AD15" s="1281"/>
      <c r="AE15" s="1281"/>
      <c r="AF15" s="1281"/>
      <c r="AG15" s="1281"/>
      <c r="AH15" s="1281"/>
      <c r="AI15" s="1281"/>
      <c r="AJ15" s="1281"/>
      <c r="AK15" s="1281"/>
      <c r="AL15" s="1281"/>
      <c r="AM15" s="1281"/>
      <c r="AN15" s="1281"/>
      <c r="AO15" s="1281"/>
      <c r="AP15" s="1281"/>
      <c r="AQ15" s="1281"/>
      <c r="AR15" s="1281"/>
      <c r="AS15" s="1281"/>
      <c r="AT15" s="1281"/>
      <c r="AU15" s="1281"/>
      <c r="AY15" s="1281"/>
      <c r="BC15" s="1281"/>
      <c r="BG15" s="1281"/>
      <c r="BK15" s="1281"/>
      <c r="BO15" s="1281"/>
    </row>
    <row r="16" spans="1:77">
      <c r="A16" s="1282" t="s">
        <v>105</v>
      </c>
      <c r="B16" s="1282" t="s">
        <v>79</v>
      </c>
      <c r="D16" s="1651">
        <f>20.382+9.741+31.864+10.708</f>
        <v>72.695000000000007</v>
      </c>
      <c r="E16" s="1850" t="s">
        <v>90</v>
      </c>
      <c r="F16" s="1970" t="str">
        <f>F10</f>
        <v>NA</v>
      </c>
      <c r="H16" s="1651">
        <f>14.298+10.76+13.706+13.202</f>
        <v>51.965999999999994</v>
      </c>
      <c r="I16" s="1850">
        <f>(H16/D16-1)*100</f>
        <v>-28.515028543916376</v>
      </c>
      <c r="J16" s="1970">
        <f>J10</f>
        <v>12.281820652412145</v>
      </c>
      <c r="L16" s="1651">
        <f>18.852+27.009+16.953+1.348</f>
        <v>64.162000000000006</v>
      </c>
      <c r="M16" s="1850">
        <f>(L16/H16-1)*100</f>
        <v>23.469191394373269</v>
      </c>
      <c r="N16" s="1970">
        <f>N10</f>
        <v>3.7488654441115044</v>
      </c>
      <c r="P16" s="1651">
        <v>74.411000000000001</v>
      </c>
      <c r="Q16" s="1850">
        <f>(P16/L16-1)*100</f>
        <v>15.97362925095851</v>
      </c>
      <c r="R16" s="1970">
        <f>R10</f>
        <v>9.225976019762161</v>
      </c>
      <c r="T16" s="1651">
        <f>24.769+31.714+18.845+2.673</f>
        <v>78.001000000000005</v>
      </c>
      <c r="U16" s="1850">
        <f>(T16/P16-1)*100</f>
        <v>4.8245555092661041</v>
      </c>
      <c r="V16" s="1970">
        <f>V10</f>
        <v>13.368667094989494</v>
      </c>
      <c r="X16" s="1887" t="s">
        <v>90</v>
      </c>
      <c r="Y16" s="1850" t="s">
        <v>90</v>
      </c>
      <c r="Z16" s="1970">
        <f>Z10</f>
        <v>0.92589778963552138</v>
      </c>
      <c r="AB16" s="1651">
        <f>30.682+34.924+36.405+31.219</f>
        <v>133.22999999999999</v>
      </c>
      <c r="AC16" s="1850" t="s">
        <v>90</v>
      </c>
      <c r="AD16" s="1970">
        <f>AD10</f>
        <v>3.20368647499647</v>
      </c>
      <c r="AF16" s="1651">
        <f>33.08+53.126+49.009+6.667</f>
        <v>141.88199999999998</v>
      </c>
      <c r="AG16" s="1971" t="s">
        <v>90</v>
      </c>
      <c r="AH16" s="1970" t="str">
        <f>AH10</f>
        <v>NA</v>
      </c>
      <c r="AJ16" s="1651">
        <f>32.405+29.813+50.081+9.416</f>
        <v>121.715</v>
      </c>
      <c r="AK16" s="1972">
        <f>(AJ16/AF16-1)*100</f>
        <v>-14.213924246909382</v>
      </c>
      <c r="AL16" s="1970">
        <f>AL10</f>
        <v>7.7869459774975391</v>
      </c>
      <c r="AN16" s="1651">
        <f>33.763+22.174+37.402+25.169</f>
        <v>118.508</v>
      </c>
      <c r="AO16" s="1972">
        <f>(AN16/AJ16-1)*100</f>
        <v>-2.6348436922318585</v>
      </c>
      <c r="AP16" s="1970">
        <f>AP10</f>
        <v>3.8452940611035435</v>
      </c>
      <c r="AR16" s="1651">
        <f>39.725+23.317+43.327+18.319</f>
        <v>124.688</v>
      </c>
      <c r="AS16" s="1972">
        <f>(AR16/AN16-1)*100</f>
        <v>5.2148378168562548</v>
      </c>
      <c r="AT16" s="1970">
        <f>AT10</f>
        <v>5.7412422264582874</v>
      </c>
      <c r="AV16" s="1651">
        <f>46.362+74.294</f>
        <v>120.65600000000001</v>
      </c>
      <c r="AW16" s="1972">
        <f>(AV16/AR16-1)*100</f>
        <v>-3.2336712434235859</v>
      </c>
      <c r="AX16" s="1970">
        <f>AX10</f>
        <v>8.4069406697496074</v>
      </c>
      <c r="AZ16" s="1651">
        <f>44.084+77.537</f>
        <v>121.62100000000001</v>
      </c>
      <c r="BA16" s="1972">
        <f>(AZ16/AV16-1)*100</f>
        <v>0.79979445696858331</v>
      </c>
      <c r="BB16" s="1970">
        <f>BB10</f>
        <v>5.9394174551325118</v>
      </c>
      <c r="BD16" s="1651">
        <f>45.717+90.173</f>
        <v>135.88999999999999</v>
      </c>
      <c r="BE16" s="1972">
        <f>(BD16/AZ16-1)*100</f>
        <v>11.732348854227448</v>
      </c>
      <c r="BF16" s="1970">
        <f>BF10</f>
        <v>4.8561114415090589</v>
      </c>
      <c r="BH16" s="1651">
        <f>51.371+69.525</f>
        <v>120.89600000000002</v>
      </c>
      <c r="BI16" s="1972">
        <f>(BH16/BD16-1)*100</f>
        <v>-11.033924497755521</v>
      </c>
      <c r="BJ16" s="1970">
        <f>BJ10</f>
        <v>8.4197829524985668</v>
      </c>
      <c r="BL16" s="1651">
        <f>52.98+78.819</f>
        <v>131.79900000000001</v>
      </c>
      <c r="BM16" s="1972">
        <f>(BL16/BH16-1)*100</f>
        <v>9.0184952355743633</v>
      </c>
      <c r="BN16" s="1970">
        <f>BN10</f>
        <v>4.9799246883454051</v>
      </c>
      <c r="BP16" s="1651"/>
      <c r="BQ16" s="1972"/>
      <c r="BR16" s="1970"/>
    </row>
    <row r="17" spans="1:76">
      <c r="A17" s="1282" t="s">
        <v>106</v>
      </c>
      <c r="B17" s="1282" t="s">
        <v>80</v>
      </c>
      <c r="D17" s="1653">
        <f>39.115+9.309+30.704</f>
        <v>79.128</v>
      </c>
      <c r="E17" s="1850" t="s">
        <v>90</v>
      </c>
      <c r="F17" s="1970" t="str">
        <f>F11</f>
        <v>NA</v>
      </c>
      <c r="H17" s="1653">
        <f>30.849+10.986+18.37</f>
        <v>60.204999999999998</v>
      </c>
      <c r="I17" s="1850">
        <f>(H17/D17-1)*100</f>
        <v>-23.914417146901222</v>
      </c>
      <c r="J17" s="1970">
        <f>J11</f>
        <v>5.3654656359173991</v>
      </c>
      <c r="L17" s="1653">
        <f>30.609+16.418+15.621</f>
        <v>62.648000000000003</v>
      </c>
      <c r="M17" s="1850">
        <f>(L17/H17-1)*100</f>
        <v>4.0578025080973523</v>
      </c>
      <c r="N17" s="1970">
        <f>N11</f>
        <v>0.41401583983631252</v>
      </c>
      <c r="P17" s="1653">
        <f>40.062+19.74+16.89</f>
        <v>76.691999999999993</v>
      </c>
      <c r="Q17" s="1850">
        <f>(P17/L17-1)*100</f>
        <v>22.417315796194593</v>
      </c>
      <c r="R17" s="1970">
        <f>R11</f>
        <v>10.817880148350568</v>
      </c>
      <c r="T17" s="1653">
        <f>(45739+22603+24041)/1000</f>
        <v>92.382999999999996</v>
      </c>
      <c r="U17" s="1850">
        <f>(T17/P17-1)*100</f>
        <v>20.459761122411724</v>
      </c>
      <c r="V17" s="1970">
        <f>V11</f>
        <v>8.4048701881663579</v>
      </c>
      <c r="X17" s="1653">
        <f>42.936+32.349+20.009</f>
        <v>95.293999999999997</v>
      </c>
      <c r="Y17" s="1850" t="s">
        <v>90</v>
      </c>
      <c r="Z17" s="1970">
        <f>Z11</f>
        <v>4.5050664307294097</v>
      </c>
      <c r="AB17" s="1653">
        <f>41.051+34.436+42.067+3.655</f>
        <v>121.209</v>
      </c>
      <c r="AC17" s="1850">
        <f>(AB17/X17-1)*100</f>
        <v>27.194786660230452</v>
      </c>
      <c r="AD17" s="1970">
        <f>AD11</f>
        <v>-4.1378231138297643</v>
      </c>
      <c r="AF17" s="1653">
        <f>27.992+49.639+48.022+6.249</f>
        <v>131.90199999999999</v>
      </c>
      <c r="AG17" s="1971" t="s">
        <v>90</v>
      </c>
      <c r="AH17" s="1970" t="str">
        <f>AH11</f>
        <v>NA</v>
      </c>
      <c r="AJ17" s="1653">
        <f>32.642+31.216+34.922+37.286</f>
        <v>136.066</v>
      </c>
      <c r="AK17" s="1972">
        <f>(AJ17/AF17-1)*100</f>
        <v>3.1568892056223596</v>
      </c>
      <c r="AL17" s="1970">
        <f>AL11</f>
        <v>3.9618932405867335</v>
      </c>
      <c r="AN17" s="1653">
        <f>28.018+22.313+38.137+45.696</f>
        <v>134.16399999999999</v>
      </c>
      <c r="AO17" s="1972">
        <f>(AN17/AJ17-1)*100</f>
        <v>-1.3978510428762636</v>
      </c>
      <c r="AP17" s="1970">
        <f>AP11</f>
        <v>8.864356775300152</v>
      </c>
      <c r="AR17" s="1653">
        <f>31.389+21.19+47.026+32.628</f>
        <v>132.233</v>
      </c>
      <c r="AS17" s="1972">
        <f>(AR17/AN17-1)*100</f>
        <v>-1.4392832652574294</v>
      </c>
      <c r="AT17" s="1970">
        <f>AT11</f>
        <v>8.928255026476517</v>
      </c>
      <c r="AV17" s="1653">
        <f>41.64+74.36</f>
        <v>116</v>
      </c>
      <c r="AW17" s="1972">
        <f>(AV17/AR17-1)*100</f>
        <v>-12.276058170048332</v>
      </c>
      <c r="AX17" s="1970">
        <f>AX11</f>
        <v>11.500991512676627</v>
      </c>
      <c r="AZ17" s="1653">
        <f>43.678+107.822+14.172</f>
        <v>165.672</v>
      </c>
      <c r="BA17" s="1972">
        <f>(AZ17/AV17-1)*100</f>
        <v>42.820689655172409</v>
      </c>
      <c r="BB17" s="1970">
        <f>BB11</f>
        <v>8.3035292345022818</v>
      </c>
      <c r="BD17" s="1653">
        <f>38.979+106.226+34.446</f>
        <v>179.65099999999998</v>
      </c>
      <c r="BE17" s="1972">
        <f>(BD17/AZ17-1)*100</f>
        <v>8.4377565309768698</v>
      </c>
      <c r="BF17" s="1970">
        <f>BF11</f>
        <v>9.6434296906517289</v>
      </c>
      <c r="BH17" s="1653">
        <f>41.902+86.895</f>
        <v>128.797</v>
      </c>
      <c r="BI17" s="1972">
        <f>(BH17/BD17-1)*100</f>
        <v>-28.307106556601404</v>
      </c>
      <c r="BJ17" s="1970">
        <f>BJ11</f>
        <v>9.6865282664666985</v>
      </c>
      <c r="BL17" s="1653">
        <f>58.941+102.089</f>
        <v>161.03</v>
      </c>
      <c r="BM17" s="1972">
        <f>(BL17/BH17-1)*100</f>
        <v>25.026204026491293</v>
      </c>
      <c r="BN17" s="1970">
        <f>BN11</f>
        <v>8.6188392044001194</v>
      </c>
      <c r="BP17" s="1653"/>
      <c r="BQ17" s="1972"/>
      <c r="BR17" s="1970"/>
    </row>
    <row r="18" spans="1:76">
      <c r="A18" s="1282" t="s">
        <v>107</v>
      </c>
      <c r="B18" s="1282" t="s">
        <v>81</v>
      </c>
      <c r="D18" s="1653">
        <f>28.566+8.953+24.538</f>
        <v>62.057000000000002</v>
      </c>
      <c r="E18" s="1850" t="s">
        <v>90</v>
      </c>
      <c r="F18" s="1970" t="str">
        <f>F12</f>
        <v>NA</v>
      </c>
      <c r="H18" s="1653">
        <f>18.445+11.212+23.77</f>
        <v>53.427</v>
      </c>
      <c r="I18" s="1850">
        <f>(H18/D18-1)*100</f>
        <v>-13.906569766504994</v>
      </c>
      <c r="J18" s="1970">
        <f>J12</f>
        <v>2.5523491236735696</v>
      </c>
      <c r="L18" s="1653">
        <f>20.165+16.603+15.036</f>
        <v>51.804000000000002</v>
      </c>
      <c r="M18" s="1850">
        <f>(L18/H18-1)*100</f>
        <v>-3.0377898815205695</v>
      </c>
      <c r="N18" s="1970">
        <f>N12</f>
        <v>6.2064012876865027</v>
      </c>
      <c r="P18" s="1653">
        <v>62.92</v>
      </c>
      <c r="Q18" s="1850">
        <f>(P18/L18-1)*100</f>
        <v>21.457802486294497</v>
      </c>
      <c r="R18" s="1970">
        <f>R12</f>
        <v>13.738435209192158</v>
      </c>
      <c r="T18" s="1653">
        <f>(26841+23135+18203)/1000</f>
        <v>68.179000000000002</v>
      </c>
      <c r="U18" s="1850">
        <f>(T18/P18-1)*100</f>
        <v>8.3582326764144899</v>
      </c>
      <c r="V18" s="1970">
        <f>V12</f>
        <v>5.7818558641111739</v>
      </c>
      <c r="X18" s="1653">
        <f>41.566+30.612+18.751</f>
        <v>90.929000000000002</v>
      </c>
      <c r="Y18" s="1850" t="s">
        <v>90</v>
      </c>
      <c r="Z18" s="1970">
        <f>Z12</f>
        <v>-3.2859509897968042</v>
      </c>
      <c r="AB18" s="1653">
        <f>31.572+36.849+40.941</f>
        <v>109.36199999999999</v>
      </c>
      <c r="AC18" s="1850">
        <f>(AB18/X18-1)*100</f>
        <v>20.271860462558688</v>
      </c>
      <c r="AD18" s="1970">
        <f>AD12</f>
        <v>-0.29074718620444306</v>
      </c>
      <c r="AF18" s="1653">
        <f>31.837+52.541+31.107+1.729</f>
        <v>117.214</v>
      </c>
      <c r="AG18" s="1971" t="s">
        <v>90</v>
      </c>
      <c r="AH18" s="1970" t="str">
        <f>AH12</f>
        <v>NA</v>
      </c>
      <c r="AJ18" s="1653">
        <f>28.481+35.793+44.343+38.105</f>
        <v>146.72200000000001</v>
      </c>
      <c r="AK18" s="1972">
        <f>(AJ18/AF18-1)*100</f>
        <v>25.174467213814069</v>
      </c>
      <c r="AL18" s="1970">
        <f>AL12</f>
        <v>-1.6263666730095161</v>
      </c>
      <c r="AN18" s="1653">
        <f>41.946+25.991+43.196+49.274</f>
        <v>160.40699999999998</v>
      </c>
      <c r="AO18" s="1972">
        <f>(AN18/AJ18-1)*100</f>
        <v>9.327162933983967</v>
      </c>
      <c r="AP18" s="1970">
        <f>AP12</f>
        <v>4.716576592953059</v>
      </c>
      <c r="AR18" s="1653">
        <f>43.638+16.283+46.173+31.961</f>
        <v>138.05500000000001</v>
      </c>
      <c r="AS18" s="1972">
        <f>(AR18/AN18-1)*100</f>
        <v>-13.934553978317643</v>
      </c>
      <c r="AT18" s="1970">
        <f>AT12</f>
        <v>7.7037588094760689</v>
      </c>
      <c r="AV18" s="1653">
        <f>54.619+14.209+77.023+19.482</f>
        <v>165.333</v>
      </c>
      <c r="AW18" s="1972">
        <f>(AV18/AR18-1)*100</f>
        <v>19.758791785882423</v>
      </c>
      <c r="AX18" s="1970">
        <f>AX12</f>
        <v>9.9812775918825203</v>
      </c>
      <c r="AZ18" s="1653">
        <f>53.484+18.216+80.745+42.637</f>
        <v>195.08199999999999</v>
      </c>
      <c r="BA18" s="1972">
        <f>(AZ18/AV18-1)*100</f>
        <v>17.993383051175506</v>
      </c>
      <c r="BB18" s="1970">
        <f>BB12</f>
        <v>8.7167520587091438</v>
      </c>
      <c r="BD18" s="1653">
        <f>49.018+68.721+36.934</f>
        <v>154.673</v>
      </c>
      <c r="BE18" s="1972">
        <f>(BD18/AZ18-1)*100</f>
        <v>-20.713853661537197</v>
      </c>
      <c r="BF18" s="1970">
        <f>BF12</f>
        <v>6.3591556841315899</v>
      </c>
      <c r="BH18" s="1653">
        <f>59.757+104.051</f>
        <v>163.80799999999999</v>
      </c>
      <c r="BI18" s="1972">
        <f>(BH18/BD18-1)*100</f>
        <v>5.9060081591486568</v>
      </c>
      <c r="BJ18" s="1970">
        <f>BJ12</f>
        <v>9.075901423852418</v>
      </c>
      <c r="BL18" s="1653">
        <f>78.995+91.917</f>
        <v>170.91200000000001</v>
      </c>
      <c r="BM18" s="1972">
        <f>(BL18/BH18-1)*100</f>
        <v>4.3367845282281881</v>
      </c>
      <c r="BN18" s="1970">
        <f>BN12</f>
        <v>7.1180545210784985</v>
      </c>
      <c r="BP18" s="1653"/>
      <c r="BQ18" s="1972"/>
      <c r="BR18" s="1970"/>
    </row>
    <row r="19" spans="1:76">
      <c r="A19" s="1282" t="s">
        <v>108</v>
      </c>
      <c r="B19" s="1282" t="s">
        <v>82</v>
      </c>
      <c r="D19" s="1797">
        <f>bal!$I$12+bal!$I$14+bal!$I$15</f>
        <v>57.088999999999999</v>
      </c>
      <c r="E19" s="1850" t="s">
        <v>90</v>
      </c>
      <c r="F19" s="1970" t="str">
        <f>F13</f>
        <v>NA</v>
      </c>
      <c r="H19" s="1797">
        <f>bal!$K$12+bal!$K$14+bal!$K$15</f>
        <v>53.092000000000006</v>
      </c>
      <c r="I19" s="1850">
        <f>(H19/D19-1)*100</f>
        <v>-7.0013487712168647</v>
      </c>
      <c r="J19" s="1970">
        <f>J13</f>
        <v>9.9705810368422298E-2</v>
      </c>
      <c r="L19" s="1797">
        <f>bal!$M$12+bal!$M$14+bal!$M$15</f>
        <v>61.616</v>
      </c>
      <c r="M19" s="1850">
        <f>(L19/H19-1)*100</f>
        <v>16.055149551721538</v>
      </c>
      <c r="N19" s="1970">
        <f>N13</f>
        <v>12.376476457093721</v>
      </c>
      <c r="P19" s="1797">
        <f>bal!$O$12+bal!$O$14+bal!$O$15</f>
        <v>65.919000000000011</v>
      </c>
      <c r="Q19" s="1850">
        <f>(P19/L19-1)*100</f>
        <v>6.9835756946247995</v>
      </c>
      <c r="R19" s="1970">
        <f>R13</f>
        <v>11.517479045588619</v>
      </c>
      <c r="T19" s="1797">
        <f>bal!$Q$12+bal!$Q$14+bal!$Q$15</f>
        <v>108.446</v>
      </c>
      <c r="U19" s="1850">
        <f>(T19/P19-1)*100</f>
        <v>64.514024787997371</v>
      </c>
      <c r="V19" s="1970">
        <f>V13</f>
        <v>8.214284778982206</v>
      </c>
      <c r="X19" s="1797">
        <f>bal!$S$12+bal!$S$14+bal!$S$15</f>
        <v>136.172</v>
      </c>
      <c r="Y19" s="1850" t="s">
        <v>90</v>
      </c>
      <c r="Z19" s="1970">
        <f>Z13</f>
        <v>-5.3321168501475285</v>
      </c>
      <c r="AB19" s="1797">
        <f>bal!$U$12+bal!$U$14+bal!$U$15</f>
        <v>110.17100000000001</v>
      </c>
      <c r="AC19" s="1850">
        <f>(AB19/X19-1)*100</f>
        <v>-19.094233763181855</v>
      </c>
      <c r="AD19" s="1970">
        <f>AD13</f>
        <v>0.66452783884658473</v>
      </c>
      <c r="AF19" s="1653">
        <f>31.278+29.644+29.443+4.841</f>
        <v>95.205999999999989</v>
      </c>
      <c r="AG19" s="1971" t="s">
        <v>90</v>
      </c>
      <c r="AH19" s="1970" t="str">
        <f>AH13</f>
        <v>NA</v>
      </c>
      <c r="AJ19" s="1653">
        <f>49.875+24.835+36.109+16.447</f>
        <v>127.26600000000002</v>
      </c>
      <c r="AK19" s="1972">
        <f>(AJ19/AF19-1)*100</f>
        <v>33.674348255362084</v>
      </c>
      <c r="AL19" s="1970">
        <f>AL13</f>
        <v>6.115930144999826</v>
      </c>
      <c r="AN19" s="1653">
        <f>40.119+23.243+40.062+21.319</f>
        <v>124.74299999999999</v>
      </c>
      <c r="AO19" s="1972">
        <f>(AN19/AJ19-1)*100</f>
        <v>-1.9824619301306079</v>
      </c>
      <c r="AP19" s="1970">
        <f>AP13</f>
        <v>3.7923783741923289</v>
      </c>
      <c r="AR19" s="1653">
        <f>41.734+6.133+7.218+66.052</f>
        <v>121.13700000000001</v>
      </c>
      <c r="AS19" s="1972">
        <f>(AR19/AN19-1)*100</f>
        <v>-2.890743368365345</v>
      </c>
      <c r="AT19" s="1970">
        <f>AT13</f>
        <v>2.3921611998303893</v>
      </c>
      <c r="AV19" s="1653">
        <f>35.678+13.475+77.708+4.523</f>
        <v>131.38399999999999</v>
      </c>
      <c r="AW19" s="1972">
        <f>(AV19/AR19-1)*100</f>
        <v>8.4590174760807777</v>
      </c>
      <c r="AX19" s="1970">
        <f>AX13</f>
        <v>5.6821822220536333</v>
      </c>
      <c r="AZ19" s="1653">
        <f>49.716+37.229+58.681</f>
        <v>145.62599999999998</v>
      </c>
      <c r="BA19" s="1972">
        <f>(AZ19/AV19-1)*100</f>
        <v>10.83998051513122</v>
      </c>
      <c r="BB19" s="1970">
        <f>BB13</f>
        <v>11.32336089132917</v>
      </c>
      <c r="BD19" s="1653">
        <f>38.571+62.168</f>
        <v>100.739</v>
      </c>
      <c r="BE19" s="1972">
        <f>(BD19/AZ19-1)*100</f>
        <v>-30.823479323747115</v>
      </c>
      <c r="BF19" s="1970">
        <f>BF13</f>
        <v>3.7302017959258471</v>
      </c>
      <c r="BH19" s="1653">
        <f>43.252+73.784</f>
        <v>117.036</v>
      </c>
      <c r="BI19" s="1972">
        <f>(BH19/BD19-1)*100</f>
        <v>16.177448654443658</v>
      </c>
      <c r="BJ19" s="1970">
        <f>BJ13</f>
        <v>9.4073803405961609</v>
      </c>
      <c r="BL19" s="1653">
        <f>71.649+115.136</f>
        <v>186.785</v>
      </c>
      <c r="BM19" s="1972">
        <f>(BL19/BH19-1)*100</f>
        <v>59.596192624491607</v>
      </c>
      <c r="BN19" s="1970">
        <f>BN13</f>
        <v>14.896586908225885</v>
      </c>
      <c r="BP19" s="1653"/>
      <c r="BQ19" s="1974"/>
      <c r="BR19" s="1970"/>
    </row>
    <row r="20" spans="1:76"/>
    <row r="21" spans="1:76">
      <c r="A21" s="1635" t="s">
        <v>110</v>
      </c>
      <c r="B21" s="1281"/>
      <c r="C21" s="1281"/>
      <c r="D21" s="1281"/>
      <c r="E21" s="1281"/>
      <c r="F21" s="1281"/>
      <c r="G21" s="1281"/>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Y21" s="1281"/>
      <c r="BC21" s="1281"/>
      <c r="BG21" s="1281"/>
      <c r="BK21" s="1281"/>
      <c r="BO21" s="1281"/>
    </row>
    <row r="22" spans="1:76">
      <c r="A22" s="1282" t="s">
        <v>105</v>
      </c>
      <c r="B22" s="1282" t="s">
        <v>79</v>
      </c>
      <c r="D22" s="1651">
        <v>332.74299999999999</v>
      </c>
      <c r="E22" s="1850" t="s">
        <v>90</v>
      </c>
      <c r="F22" s="1970" t="str">
        <f>F16</f>
        <v>NA</v>
      </c>
      <c r="H22" s="1651">
        <v>390.99400000000003</v>
      </c>
      <c r="I22" s="1850">
        <f>(H22/D22-1)*100</f>
        <v>17.506303663788579</v>
      </c>
      <c r="J22" s="1970">
        <f>J16</f>
        <v>12.281820652412145</v>
      </c>
      <c r="L22" s="1651">
        <v>398.846</v>
      </c>
      <c r="M22" s="1850">
        <f>(L22/H22-1)*100</f>
        <v>2.0082149598203536</v>
      </c>
      <c r="N22" s="1970">
        <f>N16</f>
        <v>3.7488654441115044</v>
      </c>
      <c r="P22" s="1651">
        <v>417.98099999999999</v>
      </c>
      <c r="Q22" s="1850">
        <f>(P22/L22-1)*100</f>
        <v>4.7975910501797614</v>
      </c>
      <c r="R22" s="1970">
        <f>R16</f>
        <v>9.225976019762161</v>
      </c>
      <c r="T22" s="1651">
        <v>406.39699999999999</v>
      </c>
      <c r="U22" s="1850">
        <f>(T22/P22-1)*100</f>
        <v>-2.7714178395668698</v>
      </c>
      <c r="V22" s="1970">
        <f>V16</f>
        <v>13.368667094989494</v>
      </c>
      <c r="X22" s="1887" t="s">
        <v>90</v>
      </c>
      <c r="Y22" s="1850" t="s">
        <v>90</v>
      </c>
      <c r="Z22" s="1970">
        <f>Z16</f>
        <v>0.92589778963552138</v>
      </c>
      <c r="AB22" s="1651">
        <v>426.82400000000001</v>
      </c>
      <c r="AC22" s="1850" t="s">
        <v>90</v>
      </c>
      <c r="AD22" s="1970">
        <f>AD16</f>
        <v>3.20368647499647</v>
      </c>
      <c r="AF22" s="1651">
        <v>464.26900000000001</v>
      </c>
      <c r="AG22" s="1971" t="s">
        <v>90</v>
      </c>
      <c r="AH22" s="1970" t="str">
        <f>AH16</f>
        <v>NA</v>
      </c>
      <c r="AJ22" s="1651">
        <v>504.50099999999998</v>
      </c>
      <c r="AK22" s="1972">
        <f>(AJ22/AF22-1)*100</f>
        <v>8.6656658101230022</v>
      </c>
      <c r="AL22" s="1970">
        <f>AL16</f>
        <v>7.7869459774975391</v>
      </c>
      <c r="AN22" s="1651">
        <v>489.48099999999999</v>
      </c>
      <c r="AO22" s="1972">
        <f>(AN22/AJ22-1)*100</f>
        <v>-2.9771992523305202</v>
      </c>
      <c r="AP22" s="1970">
        <f>AP16</f>
        <v>3.8452940611035435</v>
      </c>
      <c r="AR22" s="1651">
        <v>471.12200000000001</v>
      </c>
      <c r="AS22" s="1972">
        <f>(AR22/AN22-1)*100</f>
        <v>-3.75070738190042</v>
      </c>
      <c r="AT22" s="1970">
        <f>AT16</f>
        <v>5.7412422264582874</v>
      </c>
      <c r="AV22" s="1651">
        <v>630.66</v>
      </c>
      <c r="AW22" s="1972">
        <f>(AV22/AR22-1)*100</f>
        <v>33.863415421058662</v>
      </c>
      <c r="AX22" s="1970">
        <f>AX16</f>
        <v>8.4069406697496074</v>
      </c>
      <c r="AZ22" s="1651">
        <v>575.91200000000003</v>
      </c>
      <c r="BA22" s="1972">
        <f>(AZ22/AV22-1)*100</f>
        <v>-8.6810642818634385</v>
      </c>
      <c r="BB22" s="1970">
        <f>BB16</f>
        <v>5.9394174551325118</v>
      </c>
      <c r="BD22" s="1651">
        <v>631.79</v>
      </c>
      <c r="BE22" s="1972">
        <f>(BD22/AZ22-1)*100</f>
        <v>9.7025239967217125</v>
      </c>
      <c r="BF22" s="1970">
        <f>BF16</f>
        <v>4.8561114415090589</v>
      </c>
      <c r="BH22" s="1651">
        <v>594.38099999999997</v>
      </c>
      <c r="BI22" s="1972">
        <f>(BH22/BD22-1)*100</f>
        <v>-5.9211130280631181</v>
      </c>
      <c r="BJ22" s="1970">
        <f>BJ16</f>
        <v>8.4197829524985668</v>
      </c>
      <c r="BL22" s="1651">
        <v>608.91899999999998</v>
      </c>
      <c r="BM22" s="1972">
        <f>(BL22/BH22-1)*100</f>
        <v>2.4459059088362434</v>
      </c>
      <c r="BN22" s="1970">
        <f>BN16</f>
        <v>4.9799246883454051</v>
      </c>
      <c r="BP22" s="1651"/>
      <c r="BQ22" s="1972"/>
      <c r="BR22" s="1970"/>
    </row>
    <row r="23" spans="1:76">
      <c r="A23" s="1282" t="s">
        <v>106</v>
      </c>
      <c r="B23" s="1282" t="s">
        <v>80</v>
      </c>
      <c r="D23" s="1653">
        <v>534.32299999999998</v>
      </c>
      <c r="E23" s="1850" t="s">
        <v>90</v>
      </c>
      <c r="F23" s="1970" t="str">
        <f>F17</f>
        <v>NA</v>
      </c>
      <c r="H23" s="1653">
        <v>498.34899999999999</v>
      </c>
      <c r="I23" s="1850">
        <f>(H23/D23-1)*100</f>
        <v>-6.7326317601899994</v>
      </c>
      <c r="J23" s="1970">
        <f>J17</f>
        <v>5.3654656359173991</v>
      </c>
      <c r="L23" s="1653">
        <v>542.39200000000005</v>
      </c>
      <c r="M23" s="1850">
        <f>(L23/H23-1)*100</f>
        <v>8.8377823573439596</v>
      </c>
      <c r="N23" s="1970">
        <f>N17</f>
        <v>0.41401583983631252</v>
      </c>
      <c r="P23" s="1653">
        <v>607.77099999999996</v>
      </c>
      <c r="Q23" s="1850">
        <f>(P23/L23-1)*100</f>
        <v>12.053828227554963</v>
      </c>
      <c r="R23" s="1970">
        <f>R17</f>
        <v>10.817880148350568</v>
      </c>
      <c r="T23" s="1653">
        <f>645.474</f>
        <v>645.47400000000005</v>
      </c>
      <c r="U23" s="1850">
        <f>(T23/P23-1)*100</f>
        <v>6.2034878268295346</v>
      </c>
      <c r="V23" s="1970">
        <f>V17</f>
        <v>8.4048701881663579</v>
      </c>
      <c r="X23" s="1653">
        <v>636.33500000000004</v>
      </c>
      <c r="Y23" s="1850">
        <f>(X23/T23-1)*100</f>
        <v>-1.4158587332719796</v>
      </c>
      <c r="Z23" s="1970">
        <f>Z17</f>
        <v>4.5050664307294097</v>
      </c>
      <c r="AB23" s="1653">
        <v>626.05200000000002</v>
      </c>
      <c r="AC23" s="1850">
        <f>(AB23/X23-1)*100</f>
        <v>-1.6159727187723516</v>
      </c>
      <c r="AD23" s="1970">
        <f>AD17</f>
        <v>-4.1378231138297643</v>
      </c>
      <c r="AF23" s="1653">
        <v>401.71100000000001</v>
      </c>
      <c r="AG23" s="1971" t="s">
        <v>90</v>
      </c>
      <c r="AH23" s="1970" t="str">
        <f>AH17</f>
        <v>NA</v>
      </c>
      <c r="AJ23" s="1653">
        <v>458.48899999999998</v>
      </c>
      <c r="AK23" s="1972">
        <f>(AJ23/AF23-1)*100</f>
        <v>14.134041636898154</v>
      </c>
      <c r="AL23" s="1970">
        <f>AL17</f>
        <v>3.9618932405867335</v>
      </c>
      <c r="AN23" s="1653">
        <v>415.08600000000001</v>
      </c>
      <c r="AO23" s="1972">
        <f>(AN23/AJ23-1)*100</f>
        <v>-9.46653027662604</v>
      </c>
      <c r="AP23" s="1970">
        <f>AP17</f>
        <v>8.864356775300152</v>
      </c>
      <c r="AR23" s="1653">
        <v>446.95699999999999</v>
      </c>
      <c r="AS23" s="1972">
        <f>(AR23/AN23-1)*100</f>
        <v>7.6781678977368539</v>
      </c>
      <c r="AT23" s="1970">
        <f>AT17</f>
        <v>8.928255026476517</v>
      </c>
      <c r="AV23" s="1653">
        <v>555.59299999999996</v>
      </c>
      <c r="AW23" s="1972">
        <f>(AV23/AR23-1)*100</f>
        <v>24.305693836319819</v>
      </c>
      <c r="AX23" s="1970">
        <f>AX17</f>
        <v>11.500991512676627</v>
      </c>
      <c r="AZ23" s="1653">
        <v>564.53099999999995</v>
      </c>
      <c r="BA23" s="1972">
        <f>(AZ23/AV23-1)*100</f>
        <v>1.6087315714920836</v>
      </c>
      <c r="BB23" s="1970">
        <f>BB17</f>
        <v>8.3035292345022818</v>
      </c>
      <c r="BD23" s="1653">
        <v>590.49800000000005</v>
      </c>
      <c r="BE23" s="1972">
        <f>(BD23/AZ23-1)*100</f>
        <v>4.5997474009399131</v>
      </c>
      <c r="BF23" s="1970">
        <f>BF17</f>
        <v>9.6434296906517289</v>
      </c>
      <c r="BH23" s="1653">
        <v>546.03499999999997</v>
      </c>
      <c r="BI23" s="1972">
        <f>(BH23/BD23-1)*100</f>
        <v>-7.5297460787335568</v>
      </c>
      <c r="BJ23" s="1970">
        <f>BJ17</f>
        <v>9.6865282664666985</v>
      </c>
      <c r="BL23" s="1653">
        <v>603.96</v>
      </c>
      <c r="BM23" s="1972">
        <f>(BL23/BH23-1)*100</f>
        <v>10.608294340106417</v>
      </c>
      <c r="BN23" s="1970">
        <f>BN17</f>
        <v>8.6188392044001194</v>
      </c>
      <c r="BP23" s="1653"/>
      <c r="BQ23" s="1972"/>
      <c r="BR23" s="1970"/>
    </row>
    <row r="24" spans="1:76">
      <c r="A24" s="1282" t="s">
        <v>107</v>
      </c>
      <c r="B24" s="1282" t="s">
        <v>81</v>
      </c>
      <c r="D24" s="1653">
        <v>367.875</v>
      </c>
      <c r="E24" s="1850" t="s">
        <v>90</v>
      </c>
      <c r="F24" s="1970" t="str">
        <f>F18</f>
        <v>NA</v>
      </c>
      <c r="H24" s="1653">
        <v>329.61500000000001</v>
      </c>
      <c r="I24" s="1850">
        <f>(H24/D24-1)*100</f>
        <v>-10.400271831464492</v>
      </c>
      <c r="J24" s="1970">
        <f>J18</f>
        <v>2.5523491236735696</v>
      </c>
      <c r="L24" s="1653">
        <v>351.83300000000003</v>
      </c>
      <c r="M24" s="1850">
        <f>(L24/H24-1)*100</f>
        <v>6.740591295905829</v>
      </c>
      <c r="N24" s="1970">
        <f>N18</f>
        <v>6.2064012876865027</v>
      </c>
      <c r="P24" s="1653">
        <v>447.62799999999999</v>
      </c>
      <c r="Q24" s="1850">
        <f>(P24/L24-1)*100</f>
        <v>27.227406184183955</v>
      </c>
      <c r="R24" s="1970">
        <f>R18</f>
        <v>13.738435209192158</v>
      </c>
      <c r="T24" s="1653">
        <v>413.21199999999999</v>
      </c>
      <c r="U24" s="1850">
        <f>(T24/P24-1)*100</f>
        <v>-7.6885270805222223</v>
      </c>
      <c r="V24" s="1970">
        <f>V18</f>
        <v>5.7818558641111739</v>
      </c>
      <c r="X24" s="1653">
        <v>467.59399999999999</v>
      </c>
      <c r="Y24" s="1850">
        <f>(X24/T24-1)*100</f>
        <v>13.160798815136054</v>
      </c>
      <c r="Z24" s="1970">
        <f>Z18</f>
        <v>-3.2859509897968042</v>
      </c>
      <c r="AB24" s="1653">
        <v>465.42700000000002</v>
      </c>
      <c r="AC24" s="1850">
        <f>(AB24/X24-1)*100</f>
        <v>-0.46343622886521052</v>
      </c>
      <c r="AD24" s="1970">
        <f>AD18</f>
        <v>-0.29074718620444306</v>
      </c>
      <c r="AF24" s="1653">
        <v>587.71299999999997</v>
      </c>
      <c r="AG24" s="1971" t="s">
        <v>90</v>
      </c>
      <c r="AH24" s="1970" t="str">
        <f>AH18</f>
        <v>NA</v>
      </c>
      <c r="AJ24" s="1653">
        <v>683.351</v>
      </c>
      <c r="AK24" s="1972">
        <f>(AJ24/AF24-1)*100</f>
        <v>16.272908715648637</v>
      </c>
      <c r="AL24" s="1970">
        <f>AL18</f>
        <v>-1.6263666730095161</v>
      </c>
      <c r="AN24" s="1653">
        <f>650.152</f>
        <v>650.15200000000004</v>
      </c>
      <c r="AO24" s="1972">
        <f>(AN24/AJ24-1)*100</f>
        <v>-4.858264639987353</v>
      </c>
      <c r="AP24" s="1970">
        <f>AP18</f>
        <v>4.716576592953059</v>
      </c>
      <c r="AR24" s="1653">
        <v>678.09199999999998</v>
      </c>
      <c r="AS24" s="1972">
        <f>(AR24/AN24-1)*100</f>
        <v>4.2974565947655252</v>
      </c>
      <c r="AT24" s="1970">
        <f>AT18</f>
        <v>7.7037588094760689</v>
      </c>
      <c r="AV24" s="1653">
        <v>708.399</v>
      </c>
      <c r="AW24" s="1972">
        <f>(AV24/AR24-1)*100</f>
        <v>4.4694525226665505</v>
      </c>
      <c r="AX24" s="1970">
        <f>AX18</f>
        <v>9.9812775918825203</v>
      </c>
      <c r="AZ24" s="1653">
        <v>766.51</v>
      </c>
      <c r="BA24" s="1972">
        <f>(AZ24/AV24-1)*100</f>
        <v>8.2031454025203399</v>
      </c>
      <c r="BB24" s="1970">
        <f>BB18</f>
        <v>8.7167520587091438</v>
      </c>
      <c r="BD24" s="1653">
        <v>704.18700000000001</v>
      </c>
      <c r="BE24" s="1972">
        <f>(BD24/AZ24-1)*100</f>
        <v>-8.1307484572934463</v>
      </c>
      <c r="BF24" s="1970">
        <f>BF18</f>
        <v>6.3591556841315899</v>
      </c>
      <c r="BH24" s="1653">
        <f>691.971</f>
        <v>691.971</v>
      </c>
      <c r="BI24" s="1972">
        <f>(BH24/BD24-1)*100</f>
        <v>-1.7347664753822545</v>
      </c>
      <c r="BJ24" s="1970">
        <f>BJ18</f>
        <v>9.075901423852418</v>
      </c>
      <c r="BL24" s="1653">
        <v>764.56299999999999</v>
      </c>
      <c r="BM24" s="1972">
        <f>(BL24/BH24-1)*100</f>
        <v>10.490613045922448</v>
      </c>
      <c r="BN24" s="1970">
        <f>BN18</f>
        <v>7.1180545210784985</v>
      </c>
      <c r="BP24" s="1653"/>
      <c r="BQ24" s="1972"/>
      <c r="BR24" s="1970"/>
    </row>
    <row r="25" spans="1:76">
      <c r="A25" s="1282" t="s">
        <v>108</v>
      </c>
      <c r="B25" s="1282" t="s">
        <v>82</v>
      </c>
      <c r="D25" s="1797">
        <f>bal!$I$26</f>
        <v>372.726</v>
      </c>
      <c r="E25" s="1850" t="s">
        <v>90</v>
      </c>
      <c r="F25" s="1970" t="str">
        <f>F19</f>
        <v>NA</v>
      </c>
      <c r="H25" s="1797">
        <f>bal!$K$26</f>
        <v>312.12400000000002</v>
      </c>
      <c r="I25" s="1850">
        <f>(H25/D25-1)*100</f>
        <v>-16.259128689707715</v>
      </c>
      <c r="J25" s="1970">
        <f>J19</f>
        <v>9.9705810368422298E-2</v>
      </c>
      <c r="L25" s="1797">
        <f>bal!$M$26</f>
        <v>364.33499999999998</v>
      </c>
      <c r="M25" s="1850">
        <f>(L25/H25-1)*100</f>
        <v>16.727646704514854</v>
      </c>
      <c r="N25" s="1970">
        <f>N19</f>
        <v>12.376476457093721</v>
      </c>
      <c r="P25" s="1797">
        <f>bal!$O$26</f>
        <v>390.89100000000002</v>
      </c>
      <c r="Q25" s="1850">
        <f>(P25/L25-1)*100</f>
        <v>7.2888962081600894</v>
      </c>
      <c r="R25" s="1970">
        <f>R19</f>
        <v>11.517479045588619</v>
      </c>
      <c r="T25" s="1797">
        <f>bal!$Q$26</f>
        <v>457.85500000000002</v>
      </c>
      <c r="U25" s="1850">
        <f>(T25/P25-1)*100</f>
        <v>17.131118393618671</v>
      </c>
      <c r="V25" s="1970">
        <f>V19</f>
        <v>8.214284778982206</v>
      </c>
      <c r="X25" s="1797">
        <f>bal!$S$26</f>
        <v>395.375</v>
      </c>
      <c r="Y25" s="1850">
        <f>(X25/T25-1)*100</f>
        <v>-13.646241714079787</v>
      </c>
      <c r="Z25" s="1970">
        <f>'qtrP&amp;L'!X26</f>
        <v>38.152937061716244</v>
      </c>
      <c r="AB25" s="1797">
        <f>bal!$U$26</f>
        <v>337.04</v>
      </c>
      <c r="AC25" s="1850">
        <f>(AB25/X25-1)*100</f>
        <v>-14.754347138792278</v>
      </c>
      <c r="AD25" s="1970">
        <f>'qtrP&amp;L'!AB26</f>
        <v>39.01174629752169</v>
      </c>
      <c r="AF25" s="1653">
        <v>139.80199999999999</v>
      </c>
      <c r="AG25" s="1971" t="s">
        <v>90</v>
      </c>
      <c r="AH25" s="1970" t="str">
        <f>AH19</f>
        <v>NA</v>
      </c>
      <c r="AJ25" s="1653">
        <v>190.46</v>
      </c>
      <c r="AK25" s="1972">
        <f>(AJ25/AF25-1)*100</f>
        <v>36.235533111114293</v>
      </c>
      <c r="AL25" s="1970">
        <f>AL19</f>
        <v>6.115930144999826</v>
      </c>
      <c r="AN25" s="1653">
        <v>276.28500000000003</v>
      </c>
      <c r="AO25" s="1972">
        <f>(AN25/AJ25-1)*100</f>
        <v>45.061955266197629</v>
      </c>
      <c r="AP25" s="1970">
        <f>AP19</f>
        <v>3.7923783741923289</v>
      </c>
      <c r="AR25" s="1653">
        <v>500.40600000000001</v>
      </c>
      <c r="AS25" s="1972">
        <f>(AR25/AN25-1)*100</f>
        <v>81.119496172430644</v>
      </c>
      <c r="AT25" s="1970">
        <f>AT19</f>
        <v>2.3921611998303893</v>
      </c>
      <c r="AV25" s="1653">
        <v>542.98699999999997</v>
      </c>
      <c r="AW25" s="1972">
        <f>(AV25/AR25-1)*100</f>
        <v>8.5092904561495875</v>
      </c>
      <c r="AX25" s="1970">
        <f>AX19</f>
        <v>5.6821822220536333</v>
      </c>
      <c r="AZ25" s="1653">
        <v>621.68200000000002</v>
      </c>
      <c r="BA25" s="1972">
        <f>(AZ25/AV25-1)*100</f>
        <v>14.492980494928975</v>
      </c>
      <c r="BB25" s="1970">
        <f>BB19</f>
        <v>11.32336089132917</v>
      </c>
      <c r="BD25" s="1653">
        <v>598.19899999999996</v>
      </c>
      <c r="BE25" s="1972">
        <f>(BD25/AZ25-1)*100</f>
        <v>-3.7773331059931081</v>
      </c>
      <c r="BF25" s="1970">
        <f>BF19</f>
        <v>3.7302017959258471</v>
      </c>
      <c r="BH25" s="1653">
        <v>640.32600000000002</v>
      </c>
      <c r="BI25" s="1972">
        <f>(BH25/BD25-1)*100</f>
        <v>7.0423053198016117</v>
      </c>
      <c r="BJ25" s="1970">
        <f>BJ19</f>
        <v>9.4073803405961609</v>
      </c>
      <c r="BL25" s="1653">
        <v>736.25199999999995</v>
      </c>
      <c r="BM25" s="1972">
        <f>(BL25/BH25-1)*100</f>
        <v>14.980806651611832</v>
      </c>
      <c r="BN25" s="1970">
        <f>BN19</f>
        <v>14.896586908225885</v>
      </c>
      <c r="BP25" s="1653"/>
      <c r="BQ25" s="1974"/>
      <c r="BR25" s="1970"/>
      <c r="BW25" s="1282" t="s">
        <v>926</v>
      </c>
      <c r="BX25" s="1587">
        <f>BE25/100</f>
        <v>-3.7773331059931081E-2</v>
      </c>
    </row>
    <row r="26" spans="1:76">
      <c r="BW26" s="1282" t="s">
        <v>124</v>
      </c>
      <c r="BX26" s="1587">
        <f>BE13/100</f>
        <v>-6.5677031296752508E-3</v>
      </c>
    </row>
    <row r="27" spans="1:76">
      <c r="A27" s="1635" t="s">
        <v>613</v>
      </c>
      <c r="B27" s="1281"/>
      <c r="C27" s="1281"/>
      <c r="D27" s="1281"/>
      <c r="E27" s="1281"/>
      <c r="F27" s="1281"/>
      <c r="G27" s="1281"/>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Y27" s="1281"/>
      <c r="BC27" s="1281"/>
      <c r="BG27" s="1281"/>
      <c r="BK27" s="1281"/>
      <c r="BO27" s="1281"/>
    </row>
    <row r="28" spans="1:76">
      <c r="A28" s="1282" t="s">
        <v>105</v>
      </c>
      <c r="B28" s="1282" t="s">
        <v>79</v>
      </c>
      <c r="D28" s="1651">
        <v>122.24299999999999</v>
      </c>
      <c r="E28" s="1850" t="s">
        <v>90</v>
      </c>
      <c r="F28" s="1970" t="str">
        <f>F22</f>
        <v>NA</v>
      </c>
      <c r="H28" s="1651">
        <v>134.96299999999999</v>
      </c>
      <c r="I28" s="1850">
        <f>(H28/D28-1)*100</f>
        <v>10.405503791628146</v>
      </c>
      <c r="J28" s="1970">
        <f>J22</f>
        <v>12.281820652412145</v>
      </c>
      <c r="L28" s="1651">
        <f>151.59</f>
        <v>151.59</v>
      </c>
      <c r="M28" s="1850">
        <f>(L28/H28-1)*100</f>
        <v>12.319672799211645</v>
      </c>
      <c r="N28" s="1970">
        <f>N22</f>
        <v>3.7488654441115044</v>
      </c>
      <c r="P28" s="1651">
        <v>183.715</v>
      </c>
      <c r="Q28" s="1850">
        <f>(P28/L28-1)*100</f>
        <v>21.192031136618517</v>
      </c>
      <c r="R28" s="1970">
        <f>R22</f>
        <v>9.225976019762161</v>
      </c>
      <c r="T28" s="1651">
        <v>193.542</v>
      </c>
      <c r="U28" s="1850">
        <f>(T28/P28-1)*100</f>
        <v>5.349046076803754</v>
      </c>
      <c r="V28" s="1970">
        <f>V22</f>
        <v>13.368667094989494</v>
      </c>
      <c r="X28" s="1887" t="s">
        <v>90</v>
      </c>
      <c r="Y28" s="1850" t="s">
        <v>90</v>
      </c>
      <c r="Z28" s="1970">
        <f>Z22</f>
        <v>0.92589778963552138</v>
      </c>
      <c r="AB28" s="1651">
        <v>213.09</v>
      </c>
      <c r="AC28" s="1850" t="s">
        <v>90</v>
      </c>
      <c r="AD28" s="1970">
        <f>AD22</f>
        <v>3.20368647499647</v>
      </c>
      <c r="AF28" s="1651">
        <f>216.952</f>
        <v>216.952</v>
      </c>
      <c r="AG28" s="1971" t="s">
        <v>90</v>
      </c>
      <c r="AH28" s="1970" t="str">
        <f>AH22</f>
        <v>NA</v>
      </c>
      <c r="AJ28" s="1651">
        <f>208.907+20.329</f>
        <v>229.23600000000002</v>
      </c>
      <c r="AK28" s="1972">
        <f>(AJ28/AF28-1)*100</f>
        <v>5.6620819351746121</v>
      </c>
      <c r="AL28" s="1970">
        <f>AL22</f>
        <v>7.7869459774975391</v>
      </c>
      <c r="AN28" s="1651">
        <v>222</v>
      </c>
      <c r="AO28" s="1972">
        <f>(AN28/AJ28-1)*100</f>
        <v>-3.156572266136215</v>
      </c>
      <c r="AP28" s="1970">
        <f>AP22</f>
        <v>3.8452940611035435</v>
      </c>
      <c r="AR28" s="1651">
        <v>217.80600000000001</v>
      </c>
      <c r="AS28" s="1972">
        <f>(AR28/AN28-1)*100</f>
        <v>-1.8891891891891888</v>
      </c>
      <c r="AT28" s="1970">
        <f>AT22</f>
        <v>5.7412422264582874</v>
      </c>
      <c r="AV28" s="1651">
        <f>221.575+9.737</f>
        <v>231.31199999999998</v>
      </c>
      <c r="AW28" s="1972">
        <f>(AV28/AR28-1)*100</f>
        <v>6.2009311038263348</v>
      </c>
      <c r="AX28" s="1970">
        <f>AX22</f>
        <v>8.4069406697496074</v>
      </c>
      <c r="AZ28" s="1651">
        <f>249.188+1.07</f>
        <v>250.25799999999998</v>
      </c>
      <c r="BA28" s="1972">
        <f>(AZ28/AV28-1)*100</f>
        <v>8.1906688801272729</v>
      </c>
      <c r="BB28" s="1970">
        <f>BB22</f>
        <v>5.9394174551325118</v>
      </c>
      <c r="BD28" s="1651">
        <f>261.691+1.195</f>
        <v>262.88599999999997</v>
      </c>
      <c r="BE28" s="1972">
        <f>(BD28/AZ28-1)*100</f>
        <v>5.0459925357031477</v>
      </c>
      <c r="BF28" s="1970">
        <f>BF22</f>
        <v>4.8561114415090589</v>
      </c>
      <c r="BH28" s="1651">
        <f>279.076+1.452</f>
        <v>280.52800000000002</v>
      </c>
      <c r="BI28" s="1972">
        <f>(BH28/BD28-1)*100</f>
        <v>6.7108936953660825</v>
      </c>
      <c r="BJ28" s="1970">
        <f>BJ22</f>
        <v>8.4197829524985668</v>
      </c>
      <c r="BL28" s="1651">
        <f>336.705+1.696</f>
        <v>338.40100000000001</v>
      </c>
      <c r="BM28" s="1972">
        <f>(BL28/BH28-1)*100</f>
        <v>20.630026236240219</v>
      </c>
      <c r="BN28" s="1970">
        <f>BN22</f>
        <v>4.9799246883454051</v>
      </c>
      <c r="BP28" s="1651"/>
      <c r="BQ28" s="1972"/>
      <c r="BR28" s="1970"/>
    </row>
    <row r="29" spans="1:76">
      <c r="A29" s="1282" t="s">
        <v>106</v>
      </c>
      <c r="B29" s="1282" t="s">
        <v>80</v>
      </c>
      <c r="D29" s="1653">
        <f>142.215+11.907</f>
        <v>154.12200000000001</v>
      </c>
      <c r="E29" s="1850" t="s">
        <v>90</v>
      </c>
      <c r="F29" s="1970" t="str">
        <f>F23</f>
        <v>NA</v>
      </c>
      <c r="H29" s="1653">
        <f>173.603+10.098</f>
        <v>183.70100000000002</v>
      </c>
      <c r="I29" s="1850">
        <f>(H29/D29-1)*100</f>
        <v>19.191938853635438</v>
      </c>
      <c r="J29" s="1970">
        <f>J23</f>
        <v>5.3654656359173991</v>
      </c>
      <c r="L29" s="1653">
        <f>2.471+164.534</f>
        <v>167.005</v>
      </c>
      <c r="M29" s="1850">
        <f>(L29/H29-1)*100</f>
        <v>-9.0886821519752363</v>
      </c>
      <c r="N29" s="1970">
        <f>N23</f>
        <v>0.41401583983631252</v>
      </c>
      <c r="P29" s="1653">
        <f>12.41+199.747</f>
        <v>212.15700000000001</v>
      </c>
      <c r="Q29" s="1850">
        <f>(P29/L29-1)*100</f>
        <v>27.036316277955752</v>
      </c>
      <c r="R29" s="1970">
        <f>R23</f>
        <v>10.817880148350568</v>
      </c>
      <c r="T29" s="1653">
        <f>(211204+9971)/1000</f>
        <v>221.17500000000001</v>
      </c>
      <c r="U29" s="1850">
        <f>(T29/P29-1)*100</f>
        <v>4.2506257158613669</v>
      </c>
      <c r="V29" s="1970">
        <f>V23</f>
        <v>8.4048701881663579</v>
      </c>
      <c r="X29" s="1653">
        <f>226.476+6.861</f>
        <v>233.33699999999999</v>
      </c>
      <c r="Y29" s="1850">
        <f>(X29/T29-1)*100</f>
        <v>5.498813157002358</v>
      </c>
      <c r="Z29" s="1970">
        <f>Z23</f>
        <v>4.5050664307294097</v>
      </c>
      <c r="AB29" s="1653">
        <v>215.9</v>
      </c>
      <c r="AC29" s="1850">
        <f>(AB29/X29-1)*100</f>
        <v>-7.4728825689881928</v>
      </c>
      <c r="AD29" s="1970">
        <f>AD23</f>
        <v>-4.1378231138297643</v>
      </c>
      <c r="AF29" s="1653">
        <f>227.947+6.383</f>
        <v>234.33</v>
      </c>
      <c r="AG29" s="1971" t="s">
        <v>90</v>
      </c>
      <c r="AH29" s="1970" t="str">
        <f>AH23</f>
        <v>NA</v>
      </c>
      <c r="AJ29" s="1653">
        <v>235.613</v>
      </c>
      <c r="AK29" s="1972">
        <f>(AJ29/AF29-1)*100</f>
        <v>0.5475184568770386</v>
      </c>
      <c r="AL29" s="1970">
        <f>AL23</f>
        <v>3.9618932405867335</v>
      </c>
      <c r="AN29" s="1653">
        <v>214.733</v>
      </c>
      <c r="AO29" s="1972">
        <f>(AN29/AJ29-1)*100</f>
        <v>-8.8619897883393524</v>
      </c>
      <c r="AP29" s="1970">
        <f>AP23</f>
        <v>8.864356775300152</v>
      </c>
      <c r="AR29" s="1653">
        <v>236.21199999999999</v>
      </c>
      <c r="AS29" s="1972">
        <f>(AR29/AN29-1)*100</f>
        <v>10.002654459258697</v>
      </c>
      <c r="AT29" s="1970">
        <f>AT23</f>
        <v>8.928255026476517</v>
      </c>
      <c r="AV29" s="1653">
        <f>270.786+9.663</f>
        <v>280.44900000000001</v>
      </c>
      <c r="AW29" s="1972">
        <f>(AV29/AR29-1)*100</f>
        <v>18.727668365705384</v>
      </c>
      <c r="AX29" s="1970">
        <f>AX23</f>
        <v>11.500991512676627</v>
      </c>
      <c r="AZ29" s="1653">
        <f>270.475+1.25</f>
        <v>271.72500000000002</v>
      </c>
      <c r="BA29" s="1972">
        <f>(AZ29/AV29-1)*100</f>
        <v>-3.1107260143555471</v>
      </c>
      <c r="BB29" s="1970">
        <f>BB23</f>
        <v>8.3035292345022818</v>
      </c>
      <c r="BD29" s="1653">
        <f>278.593</f>
        <v>278.59300000000002</v>
      </c>
      <c r="BE29" s="1972">
        <f>(BD29/AZ29-1)*100</f>
        <v>2.5275554328825001</v>
      </c>
      <c r="BF29" s="1970">
        <f>BF23</f>
        <v>9.6434296906517289</v>
      </c>
      <c r="BH29" s="1653">
        <v>291.35300000000001</v>
      </c>
      <c r="BI29" s="1972">
        <f>(BH29/BD29-1)*100</f>
        <v>4.5801581518559287</v>
      </c>
      <c r="BJ29" s="1970">
        <f>BJ23</f>
        <v>9.6865282664666985</v>
      </c>
      <c r="BL29" s="1653">
        <v>317.51299999999998</v>
      </c>
      <c r="BM29" s="1972">
        <f>(BL29/BH29-1)*100</f>
        <v>8.9787989140321045</v>
      </c>
      <c r="BN29" s="1970">
        <f>BN23</f>
        <v>8.6188392044001194</v>
      </c>
      <c r="BP29" s="1653"/>
      <c r="BQ29" s="1972"/>
      <c r="BR29" s="1970"/>
    </row>
    <row r="30" spans="1:76">
      <c r="A30" s="1282" t="s">
        <v>107</v>
      </c>
      <c r="B30" s="1282" t="s">
        <v>81</v>
      </c>
      <c r="D30" s="1653">
        <f>22.817+115.056</f>
        <v>137.87299999999999</v>
      </c>
      <c r="E30" s="1850" t="s">
        <v>90</v>
      </c>
      <c r="F30" s="1970" t="str">
        <f>F24</f>
        <v>NA</v>
      </c>
      <c r="H30" s="1653">
        <f>16.309+139.084</f>
        <v>155.393</v>
      </c>
      <c r="I30" s="1850">
        <f>(H30/D30-1)*100</f>
        <v>12.707346616088721</v>
      </c>
      <c r="J30" s="1970">
        <f>J24</f>
        <v>2.5523491236735696</v>
      </c>
      <c r="L30" s="1653">
        <f>23.087+150.157</f>
        <v>173.244</v>
      </c>
      <c r="M30" s="1850">
        <f>(L30/H30-1)*100</f>
        <v>11.487647448726769</v>
      </c>
      <c r="N30" s="1970">
        <f>N24</f>
        <v>6.2064012876865027</v>
      </c>
      <c r="P30" s="1653">
        <f>178.196+32.963</f>
        <v>211.15899999999999</v>
      </c>
      <c r="Q30" s="1850">
        <f>(P30/L30-1)*100</f>
        <v>21.885317817644466</v>
      </c>
      <c r="R30" s="1970">
        <f>R24</f>
        <v>13.738435209192158</v>
      </c>
      <c r="T30" s="1653">
        <f>23.514+197.037</f>
        <v>220.55100000000002</v>
      </c>
      <c r="U30" s="1850">
        <f>(T30/P30-1)*100</f>
        <v>4.4478331494276935</v>
      </c>
      <c r="V30" s="1970">
        <f>V24</f>
        <v>5.7818558641111739</v>
      </c>
      <c r="X30" s="1653">
        <f>204.013+35.007</f>
        <v>239.02</v>
      </c>
      <c r="Y30" s="1850">
        <f>(X30/T30-1)*100</f>
        <v>8.3740268690688282</v>
      </c>
      <c r="Z30" s="1970">
        <f>Z24</f>
        <v>-3.2859509897968042</v>
      </c>
      <c r="AB30" s="1653">
        <f>24.561+202.087</f>
        <v>226.648</v>
      </c>
      <c r="AC30" s="1850">
        <f>(AB30/X30-1)*100</f>
        <v>-5.1761358882101982</v>
      </c>
      <c r="AD30" s="1970">
        <f>AD24</f>
        <v>-0.29074718620444306</v>
      </c>
      <c r="AF30" s="1653">
        <f>247.288+30.788</f>
        <v>278.07600000000002</v>
      </c>
      <c r="AG30" s="1971" t="s">
        <v>90</v>
      </c>
      <c r="AH30" s="1970" t="str">
        <f>AH24</f>
        <v>NA</v>
      </c>
      <c r="AJ30" s="1653">
        <v>230.52600000000001</v>
      </c>
      <c r="AK30" s="1972">
        <f>(AJ30/AF30-1)*100</f>
        <v>-17.09964182453718</v>
      </c>
      <c r="AL30" s="1970">
        <f>AL24</f>
        <v>-1.6263666730095161</v>
      </c>
      <c r="AN30" s="1653">
        <v>239.845</v>
      </c>
      <c r="AO30" s="1972">
        <f>(AN30/AJ30-1)*100</f>
        <v>4.0424941221380628</v>
      </c>
      <c r="AP30" s="1970">
        <f>AP24</f>
        <v>4.716576592953059</v>
      </c>
      <c r="AR30" s="1653">
        <v>252.916</v>
      </c>
      <c r="AS30" s="1972">
        <f>(AR30/AN30-1)*100</f>
        <v>5.4497696428943643</v>
      </c>
      <c r="AT30" s="1970">
        <f>AT24</f>
        <v>7.7037588094760689</v>
      </c>
      <c r="AV30" s="1653">
        <v>279.16199999999998</v>
      </c>
      <c r="AW30" s="1972">
        <f>(AV30/AR30-1)*100</f>
        <v>10.377358490566024</v>
      </c>
      <c r="AX30" s="1970">
        <f>AX24</f>
        <v>9.9812775918825203</v>
      </c>
      <c r="AZ30" s="1653">
        <v>299.12200000000001</v>
      </c>
      <c r="BA30" s="1972">
        <f>(AZ30/AV30-1)*100</f>
        <v>7.149970268159711</v>
      </c>
      <c r="BB30" s="1970">
        <f>BB24</f>
        <v>8.7167520587091438</v>
      </c>
      <c r="BD30" s="1653">
        <v>327.15600000000001</v>
      </c>
      <c r="BE30" s="1972">
        <f>(BD30/AZ30-1)*100</f>
        <v>9.3720956666510702</v>
      </c>
      <c r="BF30" s="1970">
        <f>BF24</f>
        <v>6.3591556841315899</v>
      </c>
      <c r="BH30" s="1653">
        <v>326.11399999999998</v>
      </c>
      <c r="BI30" s="1972">
        <f>(BH30/BD30-1)*100</f>
        <v>-0.31850248810966209</v>
      </c>
      <c r="BJ30" s="1970">
        <f>BJ24</f>
        <v>9.075901423852418</v>
      </c>
      <c r="BL30" s="1653">
        <v>361.17</v>
      </c>
      <c r="BM30" s="1972">
        <f>(BL30/BH30-1)*100</f>
        <v>10.749615165248972</v>
      </c>
      <c r="BN30" s="1970">
        <f>BN24</f>
        <v>7.1180545210784985</v>
      </c>
      <c r="BP30" s="1653"/>
      <c r="BQ30" s="1972"/>
      <c r="BR30" s="1970"/>
    </row>
    <row r="31" spans="1:76">
      <c r="A31" s="1282" t="s">
        <v>108</v>
      </c>
      <c r="B31" s="1282" t="s">
        <v>82</v>
      </c>
      <c r="D31" s="1797">
        <f>bal!$I$27+bal!$I$29</f>
        <v>140.84800000000001</v>
      </c>
      <c r="E31" s="1850" t="s">
        <v>90</v>
      </c>
      <c r="F31" s="1970" t="str">
        <f>F25</f>
        <v>NA</v>
      </c>
      <c r="H31" s="1797">
        <f>bal!$I$27+bal!$I$29</f>
        <v>140.84800000000001</v>
      </c>
      <c r="I31" s="1850">
        <f>(H31/D31-1)*100</f>
        <v>0</v>
      </c>
      <c r="J31" s="1970">
        <f>J25</f>
        <v>9.9705810368422298E-2</v>
      </c>
      <c r="L31" s="1797">
        <f>bal!$M$27+bal!$M$29</f>
        <v>195.279</v>
      </c>
      <c r="M31" s="1850">
        <f>(L31/H31-1)*100</f>
        <v>38.645206179711458</v>
      </c>
      <c r="N31" s="1970">
        <f>N25</f>
        <v>12.376476457093721</v>
      </c>
      <c r="P31" s="1797">
        <f>bal!$O$27+bal!$O$29</f>
        <v>185.054</v>
      </c>
      <c r="Q31" s="1850">
        <f>(P31/L31-1)*100</f>
        <v>-5.2360980955453496</v>
      </c>
      <c r="R31" s="1970">
        <f>R25</f>
        <v>11.517479045588619</v>
      </c>
      <c r="T31" s="1797">
        <f>bal!$Q$27+bal!$Q$29</f>
        <v>188.03399999999999</v>
      </c>
      <c r="U31" s="1850">
        <f>(T31/P31-1)*100</f>
        <v>1.6103407653982105</v>
      </c>
      <c r="V31" s="1970">
        <f>V25</f>
        <v>8.214284778982206</v>
      </c>
      <c r="X31" s="1797">
        <f>bal!$S$27+bal!$S$29</f>
        <v>198.62700000000001</v>
      </c>
      <c r="Y31" s="1850">
        <f>(X31/T31-1)*100</f>
        <v>5.6335556335556536</v>
      </c>
      <c r="Z31" s="1970">
        <f>Z25</f>
        <v>38.152937061716244</v>
      </c>
      <c r="AB31" s="1797">
        <f>bal!$U$27+bal!$U$29</f>
        <v>244.67000000000002</v>
      </c>
      <c r="AC31" s="1850">
        <f>(AB31/X31-1)*100</f>
        <v>23.180635059684729</v>
      </c>
      <c r="AD31" s="1970">
        <f>AD25</f>
        <v>39.01174629752169</v>
      </c>
      <c r="AF31" s="1653">
        <f>215.814+14.223</f>
        <v>230.03700000000001</v>
      </c>
      <c r="AG31" s="1971" t="s">
        <v>90</v>
      </c>
      <c r="AH31" s="1970" t="str">
        <f>AH25</f>
        <v>NA</v>
      </c>
      <c r="AJ31" s="1653">
        <f>208.515+4.429</f>
        <v>212.94399999999999</v>
      </c>
      <c r="AK31" s="1972">
        <f>(AJ31/AF31-1)*100</f>
        <v>-7.4305437820872395</v>
      </c>
      <c r="AL31" s="1970">
        <f>AL25</f>
        <v>6.115930144999826</v>
      </c>
      <c r="AN31" s="1653">
        <v>221.34299999999999</v>
      </c>
      <c r="AO31" s="1972">
        <f>(AN31/AJ31-1)*100</f>
        <v>3.9442294687805246</v>
      </c>
      <c r="AP31" s="1970">
        <f>AP25</f>
        <v>3.7923783741923289</v>
      </c>
      <c r="AR31" s="1653">
        <v>238.86500000000001</v>
      </c>
      <c r="AS31" s="1972">
        <f>(AR31/AN31-1)*100</f>
        <v>7.9162205265131513</v>
      </c>
      <c r="AT31" s="1970">
        <f>AT25</f>
        <v>2.3921611998303893</v>
      </c>
      <c r="AV31" s="1653">
        <v>301.803</v>
      </c>
      <c r="AW31" s="1972">
        <f>(AV31/AR31-1)*100</f>
        <v>26.34877441232495</v>
      </c>
      <c r="AX31" s="1970">
        <f>AX25</f>
        <v>5.6821822220536333</v>
      </c>
      <c r="AZ31" s="1653">
        <v>310.26799999999997</v>
      </c>
      <c r="BA31" s="1972">
        <f>(AZ31/AV31-1)*100</f>
        <v>2.8048097600090083</v>
      </c>
      <c r="BB31" s="1970">
        <f>BB25</f>
        <v>11.32336089132917</v>
      </c>
      <c r="BD31" s="1653">
        <v>286.98599999999999</v>
      </c>
      <c r="BE31" s="1972">
        <f>(BD31/AZ31-1)*100</f>
        <v>-7.5038353939175124</v>
      </c>
      <c r="BF31" s="1970">
        <f>BF25</f>
        <v>3.7302017959258471</v>
      </c>
      <c r="BH31" s="1653">
        <v>354.87</v>
      </c>
      <c r="BI31" s="1972">
        <f>(BH31/BD31-1)*100</f>
        <v>23.654115531768106</v>
      </c>
      <c r="BJ31" s="1970">
        <f>BJ25</f>
        <v>9.4073803405961609</v>
      </c>
      <c r="BL31" s="1653">
        <v>370.21499999999997</v>
      </c>
      <c r="BM31" s="1972">
        <f>(BL31/BH31-1)*100</f>
        <v>4.3241186913517637</v>
      </c>
      <c r="BN31" s="1970">
        <f>BN25</f>
        <v>14.896586908225885</v>
      </c>
      <c r="BP31" s="1653"/>
      <c r="BQ31" s="1974"/>
      <c r="BR31" s="1970"/>
    </row>
    <row r="33" spans="1:70">
      <c r="A33" s="1647" t="s">
        <v>317</v>
      </c>
      <c r="B33" s="1281"/>
      <c r="C33" s="1281"/>
      <c r="D33" s="1281"/>
      <c r="E33" s="1281"/>
      <c r="F33" s="1281"/>
      <c r="G33" s="1281"/>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Y33" s="1281"/>
      <c r="BC33" s="1281"/>
      <c r="BG33" s="1281"/>
      <c r="BK33" s="1281"/>
      <c r="BO33" s="1281"/>
    </row>
    <row r="34" spans="1:70">
      <c r="A34" s="1282" t="s">
        <v>105</v>
      </c>
      <c r="B34" s="1282" t="s">
        <v>79</v>
      </c>
      <c r="D34" s="1975">
        <f>D10+D16-D22-D28</f>
        <v>270.4670000000001</v>
      </c>
      <c r="E34" s="1850" t="s">
        <v>90</v>
      </c>
      <c r="F34" s="1970" t="str">
        <f>F28</f>
        <v>NA</v>
      </c>
      <c r="H34" s="1975">
        <f>H10+H16-H22-H28</f>
        <v>213.066</v>
      </c>
      <c r="I34" s="1850">
        <f>(H34/D34-1)*100</f>
        <v>-21.222921835196185</v>
      </c>
      <c r="J34" s="1970">
        <f>J28</f>
        <v>12.281820652412145</v>
      </c>
      <c r="L34" s="1975">
        <f>L10+L16-L22-L28</f>
        <v>183.67</v>
      </c>
      <c r="M34" s="1850">
        <f>(L34/H34-1)*100</f>
        <v>-13.796663944505461</v>
      </c>
      <c r="N34" s="1970">
        <f>N28</f>
        <v>3.7488654441115044</v>
      </c>
      <c r="P34" s="1975">
        <f>P10+P16-P22-P28</f>
        <v>200.47899999999996</v>
      </c>
      <c r="Q34" s="1850">
        <f>(P34/L34-1)*100</f>
        <v>9.1517395328578175</v>
      </c>
      <c r="R34" s="1970">
        <f>R28</f>
        <v>9.225976019762161</v>
      </c>
      <c r="T34" s="1975">
        <f>T10+T16-T22-T28</f>
        <v>250.03299999999999</v>
      </c>
      <c r="U34" s="1850">
        <f>(T34/P34-1)*100</f>
        <v>24.717800866923746</v>
      </c>
      <c r="V34" s="1970">
        <f>V28</f>
        <v>13.368667094989494</v>
      </c>
      <c r="X34" s="1649" t="s">
        <v>90</v>
      </c>
      <c r="Y34" s="1649" t="s">
        <v>90</v>
      </c>
      <c r="Z34" s="1970">
        <f>Z28</f>
        <v>0.92589778963552138</v>
      </c>
      <c r="AB34" s="1975">
        <f>AB10+AB16-AB22-AB28</f>
        <v>223.05299999999997</v>
      </c>
      <c r="AC34" s="1649" t="s">
        <v>90</v>
      </c>
      <c r="AD34" s="1970">
        <f>AD28</f>
        <v>3.20368647499647</v>
      </c>
      <c r="AF34" s="1975">
        <f>AF10+AF16-AF22-AF28</f>
        <v>132.87699999999995</v>
      </c>
      <c r="AG34" s="1971" t="s">
        <v>90</v>
      </c>
      <c r="AH34" s="1970" t="str">
        <f>AH28</f>
        <v>NA</v>
      </c>
      <c r="AJ34" s="1975">
        <f>AJ10+AJ16-AJ22-AJ28</f>
        <v>21.986000000000075</v>
      </c>
      <c r="AK34" s="1972">
        <f>(AJ34/AF34-1)*100</f>
        <v>-83.453870873062996</v>
      </c>
      <c r="AL34" s="1970">
        <f>AL28</f>
        <v>7.7869459774975391</v>
      </c>
      <c r="AN34" s="1975">
        <f>AN10+AN16-AN22-AN28</f>
        <v>96.012000000000057</v>
      </c>
      <c r="AO34" s="1972">
        <f>(AN34/AJ34-1)*100</f>
        <v>336.6960793232044</v>
      </c>
      <c r="AP34" s="1970">
        <f>AP28</f>
        <v>3.8452940611035435</v>
      </c>
      <c r="AR34" s="1975">
        <f>AR10+AR16-AR22-AR28</f>
        <v>96.700000000000017</v>
      </c>
      <c r="AS34" s="1972">
        <f>(AR34/AN34-1)*100</f>
        <v>0.71657709452981333</v>
      </c>
      <c r="AT34" s="1970">
        <f>AT28</f>
        <v>5.7412422264582874</v>
      </c>
      <c r="AV34" s="1975">
        <f>AV10+AV16-AV22-AV28</f>
        <v>-14.096999999999952</v>
      </c>
      <c r="AW34" s="1972">
        <f>(AV34/AR34-1)*100</f>
        <v>-114.57807652533604</v>
      </c>
      <c r="AX34" s="1970">
        <f>AX28</f>
        <v>8.4069406697496074</v>
      </c>
      <c r="AZ34" s="1975">
        <f>AZ10+AZ16-AZ22-AZ28</f>
        <v>3.0779999999999177</v>
      </c>
      <c r="BA34" s="1972">
        <f>(AZ34/AV34-1)*100</f>
        <v>-121.8344328580544</v>
      </c>
      <c r="BB34" s="1970">
        <f>BB28</f>
        <v>5.9394174551325118</v>
      </c>
      <c r="BD34" s="1975">
        <f>BD10+BD16-BD22-BD28</f>
        <v>63.527000000000044</v>
      </c>
      <c r="BE34" s="1972">
        <f>(BD34/AZ34-1)*100</f>
        <v>1963.9051332034355</v>
      </c>
      <c r="BF34" s="1970">
        <f>BF28</f>
        <v>4.8561114415090589</v>
      </c>
      <c r="BH34" s="1975">
        <f>BH10+BH16-BH22-BH28</f>
        <v>50.680999999999926</v>
      </c>
      <c r="BI34" s="1972">
        <f>(BH34/BD34-1)*100</f>
        <v>-20.221323216900068</v>
      </c>
      <c r="BJ34" s="1970">
        <f>BJ28</f>
        <v>8.4197829524985668</v>
      </c>
      <c r="BL34" s="1975">
        <f>BL10+BL16-BL22-BL28</f>
        <v>-90.021000000000015</v>
      </c>
      <c r="BM34" s="1972">
        <f>(BL34/BH34-1)*100</f>
        <v>-277.62277776681623</v>
      </c>
      <c r="BN34" s="1970">
        <f>BN28</f>
        <v>4.9799246883454051</v>
      </c>
      <c r="BP34" s="1975"/>
      <c r="BQ34" s="1972"/>
      <c r="BR34" s="1970"/>
    </row>
    <row r="35" spans="1:70">
      <c r="A35" s="1282" t="s">
        <v>106</v>
      </c>
      <c r="B35" s="1282" t="s">
        <v>80</v>
      </c>
      <c r="D35" s="1976">
        <f>D11+D17-D23-D29</f>
        <v>138.3010000000001</v>
      </c>
      <c r="E35" s="1850" t="s">
        <v>90</v>
      </c>
      <c r="F35" s="1970" t="str">
        <f>F29</f>
        <v>NA</v>
      </c>
      <c r="H35" s="1976">
        <f>H11+H17-H23-H29</f>
        <v>137.15600000000001</v>
      </c>
      <c r="I35" s="1850">
        <f>(H35/D35-1)*100</f>
        <v>-0.82790435354777037</v>
      </c>
      <c r="J35" s="1970">
        <f>J29</f>
        <v>5.3654656359173991</v>
      </c>
      <c r="L35" s="1976">
        <f>L11+L17-L23-L29</f>
        <v>144.14599999999996</v>
      </c>
      <c r="M35" s="1850">
        <f>(L35/H35-1)*100</f>
        <v>5.0963865962844856</v>
      </c>
      <c r="N35" s="1970">
        <f>N29</f>
        <v>0.41401583983631252</v>
      </c>
      <c r="P35" s="1976">
        <f>P11+P17-P23-P29</f>
        <v>136.80300000000003</v>
      </c>
      <c r="Q35" s="1850">
        <f>(P35/L35-1)*100</f>
        <v>-5.0941406629389174</v>
      </c>
      <c r="R35" s="1970">
        <f>R29</f>
        <v>10.817880148350568</v>
      </c>
      <c r="T35" s="1976">
        <f>T11+T17-T23-T29</f>
        <v>126.10599999999994</v>
      </c>
      <c r="U35" s="1850">
        <f>(T35/P35-1)*100</f>
        <v>-7.819272969160096</v>
      </c>
      <c r="V35" s="1970">
        <f>V29</f>
        <v>8.4048701881663579</v>
      </c>
      <c r="X35" s="1976">
        <f>X11+X17-X23-X29</f>
        <v>138.88099999999997</v>
      </c>
      <c r="Y35" s="1850">
        <f>(X35/T35-1)*100</f>
        <v>10.130366517057121</v>
      </c>
      <c r="Z35" s="1970">
        <f>Z29</f>
        <v>4.5050664307294097</v>
      </c>
      <c r="AB35" s="1976">
        <f>AB11+AB17-AB23-AB29</f>
        <v>150.191</v>
      </c>
      <c r="AC35" s="1850">
        <f>(AB35/X35-1)*100</f>
        <v>8.1436625600334267</v>
      </c>
      <c r="AD35" s="1970">
        <f>AD29</f>
        <v>-4.1378231138297643</v>
      </c>
      <c r="AF35" s="1976">
        <f>AF11+AF17-AF23-AF29</f>
        <v>157.39900000000003</v>
      </c>
      <c r="AG35" s="1971" t="s">
        <v>90</v>
      </c>
      <c r="AH35" s="1970" t="str">
        <f>AH29</f>
        <v>NA</v>
      </c>
      <c r="AJ35" s="1976">
        <f>AJ11+AJ17-AJ23-AJ29</f>
        <v>103.1880000000001</v>
      </c>
      <c r="AK35" s="1972">
        <f>(AJ35/AF35-1)*100</f>
        <v>-34.441769007426934</v>
      </c>
      <c r="AL35" s="1970">
        <f>AL29</f>
        <v>3.9618932405867335</v>
      </c>
      <c r="AN35" s="1976">
        <f>AN11+AN17-AN23-AN29</f>
        <v>169.54899999999992</v>
      </c>
      <c r="AO35" s="1972">
        <f>(AN35/AJ35-1)*100</f>
        <v>64.310772570453707</v>
      </c>
      <c r="AP35" s="1970">
        <f>AP29</f>
        <v>8.864356775300152</v>
      </c>
      <c r="AR35" s="1976">
        <f>AR11+AR17-AR23-AR29</f>
        <v>85.911999999999921</v>
      </c>
      <c r="AS35" s="1972">
        <f>(AR35/AN35-1)*100</f>
        <v>-49.329102501341815</v>
      </c>
      <c r="AT35" s="1970">
        <f>AT29</f>
        <v>8.928255026476517</v>
      </c>
      <c r="AV35" s="1976">
        <f>AV11+AV17-AV23-AV29</f>
        <v>28.26600000000002</v>
      </c>
      <c r="AW35" s="1972">
        <f>(AV35/AR35-1)*100</f>
        <v>-67.098891889375125</v>
      </c>
      <c r="AX35" s="1970">
        <f>AX29</f>
        <v>11.500991512676627</v>
      </c>
      <c r="AZ35" s="1975">
        <f>AZ11+AZ17-AZ23-AZ29</f>
        <v>40.926000000000045</v>
      </c>
      <c r="BA35" s="1972">
        <f>(AZ35/AV35-1)*100</f>
        <v>44.788792188495073</v>
      </c>
      <c r="BB35" s="1970">
        <f>BB29</f>
        <v>8.3035292345022818</v>
      </c>
      <c r="BD35" s="1975">
        <f>BD11+BD17-BD23-BD29</f>
        <v>112.9009999999999</v>
      </c>
      <c r="BE35" s="1972">
        <f>(BD35/AZ35-1)*100</f>
        <v>175.86619752724374</v>
      </c>
      <c r="BF35" s="1970">
        <f>BF29</f>
        <v>9.6434296906517289</v>
      </c>
      <c r="BH35" s="1975">
        <f>BH11+BH17-BH23-BH29</f>
        <v>36.37400000000008</v>
      </c>
      <c r="BI35" s="1972">
        <f>(BH35/BD35-1)*100</f>
        <v>-67.78239342432741</v>
      </c>
      <c r="BJ35" s="1970">
        <f>BJ29</f>
        <v>9.6865282664666985</v>
      </c>
      <c r="BL35" s="1975">
        <f>BL11+BL17-BL23-BL29</f>
        <v>-33.458000000000027</v>
      </c>
      <c r="BM35" s="1972">
        <f>(BL35/BH35-1)*100</f>
        <v>-191.98328476384216</v>
      </c>
      <c r="BN35" s="1970">
        <f>BN29</f>
        <v>8.6188392044001194</v>
      </c>
      <c r="BP35" s="1975"/>
      <c r="BQ35" s="1972"/>
      <c r="BR35" s="1970"/>
    </row>
    <row r="36" spans="1:70">
      <c r="A36" s="1282" t="s">
        <v>107</v>
      </c>
      <c r="B36" s="1282" t="s">
        <v>81</v>
      </c>
      <c r="D36" s="1976">
        <f>D12+D18-D24-D30</f>
        <v>130.24100000000004</v>
      </c>
      <c r="E36" s="1850" t="s">
        <v>90</v>
      </c>
      <c r="F36" s="1970" t="str">
        <f>F30</f>
        <v>NA</v>
      </c>
      <c r="H36" s="1976">
        <f>H12+H18-H24-H30</f>
        <v>151.80499999999998</v>
      </c>
      <c r="I36" s="1850">
        <f>(H36/D36-1)*100</f>
        <v>16.556998180296478</v>
      </c>
      <c r="J36" s="1970">
        <f>J30</f>
        <v>2.5523491236735696</v>
      </c>
      <c r="L36" s="1976">
        <f>L12+L18-L24-L30</f>
        <v>134.88799999999989</v>
      </c>
      <c r="M36" s="1850">
        <f>(L36/H36-1)*100</f>
        <v>-11.143901716017313</v>
      </c>
      <c r="N36" s="1970">
        <f>N30</f>
        <v>6.2064012876865027</v>
      </c>
      <c r="P36" s="1976">
        <f>P12+P18-P24-P30</f>
        <v>-422.779</v>
      </c>
      <c r="Q36" s="1850">
        <f>(P36/L36-1)*100</f>
        <v>-413.42966016250546</v>
      </c>
      <c r="R36" s="1970">
        <f>R30</f>
        <v>13.738435209192158</v>
      </c>
      <c r="T36" s="1976">
        <f>T12+T18-T24-T30</f>
        <v>144.17799999999991</v>
      </c>
      <c r="U36" s="1850">
        <f>(T36/P36-1)*100</f>
        <v>-134.10245068936723</v>
      </c>
      <c r="V36" s="1970">
        <f>V30</f>
        <v>5.7818558641111739</v>
      </c>
      <c r="X36" s="1976">
        <f>X12+X18-X24-X30</f>
        <v>150.958</v>
      </c>
      <c r="Y36" s="1850">
        <f>(X36/T36-1)*100</f>
        <v>4.7025204954986854</v>
      </c>
      <c r="Z36" s="1970">
        <f>Z30</f>
        <v>-3.2859509897968042</v>
      </c>
      <c r="AB36" s="1976">
        <f>AB12+AB18-AB24-AB30</f>
        <v>201.42599999999996</v>
      </c>
      <c r="AC36" s="1850">
        <f>(AB36/X36-1)*100</f>
        <v>33.431815471853078</v>
      </c>
      <c r="AD36" s="1970">
        <f>AD30</f>
        <v>-0.29074718620444306</v>
      </c>
      <c r="AF36" s="1976">
        <f>AF12+AF18-AF24-AF30</f>
        <v>97.397999999999911</v>
      </c>
      <c r="AG36" s="1971" t="s">
        <v>90</v>
      </c>
      <c r="AH36" s="1970" t="str">
        <f>AH30</f>
        <v>NA</v>
      </c>
      <c r="AJ36" s="1976">
        <f>AJ12+AJ18-AJ24-AJ30</f>
        <v>125.03799999999995</v>
      </c>
      <c r="AK36" s="1972">
        <f>(AJ36/AF36-1)*100</f>
        <v>28.378406127435962</v>
      </c>
      <c r="AL36" s="1970">
        <f>AL30</f>
        <v>-1.6263666730095161</v>
      </c>
      <c r="AN36" s="1976">
        <f>AN12+AN18-AN24-AN30</f>
        <v>216.12899999999993</v>
      </c>
      <c r="AO36" s="1972">
        <f>(AN36/AJ36-1)*100</f>
        <v>72.850653401366003</v>
      </c>
      <c r="AP36" s="1970">
        <f>AP30</f>
        <v>4.716576592953059</v>
      </c>
      <c r="AR36" s="1976">
        <f>AR12+AR18-AR24-AR30</f>
        <v>52.038000000000068</v>
      </c>
      <c r="AS36" s="1972">
        <f>(AR36/AN36-1)*100</f>
        <v>-75.922712824285455</v>
      </c>
      <c r="AT36" s="1970">
        <f>AT30</f>
        <v>7.7037588094760689</v>
      </c>
      <c r="AV36" s="1976">
        <f>AV12+AV18-AV24-AV30</f>
        <v>80.198000000000036</v>
      </c>
      <c r="AW36" s="1972">
        <f>(AV36/AR36-1)*100</f>
        <v>54.114301087666576</v>
      </c>
      <c r="AX36" s="1970">
        <f>AX30</f>
        <v>9.9812775918825203</v>
      </c>
      <c r="AZ36" s="1975">
        <f>AZ12+AZ18-AZ24-AZ30</f>
        <v>29.329999999999984</v>
      </c>
      <c r="BA36" s="1972">
        <f>(AZ36/AV36-1)*100</f>
        <v>-63.428015661238476</v>
      </c>
      <c r="BB36" s="1970">
        <f>BB30</f>
        <v>8.7167520587091438</v>
      </c>
      <c r="BD36" s="1975">
        <f>BD12+BD18-BD24-BD30</f>
        <v>57.340999999999951</v>
      </c>
      <c r="BE36" s="1972">
        <f>(BD36/AZ36-1)*100</f>
        <v>95.502898056597289</v>
      </c>
      <c r="BF36" s="1970">
        <f>BF30</f>
        <v>6.3591556841315899</v>
      </c>
      <c r="BH36" s="1975">
        <f>BH12+BH18-BH24-BH30</f>
        <v>-31.807999999999936</v>
      </c>
      <c r="BI36" s="1972">
        <f>(BH36/BD36-1)*100</f>
        <v>-155.47165204652859</v>
      </c>
      <c r="BJ36" s="1970">
        <f>BJ30</f>
        <v>9.075901423852418</v>
      </c>
      <c r="BL36" s="1975">
        <f>BL12+BL18-BL24-BL30</f>
        <v>-51.157999999999959</v>
      </c>
      <c r="BM36" s="1972">
        <f>(BL36/BH36-1)*100</f>
        <v>60.833752515090737</v>
      </c>
      <c r="BN36" s="1970">
        <f>BN30</f>
        <v>7.1180545210784985</v>
      </c>
      <c r="BP36" s="1975"/>
      <c r="BQ36" s="1972"/>
      <c r="BR36" s="1970"/>
    </row>
    <row r="37" spans="1:70">
      <c r="A37" s="1282" t="s">
        <v>108</v>
      </c>
      <c r="B37" s="1282" t="s">
        <v>82</v>
      </c>
      <c r="D37" s="1976">
        <f>D13+D19-D25-D31</f>
        <v>108.16699999999997</v>
      </c>
      <c r="E37" s="1850" t="s">
        <v>90</v>
      </c>
      <c r="F37" s="1970" t="str">
        <f>F31</f>
        <v>NA</v>
      </c>
      <c r="H37" s="1976">
        <f>H13+H19-H25-H31</f>
        <v>183.25299999999999</v>
      </c>
      <c r="I37" s="1850">
        <f>(H37/D37-1)*100</f>
        <v>69.416735233481603</v>
      </c>
      <c r="J37" s="1970">
        <f>J31</f>
        <v>9.9705810368422298E-2</v>
      </c>
      <c r="L37" s="1976">
        <f>L13+L19-L25-L31</f>
        <v>124.54000000000002</v>
      </c>
      <c r="M37" s="1850">
        <f>(L37/H37-1)*100</f>
        <v>-32.039311771157884</v>
      </c>
      <c r="N37" s="1970">
        <f>N31</f>
        <v>12.376476457093721</v>
      </c>
      <c r="P37" s="1976">
        <f>P13+P19-P25-P31</f>
        <v>210.85599999999991</v>
      </c>
      <c r="Q37" s="1850">
        <f>(P37/L37-1)*100</f>
        <v>69.307852898666994</v>
      </c>
      <c r="R37" s="1970">
        <f>R31</f>
        <v>11.517479045588619</v>
      </c>
      <c r="T37" s="1976">
        <f>T13+T19-T25-T31</f>
        <v>170.74199999999996</v>
      </c>
      <c r="U37" s="1850">
        <f>(T37/P37-1)*100</f>
        <v>-19.024357855598119</v>
      </c>
      <c r="V37" s="1970">
        <f>V31</f>
        <v>8.214284778982206</v>
      </c>
      <c r="X37" s="1976">
        <f>X13+X19-X25-X31</f>
        <v>252.74100000000004</v>
      </c>
      <c r="Y37" s="1850">
        <f>(X37/T37-1)*100</f>
        <v>48.02509048740211</v>
      </c>
      <c r="Z37" s="1970">
        <f>Z31</f>
        <v>38.152937061716244</v>
      </c>
      <c r="AB37" s="1976">
        <f>AB13+AB19-AB25-AB31</f>
        <v>247.99</v>
      </c>
      <c r="AC37" s="1850">
        <f>(AB37/X37-1)*100</f>
        <v>-1.8797899826304532</v>
      </c>
      <c r="AD37" s="1970">
        <f>AD31</f>
        <v>39.01174629752169</v>
      </c>
      <c r="AF37" s="1976">
        <f>AF13+AF19-AF25-AF31</f>
        <v>338.66199999999992</v>
      </c>
      <c r="AG37" s="1971" t="s">
        <v>90</v>
      </c>
      <c r="AH37" s="1970" t="str">
        <f>AH31</f>
        <v>NA</v>
      </c>
      <c r="AJ37" s="1976">
        <f>AJ13+AJ19-AJ25-AJ31</f>
        <v>368.08999999999992</v>
      </c>
      <c r="AK37" s="1972">
        <f>(AJ37/AF37-1)*100</f>
        <v>8.6894898158045528</v>
      </c>
      <c r="AL37" s="1970">
        <f>AL31</f>
        <v>6.115930144999826</v>
      </c>
      <c r="AN37" s="1976">
        <f>AN13+AN19-AN25-AN31</f>
        <v>309.37499999999989</v>
      </c>
      <c r="AO37" s="1972">
        <f>(AN37/AJ37-1)*100</f>
        <v>-15.951261919639226</v>
      </c>
      <c r="AP37" s="1970">
        <f>AP31</f>
        <v>3.7923783741923289</v>
      </c>
      <c r="AR37" s="1976">
        <f>AR13+AR19-AR25-AR31</f>
        <v>62.056000000000097</v>
      </c>
      <c r="AS37" s="1972">
        <f>(AR37/AN37-1)*100</f>
        <v>-79.94149494949491</v>
      </c>
      <c r="AT37" s="1970">
        <f>AT31</f>
        <v>2.3921611998303893</v>
      </c>
      <c r="AV37" s="1976">
        <f>AV13+AV19-AV25-AV31</f>
        <v>6.6940000000000737</v>
      </c>
      <c r="AW37" s="1972">
        <f>(AV37/AR37-1)*100</f>
        <v>-89.212968931287762</v>
      </c>
      <c r="AX37" s="1970">
        <f>AX31</f>
        <v>5.6821822220536333</v>
      </c>
      <c r="AZ37" s="1976">
        <f>AZ13+AZ19-AZ25-AZ31</f>
        <v>2.3839999999999577</v>
      </c>
      <c r="BA37" s="1972">
        <f>(AZ37/AV37-1)*100</f>
        <v>-64.386017328952335</v>
      </c>
      <c r="BB37" s="1970">
        <f>BB31</f>
        <v>11.32336089132917</v>
      </c>
      <c r="BD37" s="1976">
        <f>BD13+BD19-BD25-BD31</f>
        <v>-0.91799999999989268</v>
      </c>
      <c r="BE37" s="1972">
        <f>(BD37/AZ37-1)*100</f>
        <v>-138.50671140939215</v>
      </c>
      <c r="BF37" s="1970">
        <f>BF31</f>
        <v>3.7302017959258471</v>
      </c>
      <c r="BH37" s="1975">
        <f>BH13+BH19-BH25-BH31</f>
        <v>-176.26900000000012</v>
      </c>
      <c r="BI37" s="1972">
        <f>(BH37/BD37-1)*100</f>
        <v>19101.416122006613</v>
      </c>
      <c r="BJ37" s="1970">
        <f>BJ31</f>
        <v>9.4073803405961609</v>
      </c>
      <c r="BL37" s="1975">
        <f>BL13+BL19-BL25-BL31</f>
        <v>-167.11999999999995</v>
      </c>
      <c r="BM37" s="1972">
        <f>(BL37/BH37-1)*100</f>
        <v>-5.1903624573805711</v>
      </c>
      <c r="BN37" s="1970">
        <f>BN31</f>
        <v>14.896586908225885</v>
      </c>
      <c r="BP37" s="1975"/>
      <c r="BQ37" s="1972"/>
      <c r="BR37" s="1970"/>
    </row>
    <row r="39" spans="1:70">
      <c r="A39" s="1647" t="s">
        <v>1100</v>
      </c>
      <c r="B39" s="1281"/>
      <c r="C39" s="1281"/>
      <c r="D39" s="1281"/>
      <c r="E39" s="1281"/>
      <c r="F39" s="1281"/>
      <c r="G39" s="1281"/>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Y39" s="1281"/>
      <c r="BC39" s="1281"/>
      <c r="BG39" s="1281"/>
      <c r="BK39" s="1281"/>
      <c r="BO39" s="1281"/>
    </row>
    <row r="40" spans="1:70">
      <c r="A40" s="1282" t="s">
        <v>105</v>
      </c>
      <c r="B40" s="1282" t="s">
        <v>79</v>
      </c>
      <c r="D40" s="1850" t="s">
        <v>90</v>
      </c>
      <c r="H40" s="1282">
        <f>H34-D34</f>
        <v>-57.401000000000096</v>
      </c>
      <c r="L40" s="1282">
        <f>L34-H34</f>
        <v>-29.396000000000015</v>
      </c>
      <c r="P40" s="1282">
        <f>P34-L34</f>
        <v>16.808999999999969</v>
      </c>
      <c r="T40" s="1282">
        <f>T34-P34</f>
        <v>49.55400000000003</v>
      </c>
      <c r="X40" s="1649" t="s">
        <v>90</v>
      </c>
      <c r="AA40" s="1649"/>
      <c r="AB40" s="1649" t="s">
        <v>90</v>
      </c>
      <c r="AF40" s="1975">
        <f>AF34-AB34</f>
        <v>-90.176000000000016</v>
      </c>
      <c r="AJ40" s="1975">
        <f>AJ34-AF34</f>
        <v>-110.89099999999988</v>
      </c>
      <c r="AN40" s="1975">
        <f>AN34-AJ34</f>
        <v>74.025999999999982</v>
      </c>
      <c r="AR40" s="1975">
        <f>AR34-AN34</f>
        <v>0.68799999999995975</v>
      </c>
      <c r="AV40" s="1975">
        <f>AV34-AR34</f>
        <v>-110.79699999999997</v>
      </c>
      <c r="AZ40" s="1975">
        <f>AZ34-AV34</f>
        <v>17.174999999999869</v>
      </c>
      <c r="BD40" s="1975">
        <f>BD34-AZ34</f>
        <v>60.449000000000126</v>
      </c>
      <c r="BH40" s="1975">
        <f>BH34-BD34</f>
        <v>-12.846000000000117</v>
      </c>
      <c r="BL40" s="1975">
        <f>BL34-BH34</f>
        <v>-140.70199999999994</v>
      </c>
      <c r="BP40" s="1975"/>
    </row>
    <row r="41" spans="1:70">
      <c r="A41" s="1282" t="s">
        <v>106</v>
      </c>
      <c r="B41" s="1282" t="s">
        <v>80</v>
      </c>
      <c r="D41" s="1850" t="s">
        <v>90</v>
      </c>
      <c r="H41" s="1282">
        <f>H35-D35</f>
        <v>-1.1450000000000955</v>
      </c>
      <c r="L41" s="1282">
        <f>L35-H35</f>
        <v>6.9899999999999523</v>
      </c>
      <c r="P41" s="1282">
        <f>P35-L35</f>
        <v>-7.3429999999999325</v>
      </c>
      <c r="T41" s="1282">
        <f>T35-P35</f>
        <v>-10.697000000000088</v>
      </c>
      <c r="X41" s="1649">
        <f>X35-T35</f>
        <v>12.775000000000034</v>
      </c>
      <c r="AA41" s="1649"/>
      <c r="AB41" s="1649">
        <f>AB35-X35</f>
        <v>11.310000000000031</v>
      </c>
      <c r="AF41" s="1975">
        <f>AF35-AB35</f>
        <v>7.2080000000000268</v>
      </c>
      <c r="AJ41" s="1975">
        <f>AJ35-AF35</f>
        <v>-54.210999999999927</v>
      </c>
      <c r="AN41" s="1975">
        <f>AN35-AJ35</f>
        <v>66.360999999999819</v>
      </c>
      <c r="AR41" s="1975">
        <f>AR35-AN35</f>
        <v>-83.637</v>
      </c>
      <c r="AV41" s="1975">
        <f>AV35-AR35</f>
        <v>-57.645999999999901</v>
      </c>
      <c r="AZ41" s="1975">
        <f>AZ35-AV35</f>
        <v>12.660000000000025</v>
      </c>
      <c r="BD41" s="1975">
        <f>BD35-AZ35</f>
        <v>71.974999999999852</v>
      </c>
      <c r="BH41" s="1975">
        <f>BH35-BD35</f>
        <v>-76.526999999999816</v>
      </c>
      <c r="BL41" s="1975">
        <f>BL35-BH35</f>
        <v>-69.832000000000107</v>
      </c>
      <c r="BP41" s="1975"/>
    </row>
    <row r="42" spans="1:70">
      <c r="A42" s="1282" t="s">
        <v>107</v>
      </c>
      <c r="B42" s="1282" t="s">
        <v>81</v>
      </c>
      <c r="D42" s="1850" t="s">
        <v>90</v>
      </c>
      <c r="H42" s="1282">
        <f>H36-D36</f>
        <v>21.563999999999936</v>
      </c>
      <c r="L42" s="1282">
        <f>L36-H36</f>
        <v>-16.917000000000087</v>
      </c>
      <c r="P42" s="1282">
        <f>P36-L36</f>
        <v>-557.66699999999992</v>
      </c>
      <c r="T42" s="1282">
        <f>T36-P36</f>
        <v>566.95699999999988</v>
      </c>
      <c r="X42" s="1649">
        <f>X36-T36</f>
        <v>6.7800000000000864</v>
      </c>
      <c r="AA42" s="1649"/>
      <c r="AB42" s="1649">
        <f>AB36-X36</f>
        <v>50.467999999999961</v>
      </c>
      <c r="AF42" s="1975">
        <f>AF36-AB36</f>
        <v>-104.02800000000005</v>
      </c>
      <c r="AJ42" s="1975">
        <f>AJ36-AF36</f>
        <v>27.640000000000043</v>
      </c>
      <c r="AN42" s="1975">
        <f>AN36-AJ36</f>
        <v>91.09099999999998</v>
      </c>
      <c r="AR42" s="1975">
        <f>AR36-AN36</f>
        <v>-164.09099999999987</v>
      </c>
      <c r="AV42" s="1975">
        <f>AV36-AR36</f>
        <v>28.159999999999968</v>
      </c>
      <c r="AZ42" s="1975">
        <f>AZ36-AV36</f>
        <v>-50.868000000000052</v>
      </c>
      <c r="BD42" s="1975">
        <f>BD36-AZ36</f>
        <v>28.010999999999967</v>
      </c>
      <c r="BH42" s="1975">
        <f>BH36-BD36</f>
        <v>-89.148999999999887</v>
      </c>
      <c r="BL42" s="1975">
        <f>BL36-BH36</f>
        <v>-19.350000000000023</v>
      </c>
      <c r="BP42" s="1975"/>
    </row>
    <row r="43" spans="1:70">
      <c r="A43" s="1282" t="s">
        <v>108</v>
      </c>
      <c r="B43" s="1282" t="s">
        <v>82</v>
      </c>
      <c r="D43" s="1850" t="s">
        <v>90</v>
      </c>
      <c r="H43" s="1282">
        <f>H37-D37</f>
        <v>75.086000000000013</v>
      </c>
      <c r="L43" s="1282">
        <f>L37-H37</f>
        <v>-58.712999999999965</v>
      </c>
      <c r="P43" s="1282">
        <f>P37-L37</f>
        <v>86.315999999999889</v>
      </c>
      <c r="T43" s="1282">
        <f>T37-P37</f>
        <v>-40.113999999999947</v>
      </c>
      <c r="X43" s="1649">
        <f>X37-T37</f>
        <v>81.99900000000008</v>
      </c>
      <c r="AA43" s="1649"/>
      <c r="AB43" s="1649">
        <f>AB37-X37</f>
        <v>-4.7510000000000332</v>
      </c>
      <c r="AF43" s="1975">
        <f>AF37-AB37</f>
        <v>90.671999999999912</v>
      </c>
      <c r="AJ43" s="1975">
        <f>AJ37-AF37</f>
        <v>29.427999999999997</v>
      </c>
      <c r="AN43" s="1975">
        <f>AN37-AJ37</f>
        <v>-58.715000000000032</v>
      </c>
      <c r="AR43" s="1975">
        <f>AR37-AN37</f>
        <v>-247.31899999999979</v>
      </c>
      <c r="AV43" s="1975">
        <f>AV37-AR37</f>
        <v>-55.362000000000023</v>
      </c>
      <c r="AZ43" s="1975">
        <f>AZ37-AV37</f>
        <v>-4.310000000000116</v>
      </c>
      <c r="BD43" s="1975">
        <f>BD37-AZ37</f>
        <v>-3.3019999999998504</v>
      </c>
      <c r="BH43" s="1975">
        <f>BH37-BD37</f>
        <v>-175.35100000000023</v>
      </c>
      <c r="BL43" s="1975"/>
      <c r="BP43" s="1975"/>
    </row>
    <row r="45" spans="1:70">
      <c r="A45" s="1778" t="s">
        <v>315</v>
      </c>
    </row>
  </sheetData>
  <phoneticPr fontId="11" type="noConversion"/>
  <printOptions horizontalCentered="1" verticalCentered="1"/>
  <pageMargins left="0.5" right="0.5" top="0.5" bottom="0.5" header="0.5" footer="0.5"/>
  <pageSetup scale="99" orientation="landscape" horizontalDpi="300" verticalDpi="300"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Z65536"/>
  <sheetViews>
    <sheetView zoomScale="85" zoomScaleNormal="85" workbookViewId="0">
      <selection activeCell="V50" sqref="V50"/>
    </sheetView>
  </sheetViews>
  <sheetFormatPr defaultRowHeight="12.75" outlineLevelRow="1" outlineLevelCol="1"/>
  <cols>
    <col min="1" max="1" width="38.5703125" style="1282" customWidth="1"/>
    <col min="2" max="2" width="9" style="1282" customWidth="1" outlineLevel="1"/>
    <col min="3" max="3" width="9.5703125" style="1282" bestFit="1" customWidth="1"/>
    <col min="4" max="4" width="9.140625" style="1282" bestFit="1" customWidth="1"/>
    <col min="5" max="5" width="9.5703125" style="1282" bestFit="1" customWidth="1"/>
    <col min="6" max="8" width="9.28515625" style="1282" bestFit="1" customWidth="1"/>
    <col min="9" max="9" width="11.5703125" style="1282" customWidth="1"/>
    <col min="10" max="10" width="9.5703125" style="1282" customWidth="1"/>
    <col min="11" max="15" width="9.28515625" style="1282" customWidth="1"/>
    <col min="16" max="17" width="2.28515625" style="1282" customWidth="1"/>
    <col min="18" max="18" width="8.7109375" style="1282" bestFit="1" customWidth="1"/>
    <col min="19" max="19" width="2.42578125" style="1282" customWidth="1"/>
    <col min="20" max="20" width="6.85546875" style="1282" bestFit="1" customWidth="1"/>
    <col min="21" max="21" width="3.140625" style="1282" customWidth="1"/>
    <col min="22" max="24" width="9.140625" style="1282"/>
    <col min="25" max="29" width="7" style="1282" bestFit="1" customWidth="1"/>
    <col min="30" max="16384" width="9.140625" style="1282"/>
  </cols>
  <sheetData>
    <row r="1" spans="1:29">
      <c r="A1" s="1283" t="s">
        <v>441</v>
      </c>
      <c r="D1" s="1312"/>
      <c r="E1" s="1312"/>
      <c r="F1" s="1312"/>
      <c r="G1" s="1788"/>
      <c r="H1" s="1788"/>
      <c r="I1" s="1643"/>
      <c r="J1" s="1643"/>
      <c r="K1" s="1643"/>
      <c r="L1" s="1643"/>
      <c r="M1" s="1643"/>
      <c r="N1" s="1643"/>
      <c r="O1" s="1643"/>
    </row>
    <row r="2" spans="1:29" s="1352" customFormat="1">
      <c r="A2" s="1246" t="s">
        <v>1078</v>
      </c>
      <c r="D2" s="1789"/>
      <c r="E2" s="1789"/>
      <c r="F2" s="1789"/>
    </row>
    <row r="3" spans="1:29">
      <c r="A3" s="1633" t="s">
        <v>50</v>
      </c>
    </row>
    <row r="4" spans="1:29">
      <c r="B4" s="1392" t="s">
        <v>259</v>
      </c>
      <c r="C4" s="1395"/>
      <c r="D4" s="1395"/>
      <c r="E4" s="1395"/>
      <c r="F4" s="1395"/>
      <c r="G4" s="1395"/>
      <c r="H4" s="1395"/>
      <c r="I4" s="1790"/>
      <c r="J4" s="1395"/>
      <c r="K4" s="1791"/>
      <c r="L4" s="1791"/>
      <c r="M4" s="1791"/>
      <c r="N4" s="1791"/>
      <c r="O4" s="1791"/>
    </row>
    <row r="5" spans="1:29" s="1349" customFormat="1">
      <c r="B5" s="1792" t="s">
        <v>261</v>
      </c>
      <c r="C5" s="1792" t="s">
        <v>84</v>
      </c>
      <c r="D5" s="1792" t="s">
        <v>242</v>
      </c>
      <c r="E5" s="1792" t="s">
        <v>393</v>
      </c>
      <c r="F5" s="1792" t="s">
        <v>611</v>
      </c>
      <c r="G5" s="1792" t="s">
        <v>626</v>
      </c>
      <c r="H5" s="1792" t="s">
        <v>933</v>
      </c>
      <c r="I5" s="1792" t="s">
        <v>988</v>
      </c>
      <c r="J5" s="1792" t="s">
        <v>1097</v>
      </c>
      <c r="K5" s="1793" t="s">
        <v>341</v>
      </c>
      <c r="L5" s="1793" t="s">
        <v>420</v>
      </c>
      <c r="M5" s="1793" t="s">
        <v>421</v>
      </c>
      <c r="N5" s="1793" t="s">
        <v>422</v>
      </c>
      <c r="O5" s="1793" t="s">
        <v>464</v>
      </c>
      <c r="R5" s="1543"/>
      <c r="S5" s="1544" t="s">
        <v>42</v>
      </c>
      <c r="T5" s="1545"/>
      <c r="U5" s="1546"/>
    </row>
    <row r="6" spans="1:29">
      <c r="A6" s="1352"/>
      <c r="B6" s="1352"/>
      <c r="C6" s="1352"/>
      <c r="D6" s="1352"/>
      <c r="E6" s="1605" t="s">
        <v>396</v>
      </c>
      <c r="F6" s="1352"/>
      <c r="G6" s="1352"/>
      <c r="H6" s="1352"/>
      <c r="I6" s="1352"/>
      <c r="J6" s="1352"/>
      <c r="K6" s="1352"/>
      <c r="L6" s="1352"/>
      <c r="M6" s="1352"/>
      <c r="N6" s="1352"/>
      <c r="O6" s="1352"/>
      <c r="R6" s="1547" t="s">
        <v>980</v>
      </c>
      <c r="S6" s="1544"/>
      <c r="T6" s="1544" t="s">
        <v>981</v>
      </c>
      <c r="U6" s="1546"/>
    </row>
    <row r="7" spans="1:29">
      <c r="I7" s="1587"/>
      <c r="J7" s="1587"/>
      <c r="K7" s="1587"/>
      <c r="L7" s="1587"/>
      <c r="M7" s="1587"/>
      <c r="N7" s="1587"/>
      <c r="O7" s="1587"/>
      <c r="R7" s="1528"/>
      <c r="S7" s="1350"/>
      <c r="T7" s="1350"/>
      <c r="U7" s="1549"/>
    </row>
    <row r="8" spans="1:29" ht="15" customHeight="1">
      <c r="A8" s="1282" t="s">
        <v>364</v>
      </c>
      <c r="B8" s="1794">
        <f>'qtrP&amp;L_new'!$AI$15</f>
        <v>3522.9139999999998</v>
      </c>
      <c r="C8" s="1794">
        <f>'qtrP&amp;L_new'!$AM$15</f>
        <v>3669.6019999999999</v>
      </c>
      <c r="D8" s="1794">
        <f>'qtrP&amp;L_new'!$AQ$15</f>
        <v>3854.134</v>
      </c>
      <c r="E8" s="1794">
        <f>'qtrP&amp;L_new'!$AU$15</f>
        <v>4077.034171070005</v>
      </c>
      <c r="F8" s="1643">
        <f>'qtrP&amp;L_new'!$AY$15</f>
        <v>4427.5029999999997</v>
      </c>
      <c r="G8" s="1643">
        <f>'qtrP&amp;L_new'!$BC$15</f>
        <v>4814.5039999999999</v>
      </c>
      <c r="H8" s="1643">
        <f>'qtrP&amp;L_new'!$BG$15</f>
        <v>5098.9319999999998</v>
      </c>
      <c r="I8" s="1964">
        <f>INDEX('qtrP&amp;L_new'!15:15,MATCH('yrP&amp;L_new'!I5,'qtrP&amp;L_new'!7:7,0))</f>
        <v>5566.0379999999996</v>
      </c>
      <c r="J8" s="1643">
        <f>INDEX('qtrP&amp;L_new'!15:15,MATCH('yrP&amp;L_new'!J$5,'qtrP&amp;L_new'!$7:$7,0))</f>
        <v>6084.7659999999996</v>
      </c>
      <c r="K8" s="1643">
        <f>INDEX('qtrP&amp;L_new'!15:15,MATCH('yrP&amp;L_new'!K$5,'qtrP&amp;L_new'!$7:$7,0))</f>
        <v>6587.3821933692661</v>
      </c>
      <c r="L8" s="1643">
        <f>yrSales!W$8</f>
        <v>7272.2060401899489</v>
      </c>
      <c r="M8" s="1643">
        <f>yrSales!X$8</f>
        <v>7996.9990572869638</v>
      </c>
      <c r="N8" s="1643">
        <f>yrSales!Y$8</f>
        <v>8763.46040726315</v>
      </c>
      <c r="O8" s="1643">
        <f>yrSales!Z$8</f>
        <v>9573.3682501034527</v>
      </c>
      <c r="R8" s="1539">
        <f>((J8/E8)^(1/5)-1)*100</f>
        <v>8.3377735068880021</v>
      </c>
      <c r="S8" s="1349" t="s">
        <v>102</v>
      </c>
      <c r="T8" s="1540">
        <f>((O8/J8)^(1/5)-1)*100</f>
        <v>9.4874085738652969</v>
      </c>
      <c r="U8" s="1529" t="s">
        <v>102</v>
      </c>
    </row>
    <row r="9" spans="1:29" ht="15" customHeight="1">
      <c r="A9" s="1795" t="s">
        <v>31</v>
      </c>
      <c r="B9" s="1796" t="s">
        <v>90</v>
      </c>
      <c r="C9" s="1587">
        <f t="shared" ref="C9:O9" si="0">C8/B8-1</f>
        <v>4.1638257419851943E-2</v>
      </c>
      <c r="D9" s="1587">
        <f t="shared" si="0"/>
        <v>5.0286652339954108E-2</v>
      </c>
      <c r="E9" s="1587">
        <f t="shared" si="0"/>
        <v>5.7834048081879086E-2</v>
      </c>
      <c r="F9" s="1587">
        <f t="shared" si="0"/>
        <v>8.596170996477448E-2</v>
      </c>
      <c r="G9" s="1587">
        <f t="shared" si="0"/>
        <v>8.7408410564600469E-2</v>
      </c>
      <c r="H9" s="1587">
        <f t="shared" si="0"/>
        <v>5.9077321360621937E-2</v>
      </c>
      <c r="I9" s="1587">
        <f t="shared" si="0"/>
        <v>9.1608595682389993E-2</v>
      </c>
      <c r="J9" s="1587">
        <f>J8/I8-1</f>
        <v>9.3195195577177259E-2</v>
      </c>
      <c r="K9" s="1587">
        <f t="shared" si="0"/>
        <v>8.2602386578097819E-2</v>
      </c>
      <c r="L9" s="1587">
        <f t="shared" si="0"/>
        <v>0.1039599383667178</v>
      </c>
      <c r="M9" s="1587">
        <f t="shared" si="0"/>
        <v>9.9666182873729969E-2</v>
      </c>
      <c r="N9" s="1587">
        <f t="shared" si="0"/>
        <v>9.5843621399176904E-2</v>
      </c>
      <c r="O9" s="1587">
        <f t="shared" si="0"/>
        <v>9.2418725617685382E-2</v>
      </c>
      <c r="R9" s="1539"/>
      <c r="S9" s="1349"/>
      <c r="T9" s="1540"/>
      <c r="U9" s="1529"/>
    </row>
    <row r="10" spans="1:29" ht="15" customHeight="1">
      <c r="A10" s="1795" t="s">
        <v>975</v>
      </c>
      <c r="B10" s="1587">
        <f>yrSales!L40</f>
        <v>-0.04</v>
      </c>
      <c r="C10" s="1587">
        <f>yrSales!M40</f>
        <v>-2E-3</v>
      </c>
      <c r="D10" s="1587">
        <f>yrSales!N40</f>
        <v>6.9999999999999993E-3</v>
      </c>
      <c r="E10" s="1587">
        <f>yrSales!$P$40</f>
        <v>1.2E-2</v>
      </c>
      <c r="F10" s="1587">
        <f>yrSales!Q40</f>
        <v>4.7E-2</v>
      </c>
      <c r="G10" s="1587">
        <f>yrSales!R40</f>
        <v>4.9000000000000002E-2</v>
      </c>
      <c r="H10" s="1587">
        <f>yrSales!S40</f>
        <v>2.1484157270581374E-2</v>
      </c>
      <c r="I10" s="1587">
        <f>yrSales!T40</f>
        <v>4.494161951463501E-2</v>
      </c>
      <c r="J10" s="1587">
        <f>yrSales!U40</f>
        <v>3.4000000000000002E-2</v>
      </c>
      <c r="K10" s="1587">
        <f>yrSales!V40</f>
        <v>2.9999999999999995E-2</v>
      </c>
      <c r="L10" s="1587">
        <f>yrSales!W40</f>
        <v>0.03</v>
      </c>
      <c r="M10" s="1587">
        <f>yrSales!X40</f>
        <v>0.03</v>
      </c>
      <c r="N10" s="1587">
        <f>yrSales!Y40</f>
        <v>0.03</v>
      </c>
      <c r="O10" s="1587">
        <f>yrSales!Z40</f>
        <v>0.03</v>
      </c>
      <c r="R10" s="1539"/>
      <c r="S10" s="1349"/>
      <c r="T10" s="1540"/>
      <c r="U10" s="1529"/>
    </row>
    <row r="11" spans="1:29" ht="15" customHeight="1">
      <c r="A11" s="1282" t="s">
        <v>32</v>
      </c>
      <c r="B11" s="1797">
        <f>'qtrP&amp;L_new'!$AI$25</f>
        <v>2181.7069999999999</v>
      </c>
      <c r="C11" s="1797">
        <f>'qtrP&amp;L_new'!$AM$25</f>
        <v>2252.346</v>
      </c>
      <c r="D11" s="1797">
        <f>'qtrP&amp;L_new'!$AQ$25</f>
        <v>2363.4639999999999</v>
      </c>
      <c r="E11" s="1797">
        <f>'qtrP&amp;L_new'!$AU$25</f>
        <v>2497.9727558300101</v>
      </c>
      <c r="F11" s="1797">
        <f>'qtrP&amp;L_new'!$AY$25</f>
        <v>2695.9569999999999</v>
      </c>
      <c r="G11" s="1797">
        <f>'qtrP&amp;L_new'!$BC$25</f>
        <v>2900.819</v>
      </c>
      <c r="H11" s="1797">
        <f>'qtrP&amp;L_new'!$BG$25</f>
        <v>3059.6409999999996</v>
      </c>
      <c r="I11" s="1779">
        <f>'qtrP&amp;L_new'!BK25</f>
        <v>3297.373</v>
      </c>
      <c r="J11" s="1797">
        <f>INDEX('qtrP&amp;L_new'!25:25,MATCH('yrP&amp;L_new'!J$5,'qtrP&amp;L_new'!$7:$7,0))</f>
        <v>3559.1579999999999</v>
      </c>
      <c r="K11" s="1797">
        <f>INDEX('qtrP&amp;L_new'!25:25,MATCH('yrP&amp;L_new'!K$5,'qtrP&amp;L_new'!$7:$7,0))</f>
        <v>3824.8103971044711</v>
      </c>
      <c r="L11" s="1797">
        <f>L8*(1-L12)</f>
        <v>4225.1517093503599</v>
      </c>
      <c r="M11" s="1797">
        <f>M8*(1-M12)</f>
        <v>4639.8588530378966</v>
      </c>
      <c r="N11" s="1797">
        <f>N8*(1-N12)</f>
        <v>5078.4253060089959</v>
      </c>
      <c r="O11" s="1797">
        <f>O8*(1-O12)</f>
        <v>5542.9802168098986</v>
      </c>
      <c r="R11" s="1539">
        <f>((J11/E11)^(1/5)-1)*100</f>
        <v>7.3376082978415358</v>
      </c>
      <c r="S11" s="1349" t="s">
        <v>102</v>
      </c>
      <c r="T11" s="1540">
        <f>((O11/J11)^(1/5)-1)*100</f>
        <v>9.2645325584558726</v>
      </c>
      <c r="U11" s="1529" t="s">
        <v>102</v>
      </c>
    </row>
    <row r="12" spans="1:29" ht="15" customHeight="1">
      <c r="A12" s="1795" t="s">
        <v>54</v>
      </c>
      <c r="B12" s="1587">
        <f t="shared" ref="B12:K12" si="1">(B8-B11)/B8</f>
        <v>0.380709548969972</v>
      </c>
      <c r="C12" s="1587">
        <f t="shared" si="1"/>
        <v>0.38621518082887463</v>
      </c>
      <c r="D12" s="1587">
        <f t="shared" si="1"/>
        <v>0.38677171058401189</v>
      </c>
      <c r="E12" s="1587">
        <f t="shared" si="1"/>
        <v>0.38730639699926162</v>
      </c>
      <c r="F12" s="1587">
        <f t="shared" si="1"/>
        <v>0.39108861134594375</v>
      </c>
      <c r="G12" s="1587">
        <f t="shared" si="1"/>
        <v>0.39748331292278499</v>
      </c>
      <c r="H12" s="1587">
        <f t="shared" si="1"/>
        <v>0.39994473352458915</v>
      </c>
      <c r="I12" s="1587">
        <f t="shared" si="1"/>
        <v>0.40759064167366443</v>
      </c>
      <c r="J12" s="1587">
        <f t="shared" si="1"/>
        <v>0.41507068636657513</v>
      </c>
      <c r="K12" s="2190">
        <f t="shared" si="1"/>
        <v>0.41937323737577387</v>
      </c>
      <c r="L12" s="1781">
        <v>0.41899999999999998</v>
      </c>
      <c r="M12" s="1781">
        <v>0.41980000000000001</v>
      </c>
      <c r="N12" s="1781">
        <v>0.42049999999999998</v>
      </c>
      <c r="O12" s="1781">
        <v>0.42099999999999999</v>
      </c>
      <c r="R12" s="1539"/>
      <c r="S12" s="1349"/>
      <c r="T12" s="1540"/>
      <c r="U12" s="1529"/>
      <c r="Y12" s="1531"/>
      <c r="Z12" s="1531"/>
      <c r="AA12" s="1531"/>
      <c r="AB12" s="1531"/>
      <c r="AC12" s="1531"/>
    </row>
    <row r="13" spans="1:29" ht="15" customHeight="1">
      <c r="C13" s="1797"/>
      <c r="D13" s="1797"/>
      <c r="E13" s="1797"/>
      <c r="F13" s="1797"/>
      <c r="G13" s="1797"/>
      <c r="H13" s="1797"/>
      <c r="I13" s="1797"/>
      <c r="J13" s="1797"/>
      <c r="K13" s="1797"/>
      <c r="L13" s="1797"/>
      <c r="M13" s="1797"/>
      <c r="N13" s="1797"/>
      <c r="O13" s="1797"/>
      <c r="R13" s="1539"/>
      <c r="S13" s="1349"/>
      <c r="T13" s="1540"/>
      <c r="U13" s="1529"/>
      <c r="X13" s="2049"/>
      <c r="Y13" s="1962"/>
      <c r="Z13" s="1962"/>
      <c r="AA13" s="1962"/>
      <c r="AB13" s="1962"/>
      <c r="AC13" s="1962"/>
    </row>
    <row r="14" spans="1:29" ht="15" customHeight="1">
      <c r="A14" s="1282" t="s">
        <v>33</v>
      </c>
      <c r="B14" s="1797">
        <f>'qtrP&amp;L_new'!$AI$35</f>
        <v>1113.96</v>
      </c>
      <c r="C14" s="1797">
        <f>'qtrP&amp;L_new'!$AM$35</f>
        <v>1156.6130000000001</v>
      </c>
      <c r="D14" s="1797">
        <f>'qtrP&amp;L_new'!$AQ$35</f>
        <v>1215.7739999999999</v>
      </c>
      <c r="E14" s="1797">
        <f>'qtrP&amp;L_new'!$AU$35</f>
        <v>1289.1741698830001</v>
      </c>
      <c r="F14" s="1797">
        <f>'qtrP&amp;L_new'!$AY$35</f>
        <v>1391.788</v>
      </c>
      <c r="G14" s="1797">
        <f>'qtrP&amp;L_new'!$BC$35</f>
        <v>1511.6480000000001</v>
      </c>
      <c r="H14" s="1797">
        <f>'qtrP&amp;L_new'!$BG$35</f>
        <v>1597.7180000000001</v>
      </c>
      <c r="I14" s="1779">
        <f>'qtrP&amp;L_new'!BK35</f>
        <v>1723.251</v>
      </c>
      <c r="J14" s="1643">
        <f>INDEX('qtrP&amp;L_new'!35:35,MATCH('yrP&amp;L_new'!J$5,'qtrP&amp;L_new'!$7:$7,0))</f>
        <v>1863.5</v>
      </c>
      <c r="K14" s="1643">
        <f>INDEX('qtrP&amp;L_new'!35:35,MATCH('yrP&amp;L_new'!K$5,'qtrP&amp;L_new'!$7:$7,0))</f>
        <v>2016.433830767297</v>
      </c>
      <c r="L14" s="1797">
        <f>L8*L15</f>
        <v>2226.0222689021434</v>
      </c>
      <c r="M14" s="1797">
        <f>M8*M15</f>
        <v>2455.0787105870977</v>
      </c>
      <c r="N14" s="1797">
        <f>N8*N15</f>
        <v>2691.2586910705131</v>
      </c>
      <c r="O14" s="1797">
        <f>O8*O15</f>
        <v>2945.7254105568322</v>
      </c>
      <c r="R14" s="1539">
        <f>((J14/E14)^(1/5)-1)*100</f>
        <v>7.6474038543222544</v>
      </c>
      <c r="S14" s="1349" t="s">
        <v>102</v>
      </c>
      <c r="T14" s="1540">
        <f>((O14/J14)^(1/5)-1)*100</f>
        <v>9.590415319989809</v>
      </c>
      <c r="U14" s="1529" t="s">
        <v>102</v>
      </c>
      <c r="X14" s="2049"/>
      <c r="Y14" s="1962"/>
      <c r="Z14" s="1962"/>
      <c r="AA14" s="1962"/>
      <c r="AB14" s="1962"/>
      <c r="AC14" s="1962"/>
    </row>
    <row r="15" spans="1:29" ht="15" customHeight="1">
      <c r="A15" s="1795" t="s">
        <v>55</v>
      </c>
      <c r="B15" s="1587">
        <f>B14/B$8</f>
        <v>0.31620414236623434</v>
      </c>
      <c r="C15" s="1587">
        <f t="shared" ref="C15:K15" si="2">C14/C$8</f>
        <v>0.31518758710072647</v>
      </c>
      <c r="D15" s="1587">
        <f t="shared" si="2"/>
        <v>0.3154467384891132</v>
      </c>
      <c r="E15" s="1587">
        <f t="shared" si="2"/>
        <v>0.31620391583440183</v>
      </c>
      <c r="F15" s="1587">
        <f t="shared" si="2"/>
        <v>0.31435054928251888</v>
      </c>
      <c r="G15" s="1587">
        <f t="shared" si="2"/>
        <v>0.31397793002145186</v>
      </c>
      <c r="H15" s="1587">
        <f t="shared" si="2"/>
        <v>0.31334365706387146</v>
      </c>
      <c r="I15" s="1587">
        <f t="shared" si="2"/>
        <v>0.30960101242571469</v>
      </c>
      <c r="J15" s="1587">
        <f t="shared" si="2"/>
        <v>0.30625664158654581</v>
      </c>
      <c r="K15" s="2190">
        <f t="shared" si="2"/>
        <v>0.30610548645515073</v>
      </c>
      <c r="L15" s="1781">
        <v>0.30609999999999998</v>
      </c>
      <c r="M15" s="1781">
        <v>0.307</v>
      </c>
      <c r="N15" s="1781">
        <v>0.30709999999999998</v>
      </c>
      <c r="O15" s="1781">
        <v>0.30769999999999997</v>
      </c>
      <c r="R15" s="1539"/>
      <c r="S15" s="1349"/>
      <c r="T15" s="1540"/>
      <c r="U15" s="1529"/>
    </row>
    <row r="16" spans="1:29" ht="15" hidden="1" customHeight="1" outlineLevel="1">
      <c r="A16" s="1795" t="s">
        <v>257</v>
      </c>
      <c r="B16" s="1288">
        <v>362.10300000000001</v>
      </c>
      <c r="C16" s="1288">
        <v>373.166</v>
      </c>
      <c r="D16" s="1288">
        <v>387.02800000000002</v>
      </c>
      <c r="E16" s="1288">
        <v>418.35700000000003</v>
      </c>
      <c r="F16" s="1288">
        <v>440.26967100000002</v>
      </c>
      <c r="G16" s="1288">
        <v>478.56713000000002</v>
      </c>
      <c r="H16" s="1288">
        <v>509.06599999999997</v>
      </c>
      <c r="I16" s="1288">
        <v>542.15546300000005</v>
      </c>
      <c r="J16" s="1312">
        <f t="shared" ref="J16:O16" si="3">J8*J17</f>
        <v>592.68174740752011</v>
      </c>
      <c r="K16" s="1312">
        <f t="shared" si="3"/>
        <v>641.63867422465864</v>
      </c>
      <c r="L16" s="1312">
        <f t="shared" si="3"/>
        <v>708.34339125075667</v>
      </c>
      <c r="M16" s="1312">
        <f t="shared" si="3"/>
        <v>778.9412732205526</v>
      </c>
      <c r="N16" s="1312">
        <f t="shared" si="3"/>
        <v>853.59782570329605</v>
      </c>
      <c r="O16" s="1312">
        <f t="shared" si="3"/>
        <v>932.4862489448218</v>
      </c>
      <c r="R16" s="1539">
        <f>((I16/D16)^(1/5)-1)*100</f>
        <v>6.9735209526258668</v>
      </c>
      <c r="S16" s="1349" t="s">
        <v>102</v>
      </c>
      <c r="T16" s="1540">
        <f>((N16/I16)^(1/5)-1)*100</f>
        <v>9.5029684542630832</v>
      </c>
      <c r="U16" s="1529" t="s">
        <v>102</v>
      </c>
    </row>
    <row r="17" spans="1:21" ht="15" hidden="1" customHeight="1" outlineLevel="1">
      <c r="A17" s="1795" t="s">
        <v>55</v>
      </c>
      <c r="B17" s="1587">
        <f t="shared" ref="B17:I17" si="4">B16/B8</f>
        <v>0.10278508075984825</v>
      </c>
      <c r="C17" s="1587">
        <f t="shared" si="4"/>
        <v>0.10169113707699091</v>
      </c>
      <c r="D17" s="1587">
        <f t="shared" si="4"/>
        <v>0.10041892679393088</v>
      </c>
      <c r="E17" s="1587">
        <f t="shared" si="4"/>
        <v>0.10261307176883522</v>
      </c>
      <c r="F17" s="1587">
        <f t="shared" si="4"/>
        <v>9.9439722796348204E-2</v>
      </c>
      <c r="G17" s="1587">
        <f t="shared" si="4"/>
        <v>9.9401128340531039E-2</v>
      </c>
      <c r="H17" s="1587">
        <f t="shared" si="4"/>
        <v>9.9837769948687288E-2</v>
      </c>
      <c r="I17" s="1587">
        <f t="shared" si="4"/>
        <v>9.7404197204546586E-2</v>
      </c>
      <c r="J17" s="1781">
        <f t="shared" ref="J17:O17" si="5">I17</f>
        <v>9.7404197204546586E-2</v>
      </c>
      <c r="K17" s="1781">
        <f t="shared" si="5"/>
        <v>9.7404197204546586E-2</v>
      </c>
      <c r="L17" s="1781">
        <f t="shared" si="5"/>
        <v>9.7404197204546586E-2</v>
      </c>
      <c r="M17" s="1781">
        <f t="shared" si="5"/>
        <v>9.7404197204546586E-2</v>
      </c>
      <c r="N17" s="1781">
        <f t="shared" si="5"/>
        <v>9.7404197204546586E-2</v>
      </c>
      <c r="O17" s="1781">
        <f t="shared" si="5"/>
        <v>9.7404197204546586E-2</v>
      </c>
      <c r="R17" s="1539"/>
      <c r="S17" s="1349"/>
      <c r="T17" s="1540"/>
      <c r="U17" s="1529"/>
    </row>
    <row r="18" spans="1:21" ht="15" customHeight="1" collapsed="1">
      <c r="A18" s="1795" t="s">
        <v>616</v>
      </c>
      <c r="B18" s="1587"/>
      <c r="C18" s="1587">
        <f t="shared" ref="C18:O18" si="6">C14/B14-1</f>
        <v>3.828952565621746E-2</v>
      </c>
      <c r="D18" s="1587">
        <f t="shared" si="6"/>
        <v>5.1150211868619788E-2</v>
      </c>
      <c r="E18" s="1587">
        <f t="shared" si="6"/>
        <v>6.0373202489114153E-2</v>
      </c>
      <c r="F18" s="1587">
        <f t="shared" si="6"/>
        <v>7.9596560739587874E-2</v>
      </c>
      <c r="G18" s="1587">
        <f t="shared" si="6"/>
        <v>8.6119437730459047E-2</v>
      </c>
      <c r="H18" s="1587">
        <f t="shared" si="6"/>
        <v>5.6937858549080067E-2</v>
      </c>
      <c r="I18" s="1587">
        <f t="shared" si="6"/>
        <v>7.8570185727393715E-2</v>
      </c>
      <c r="J18" s="1587">
        <f t="shared" si="6"/>
        <v>8.1386286733621471E-2</v>
      </c>
      <c r="K18" s="1587">
        <f t="shared" si="6"/>
        <v>8.2068060513709185E-2</v>
      </c>
      <c r="L18" s="1587">
        <f t="shared" si="6"/>
        <v>0.10394015163646286</v>
      </c>
      <c r="M18" s="1587">
        <f t="shared" si="6"/>
        <v>0.1028994385567954</v>
      </c>
      <c r="N18" s="1587">
        <f t="shared" si="6"/>
        <v>9.6200573718850935E-2</v>
      </c>
      <c r="O18" s="1587">
        <f t="shared" si="6"/>
        <v>9.4553050708439557E-2</v>
      </c>
      <c r="R18" s="1539"/>
      <c r="S18" s="1349"/>
      <c r="T18" s="1540"/>
      <c r="U18" s="1529"/>
    </row>
    <row r="19" spans="1:21" ht="15" customHeight="1">
      <c r="A19" s="1795"/>
      <c r="B19" s="1587"/>
      <c r="C19" s="1587"/>
      <c r="D19" s="1587"/>
      <c r="E19" s="1587"/>
      <c r="F19" s="1587"/>
      <c r="G19" s="1587"/>
      <c r="H19" s="1587"/>
      <c r="I19" s="1587"/>
      <c r="J19" s="1587"/>
      <c r="K19" s="1587"/>
      <c r="L19" s="1587"/>
      <c r="M19" s="1587"/>
      <c r="N19" s="1587"/>
      <c r="O19" s="1587"/>
      <c r="R19" s="1539"/>
      <c r="S19" s="1349"/>
      <c r="T19" s="1540"/>
      <c r="U19" s="1529"/>
    </row>
    <row r="20" spans="1:21" ht="15" hidden="1" customHeight="1" outlineLevel="1">
      <c r="A20" s="1282" t="s">
        <v>892</v>
      </c>
      <c r="B20" s="1797">
        <f>'qtrP&amp;L_new'!$AI$45</f>
        <v>0</v>
      </c>
      <c r="C20" s="1797">
        <f>'qtrP&amp;L_new'!$AM$45</f>
        <v>0</v>
      </c>
      <c r="D20" s="1797">
        <f>'qtrP&amp;L_new'!$AQ$45</f>
        <v>0</v>
      </c>
      <c r="E20" s="1797">
        <f>'qtrP&amp;L_new'!$AU$45</f>
        <v>4.9850000000000003</v>
      </c>
      <c r="F20" s="1797">
        <f>'qtrP&amp;L_new'!$AY$45</f>
        <v>23.026</v>
      </c>
      <c r="G20" s="1797">
        <f>'qtrP&amp;L_new'!$BC$45</f>
        <v>2.4119999999999999</v>
      </c>
      <c r="H20" s="1797">
        <f>'qtrP&amp;L_new'!$BG$45</f>
        <v>0.247</v>
      </c>
      <c r="I20" s="1779">
        <f>'qtrP&amp;L_new'!$BK$45</f>
        <v>1.3460000000000001</v>
      </c>
      <c r="J20" s="1797">
        <f>'qtrP&amp;L_new'!$BO$45</f>
        <v>2.262</v>
      </c>
      <c r="K20" s="1797">
        <f>'qtrP&amp;L_new'!$BS$45</f>
        <v>0</v>
      </c>
      <c r="L20" s="1797">
        <v>0</v>
      </c>
      <c r="M20" s="1797">
        <v>0</v>
      </c>
      <c r="N20" s="1797">
        <v>0</v>
      </c>
      <c r="O20" s="1797">
        <v>0</v>
      </c>
      <c r="R20" s="1539"/>
      <c r="S20" s="1349"/>
      <c r="T20" s="1540">
        <f>((K20/F20)^(1/5)-1)*100</f>
        <v>-100</v>
      </c>
      <c r="U20" s="1529" t="s">
        <v>102</v>
      </c>
    </row>
    <row r="21" spans="1:21" ht="15" hidden="1" customHeight="1" outlineLevel="1">
      <c r="A21" s="1795" t="s">
        <v>55</v>
      </c>
      <c r="B21" s="1587">
        <f t="shared" ref="B21:I21" si="7">B20/B$8</f>
        <v>0</v>
      </c>
      <c r="C21" s="1587">
        <f t="shared" si="7"/>
        <v>0</v>
      </c>
      <c r="D21" s="1587">
        <f t="shared" si="7"/>
        <v>0</v>
      </c>
      <c r="E21" s="1587">
        <f t="shared" si="7"/>
        <v>1.2227025310145249E-3</v>
      </c>
      <c r="F21" s="1587">
        <f t="shared" si="7"/>
        <v>5.2006740593964589E-3</v>
      </c>
      <c r="G21" s="1587">
        <f t="shared" si="7"/>
        <v>5.0098618673907009E-4</v>
      </c>
      <c r="H21" s="1587">
        <f t="shared" si="7"/>
        <v>4.8441516772531972E-5</v>
      </c>
      <c r="I21" s="1797">
        <f t="shared" si="7"/>
        <v>2.4182371733717954E-4</v>
      </c>
      <c r="J21" s="1797">
        <f>J20/J$8</f>
        <v>3.7174806722230572E-4</v>
      </c>
      <c r="K21" s="1797">
        <f>K20/K$8</f>
        <v>0</v>
      </c>
      <c r="L21" s="1797"/>
      <c r="M21" s="1797"/>
      <c r="N21" s="1797"/>
      <c r="O21" s="1797"/>
      <c r="R21" s="1539"/>
      <c r="S21" s="1349"/>
      <c r="T21" s="1540"/>
      <c r="U21" s="1529"/>
    </row>
    <row r="22" spans="1:21" ht="15" hidden="1" customHeight="1" outlineLevel="1">
      <c r="A22" s="1282" t="s">
        <v>868</v>
      </c>
      <c r="B22" s="1797">
        <f>'qtrP&amp;L_new'!$AI$55</f>
        <v>0</v>
      </c>
      <c r="C22" s="1797">
        <f>'qtrP&amp;L_new'!$AM$55</f>
        <v>0</v>
      </c>
      <c r="D22" s="1797">
        <f>'qtrP&amp;L_new'!$AQ$55</f>
        <v>0</v>
      </c>
      <c r="E22" s="1797">
        <f>'qtrP&amp;L_new'!$AU$55</f>
        <v>0</v>
      </c>
      <c r="F22" s="1797">
        <f>'qtrP&amp;L_new'!$AY$55</f>
        <v>10.417</v>
      </c>
      <c r="G22" s="1797">
        <f>'qtrP&amp;L_new'!$BC$55</f>
        <v>2.94</v>
      </c>
      <c r="H22" s="1797">
        <f>'qtrP&amp;L_new'!$BG$55</f>
        <v>1.367</v>
      </c>
      <c r="I22" s="1779">
        <f>'qtrP&amp;L_new'!BK55</f>
        <v>0.60099999999999998</v>
      </c>
      <c r="J22" s="1797">
        <f>'qtrP&amp;L_new'!$BO$55</f>
        <v>0.14100000000000001</v>
      </c>
      <c r="K22" s="1797">
        <f>'qtrP&amp;L_new'!$BS$55</f>
        <v>0</v>
      </c>
      <c r="L22" s="1797">
        <v>0</v>
      </c>
      <c r="M22" s="1797">
        <v>0</v>
      </c>
      <c r="N22" s="1797">
        <v>0</v>
      </c>
      <c r="O22" s="1797">
        <v>0</v>
      </c>
      <c r="R22" s="1539"/>
      <c r="S22" s="1349"/>
      <c r="T22" s="1540"/>
      <c r="U22" s="1529"/>
    </row>
    <row r="23" spans="1:21" ht="15" hidden="1" customHeight="1" outlineLevel="1">
      <c r="A23" s="1795" t="s">
        <v>55</v>
      </c>
      <c r="B23" s="1587">
        <f t="shared" ref="B23:H23" si="8">B22/B$8</f>
        <v>0</v>
      </c>
      <c r="C23" s="1587">
        <f t="shared" si="8"/>
        <v>0</v>
      </c>
      <c r="D23" s="1587">
        <f t="shared" si="8"/>
        <v>0</v>
      </c>
      <c r="E23" s="1587">
        <f t="shared" si="8"/>
        <v>0</v>
      </c>
      <c r="F23" s="1587">
        <f t="shared" si="8"/>
        <v>2.3527934368423918E-3</v>
      </c>
      <c r="G23" s="1587">
        <f t="shared" si="8"/>
        <v>6.1065480473170236E-4</v>
      </c>
      <c r="H23" s="1587">
        <f t="shared" si="8"/>
        <v>2.6809535800830452E-4</v>
      </c>
      <c r="I23" s="1797">
        <f>I22/I$8</f>
        <v>1.0797626606214332E-4</v>
      </c>
      <c r="J23" s="1797">
        <f>J22/J$8</f>
        <v>2.3172624879905E-5</v>
      </c>
      <c r="K23" s="1797">
        <f>K22/K$8</f>
        <v>0</v>
      </c>
      <c r="L23" s="1797"/>
      <c r="M23" s="1797"/>
      <c r="N23" s="1797"/>
      <c r="O23" s="1797"/>
      <c r="R23" s="1539"/>
      <c r="S23" s="1349"/>
      <c r="T23" s="1540">
        <f>((K23/F23)^(1/5)-1)*100</f>
        <v>-100</v>
      </c>
      <c r="U23" s="1529" t="s">
        <v>102</v>
      </c>
    </row>
    <row r="24" spans="1:21" ht="15" hidden="1" customHeight="1" outlineLevel="1">
      <c r="A24" s="1282" t="s">
        <v>893</v>
      </c>
      <c r="B24" s="1797">
        <f>'qtrP&amp;L_new'!$AI$65</f>
        <v>7.452</v>
      </c>
      <c r="C24" s="1797">
        <f>'qtrP&amp;L_new'!$AM$65</f>
        <v>2.2000000000000002</v>
      </c>
      <c r="D24" s="1797">
        <f>'qtrP&amp;L_new'!$AQ$65</f>
        <v>7.4379999999999997</v>
      </c>
      <c r="E24" s="1797">
        <f>'qtrP&amp;L_new'!$AU$65</f>
        <v>2.9989999999999997</v>
      </c>
      <c r="F24" s="1797">
        <f>'qtrP&amp;L_new'!$AY$65</f>
        <v>2.1720000000000002</v>
      </c>
      <c r="G24" s="1797">
        <f>'qtrP&amp;L_new'!$BC$65</f>
        <v>0</v>
      </c>
      <c r="H24" s="1797">
        <f>'qtrP&amp;L_new'!$BG$65</f>
        <v>0</v>
      </c>
      <c r="I24" s="1797">
        <f>'qtrP&amp;L_new'!BK65</f>
        <v>0</v>
      </c>
      <c r="J24" s="1797">
        <f>'qtrP&amp;L_new'!BO65</f>
        <v>0</v>
      </c>
      <c r="K24" s="1797">
        <f>'qtrP&amp;L_new'!BS65</f>
        <v>0</v>
      </c>
      <c r="L24" s="1797">
        <v>0</v>
      </c>
      <c r="M24" s="1797">
        <v>0</v>
      </c>
      <c r="N24" s="1797">
        <v>0</v>
      </c>
      <c r="O24" s="1797">
        <v>0</v>
      </c>
      <c r="R24" s="1539"/>
      <c r="S24" s="1349"/>
      <c r="T24" s="1540"/>
      <c r="U24" s="1529"/>
    </row>
    <row r="25" spans="1:21" ht="15" hidden="1" customHeight="1" outlineLevel="1">
      <c r="A25" s="1795" t="s">
        <v>55</v>
      </c>
      <c r="B25" s="1587">
        <f t="shared" ref="B25:K25" si="9">B24/B$8</f>
        <v>2.1152943273664926E-3</v>
      </c>
      <c r="C25" s="1587">
        <f t="shared" si="9"/>
        <v>5.9952005694350512E-4</v>
      </c>
      <c r="D25" s="1587">
        <f t="shared" si="9"/>
        <v>1.9298758164609741E-3</v>
      </c>
      <c r="E25" s="1587">
        <f t="shared" si="9"/>
        <v>7.3558372929038301E-4</v>
      </c>
      <c r="F25" s="1587">
        <f t="shared" si="9"/>
        <v>4.9056996686394118E-4</v>
      </c>
      <c r="G25" s="1587">
        <f t="shared" si="9"/>
        <v>0</v>
      </c>
      <c r="H25" s="1587">
        <f t="shared" si="9"/>
        <v>0</v>
      </c>
      <c r="I25" s="1587">
        <f t="shared" si="9"/>
        <v>0</v>
      </c>
      <c r="J25" s="1587">
        <f t="shared" si="9"/>
        <v>0</v>
      </c>
      <c r="K25" s="1587">
        <f t="shared" si="9"/>
        <v>0</v>
      </c>
      <c r="L25" s="1797"/>
      <c r="M25" s="1797"/>
      <c r="N25" s="1797"/>
      <c r="O25" s="1797"/>
      <c r="R25" s="1539"/>
      <c r="S25" s="1349"/>
      <c r="T25" s="1540"/>
      <c r="U25" s="1529"/>
    </row>
    <row r="26" spans="1:21" ht="15" hidden="1" customHeight="1" outlineLevel="1">
      <c r="A26" s="1282" t="s">
        <v>869</v>
      </c>
      <c r="B26" s="1797">
        <f>'qtrP&amp;L_new'!$AI$87</f>
        <v>71.390999999999991</v>
      </c>
      <c r="C26" s="1797">
        <f>'qtrP&amp;L_new'!$AM$87</f>
        <v>2.08</v>
      </c>
      <c r="D26" s="1797">
        <f>'qtrP&amp;L_new'!$AQ$87</f>
        <v>1.7350000000000001</v>
      </c>
      <c r="E26" s="1797">
        <f>'qtrP&amp;L_new'!$AU$87</f>
        <v>11.539</v>
      </c>
      <c r="F26" s="1797">
        <f>'qtrP&amp;L_new'!$AY$87</f>
        <v>3.181</v>
      </c>
      <c r="G26" s="1797">
        <f>'qtrP&amp;L_new'!$BC$87</f>
        <v>2.58</v>
      </c>
      <c r="H26" s="1797">
        <f>'qtrP&amp;L_new'!$BG$87</f>
        <v>6.1099999999999994</v>
      </c>
      <c r="I26" s="1779">
        <f>'qtrP&amp;L_new'!BK87</f>
        <v>2.4500000000000002</v>
      </c>
      <c r="J26" s="1797">
        <f>'qtrP&amp;L_new'!BO87</f>
        <v>2.1280000000000001</v>
      </c>
      <c r="K26" s="1797">
        <f>'qtrP&amp;L_new'!BS87</f>
        <v>0</v>
      </c>
      <c r="L26" s="1797">
        <v>0</v>
      </c>
      <c r="M26" s="1797">
        <v>0</v>
      </c>
      <c r="N26" s="1797">
        <v>0</v>
      </c>
      <c r="O26" s="1797">
        <v>0</v>
      </c>
      <c r="R26" s="1539"/>
      <c r="S26" s="1349"/>
      <c r="T26" s="1540">
        <f>((K26/F26)^(1/5)-1)*100</f>
        <v>-100</v>
      </c>
      <c r="U26" s="1529" t="s">
        <v>102</v>
      </c>
    </row>
    <row r="27" spans="1:21" ht="15" hidden="1" customHeight="1" outlineLevel="1">
      <c r="A27" s="1795" t="s">
        <v>55</v>
      </c>
      <c r="B27" s="1587">
        <f t="shared" ref="B27:K27" si="10">B26/B$8</f>
        <v>2.0264758095145097E-2</v>
      </c>
      <c r="C27" s="1587">
        <f t="shared" si="10"/>
        <v>5.6681896292840484E-4</v>
      </c>
      <c r="D27" s="1587">
        <f t="shared" si="10"/>
        <v>4.5016597762298873E-4</v>
      </c>
      <c r="E27" s="1587">
        <f t="shared" si="10"/>
        <v>2.8302436319712337E-3</v>
      </c>
      <c r="F27" s="1587">
        <f t="shared" si="10"/>
        <v>7.1846365773213484E-4</v>
      </c>
      <c r="G27" s="1587">
        <f t="shared" si="10"/>
        <v>5.3588074700945318E-4</v>
      </c>
      <c r="H27" s="1587">
        <f t="shared" si="10"/>
        <v>1.1982901517415803E-3</v>
      </c>
      <c r="I27" s="1797">
        <f t="shared" si="10"/>
        <v>4.4016947063602518E-4</v>
      </c>
      <c r="J27" s="1797">
        <f t="shared" si="10"/>
        <v>3.4972585634353076E-4</v>
      </c>
      <c r="K27" s="1797">
        <f t="shared" si="10"/>
        <v>0</v>
      </c>
      <c r="L27" s="1797"/>
      <c r="M27" s="1797"/>
      <c r="N27" s="1797"/>
      <c r="O27" s="1797"/>
      <c r="R27" s="1539"/>
      <c r="S27" s="1349"/>
      <c r="T27" s="1540"/>
      <c r="U27" s="1529"/>
    </row>
    <row r="28" spans="1:21" ht="15" hidden="1" customHeight="1" outlineLevel="1">
      <c r="A28" s="1282" t="s">
        <v>867</v>
      </c>
      <c r="B28" s="1797">
        <f>'qtrP&amp;L_new'!$AI$107</f>
        <v>0</v>
      </c>
      <c r="C28" s="1797">
        <f>'qtrP&amp;L_new'!$AM$107</f>
        <v>0</v>
      </c>
      <c r="D28" s="1797">
        <f>'qtrP&amp;L_new'!$AQ$107</f>
        <v>37.764000000000003</v>
      </c>
      <c r="E28" s="1797">
        <f>'qtrP&amp;L_new'!$AU$107</f>
        <v>2.2219999999999995</v>
      </c>
      <c r="F28" s="1797">
        <f>'qtrP&amp;L_new'!$AY$107</f>
        <v>16.093</v>
      </c>
      <c r="G28" s="1797">
        <f>'qtrP&amp;L_new'!$BC$107</f>
        <v>74.347000000000008</v>
      </c>
      <c r="H28" s="1797">
        <f>'qtrP&amp;L_new'!$BG$107</f>
        <v>0.64900000000000002</v>
      </c>
      <c r="I28" s="1779">
        <f>'qtrP&amp;L_new'!BK107</f>
        <v>3.8050000000000002</v>
      </c>
      <c r="J28" s="1797">
        <f>'qtrP&amp;L_new'!BO107</f>
        <v>2.8809999999999998</v>
      </c>
      <c r="K28" s="1797">
        <f>'qtrP&amp;L_new'!BS107</f>
        <v>0</v>
      </c>
      <c r="L28" s="1797">
        <v>0</v>
      </c>
      <c r="M28" s="1797">
        <v>0</v>
      </c>
      <c r="N28" s="1797">
        <v>0</v>
      </c>
      <c r="O28" s="1797">
        <v>0</v>
      </c>
      <c r="R28" s="1539"/>
      <c r="S28" s="1349"/>
      <c r="T28" s="1540"/>
      <c r="U28" s="1529"/>
    </row>
    <row r="29" spans="1:21" ht="15" hidden="1" customHeight="1" outlineLevel="1">
      <c r="A29" s="1795" t="s">
        <v>55</v>
      </c>
      <c r="B29" s="1587">
        <f t="shared" ref="B29:K29" si="11">B28/B$8</f>
        <v>0</v>
      </c>
      <c r="C29" s="1587">
        <f t="shared" si="11"/>
        <v>0</v>
      </c>
      <c r="D29" s="1587">
        <f t="shared" si="11"/>
        <v>9.7983100743253872E-3</v>
      </c>
      <c r="E29" s="1587">
        <f t="shared" si="11"/>
        <v>5.4500401683335478E-4</v>
      </c>
      <c r="F29" s="1587">
        <f t="shared" si="11"/>
        <v>3.6347801458293761E-3</v>
      </c>
      <c r="G29" s="1587">
        <f t="shared" si="11"/>
        <v>1.5442296859655742E-2</v>
      </c>
      <c r="H29" s="1587">
        <f t="shared" si="11"/>
        <v>1.2728155621608605E-4</v>
      </c>
      <c r="I29" s="1797">
        <f t="shared" si="11"/>
        <v>6.8361013704901056E-4</v>
      </c>
      <c r="J29" s="1797">
        <f t="shared" si="11"/>
        <v>4.7347753389366163E-4</v>
      </c>
      <c r="K29" s="1797">
        <f t="shared" si="11"/>
        <v>0</v>
      </c>
      <c r="L29" s="1797"/>
      <c r="M29" s="1797"/>
      <c r="N29" s="1797"/>
      <c r="O29" s="1797"/>
      <c r="R29" s="1539"/>
      <c r="S29" s="1349"/>
      <c r="T29" s="1540">
        <f>((K29/F29)^(1/5)-1)*100</f>
        <v>-100</v>
      </c>
      <c r="U29" s="1529" t="s">
        <v>102</v>
      </c>
    </row>
    <row r="30" spans="1:21" ht="15" customHeight="1" collapsed="1">
      <c r="A30" s="1282" t="s">
        <v>922</v>
      </c>
      <c r="B30" s="1797">
        <f>SUM(B20:B28)</f>
        <v>78.865380052422509</v>
      </c>
      <c r="C30" s="1797">
        <f t="shared" ref="C30:G30" si="12">SUM(C20:C28)</f>
        <v>4.2811663390198724</v>
      </c>
      <c r="D30" s="1797">
        <f t="shared" si="12"/>
        <v>46.939380041794088</v>
      </c>
      <c r="E30" s="1797">
        <f t="shared" si="12"/>
        <v>21.749788529892278</v>
      </c>
      <c r="F30" s="1797">
        <f t="shared" si="12"/>
        <v>54.897762501120823</v>
      </c>
      <c r="G30" s="1797">
        <f t="shared" si="12"/>
        <v>82.280647521738487</v>
      </c>
      <c r="H30" s="1797">
        <f>SUM(H20,H22,H24,H26,H28)</f>
        <v>8.3729999999999993</v>
      </c>
      <c r="I30" s="1797">
        <f>SUM(I20,I22,I24,I26,I28)</f>
        <v>8.202</v>
      </c>
      <c r="J30" s="1797">
        <f>SUM(J20,J22,J24,J26,J28)</f>
        <v>7.4120000000000008</v>
      </c>
      <c r="K30" s="1797">
        <f t="shared" ref="K30:O30" si="13">SUM(K20,K22,K24,K26,K28)</f>
        <v>0</v>
      </c>
      <c r="L30" s="1797">
        <f t="shared" si="13"/>
        <v>0</v>
      </c>
      <c r="M30" s="1797">
        <f t="shared" si="13"/>
        <v>0</v>
      </c>
      <c r="N30" s="1797">
        <f t="shared" si="13"/>
        <v>0</v>
      </c>
      <c r="O30" s="1797">
        <f t="shared" si="13"/>
        <v>0</v>
      </c>
      <c r="R30" s="1539">
        <f>((J30/E30)^(1/5)-1)*100</f>
        <v>-19.370108686666189</v>
      </c>
      <c r="S30" s="1349" t="s">
        <v>102</v>
      </c>
      <c r="T30" s="1798" t="s">
        <v>585</v>
      </c>
      <c r="U30" s="1529"/>
    </row>
    <row r="31" spans="1:21" ht="15" customHeight="1">
      <c r="A31" s="1795" t="s">
        <v>56</v>
      </c>
      <c r="B31" s="1587">
        <f t="shared" ref="B31:K31" si="14">B30/B$8</f>
        <v>2.2386405132916249E-2</v>
      </c>
      <c r="C31" s="1587">
        <f t="shared" si="14"/>
        <v>1.1666568578880959E-3</v>
      </c>
      <c r="D31" s="1587">
        <f t="shared" si="14"/>
        <v>1.2178969398000715E-2</v>
      </c>
      <c r="E31" s="1587">
        <f t="shared" si="14"/>
        <v>5.334708422172511E-3</v>
      </c>
      <c r="F31" s="1587">
        <f t="shared" si="14"/>
        <v>1.2399260373425118E-2</v>
      </c>
      <c r="G31" s="1587">
        <f t="shared" si="14"/>
        <v>1.709016079781811E-2</v>
      </c>
      <c r="H31" s="1587">
        <f t="shared" si="14"/>
        <v>1.6421085827385028E-3</v>
      </c>
      <c r="I31" s="1587">
        <f>I30/I$8</f>
        <v>1.4735795910843586E-3</v>
      </c>
      <c r="J31" s="1587">
        <f t="shared" si="14"/>
        <v>1.2181240823394032E-3</v>
      </c>
      <c r="K31" s="1797">
        <f t="shared" si="14"/>
        <v>0</v>
      </c>
      <c r="L31" s="1797"/>
      <c r="M31" s="1797"/>
      <c r="N31" s="1797"/>
      <c r="O31" s="1797"/>
      <c r="R31" s="1539"/>
      <c r="S31" s="1349"/>
      <c r="T31" s="1540"/>
      <c r="U31" s="1529"/>
    </row>
    <row r="32" spans="1:21" ht="15" customHeight="1">
      <c r="A32" s="1795"/>
      <c r="B32" s="1587"/>
      <c r="C32" s="1587"/>
      <c r="D32" s="1587"/>
      <c r="E32" s="1587"/>
      <c r="F32" s="1587"/>
      <c r="G32" s="1587"/>
      <c r="H32" s="1587"/>
      <c r="I32" s="1797"/>
      <c r="J32" s="1797"/>
      <c r="K32" s="1797"/>
      <c r="L32" s="1797"/>
      <c r="M32" s="1797"/>
      <c r="N32" s="1797"/>
      <c r="O32" s="1797"/>
      <c r="R32" s="1539"/>
      <c r="S32" s="1349"/>
      <c r="T32" s="1540"/>
      <c r="U32" s="1529"/>
    </row>
    <row r="33" spans="1:21" ht="15.75" customHeight="1">
      <c r="A33" s="1282" t="s">
        <v>879</v>
      </c>
      <c r="B33" s="1797">
        <f>'qtrP&amp;L_new'!$AI$76</f>
        <v>156.38800000000001</v>
      </c>
      <c r="C33" s="1797">
        <f>'qtrP&amp;L_new'!$AM$76</f>
        <v>146.75899999999999</v>
      </c>
      <c r="D33" s="1797">
        <f>'qtrP&amp;L_new'!$AQ$76</f>
        <v>153.07</v>
      </c>
      <c r="E33" s="1797">
        <f>'qtrP&amp;L_new'!$AU$76</f>
        <v>166.79874882999997</v>
      </c>
      <c r="F33" s="1797">
        <f>'qtrP&amp;L_new'!$AY$76</f>
        <v>168.19400000000002</v>
      </c>
      <c r="G33" s="1797">
        <f>'qtrP&amp;L_new'!$BC$76</f>
        <v>167.58</v>
      </c>
      <c r="H33" s="1797">
        <f>'qtrP&amp;L_new'!$BG$76</f>
        <v>172.09900000000002</v>
      </c>
      <c r="I33" s="1779">
        <f>'qtrP&amp;L_new'!BK76</f>
        <v>183.58600000000001</v>
      </c>
      <c r="J33" s="1797">
        <f>INDEX('qtrP&amp;L_new'!76:76,MATCH('yrP&amp;L_new'!J$5,'qtrP&amp;L_new'!$7:$7,0))</f>
        <v>201.10300000000001</v>
      </c>
      <c r="K33" s="1797">
        <f>INDEX('qtrP&amp;L_new'!76:76,MATCH('yrP&amp;L_new'!K$5,'qtrP&amp;L_new'!$7:$7,0))</f>
        <v>225.71548000000001</v>
      </c>
      <c r="L33" s="1797">
        <f>L8*L35</f>
        <v>249.18084738921414</v>
      </c>
      <c r="M33" s="1797">
        <f>M8*M35</f>
        <v>274.01575129373856</v>
      </c>
      <c r="N33" s="1797">
        <f>N8*N35</f>
        <v>300.27841321814662</v>
      </c>
      <c r="O33" s="1797">
        <f>O8*O35</f>
        <v>328.0297614982685</v>
      </c>
      <c r="R33" s="1539">
        <f>((J33/E33)^(1/5)-1)*100</f>
        <v>3.8114248986960586</v>
      </c>
      <c r="S33" s="1349" t="s">
        <v>102</v>
      </c>
      <c r="T33" s="1540">
        <f>((O33/J33)^(1/5)-1)*100</f>
        <v>10.280554160309885</v>
      </c>
      <c r="U33" s="1529" t="s">
        <v>102</v>
      </c>
    </row>
    <row r="34" spans="1:21" ht="15" customHeight="1">
      <c r="A34" s="1795" t="s">
        <v>895</v>
      </c>
      <c r="B34" s="1797"/>
      <c r="C34" s="1587">
        <f t="shared" ref="C34:O34" si="15">C33/B33-1</f>
        <v>-6.1571220298232698E-2</v>
      </c>
      <c r="D34" s="1587">
        <f t="shared" si="15"/>
        <v>4.3002473442855349E-2</v>
      </c>
      <c r="E34" s="1587">
        <f>E33/D33-1</f>
        <v>8.9689350166590298E-2</v>
      </c>
      <c r="F34" s="1587">
        <f>F33/E33-1</f>
        <v>8.3648779129756878E-3</v>
      </c>
      <c r="G34" s="1587">
        <f>G33/F33-1</f>
        <v>-3.6505463928558912E-3</v>
      </c>
      <c r="H34" s="1587">
        <f>H33/G33-1</f>
        <v>2.6966225086525908E-2</v>
      </c>
      <c r="I34" s="1587">
        <f>I33/H33-1</f>
        <v>6.6746465697069768E-2</v>
      </c>
      <c r="J34" s="1587">
        <f t="shared" si="15"/>
        <v>9.5415772444521929E-2</v>
      </c>
      <c r="K34" s="1587">
        <f t="shared" si="15"/>
        <v>0.1223874333053212</v>
      </c>
      <c r="L34" s="1587">
        <f t="shared" si="15"/>
        <v>0.1039599383667178</v>
      </c>
      <c r="M34" s="1587">
        <f t="shared" si="15"/>
        <v>9.9666182873729969E-2</v>
      </c>
      <c r="N34" s="1587">
        <f t="shared" si="15"/>
        <v>9.5843621399176682E-2</v>
      </c>
      <c r="O34" s="1587">
        <f t="shared" si="15"/>
        <v>9.2418725617685382E-2</v>
      </c>
      <c r="R34" s="1692"/>
      <c r="S34" s="1745"/>
      <c r="T34" s="1745"/>
      <c r="U34" s="1746"/>
    </row>
    <row r="35" spans="1:21" ht="15" customHeight="1">
      <c r="A35" s="1795" t="s">
        <v>56</v>
      </c>
      <c r="B35" s="1587">
        <f t="shared" ref="B35:K35" si="16">B33/B$8</f>
        <v>4.4391659858855487E-2</v>
      </c>
      <c r="C35" s="1587">
        <f t="shared" si="16"/>
        <v>3.9993165471350844E-2</v>
      </c>
      <c r="D35" s="1587">
        <f t="shared" si="16"/>
        <v>3.9715796077666211E-2</v>
      </c>
      <c r="E35" s="1587">
        <f t="shared" si="16"/>
        <v>4.0911785830390561E-2</v>
      </c>
      <c r="F35" s="1587">
        <f t="shared" si="16"/>
        <v>3.7988455343790854E-2</v>
      </c>
      <c r="G35" s="1587">
        <f t="shared" si="16"/>
        <v>3.4807323869707037E-2</v>
      </c>
      <c r="H35" s="1587">
        <f t="shared" si="16"/>
        <v>3.3751970020388586E-2</v>
      </c>
      <c r="I35" s="1587">
        <f t="shared" si="16"/>
        <v>3.2983245892320538E-2</v>
      </c>
      <c r="J35" s="1587">
        <f t="shared" si="16"/>
        <v>3.3050243838464784E-2</v>
      </c>
      <c r="K35" s="1587">
        <f t="shared" si="16"/>
        <v>3.4264822257800823E-2</v>
      </c>
      <c r="L35" s="1799">
        <f>K35</f>
        <v>3.4264822257800823E-2</v>
      </c>
      <c r="M35" s="1799">
        <f>L35</f>
        <v>3.4264822257800823E-2</v>
      </c>
      <c r="N35" s="1799">
        <f>M35</f>
        <v>3.4264822257800823E-2</v>
      </c>
      <c r="O35" s="1799">
        <f>N35</f>
        <v>3.4264822257800823E-2</v>
      </c>
      <c r="R35" s="1539"/>
      <c r="S35" s="1349"/>
      <c r="T35" s="1540"/>
      <c r="U35" s="1529"/>
    </row>
    <row r="36" spans="1:21" ht="15" customHeight="1">
      <c r="A36" s="1795"/>
      <c r="B36" s="1587"/>
      <c r="C36" s="1587"/>
      <c r="D36" s="1587"/>
      <c r="E36" s="1587"/>
      <c r="F36" s="1587"/>
      <c r="G36" s="1587"/>
      <c r="H36" s="1587"/>
      <c r="I36" s="1799"/>
      <c r="J36" s="1799"/>
      <c r="K36" s="1799"/>
      <c r="L36" s="1799"/>
      <c r="M36" s="1799"/>
      <c r="N36" s="1799"/>
      <c r="O36" s="1799"/>
      <c r="R36" s="1539"/>
      <c r="S36" s="1349"/>
      <c r="T36" s="1540"/>
      <c r="U36" s="1529"/>
    </row>
    <row r="37" spans="1:21" ht="15" customHeight="1">
      <c r="A37" s="1282" t="s">
        <v>880</v>
      </c>
      <c r="B37" s="1797">
        <f>'qtrP&amp;L_new'!$AI$97</f>
        <v>-47.475000000000001</v>
      </c>
      <c r="C37" s="1797">
        <f>'qtrP&amp;L_new'!$AM$97</f>
        <v>-42.832999999999998</v>
      </c>
      <c r="D37" s="1797">
        <f>'qtrP&amp;L_new'!$AQ$97</f>
        <v>-43.338999999999999</v>
      </c>
      <c r="E37" s="1797">
        <f>'qtrP&amp;L_new'!$AU$97</f>
        <v>-42.24</v>
      </c>
      <c r="F37" s="1797">
        <f>'qtrP&amp;L_new'!$AY$97</f>
        <v>-43.423000000000002</v>
      </c>
      <c r="G37" s="1797">
        <f>'qtrP&amp;L_new'!$BC$97</f>
        <v>-45.882999999999996</v>
      </c>
      <c r="H37" s="1797">
        <f>'qtrP&amp;L_new'!$BG$97</f>
        <v>-36.773000000000003</v>
      </c>
      <c r="I37" s="1797">
        <f>'qtrP&amp;L_new'!BK97</f>
        <v>-35.747</v>
      </c>
      <c r="J37" s="1797">
        <f>INDEX('qtrP&amp;L_new'!97:97,MATCH('yrP&amp;L_new'!J$5,'qtrP&amp;L_new'!$7:$7,0))</f>
        <v>-34.164000000000001</v>
      </c>
      <c r="K37" s="2191">
        <f>INDEX('qtrP&amp;L_new'!97:97,MATCH('yrP&amp;L_new'!K$5,'qtrP&amp;L_new'!$7:$7,0))</f>
        <v>-36.230602063530966</v>
      </c>
      <c r="L37" s="1944">
        <f>K37</f>
        <v>-36.230602063530966</v>
      </c>
      <c r="M37" s="1944">
        <f>L37</f>
        <v>-36.230602063530966</v>
      </c>
      <c r="N37" s="1944">
        <f>M37</f>
        <v>-36.230602063530966</v>
      </c>
      <c r="O37" s="1944">
        <f>N37</f>
        <v>-36.230602063530966</v>
      </c>
      <c r="R37" s="1539">
        <f>((J37/E37)^(1/5)-1)*100</f>
        <v>-4.1551105633595986</v>
      </c>
      <c r="S37" s="1349" t="s">
        <v>102</v>
      </c>
      <c r="T37" s="1540">
        <f>((O37/J37)^(1/5)-1)*100</f>
        <v>1.1815591983248552</v>
      </c>
      <c r="U37" s="1529" t="s">
        <v>102</v>
      </c>
    </row>
    <row r="38" spans="1:21" ht="15" customHeight="1">
      <c r="A38" s="1795" t="s">
        <v>56</v>
      </c>
      <c r="B38" s="1587">
        <f t="shared" ref="B38:N38" si="17">B37/B8</f>
        <v>-1.3476059875432669E-2</v>
      </c>
      <c r="C38" s="1587">
        <f t="shared" si="17"/>
        <v>-1.1672382999573251E-2</v>
      </c>
      <c r="D38" s="1587">
        <f t="shared" si="17"/>
        <v>-1.1244808820866113E-2</v>
      </c>
      <c r="E38" s="1587">
        <f t="shared" si="17"/>
        <v>-1.036047239920833E-2</v>
      </c>
      <c r="F38" s="1587">
        <f t="shared" si="17"/>
        <v>-9.8075597012582498E-3</v>
      </c>
      <c r="G38" s="1587">
        <f t="shared" si="17"/>
        <v>-9.5301613624165643E-3</v>
      </c>
      <c r="H38" s="1587">
        <f t="shared" si="17"/>
        <v>-7.2119024140741639E-3</v>
      </c>
      <c r="I38" s="1587">
        <f t="shared" si="17"/>
        <v>-6.4223420680922412E-3</v>
      </c>
      <c r="J38" s="1587">
        <f t="shared" si="17"/>
        <v>-5.6146777049437893E-3</v>
      </c>
      <c r="K38" s="1587">
        <f t="shared" si="17"/>
        <v>-5.5000000000000005E-3</v>
      </c>
      <c r="L38" s="1587">
        <f t="shared" si="17"/>
        <v>-4.9820648457018458E-3</v>
      </c>
      <c r="M38" s="1587">
        <f t="shared" si="17"/>
        <v>-4.5305247385914339E-3</v>
      </c>
      <c r="N38" s="1587">
        <f t="shared" si="17"/>
        <v>-4.1342803390203107E-3</v>
      </c>
      <c r="O38" s="1587">
        <f t="shared" ref="O38" si="18">O37/O8</f>
        <v>-3.7845198384737207E-3</v>
      </c>
      <c r="R38" s="1539"/>
      <c r="S38" s="1349"/>
      <c r="T38" s="1540"/>
      <c r="U38" s="1529"/>
    </row>
    <row r="39" spans="1:21" ht="15" customHeight="1">
      <c r="A39" s="1795"/>
      <c r="B39" s="1587"/>
      <c r="C39" s="1587"/>
      <c r="D39" s="1587"/>
      <c r="E39" s="1587"/>
      <c r="F39" s="1587"/>
      <c r="G39" s="1587"/>
      <c r="H39" s="1587"/>
      <c r="I39" s="1800"/>
      <c r="J39" s="1801"/>
      <c r="K39" s="1801"/>
      <c r="L39" s="1801"/>
      <c r="M39" s="1801"/>
      <c r="N39" s="1801"/>
      <c r="O39" s="1801"/>
      <c r="R39" s="1539"/>
      <c r="S39" s="1349"/>
      <c r="T39" s="1540"/>
      <c r="U39" s="1529"/>
    </row>
    <row r="40" spans="1:21" ht="15" customHeight="1">
      <c r="A40" s="1282" t="s">
        <v>881</v>
      </c>
      <c r="B40" s="1797">
        <f t="shared" ref="B40:L40" si="19">B8-B11-B14-B30-B33-B37</f>
        <v>39.468619947577345</v>
      </c>
      <c r="C40" s="1797">
        <f t="shared" si="19"/>
        <v>152.43583366097994</v>
      </c>
      <c r="D40" s="1797">
        <f t="shared" si="19"/>
        <v>118.2256199582061</v>
      </c>
      <c r="E40" s="1797">
        <f t="shared" si="19"/>
        <v>143.57870799710253</v>
      </c>
      <c r="F40" s="1797">
        <f t="shared" si="19"/>
        <v>160.08923749887896</v>
      </c>
      <c r="G40" s="1797">
        <f t="shared" si="19"/>
        <v>198.0593524782613</v>
      </c>
      <c r="H40" s="1797">
        <f t="shared" si="19"/>
        <v>297.87400000000014</v>
      </c>
      <c r="I40" s="1779">
        <f t="shared" si="19"/>
        <v>389.37299999999954</v>
      </c>
      <c r="J40" s="1797">
        <f>J8-J11-J14-J30-J33-J37</f>
        <v>487.75699999999966</v>
      </c>
      <c r="K40" s="1797">
        <f t="shared" si="19"/>
        <v>556.653087561029</v>
      </c>
      <c r="L40" s="1797">
        <f t="shared" si="19"/>
        <v>608.08181661176241</v>
      </c>
      <c r="M40" s="1797">
        <f>M8-M11-M14-M30-M33-M37</f>
        <v>664.27634443176203</v>
      </c>
      <c r="N40" s="1797">
        <f>N8-N11-N14-N30-N33-N37</f>
        <v>729.72859902902542</v>
      </c>
      <c r="O40" s="1797">
        <f>O8-O11-O14-O30-O33-O37</f>
        <v>792.86346330198444</v>
      </c>
      <c r="R40" s="1539">
        <f>((J40/E40)^(1/5)-1)*100</f>
        <v>27.709349850337507</v>
      </c>
      <c r="S40" s="1349" t="s">
        <v>102</v>
      </c>
      <c r="T40" s="1540">
        <f>((O40/J40)^(1/5)-1)*100</f>
        <v>10.204411277856295</v>
      </c>
      <c r="U40" s="1529" t="s">
        <v>102</v>
      </c>
    </row>
    <row r="41" spans="1:21" ht="15" customHeight="1">
      <c r="A41" s="1795" t="s">
        <v>56</v>
      </c>
      <c r="B41" s="1587">
        <f>B40/B8</f>
        <v>1.1203401487398599E-2</v>
      </c>
      <c r="C41" s="1587">
        <f t="shared" ref="C41:K41" si="20">C40/C8</f>
        <v>4.1540154398482437E-2</v>
      </c>
      <c r="D41" s="1587">
        <f t="shared" si="20"/>
        <v>3.067501544009785E-2</v>
      </c>
      <c r="E41" s="1587">
        <f t="shared" si="20"/>
        <v>3.5216459311505043E-2</v>
      </c>
      <c r="F41" s="1587">
        <f t="shared" si="20"/>
        <v>3.6157906047467152E-2</v>
      </c>
      <c r="G41" s="1587">
        <f t="shared" si="20"/>
        <v>4.1138059596224512E-2</v>
      </c>
      <c r="H41" s="1587">
        <f t="shared" si="20"/>
        <v>5.8418900271664763E-2</v>
      </c>
      <c r="I41" s="1587">
        <f t="shared" si="20"/>
        <v>6.9955145832637067E-2</v>
      </c>
      <c r="J41" s="1587">
        <f t="shared" si="20"/>
        <v>8.0160354564168895E-2</v>
      </c>
      <c r="K41" s="1587">
        <f t="shared" si="20"/>
        <v>8.4502928662822302E-2</v>
      </c>
      <c r="L41" s="1587">
        <f>L40/L8</f>
        <v>8.3617242587901069E-2</v>
      </c>
      <c r="M41" s="1587">
        <f>M40/M8</f>
        <v>8.3065702480790621E-2</v>
      </c>
      <c r="N41" s="1587">
        <f>N40/N8</f>
        <v>8.326945808121948E-2</v>
      </c>
      <c r="O41" s="1587">
        <f>O40/O8</f>
        <v>8.281969758067298E-2</v>
      </c>
      <c r="R41" s="1539"/>
      <c r="S41" s="1349"/>
      <c r="T41" s="1540"/>
      <c r="U41" s="1529"/>
    </row>
    <row r="42" spans="1:21" ht="15" customHeight="1">
      <c r="A42" s="1795"/>
      <c r="B42" s="1694"/>
      <c r="C42" s="1797"/>
      <c r="D42" s="1797"/>
      <c r="E42" s="1797"/>
      <c r="F42" s="1797"/>
      <c r="G42" s="1797"/>
      <c r="H42" s="1797"/>
      <c r="I42" s="1797"/>
      <c r="J42" s="1797"/>
      <c r="K42" s="1797"/>
      <c r="L42" s="1797"/>
      <c r="M42" s="1797"/>
      <c r="N42" s="1797"/>
      <c r="O42" s="1797"/>
      <c r="R42" s="1539"/>
      <c r="S42" s="1349"/>
      <c r="T42" s="1540"/>
      <c r="U42" s="1529"/>
    </row>
    <row r="43" spans="1:21" ht="15" customHeight="1">
      <c r="A43" s="1802" t="s">
        <v>882</v>
      </c>
      <c r="B43" s="1797">
        <f>'qtrP&amp;L_new'!$AI$127</f>
        <v>84.423000000000002</v>
      </c>
      <c r="C43" s="1797">
        <f>'qtrP&amp;L_new'!$AM$127</f>
        <v>99.308999999999997</v>
      </c>
      <c r="D43" s="1797">
        <f>'qtrP&amp;L_new'!$AQ$127</f>
        <v>129.12100000000001</v>
      </c>
      <c r="E43" s="1797">
        <f>'qtrP&amp;L_new'!$AU$127</f>
        <v>111.770626154</v>
      </c>
      <c r="F43" s="1797">
        <f>'qtrP&amp;L_new'!$AY$127</f>
        <v>127.73899999999999</v>
      </c>
      <c r="G43" s="1797">
        <f>'qtrP&amp;L_new'!$BC$127</f>
        <v>83.74499999999999</v>
      </c>
      <c r="H43" s="1797">
        <f>'qtrP&amp;L_new'!$BG$127</f>
        <v>59.000000000000007</v>
      </c>
      <c r="I43" s="1779">
        <f>'qtrP&amp;L_new'!BK127</f>
        <v>56.161000000000001</v>
      </c>
      <c r="J43" s="1797">
        <f>INDEX('qtrP&amp;L_new'!127:127,MATCH('yrP&amp;L_new'!J$5,'qtrP&amp;L_new'!$7:$7,0))</f>
        <v>58.777000000000001</v>
      </c>
      <c r="K43" s="2191">
        <f>INDEX('qtrP&amp;L_new'!127:127,MATCH('yrP&amp;L_new'!K$5,'qtrP&amp;L_new'!$7:$7,0))</f>
        <v>60</v>
      </c>
      <c r="L43" s="1944">
        <f>K43-5</f>
        <v>55</v>
      </c>
      <c r="M43" s="1944">
        <f>L43-5</f>
        <v>50</v>
      </c>
      <c r="N43" s="1944">
        <f>M43-5</f>
        <v>45</v>
      </c>
      <c r="O43" s="1944">
        <f>N43-5</f>
        <v>40</v>
      </c>
      <c r="R43" s="1539">
        <f>((J43/E43)^(1/5)-1)*100</f>
        <v>-12.06212913264697</v>
      </c>
      <c r="S43" s="1349" t="s">
        <v>102</v>
      </c>
      <c r="T43" s="1540">
        <f>((O43/J43)^(1/5)-1)*100</f>
        <v>-7.4086289201977014</v>
      </c>
      <c r="U43" s="1529" t="s">
        <v>102</v>
      </c>
    </row>
    <row r="44" spans="1:21" ht="15" customHeight="1">
      <c r="A44" s="1795" t="s">
        <v>56</v>
      </c>
      <c r="B44" s="1587">
        <f>B43/B$8</f>
        <v>2.3963968464742542E-2</v>
      </c>
      <c r="C44" s="1587">
        <f t="shared" ref="C44:H44" si="21">C43/C$8</f>
        <v>2.7062607879546612E-2</v>
      </c>
      <c r="D44" s="1587">
        <f t="shared" si="21"/>
        <v>3.3501948816517538E-2</v>
      </c>
      <c r="E44" s="1587">
        <f t="shared" si="21"/>
        <v>2.7414689567015853E-2</v>
      </c>
      <c r="F44" s="1587">
        <f t="shared" si="21"/>
        <v>2.8851250919536362E-2</v>
      </c>
      <c r="G44" s="1587">
        <f t="shared" si="21"/>
        <v>1.7394315177638234E-2</v>
      </c>
      <c r="H44" s="1587">
        <f t="shared" si="21"/>
        <v>1.1571050565098733E-2</v>
      </c>
      <c r="I44" s="1587">
        <f t="shared" ref="I44:N44" si="22">I43/I$8</f>
        <v>1.0089941894036657E-2</v>
      </c>
      <c r="J44" s="1587">
        <f t="shared" si="22"/>
        <v>9.6596976777742986E-3</v>
      </c>
      <c r="K44" s="1587">
        <f t="shared" si="22"/>
        <v>9.10832228019119E-3</v>
      </c>
      <c r="L44" s="1587">
        <f t="shared" si="22"/>
        <v>7.5630420392439005E-3</v>
      </c>
      <c r="M44" s="1587">
        <f t="shared" si="22"/>
        <v>6.2523453662832913E-3</v>
      </c>
      <c r="N44" s="1587">
        <f t="shared" si="22"/>
        <v>5.1349578715166018E-3</v>
      </c>
      <c r="O44" s="1587">
        <f t="shared" ref="O44" si="23">O43/O$8</f>
        <v>4.1782577411631217E-3</v>
      </c>
      <c r="R44" s="1539"/>
      <c r="S44" s="1349"/>
      <c r="T44" s="1540"/>
      <c r="U44" s="1529"/>
    </row>
    <row r="45" spans="1:21" ht="15" customHeight="1">
      <c r="A45" s="1795"/>
      <c r="B45" s="1587"/>
      <c r="C45" s="1587"/>
      <c r="D45" s="1797"/>
      <c r="E45" s="1797"/>
      <c r="F45" s="1797"/>
      <c r="G45" s="1797"/>
      <c r="H45" s="1797"/>
      <c r="I45" s="1797"/>
      <c r="J45" s="1797"/>
      <c r="K45" s="1797"/>
      <c r="L45" s="1797"/>
      <c r="M45" s="1797"/>
      <c r="N45" s="1797"/>
      <c r="O45" s="1797"/>
      <c r="R45" s="1539"/>
      <c r="S45" s="1349"/>
      <c r="T45" s="1540"/>
      <c r="U45" s="1529"/>
    </row>
    <row r="46" spans="1:21" ht="15" customHeight="1">
      <c r="A46" s="1802" t="s">
        <v>883</v>
      </c>
      <c r="B46" s="1797">
        <f t="shared" ref="B46:K46" si="24">B40-B43</f>
        <v>-44.954380052422657</v>
      </c>
      <c r="C46" s="1797">
        <f t="shared" si="24"/>
        <v>53.126833660979941</v>
      </c>
      <c r="D46" s="1797">
        <f t="shared" si="24"/>
        <v>-10.895380041793914</v>
      </c>
      <c r="E46" s="1797">
        <f t="shared" si="24"/>
        <v>31.808081843102528</v>
      </c>
      <c r="F46" s="1797">
        <f t="shared" si="24"/>
        <v>32.350237498878968</v>
      </c>
      <c r="G46" s="1797">
        <f t="shared" si="24"/>
        <v>114.31435247826131</v>
      </c>
      <c r="H46" s="1797">
        <f t="shared" si="24"/>
        <v>238.87400000000014</v>
      </c>
      <c r="I46" s="1797">
        <f t="shared" si="24"/>
        <v>333.21199999999953</v>
      </c>
      <c r="J46" s="1797">
        <f t="shared" si="24"/>
        <v>428.97999999999968</v>
      </c>
      <c r="K46" s="1797">
        <f t="shared" si="24"/>
        <v>496.653087561029</v>
      </c>
      <c r="L46" s="1797">
        <f>L40-L43</f>
        <v>553.08181661176241</v>
      </c>
      <c r="M46" s="1797">
        <f>M40-M43</f>
        <v>614.27634443176203</v>
      </c>
      <c r="N46" s="1797">
        <f>N40-N43</f>
        <v>684.72859902902542</v>
      </c>
      <c r="O46" s="1797">
        <f>O40-O43</f>
        <v>752.86346330198444</v>
      </c>
      <c r="R46" s="1803" t="s">
        <v>585</v>
      </c>
      <c r="S46" s="1349"/>
      <c r="T46" s="1540">
        <f>((O46/J46)^(1/5)-1)*100</f>
        <v>11.906634597261245</v>
      </c>
      <c r="U46" s="1529" t="s">
        <v>102</v>
      </c>
    </row>
    <row r="47" spans="1:21" ht="15" customHeight="1">
      <c r="A47" s="1795" t="s">
        <v>56</v>
      </c>
      <c r="B47" s="1587">
        <f t="shared" ref="B47:K47" si="25">B46/B$8</f>
        <v>-1.2760566977343943E-2</v>
      </c>
      <c r="C47" s="1587">
        <f t="shared" si="25"/>
        <v>1.4477546518935826E-2</v>
      </c>
      <c r="D47" s="1587">
        <f t="shared" si="25"/>
        <v>-2.8269333764196869E-3</v>
      </c>
      <c r="E47" s="1587">
        <f t="shared" si="25"/>
        <v>7.80176974448919E-3</v>
      </c>
      <c r="F47" s="1587">
        <f t="shared" si="25"/>
        <v>7.3066551279307931E-3</v>
      </c>
      <c r="G47" s="1587">
        <f t="shared" si="25"/>
        <v>2.3743744418586277E-2</v>
      </c>
      <c r="H47" s="1587">
        <f t="shared" si="25"/>
        <v>4.6847849706566032E-2</v>
      </c>
      <c r="I47" s="1694">
        <f t="shared" si="25"/>
        <v>5.9865203938600411E-2</v>
      </c>
      <c r="J47" s="1694">
        <f t="shared" si="25"/>
        <v>7.0500656886394591E-2</v>
      </c>
      <c r="K47" s="1694">
        <f t="shared" si="25"/>
        <v>7.539460638263111E-2</v>
      </c>
      <c r="L47" s="1694">
        <f>L46/L$8</f>
        <v>7.6054200548657178E-2</v>
      </c>
      <c r="M47" s="1694">
        <f>M46/M$8</f>
        <v>7.6813357114507333E-2</v>
      </c>
      <c r="N47" s="1694">
        <f>N46/N$8</f>
        <v>7.8134500209702876E-2</v>
      </c>
      <c r="O47" s="1694">
        <f>O46/O$8</f>
        <v>7.8641439839509858E-2</v>
      </c>
      <c r="R47" s="1803"/>
      <c r="S47" s="1349"/>
      <c r="T47" s="1540"/>
      <c r="U47" s="1529"/>
    </row>
    <row r="48" spans="1:21" ht="15" customHeight="1">
      <c r="A48" s="1804"/>
      <c r="B48" s="1797"/>
      <c r="C48" s="1797"/>
      <c r="D48" s="1797"/>
      <c r="E48" s="1797"/>
      <c r="F48" s="1797"/>
      <c r="G48" s="1797"/>
      <c r="H48" s="1797"/>
      <c r="I48" s="1797"/>
      <c r="J48" s="1797"/>
      <c r="K48" s="1797"/>
      <c r="L48" s="1797"/>
      <c r="M48" s="1797"/>
      <c r="N48" s="1797"/>
      <c r="O48" s="1797"/>
      <c r="R48" s="1539"/>
      <c r="S48" s="1349"/>
      <c r="T48" s="1540"/>
      <c r="U48" s="1529"/>
    </row>
    <row r="49" spans="1:23" ht="15" customHeight="1">
      <c r="A49" s="1802" t="s">
        <v>884</v>
      </c>
      <c r="B49" s="1797">
        <f>'qtrP&amp;L_new'!$AI$147</f>
        <v>-29.753</v>
      </c>
      <c r="C49" s="1797">
        <f>'qtrP&amp;L_new'!$AM$147</f>
        <v>22.13</v>
      </c>
      <c r="D49" s="1797">
        <f>'qtrP&amp;L_new'!$AQ$147</f>
        <v>-4.1479999999999997</v>
      </c>
      <c r="E49" s="1797">
        <f>'qtrP&amp;L_new'!$AU$147</f>
        <v>3.8626241200000031</v>
      </c>
      <c r="F49" s="1779">
        <f>'qtrP&amp;L_new'!$AY$147</f>
        <v>16.207999999999995</v>
      </c>
      <c r="G49" s="1779">
        <f>'qtrP&amp;L_new'!$BC$147</f>
        <v>39.081000000000003</v>
      </c>
      <c r="H49" s="1797">
        <f>'qtrP&amp;L_new'!$BG$147</f>
        <v>88.391999999999996</v>
      </c>
      <c r="I49" s="1797">
        <f>'qtrP&amp;L_new'!BK147</f>
        <v>117.339</v>
      </c>
      <c r="J49" s="1797">
        <f>INDEX('qtrP&amp;L_new'!147:147,MATCH('yrP&amp;L_new'!J$5,'qtrP&amp;L_new'!$7:$7,0))</f>
        <v>137.31555400000002</v>
      </c>
      <c r="K49" s="1797">
        <f>INDEX('qtrP&amp;L_new'!147:147,MATCH('yrP&amp;L_new'!K$5,'qtrP&amp;L_new'!$7:$7,0))</f>
        <v>116.81044059227676</v>
      </c>
      <c r="L49" s="1797">
        <f>L46*L50</f>
        <v>130.08220889003937</v>
      </c>
      <c r="M49" s="1797">
        <f>M46*M50</f>
        <v>144.47487035841718</v>
      </c>
      <c r="N49" s="1797">
        <f>N46*N50</f>
        <v>161.04490506944541</v>
      </c>
      <c r="O49" s="1797">
        <f>O46*O50</f>
        <v>177.06990061412995</v>
      </c>
      <c r="R49" s="1803" t="s">
        <v>585</v>
      </c>
      <c r="S49" s="1349"/>
      <c r="T49" s="1540">
        <f>((O49/J49)^(1/5)-1)*100</f>
        <v>5.2167788574723373</v>
      </c>
      <c r="U49" s="1529" t="s">
        <v>102</v>
      </c>
    </row>
    <row r="50" spans="1:23" ht="15" customHeight="1">
      <c r="A50" s="1795" t="s">
        <v>35</v>
      </c>
      <c r="B50" s="1587">
        <f t="shared" ref="B50:K50" si="26">B49/B46</f>
        <v>0.66184874455623965</v>
      </c>
      <c r="C50" s="1587">
        <f t="shared" si="26"/>
        <v>0.41655032824314198</v>
      </c>
      <c r="D50" s="1587">
        <f t="shared" si="26"/>
        <v>0.38071182318455737</v>
      </c>
      <c r="E50" s="1587">
        <f t="shared" si="26"/>
        <v>0.12143530499741843</v>
      </c>
      <c r="F50" s="1587">
        <f t="shared" si="26"/>
        <v>0.5010164145027266</v>
      </c>
      <c r="G50" s="1587">
        <f t="shared" si="26"/>
        <v>0.34187308201244349</v>
      </c>
      <c r="H50" s="1587">
        <f t="shared" si="26"/>
        <v>0.37003608597000909</v>
      </c>
      <c r="I50" s="1587">
        <f t="shared" si="26"/>
        <v>0.35214518084582835</v>
      </c>
      <c r="J50" s="1587">
        <f t="shared" si="26"/>
        <v>0.3200977994312092</v>
      </c>
      <c r="K50" s="1587">
        <f t="shared" si="26"/>
        <v>0.23519523691257235</v>
      </c>
      <c r="L50" s="1805">
        <f>K50</f>
        <v>0.23519523691257235</v>
      </c>
      <c r="M50" s="1805">
        <f>L50</f>
        <v>0.23519523691257235</v>
      </c>
      <c r="N50" s="1805">
        <f>M50</f>
        <v>0.23519523691257235</v>
      </c>
      <c r="O50" s="1805">
        <f>N50</f>
        <v>0.23519523691257235</v>
      </c>
      <c r="R50" s="1539"/>
      <c r="S50" s="1349"/>
      <c r="T50" s="1540"/>
      <c r="U50" s="1529"/>
    </row>
    <row r="51" spans="1:23" ht="15" customHeight="1">
      <c r="A51" s="1795"/>
      <c r="B51" s="1587"/>
      <c r="C51" s="1587"/>
      <c r="D51" s="1587"/>
      <c r="E51" s="1587"/>
      <c r="F51" s="1587"/>
      <c r="G51" s="1587"/>
      <c r="H51" s="1587"/>
      <c r="I51" s="1797"/>
      <c r="J51" s="1797"/>
      <c r="K51" s="1797"/>
      <c r="L51" s="1797"/>
      <c r="M51" s="1797"/>
      <c r="N51" s="1797"/>
      <c r="O51" s="1797"/>
      <c r="R51" s="1539"/>
      <c r="S51" s="1349"/>
      <c r="T51" s="1540"/>
      <c r="U51" s="1529"/>
    </row>
    <row r="52" spans="1:23" ht="15" customHeight="1">
      <c r="A52" s="1802" t="s">
        <v>885</v>
      </c>
      <c r="B52" s="1797">
        <f>B46-B49</f>
        <v>-15.201380052422657</v>
      </c>
      <c r="C52" s="1797">
        <f t="shared" ref="C52:H52" si="27">C46-C49</f>
        <v>30.996833660979942</v>
      </c>
      <c r="D52" s="1797">
        <f t="shared" si="27"/>
        <v>-6.7473800417939138</v>
      </c>
      <c r="E52" s="1797">
        <f t="shared" si="27"/>
        <v>27.945457723102525</v>
      </c>
      <c r="F52" s="1779">
        <f t="shared" si="27"/>
        <v>16.142237498878973</v>
      </c>
      <c r="G52" s="1797">
        <f t="shared" si="27"/>
        <v>75.23335247826131</v>
      </c>
      <c r="H52" s="1779">
        <f t="shared" si="27"/>
        <v>150.48200000000014</v>
      </c>
      <c r="I52" s="1779">
        <f t="shared" ref="I52:N52" si="28">I46-I49</f>
        <v>215.87299999999954</v>
      </c>
      <c r="J52" s="1797">
        <f t="shared" si="28"/>
        <v>291.66444599999966</v>
      </c>
      <c r="K52" s="1797">
        <f t="shared" si="28"/>
        <v>379.84264696875221</v>
      </c>
      <c r="L52" s="1797">
        <f t="shared" si="28"/>
        <v>422.99960772172301</v>
      </c>
      <c r="M52" s="1797">
        <f t="shared" si="28"/>
        <v>469.80147407334482</v>
      </c>
      <c r="N52" s="1797">
        <f t="shared" si="28"/>
        <v>523.68369395958007</v>
      </c>
      <c r="O52" s="1797">
        <f t="shared" ref="O52" si="29">O46-O49</f>
        <v>575.79356268785455</v>
      </c>
      <c r="R52" s="1803" t="s">
        <v>585</v>
      </c>
      <c r="S52" s="1349"/>
      <c r="T52" s="1540">
        <f>((O52/J52)^(1/5)-1)*100</f>
        <v>14.571516797942529</v>
      </c>
      <c r="U52" s="1529" t="s">
        <v>102</v>
      </c>
    </row>
    <row r="53" spans="1:23" ht="15" customHeight="1">
      <c r="A53" s="1795" t="s">
        <v>36</v>
      </c>
      <c r="B53" s="1587">
        <f>B52/B8</f>
        <v>-4.3150017435630442E-3</v>
      </c>
      <c r="C53" s="1587">
        <f t="shared" ref="C53:H53" si="30">C52/C8</f>
        <v>8.4469197643177504E-3</v>
      </c>
      <c r="D53" s="1587">
        <f t="shared" si="30"/>
        <v>-1.7506864166616713E-3</v>
      </c>
      <c r="E53" s="1587">
        <f t="shared" si="30"/>
        <v>6.854359456047514E-3</v>
      </c>
      <c r="F53" s="1587">
        <f t="shared" si="30"/>
        <v>3.645900973726946E-3</v>
      </c>
      <c r="G53" s="1587">
        <f t="shared" si="30"/>
        <v>1.5626397335688436E-2</v>
      </c>
      <c r="H53" s="1587">
        <f t="shared" si="30"/>
        <v>2.95124547650371E-2</v>
      </c>
      <c r="I53" s="1694">
        <f t="shared" ref="I53:N53" si="31">I52/I8</f>
        <v>3.8783960871269577E-2</v>
      </c>
      <c r="J53" s="1694">
        <f t="shared" si="31"/>
        <v>4.7933551758604961E-2</v>
      </c>
      <c r="K53" s="1694">
        <f t="shared" si="31"/>
        <v>5.7662154072538038E-2</v>
      </c>
      <c r="L53" s="1694">
        <f t="shared" si="31"/>
        <v>5.8166614832419451E-2</v>
      </c>
      <c r="M53" s="1694">
        <f t="shared" si="31"/>
        <v>5.8747221389910752E-2</v>
      </c>
      <c r="N53" s="1694">
        <f t="shared" si="31"/>
        <v>5.9757637921836373E-2</v>
      </c>
      <c r="O53" s="1694">
        <f t="shared" ref="O53" si="32">O52/O8</f>
        <v>6.0145347765310539E-2</v>
      </c>
      <c r="R53" s="1539"/>
      <c r="S53" s="1349"/>
      <c r="T53" s="1540"/>
      <c r="U53" s="1529"/>
    </row>
    <row r="54" spans="1:23" ht="15" customHeight="1">
      <c r="B54" s="1587"/>
      <c r="C54" s="1587"/>
      <c r="D54" s="1797"/>
      <c r="E54" s="1797"/>
      <c r="F54" s="1797"/>
      <c r="G54" s="1797"/>
      <c r="H54" s="1797"/>
      <c r="I54" s="1797"/>
      <c r="J54" s="1797"/>
      <c r="K54" s="1797"/>
      <c r="L54" s="1797"/>
      <c r="M54" s="1797"/>
      <c r="N54" s="1797"/>
      <c r="O54" s="1797"/>
      <c r="R54" s="1539"/>
      <c r="S54" s="1349"/>
      <c r="T54" s="1540"/>
      <c r="U54" s="1529"/>
    </row>
    <row r="55" spans="1:23" s="1306" customFormat="1" outlineLevel="1">
      <c r="A55" s="1306" t="s">
        <v>886</v>
      </c>
      <c r="B55" s="1806" t="s">
        <v>585</v>
      </c>
      <c r="C55" s="1806" t="s">
        <v>585</v>
      </c>
      <c r="D55" s="1806" t="s">
        <v>585</v>
      </c>
      <c r="E55" s="1806">
        <f t="shared" ref="E55:K55" si="33">E52/E58</f>
        <v>0.39080169985260427</v>
      </c>
      <c r="F55" s="1806">
        <f t="shared" si="33"/>
        <v>0.21737836045583786</v>
      </c>
      <c r="G55" s="1806">
        <f>G52/G58</f>
        <v>0.99167405889753268</v>
      </c>
      <c r="H55" s="1806">
        <f>H52/H58</f>
        <v>1.9946449637474668</v>
      </c>
      <c r="I55" s="1806">
        <f>I52/I58</f>
        <v>3.0098994715634126</v>
      </c>
      <c r="J55" s="1806">
        <f>J52/J58</f>
        <v>4.1495624573184564</v>
      </c>
      <c r="K55" s="1806">
        <f t="shared" si="33"/>
        <v>5.5953840608198018</v>
      </c>
      <c r="L55" s="1806">
        <f>L52/L58</f>
        <v>6.3701384679451518</v>
      </c>
      <c r="M55" s="1806">
        <f>M52/M58</f>
        <v>7.2305018336218465</v>
      </c>
      <c r="N55" s="1806">
        <f>N52/N58</f>
        <v>8.2286363127484012</v>
      </c>
      <c r="O55" s="1806">
        <f>O52/O58</f>
        <v>9.0474381257816088</v>
      </c>
      <c r="R55" s="1803" t="s">
        <v>90</v>
      </c>
      <c r="S55" s="1349"/>
      <c r="T55" s="1540">
        <f>((O55/J55)^(1/5)-1)*100</f>
        <v>16.870435718241474</v>
      </c>
      <c r="U55" s="1529" t="s">
        <v>102</v>
      </c>
    </row>
    <row r="56" spans="1:23" outlineLevel="1">
      <c r="A56" s="1795" t="s">
        <v>31</v>
      </c>
      <c r="B56" s="1807" t="s">
        <v>90</v>
      </c>
      <c r="C56" s="1807" t="s">
        <v>90</v>
      </c>
      <c r="D56" s="1807" t="s">
        <v>90</v>
      </c>
      <c r="E56" s="1807" t="s">
        <v>90</v>
      </c>
      <c r="F56" s="1587">
        <f t="shared" ref="F56:O56" si="34">+F55/E55-1</f>
        <v>-0.4437630119371927</v>
      </c>
      <c r="G56" s="1587">
        <f t="shared" si="34"/>
        <v>3.5619722994414573</v>
      </c>
      <c r="H56" s="1587">
        <f t="shared" si="34"/>
        <v>1.0113916925133246</v>
      </c>
      <c r="I56" s="1587">
        <f t="shared" si="34"/>
        <v>0.50899008408419832</v>
      </c>
      <c r="J56" s="1587">
        <f t="shared" si="34"/>
        <v>0.37863822247959522</v>
      </c>
      <c r="K56" s="1587">
        <f t="shared" si="34"/>
        <v>0.34842748322811579</v>
      </c>
      <c r="L56" s="1587">
        <f t="shared" si="34"/>
        <v>0.13846313295102708</v>
      </c>
      <c r="M56" s="1587">
        <f t="shared" si="34"/>
        <v>0.13506195666013943</v>
      </c>
      <c r="N56" s="1587">
        <f t="shared" si="34"/>
        <v>0.13804497973919694</v>
      </c>
      <c r="O56" s="1587">
        <f t="shared" si="34"/>
        <v>9.950638014766322E-2</v>
      </c>
      <c r="R56" s="1803"/>
      <c r="S56" s="1349"/>
      <c r="T56" s="1540"/>
      <c r="U56" s="1529"/>
    </row>
    <row r="57" spans="1:23" outlineLevel="1">
      <c r="A57" s="1795"/>
      <c r="B57" s="1807"/>
      <c r="C57" s="1807"/>
      <c r="D57" s="1807"/>
      <c r="E57" s="1807"/>
      <c r="F57" s="1587"/>
      <c r="G57" s="1587"/>
      <c r="H57" s="1587"/>
      <c r="I57" s="1587"/>
      <c r="J57" s="1587"/>
      <c r="K57" s="1587"/>
      <c r="L57" s="1587"/>
      <c r="M57" s="1587"/>
      <c r="N57" s="1587"/>
      <c r="O57" s="1587"/>
      <c r="R57" s="1803"/>
      <c r="S57" s="1349"/>
      <c r="T57" s="1540"/>
      <c r="U57" s="1529"/>
    </row>
    <row r="58" spans="1:23" ht="15" customHeight="1">
      <c r="A58" s="1282" t="s">
        <v>924</v>
      </c>
      <c r="B58" s="1797">
        <f>C58</f>
        <v>71.508025000000004</v>
      </c>
      <c r="C58" s="1797">
        <f>D58</f>
        <v>71.508025000000004</v>
      </c>
      <c r="D58" s="1797">
        <f>E58</f>
        <v>71.508025000000004</v>
      </c>
      <c r="E58" s="1797">
        <f>'qtrP&amp;L_new'!$AU$197</f>
        <v>71.508025000000004</v>
      </c>
      <c r="F58" s="1797">
        <f>'qtrP&amp;L_new'!$AY$197</f>
        <v>74.258713999999998</v>
      </c>
      <c r="G58" s="1797">
        <f>'qtrP&amp;L_new'!$BC$197</f>
        <v>75.864999999999995</v>
      </c>
      <c r="H58" s="1797">
        <f>'qtrP&amp;L_new'!$BG$197</f>
        <v>75.442999999999998</v>
      </c>
      <c r="I58" s="1797">
        <f>'qtrP&amp;L_new'!$BK$197</f>
        <v>71.721000000000004</v>
      </c>
      <c r="J58" s="1797">
        <f>INDEX('qtrP&amp;L_new'!197:197,MATCH('yrP&amp;L_new'!J$5,'qtrP&amp;L_new'!$7:$7,0))</f>
        <v>70.287999999999997</v>
      </c>
      <c r="K58" s="1797">
        <f>INDEX('qtrP&amp;L_new'!197:197,MATCH('yrP&amp;L_new'!K$5,'qtrP&amp;L_new'!$7:$7,0))</f>
        <v>67.884999999999991</v>
      </c>
      <c r="L58" s="1797">
        <f>'qtrP&amp;L_new'!BS197+flow!AQ62/135</f>
        <v>66.40351851851851</v>
      </c>
      <c r="M58" s="1797">
        <f>L58+flow!AS62/140</f>
        <v>64.974947089947079</v>
      </c>
      <c r="N58" s="1797">
        <f>M58+flow!AU62/150</f>
        <v>63.641613756613744</v>
      </c>
      <c r="O58" s="1797">
        <f>N58+flow!AX62/160</f>
        <v>63.641613756613744</v>
      </c>
      <c r="R58" s="1539"/>
      <c r="S58" s="1349"/>
      <c r="T58" s="1540"/>
      <c r="U58" s="1529"/>
    </row>
    <row r="59" spans="1:23">
      <c r="R59" s="1538"/>
      <c r="S59" s="1349"/>
      <c r="T59" s="1349"/>
      <c r="U59" s="1529"/>
    </row>
    <row r="60" spans="1:23">
      <c r="A60" s="1808" t="s">
        <v>857</v>
      </c>
      <c r="B60" s="1352"/>
      <c r="C60" s="1352"/>
      <c r="D60" s="1352"/>
      <c r="E60" s="1352"/>
      <c r="F60" s="1352"/>
      <c r="G60" s="1352"/>
      <c r="H60" s="1352"/>
      <c r="I60" s="1352"/>
      <c r="J60" s="1352"/>
      <c r="K60" s="1352"/>
      <c r="L60" s="1352"/>
      <c r="M60" s="1352"/>
      <c r="N60" s="1352"/>
      <c r="O60" s="1352"/>
      <c r="R60" s="1538"/>
      <c r="S60" s="1349"/>
      <c r="T60" s="1349"/>
      <c r="U60" s="1529"/>
    </row>
    <row r="61" spans="1:23" outlineLevel="1">
      <c r="A61" s="1538" t="s">
        <v>360</v>
      </c>
      <c r="B61" s="1809">
        <f>B52</f>
        <v>-15.201380052422657</v>
      </c>
      <c r="C61" s="1809">
        <f t="shared" ref="C61:H61" si="35">C52</f>
        <v>30.996833660979942</v>
      </c>
      <c r="D61" s="1809">
        <f t="shared" si="35"/>
        <v>-6.7473800417939138</v>
      </c>
      <c r="E61" s="1809">
        <f t="shared" si="35"/>
        <v>27.945457723102525</v>
      </c>
      <c r="F61" s="1809">
        <f t="shared" si="35"/>
        <v>16.142237498878973</v>
      </c>
      <c r="G61" s="1809">
        <f t="shared" si="35"/>
        <v>75.23335247826131</v>
      </c>
      <c r="H61" s="1809">
        <f t="shared" si="35"/>
        <v>150.48200000000014</v>
      </c>
      <c r="I61" s="1809">
        <f t="shared" ref="I61:N61" si="36">I52</f>
        <v>215.87299999999954</v>
      </c>
      <c r="J61" s="1809">
        <f t="shared" si="36"/>
        <v>291.66444599999966</v>
      </c>
      <c r="K61" s="1809">
        <f t="shared" si="36"/>
        <v>379.84264696875221</v>
      </c>
      <c r="L61" s="1809">
        <f t="shared" si="36"/>
        <v>422.99960772172301</v>
      </c>
      <c r="M61" s="1809">
        <f t="shared" si="36"/>
        <v>469.80147407334482</v>
      </c>
      <c r="N61" s="1809">
        <f t="shared" si="36"/>
        <v>523.68369395958007</v>
      </c>
      <c r="O61" s="1809">
        <f t="shared" ref="O61" si="37">O52</f>
        <v>575.79356268785455</v>
      </c>
      <c r="R61" s="1803" t="s">
        <v>90</v>
      </c>
      <c r="S61" s="1349"/>
      <c r="T61" s="1540">
        <f>((O61/J61)^(1/5)-1)*100</f>
        <v>14.571516797942529</v>
      </c>
      <c r="U61" s="1529" t="s">
        <v>102</v>
      </c>
    </row>
    <row r="62" spans="1:23" outlineLevel="1">
      <c r="A62" s="1726" t="s">
        <v>874</v>
      </c>
      <c r="B62" s="1797">
        <f>'qtrP&amp;L_new'!$AI$220</f>
        <v>0</v>
      </c>
      <c r="C62" s="1797">
        <f>'qtrP&amp;L_new'!$AM$220</f>
        <v>0</v>
      </c>
      <c r="D62" s="1797">
        <f>'qtrP&amp;L_new'!$AQ$220</f>
        <v>0</v>
      </c>
      <c r="E62" s="1797">
        <f>'qtrP&amp;L_new'!$AU$220</f>
        <v>31.292999999999999</v>
      </c>
      <c r="F62" s="1797">
        <f>'qtrP&amp;L_new'!$AY$220</f>
        <v>29.326000000000001</v>
      </c>
      <c r="G62" s="1797">
        <f>'qtrP&amp;L_new'!$BC$220</f>
        <v>25.96</v>
      </c>
      <c r="H62" s="1797">
        <f>'qtrP&amp;L_new'!$BG$220</f>
        <v>24.131</v>
      </c>
      <c r="I62" s="1797">
        <f>'qtrP&amp;L_new'!BK220</f>
        <v>23.828000000000003</v>
      </c>
      <c r="J62" s="1797">
        <f>INDEX('qtrP&amp;L_new'!220:220,MATCH('yrP&amp;L_new'!J$5,'qtrP&amp;L_new'!$7:$7,0))</f>
        <v>23.324999999999996</v>
      </c>
      <c r="K62" s="1797">
        <f>INDEX('qtrP&amp;L_new'!220:220,MATCH('yrP&amp;L_new'!K$5,'qtrP&amp;L_new'!$7:$7,0))</f>
        <v>20.89</v>
      </c>
      <c r="L62" s="2227">
        <v>20.224</v>
      </c>
      <c r="M62" s="2227">
        <v>18.917999999999999</v>
      </c>
      <c r="N62" s="2227">
        <v>18.419</v>
      </c>
      <c r="O62" s="2227">
        <f>N62*0.93</f>
        <v>17.129670000000001</v>
      </c>
      <c r="R62" s="1538"/>
      <c r="S62" s="1349"/>
      <c r="T62" s="1349"/>
      <c r="U62" s="1529"/>
      <c r="W62" s="1282">
        <f>L62/M62-1</f>
        <v>6.9034781689396363E-2</v>
      </c>
    </row>
    <row r="63" spans="1:23" outlineLevel="1">
      <c r="A63" s="1727" t="s">
        <v>870</v>
      </c>
      <c r="B63" s="1797">
        <f>'qtrP&amp;L_new'!$AI$230</f>
        <v>71.390999999999991</v>
      </c>
      <c r="C63" s="1797">
        <f>'qtrP&amp;L_new'!$AM$230</f>
        <v>2.08</v>
      </c>
      <c r="D63" s="1797">
        <f>'qtrP&amp;L_new'!$AQ$230</f>
        <v>39.499000000000002</v>
      </c>
      <c r="E63" s="1797">
        <f>'qtrP&amp;L_new'!$AU$230</f>
        <v>18.745999999999995</v>
      </c>
      <c r="F63" s="1797">
        <f>'qtrP&amp;L_new'!$AY$230</f>
        <v>52.716999999999999</v>
      </c>
      <c r="G63" s="1797">
        <f>'qtrP&amp;L_new'!$BC$230</f>
        <v>82.279000000000011</v>
      </c>
      <c r="H63" s="1797">
        <f>'qtrP&amp;L_new'!$BG$230</f>
        <v>8.3730000000000011</v>
      </c>
      <c r="I63" s="1797">
        <f>'qtrP&amp;L_new'!$BK$230</f>
        <v>8.202</v>
      </c>
      <c r="J63" s="1797">
        <f>INDEX('qtrP&amp;L_new'!230:230,MATCH('yrP&amp;L_new'!J$5,'qtrP&amp;L_new'!$7:$7,0))</f>
        <v>7.411999999999999</v>
      </c>
      <c r="K63" s="1797">
        <f>INDEX('qtrP&amp;L_new'!230:230,MATCH('yrP&amp;L_new'!K$5,'qtrP&amp;L_new'!$7:$7,0))</f>
        <v>0</v>
      </c>
      <c r="L63" s="1797">
        <f t="shared" ref="L63:O64" si="38">K63</f>
        <v>0</v>
      </c>
      <c r="M63" s="1797">
        <f t="shared" si="38"/>
        <v>0</v>
      </c>
      <c r="N63" s="1797">
        <f t="shared" si="38"/>
        <v>0</v>
      </c>
      <c r="O63" s="1797">
        <f t="shared" si="38"/>
        <v>0</v>
      </c>
      <c r="R63" s="1539"/>
      <c r="S63" s="1349"/>
      <c r="T63" s="1540"/>
      <c r="U63" s="1529"/>
    </row>
    <row r="64" spans="1:23" outlineLevel="1">
      <c r="A64" s="1727" t="s">
        <v>927</v>
      </c>
      <c r="B64" s="1797">
        <f>'qtrP&amp;L_new'!$AI$240</f>
        <v>4.1980000000000004</v>
      </c>
      <c r="C64" s="1797">
        <f>'qtrP&amp;L_new'!$AM$240</f>
        <v>4.2889999999999997</v>
      </c>
      <c r="D64" s="1797">
        <f>'qtrP&amp;L_new'!$AQ$240</f>
        <v>4.2850000000000001</v>
      </c>
      <c r="E64" s="1797">
        <f>'qtrP&amp;L_new'!$AU$240</f>
        <v>4.2910000000000004</v>
      </c>
      <c r="F64" s="1797">
        <f>'qtrP&amp;L_new'!$AY$240</f>
        <v>2.91</v>
      </c>
      <c r="G64" s="1797">
        <f>'qtrP&amp;L_new'!$BC$240</f>
        <v>0.185</v>
      </c>
      <c r="H64" s="1797">
        <f>'qtrP&amp;L_new'!$BG$240+'qtrP&amp;L_new'!BG250</f>
        <v>5.7059999999999995</v>
      </c>
      <c r="I64" s="1797">
        <f>'qtrP&amp;L_new'!$BK$240+'qtrP&amp;L_new'!BK250</f>
        <v>3.4569999999999999</v>
      </c>
      <c r="J64" s="1797">
        <f>'qtrP&amp;L_new'!$BO$240+'qtrP&amp;L_new'!BO250</f>
        <v>0</v>
      </c>
      <c r="K64" s="1797">
        <f>'qtrP&amp;L_new'!$BS$240+'qtrP&amp;L_new'!BS250</f>
        <v>0</v>
      </c>
      <c r="L64" s="1797">
        <f t="shared" si="38"/>
        <v>0</v>
      </c>
      <c r="M64" s="1797">
        <f t="shared" si="38"/>
        <v>0</v>
      </c>
      <c r="N64" s="1797">
        <f t="shared" si="38"/>
        <v>0</v>
      </c>
      <c r="O64" s="1797">
        <f t="shared" si="38"/>
        <v>0</v>
      </c>
      <c r="R64" s="1538"/>
      <c r="S64" s="1349"/>
      <c r="T64" s="1349"/>
      <c r="U64" s="1529"/>
    </row>
    <row r="65" spans="1:25" ht="15" customHeight="1" outlineLevel="1">
      <c r="A65" s="1727" t="s">
        <v>871</v>
      </c>
      <c r="B65" s="1797">
        <f>'qtrP&amp;L_new'!$AI$260</f>
        <v>-26.456149999999994</v>
      </c>
      <c r="C65" s="1797">
        <f>'qtrP&amp;L_new'!$AM$260</f>
        <v>-2.2291499999999997</v>
      </c>
      <c r="D65" s="1797">
        <f>'qtrP&amp;L_new'!$AQ$260</f>
        <v>-15.324399999999999</v>
      </c>
      <c r="E65" s="1797">
        <f>'qtrP&amp;L_new'!$AU$260</f>
        <v>-19.133000000000003</v>
      </c>
      <c r="F65" s="1797">
        <f>'qtrP&amp;L_new'!$AY$260</f>
        <v>-30.858999999999998</v>
      </c>
      <c r="G65" s="1797">
        <f>'qtrP&amp;L_new'!$BC$260</f>
        <v>-45.081999999999994</v>
      </c>
      <c r="H65" s="1797">
        <f>'qtrP&amp;L_new'!$BG$260</f>
        <v>-14.117999999999999</v>
      </c>
      <c r="I65" s="1797">
        <f>'qtrP&amp;L_new'!BK260</f>
        <v>-19.094000000000001</v>
      </c>
      <c r="J65" s="1797">
        <f>'qtrP&amp;L_new'!$BO$260</f>
        <v>-9.9220000000000006</v>
      </c>
      <c r="K65" s="1797">
        <f>'qtrP&amp;L_new'!$BS$260</f>
        <v>-5.0136000000000003</v>
      </c>
      <c r="L65" s="1797">
        <f>SUM(L62:L64)*-L50</f>
        <v>-4.756588471319863</v>
      </c>
      <c r="M65" s="1797">
        <f>SUM(M62:M64)*-M50</f>
        <v>-4.4494234919120439</v>
      </c>
      <c r="N65" s="1797">
        <f>SUM(N62:N64)*-N50</f>
        <v>-4.3320610686926706</v>
      </c>
      <c r="O65" s="1797">
        <f>SUM(O62:O64)*-O50</f>
        <v>-4.0288167938841832</v>
      </c>
      <c r="R65" s="1538"/>
      <c r="S65" s="1349"/>
      <c r="T65" s="1349"/>
      <c r="U65" s="1529"/>
      <c r="W65" s="1306"/>
    </row>
    <row r="66" spans="1:25">
      <c r="A66" s="1727" t="s">
        <v>872</v>
      </c>
      <c r="B66" s="1797">
        <f t="shared" ref="B66:K66" si="39">B61+B62+B63+B64+B65</f>
        <v>33.931469947577341</v>
      </c>
      <c r="C66" s="1797">
        <f t="shared" si="39"/>
        <v>35.136683660979948</v>
      </c>
      <c r="D66" s="1797">
        <f t="shared" si="39"/>
        <v>21.712219958206092</v>
      </c>
      <c r="E66" s="1797">
        <f t="shared" si="39"/>
        <v>63.142457723102517</v>
      </c>
      <c r="F66" s="1797">
        <f t="shared" si="39"/>
        <v>70.236237498878978</v>
      </c>
      <c r="G66" s="1797">
        <f t="shared" si="39"/>
        <v>138.57535247826132</v>
      </c>
      <c r="H66" s="1797">
        <f t="shared" si="39"/>
        <v>174.57400000000013</v>
      </c>
      <c r="I66" s="1797">
        <f t="shared" si="39"/>
        <v>232.26599999999954</v>
      </c>
      <c r="J66" s="1986">
        <f t="shared" si="39"/>
        <v>312.4794459999996</v>
      </c>
      <c r="K66" s="1797">
        <f t="shared" si="39"/>
        <v>395.7190469687522</v>
      </c>
      <c r="L66" s="1797">
        <f>L61+L62+L63+L64+L65</f>
        <v>438.46701925040315</v>
      </c>
      <c r="M66" s="1797">
        <f>M61+M62+M63+M64+M65</f>
        <v>484.27005058143277</v>
      </c>
      <c r="N66" s="1797">
        <f>N61+N62+N63+N64+N65</f>
        <v>537.77063289088733</v>
      </c>
      <c r="O66" s="1797">
        <f>O61+O62+O63+O64+O65</f>
        <v>588.8944158939704</v>
      </c>
      <c r="R66" s="1539">
        <f>((J66/E66)^(1/5)-1)*100</f>
        <v>37.689237461734557</v>
      </c>
      <c r="S66" s="1349" t="s">
        <v>102</v>
      </c>
      <c r="T66" s="1540">
        <f>((O66/J66)^(1/5)-1)*100</f>
        <v>13.51237123802389</v>
      </c>
      <c r="U66" s="1529" t="s">
        <v>102</v>
      </c>
    </row>
    <row r="67" spans="1:25" ht="15" customHeight="1">
      <c r="A67" s="1795" t="s">
        <v>891</v>
      </c>
      <c r="B67" s="1587">
        <f t="shared" ref="B67:K67" si="40">B66/B8</f>
        <v>9.6316486714059287E-3</v>
      </c>
      <c r="C67" s="1587">
        <f t="shared" si="40"/>
        <v>9.5750666314711914E-3</v>
      </c>
      <c r="D67" s="1587">
        <f t="shared" si="40"/>
        <v>5.6334886016433505E-3</v>
      </c>
      <c r="E67" s="1587">
        <f t="shared" si="40"/>
        <v>1.5487350626382162E-2</v>
      </c>
      <c r="F67" s="1587">
        <f t="shared" si="40"/>
        <v>1.5863622791193813E-2</v>
      </c>
      <c r="G67" s="1587">
        <f t="shared" si="40"/>
        <v>2.8782892791918195E-2</v>
      </c>
      <c r="H67" s="1587">
        <f t="shared" si="40"/>
        <v>3.4237365785619443E-2</v>
      </c>
      <c r="I67" s="1587">
        <f t="shared" si="40"/>
        <v>4.1729143782345636E-2</v>
      </c>
      <c r="J67" s="1587">
        <f t="shared" si="40"/>
        <v>5.1354389963393761E-2</v>
      </c>
      <c r="K67" s="1587">
        <f t="shared" si="40"/>
        <v>6.0072276870025164E-2</v>
      </c>
      <c r="L67" s="1587">
        <f>L66/L8</f>
        <v>6.0293536352959337E-2</v>
      </c>
      <c r="M67" s="1587">
        <f>M66/M8</f>
        <v>6.0556472135651927E-2</v>
      </c>
      <c r="N67" s="1587">
        <f>N66/N8</f>
        <v>6.1365100987411707E-2</v>
      </c>
      <c r="O67" s="1587">
        <f>O66/O8</f>
        <v>6.1513816298417921E-2</v>
      </c>
      <c r="R67" s="1538"/>
      <c r="S67" s="1349"/>
      <c r="T67" s="1349"/>
      <c r="U67" s="1529"/>
    </row>
    <row r="68" spans="1:25" ht="15" customHeight="1">
      <c r="A68" s="1795"/>
      <c r="B68" s="1587"/>
      <c r="C68" s="1587"/>
      <c r="D68" s="1587"/>
      <c r="E68" s="1587"/>
      <c r="F68" s="1587"/>
      <c r="G68" s="1587"/>
      <c r="H68" s="1587"/>
      <c r="I68" s="1797"/>
      <c r="J68" s="1797"/>
      <c r="K68" s="1797"/>
      <c r="L68" s="1797"/>
      <c r="M68" s="1797"/>
      <c r="N68" s="1797"/>
      <c r="O68" s="1797"/>
      <c r="R68" s="1538"/>
      <c r="S68" s="1349"/>
      <c r="T68" s="1349"/>
      <c r="U68" s="1529"/>
    </row>
    <row r="69" spans="1:25" s="1306" customFormat="1" ht="15" customHeight="1">
      <c r="A69" s="1523" t="s">
        <v>366</v>
      </c>
      <c r="B69" s="1527" t="s">
        <v>585</v>
      </c>
      <c r="C69" s="1527" t="s">
        <v>585</v>
      </c>
      <c r="D69" s="1527" t="s">
        <v>585</v>
      </c>
      <c r="E69" s="1527">
        <f t="shared" ref="E69:K69" si="41">E66/E71</f>
        <v>0.88301218951442884</v>
      </c>
      <c r="F69" s="1527">
        <f t="shared" si="41"/>
        <v>0.94583158952737834</v>
      </c>
      <c r="G69" s="1527">
        <f t="shared" si="41"/>
        <v>1.8266045274930645</v>
      </c>
      <c r="H69" s="1527">
        <f t="shared" si="41"/>
        <v>2.3139853929456695</v>
      </c>
      <c r="I69" s="1527">
        <f>I66/I71</f>
        <v>3.2384657213368402</v>
      </c>
      <c r="J69" s="1527">
        <f>J66/J71</f>
        <v>4.4457012007739527</v>
      </c>
      <c r="K69" s="1527">
        <f t="shared" si="41"/>
        <v>5.8292560502136297</v>
      </c>
      <c r="L69" s="1527">
        <f>L66/L71</f>
        <v>6.6030690697229266</v>
      </c>
      <c r="M69" s="1527">
        <f>M66/M71</f>
        <v>7.4531811455119907</v>
      </c>
      <c r="N69" s="1527">
        <f>N66/N71</f>
        <v>8.4499842343328595</v>
      </c>
      <c r="O69" s="1542">
        <f>O66/O71</f>
        <v>9.2532916928551572</v>
      </c>
      <c r="R69" s="1803" t="s">
        <v>90</v>
      </c>
      <c r="S69" s="1349"/>
      <c r="T69" s="1540">
        <f>((O69/J69)^(1/5)-1)*100</f>
        <v>15.790038019614205</v>
      </c>
      <c r="U69" s="1529" t="s">
        <v>102</v>
      </c>
      <c r="X69" s="1282"/>
    </row>
    <row r="70" spans="1:25" outlineLevel="1">
      <c r="A70" s="1795" t="s">
        <v>31</v>
      </c>
      <c r="B70" s="1807" t="s">
        <v>585</v>
      </c>
      <c r="C70" s="1807" t="s">
        <v>585</v>
      </c>
      <c r="D70" s="1807" t="s">
        <v>585</v>
      </c>
      <c r="E70" s="1807" t="s">
        <v>585</v>
      </c>
      <c r="F70" s="1587">
        <f t="shared" ref="F70:O70" si="42">+F69/E69-1</f>
        <v>7.1142166279147379E-2</v>
      </c>
      <c r="G70" s="1587">
        <f t="shared" si="42"/>
        <v>0.9312153957617324</v>
      </c>
      <c r="H70" s="1587">
        <f t="shared" si="42"/>
        <v>0.26682341914563978</v>
      </c>
      <c r="I70" s="1587">
        <f t="shared" si="42"/>
        <v>0.39951865349258786</v>
      </c>
      <c r="J70" s="1587">
        <f t="shared" si="42"/>
        <v>0.37278007035342808</v>
      </c>
      <c r="K70" s="1587">
        <f t="shared" si="42"/>
        <v>0.31121183969782185</v>
      </c>
      <c r="L70" s="1587">
        <f t="shared" si="42"/>
        <v>0.13274644531714097</v>
      </c>
      <c r="M70" s="1587">
        <f t="shared" si="42"/>
        <v>0.12874499218660085</v>
      </c>
      <c r="N70" s="1587">
        <f t="shared" si="42"/>
        <v>0.1337419645866389</v>
      </c>
      <c r="O70" s="1587">
        <f t="shared" si="42"/>
        <v>9.5066148793320204E-2</v>
      </c>
      <c r="R70" s="1538"/>
      <c r="S70" s="1349"/>
      <c r="T70" s="1349"/>
      <c r="U70" s="1529"/>
      <c r="W70" s="1306"/>
      <c r="Y70" s="1306"/>
    </row>
    <row r="71" spans="1:25" ht="15" customHeight="1">
      <c r="A71" s="1282" t="s">
        <v>197</v>
      </c>
      <c r="B71" s="1807" t="s">
        <v>585</v>
      </c>
      <c r="C71" s="1807" t="s">
        <v>585</v>
      </c>
      <c r="D71" s="1807" t="s">
        <v>585</v>
      </c>
      <c r="E71" s="1797">
        <f t="shared" ref="E71:L71" si="43">E58</f>
        <v>71.508025000000004</v>
      </c>
      <c r="F71" s="1797">
        <f t="shared" si="43"/>
        <v>74.258713999999998</v>
      </c>
      <c r="G71" s="1797">
        <f t="shared" si="43"/>
        <v>75.864999999999995</v>
      </c>
      <c r="H71" s="1797">
        <f t="shared" si="43"/>
        <v>75.442999999999998</v>
      </c>
      <c r="I71" s="1797">
        <f t="shared" si="43"/>
        <v>71.721000000000004</v>
      </c>
      <c r="J71" s="1797">
        <f t="shared" si="43"/>
        <v>70.287999999999997</v>
      </c>
      <c r="K71" s="1797">
        <f>K58</f>
        <v>67.884999999999991</v>
      </c>
      <c r="L71" s="1797">
        <f t="shared" si="43"/>
        <v>66.40351851851851</v>
      </c>
      <c r="M71" s="1797">
        <f>M58</f>
        <v>64.974947089947079</v>
      </c>
      <c r="N71" s="1797">
        <f>N58</f>
        <v>63.641613756613744</v>
      </c>
      <c r="O71" s="1797">
        <f>O58</f>
        <v>63.641613756613744</v>
      </c>
      <c r="R71" s="1538"/>
      <c r="S71" s="1349"/>
      <c r="T71" s="1349"/>
      <c r="U71" s="1529"/>
    </row>
    <row r="72" spans="1:25" ht="15" customHeight="1">
      <c r="A72" s="1727"/>
      <c r="G72" s="1962"/>
      <c r="H72" s="1962"/>
      <c r="I72" s="1962"/>
      <c r="J72" s="1962"/>
      <c r="K72" s="1962"/>
      <c r="L72" s="1962"/>
      <c r="M72" s="1370"/>
      <c r="N72" s="1370"/>
      <c r="O72" s="1370"/>
      <c r="R72" s="1538"/>
      <c r="S72" s="1349"/>
      <c r="T72" s="1349"/>
      <c r="U72" s="1529"/>
    </row>
    <row r="73" spans="1:25" ht="15" customHeight="1">
      <c r="A73" s="1810" t="s">
        <v>855</v>
      </c>
      <c r="B73" s="1784">
        <f>B40</f>
        <v>39.468619947577345</v>
      </c>
      <c r="C73" s="1784">
        <f t="shared" ref="C73:H73" si="44">C40</f>
        <v>152.43583366097994</v>
      </c>
      <c r="D73" s="1784">
        <f t="shared" si="44"/>
        <v>118.2256199582061</v>
      </c>
      <c r="E73" s="1784">
        <f t="shared" si="44"/>
        <v>143.57870799710253</v>
      </c>
      <c r="F73" s="1784">
        <f t="shared" si="44"/>
        <v>160.08923749887896</v>
      </c>
      <c r="G73" s="1784">
        <f t="shared" si="44"/>
        <v>198.0593524782613</v>
      </c>
      <c r="H73" s="1784">
        <f t="shared" si="44"/>
        <v>297.87400000000014</v>
      </c>
      <c r="I73" s="1784">
        <f t="shared" ref="I73:N73" si="45">I40</f>
        <v>389.37299999999954</v>
      </c>
      <c r="J73" s="1784">
        <f>J40</f>
        <v>487.75699999999966</v>
      </c>
      <c r="K73" s="1784">
        <f t="shared" si="45"/>
        <v>556.653087561029</v>
      </c>
      <c r="L73" s="1784">
        <f t="shared" si="45"/>
        <v>608.08181661176241</v>
      </c>
      <c r="M73" s="1784">
        <f t="shared" si="45"/>
        <v>664.27634443176203</v>
      </c>
      <c r="N73" s="1784">
        <f t="shared" si="45"/>
        <v>729.72859902902542</v>
      </c>
      <c r="O73" s="1784">
        <f t="shared" ref="O73" si="46">O40</f>
        <v>792.86346330198444</v>
      </c>
      <c r="R73" s="1538"/>
      <c r="S73" s="1349"/>
      <c r="T73" s="1349"/>
      <c r="U73" s="1529"/>
    </row>
    <row r="74" spans="1:25" ht="15" customHeight="1">
      <c r="A74" s="1727" t="s">
        <v>875</v>
      </c>
      <c r="B74" s="1797">
        <f>'qtrP&amp;L_new'!$AI$323</f>
        <v>75.286000000000001</v>
      </c>
      <c r="C74" s="1797">
        <f>'qtrP&amp;L_new'!$AM$323</f>
        <v>5.9849999999999994</v>
      </c>
      <c r="D74" s="1797">
        <f>'qtrP&amp;L_new'!$AQ$323</f>
        <v>43.702000000000005</v>
      </c>
      <c r="E74" s="1797">
        <f>'qtrP&amp;L_new'!$AU$323</f>
        <v>22.894999999999996</v>
      </c>
      <c r="F74" s="1797">
        <f>'qtrP&amp;L_new'!$AY$323</f>
        <v>55.404999999999994</v>
      </c>
      <c r="G74" s="1797">
        <f>'qtrP&amp;L_new'!$BC$323</f>
        <v>82.425000000000011</v>
      </c>
      <c r="H74" s="1797">
        <f>'qtrP&amp;L_new'!$BG$323</f>
        <v>13.985000000000001</v>
      </c>
      <c r="I74" s="1797">
        <f>'qtrP&amp;L_new'!$BK$323</f>
        <v>11.645</v>
      </c>
      <c r="J74" s="1797">
        <f>'qtrP&amp;L_new'!$BO$323</f>
        <v>7.3629999999999987</v>
      </c>
      <c r="K74" s="1784">
        <f>'qtrP&amp;L_new'!$BS$323</f>
        <v>-4.9000000000000002E-2</v>
      </c>
      <c r="L74" s="1797">
        <f>K74</f>
        <v>-4.9000000000000002E-2</v>
      </c>
      <c r="M74" s="1797">
        <f>L74</f>
        <v>-4.9000000000000002E-2</v>
      </c>
      <c r="N74" s="1797">
        <f>M74</f>
        <v>-4.9000000000000002E-2</v>
      </c>
      <c r="O74" s="1797">
        <f>N74</f>
        <v>-4.9000000000000002E-2</v>
      </c>
      <c r="R74" s="1538"/>
      <c r="S74" s="1349"/>
      <c r="T74" s="1349"/>
      <c r="U74" s="1529"/>
    </row>
    <row r="75" spans="1:25" ht="15" customHeight="1">
      <c r="A75" s="1735" t="s">
        <v>859</v>
      </c>
      <c r="B75" s="1811">
        <f>B73+B74</f>
        <v>114.75461994757734</v>
      </c>
      <c r="C75" s="1811">
        <f t="shared" ref="C75:H75" si="47">C73+C74</f>
        <v>158.42083366097995</v>
      </c>
      <c r="D75" s="1811">
        <f t="shared" si="47"/>
        <v>161.92761995820609</v>
      </c>
      <c r="E75" s="1811">
        <f t="shared" si="47"/>
        <v>166.47370799710251</v>
      </c>
      <c r="F75" s="1811">
        <f t="shared" si="47"/>
        <v>215.49423749887896</v>
      </c>
      <c r="G75" s="1811">
        <f t="shared" si="47"/>
        <v>280.48435247826131</v>
      </c>
      <c r="H75" s="1811">
        <f t="shared" si="47"/>
        <v>311.85900000000015</v>
      </c>
      <c r="I75" s="1811">
        <f t="shared" ref="I75:N75" si="48">I73+I74</f>
        <v>401.01799999999952</v>
      </c>
      <c r="J75" s="1811">
        <f t="shared" si="48"/>
        <v>495.11999999999966</v>
      </c>
      <c r="K75" s="1811">
        <f t="shared" si="48"/>
        <v>556.60408756102902</v>
      </c>
      <c r="L75" s="1811">
        <f t="shared" si="48"/>
        <v>608.03281661176243</v>
      </c>
      <c r="M75" s="1811">
        <f t="shared" si="48"/>
        <v>664.22734443176205</v>
      </c>
      <c r="N75" s="1811">
        <f t="shared" si="48"/>
        <v>729.67959902902544</v>
      </c>
      <c r="O75" s="1811">
        <f t="shared" ref="O75" si="49">O73+O74</f>
        <v>792.81446330198446</v>
      </c>
      <c r="R75" s="1539">
        <f>((J75/E75)^(1/5)-1)*100</f>
        <v>24.357780800545868</v>
      </c>
      <c r="S75" s="1349" t="s">
        <v>102</v>
      </c>
      <c r="T75" s="1540">
        <f>((O75/J75)^(1/5)-1)*100</f>
        <v>9.8733127427745657</v>
      </c>
      <c r="U75" s="1529" t="s">
        <v>102</v>
      </c>
    </row>
    <row r="76" spans="1:25" ht="15" customHeight="1">
      <c r="A76" s="1795" t="s">
        <v>56</v>
      </c>
      <c r="B76" s="1587">
        <f t="shared" ref="B76:K76" si="50">B75/B8</f>
        <v>3.2573778396968345E-2</v>
      </c>
      <c r="C76" s="1587">
        <f t="shared" si="50"/>
        <v>4.3171121462485564E-2</v>
      </c>
      <c r="D76" s="1587">
        <f t="shared" si="50"/>
        <v>4.2014008843025724E-2</v>
      </c>
      <c r="E76" s="1587">
        <f t="shared" si="50"/>
        <v>4.0832061006104349E-2</v>
      </c>
      <c r="F76" s="1587">
        <f t="shared" si="50"/>
        <v>4.8671731560403005E-2</v>
      </c>
      <c r="G76" s="1587">
        <f t="shared" si="50"/>
        <v>5.8258203228881172E-2</v>
      </c>
      <c r="H76" s="1587">
        <f t="shared" si="50"/>
        <v>6.1161631494595373E-2</v>
      </c>
      <c r="I76" s="1587">
        <f t="shared" si="50"/>
        <v>7.2047298275721358E-2</v>
      </c>
      <c r="J76" s="1587">
        <f t="shared" si="50"/>
        <v>8.1370425748500383E-2</v>
      </c>
      <c r="K76" s="1587">
        <f t="shared" si="50"/>
        <v>8.4495490199626822E-2</v>
      </c>
      <c r="L76" s="1587">
        <f>L75/L8</f>
        <v>8.3610504604993391E-2</v>
      </c>
      <c r="M76" s="1587">
        <f>M75/M8</f>
        <v>8.3059575182331674E-2</v>
      </c>
      <c r="N76" s="1587">
        <f>N75/N8</f>
        <v>8.3263866682648263E-2</v>
      </c>
      <c r="O76" s="1587">
        <f>O75/O8</f>
        <v>8.2814579214940051E-2</v>
      </c>
      <c r="R76" s="1538"/>
      <c r="S76" s="1349"/>
      <c r="T76" s="1349"/>
      <c r="U76" s="1529"/>
    </row>
    <row r="77" spans="1:25" ht="15" customHeight="1">
      <c r="A77" s="1810" t="s">
        <v>873</v>
      </c>
      <c r="B77" s="1784">
        <f>B33</f>
        <v>156.38800000000001</v>
      </c>
      <c r="C77" s="1784">
        <f t="shared" ref="C77:H77" si="51">C33</f>
        <v>146.75899999999999</v>
      </c>
      <c r="D77" s="1784">
        <f t="shared" si="51"/>
        <v>153.07</v>
      </c>
      <c r="E77" s="1784">
        <f t="shared" si="51"/>
        <v>166.79874882999997</v>
      </c>
      <c r="F77" s="1784">
        <f t="shared" si="51"/>
        <v>168.19400000000002</v>
      </c>
      <c r="G77" s="1784">
        <f t="shared" si="51"/>
        <v>167.58</v>
      </c>
      <c r="H77" s="1784">
        <f t="shared" si="51"/>
        <v>172.09900000000002</v>
      </c>
      <c r="I77" s="1784">
        <f t="shared" ref="I77:N77" si="52">I33</f>
        <v>183.58600000000001</v>
      </c>
      <c r="J77" s="1784">
        <f t="shared" si="52"/>
        <v>201.10300000000001</v>
      </c>
      <c r="K77" s="1784">
        <f t="shared" si="52"/>
        <v>225.71548000000001</v>
      </c>
      <c r="L77" s="1784">
        <f t="shared" si="52"/>
        <v>249.18084738921414</v>
      </c>
      <c r="M77" s="1784">
        <f t="shared" si="52"/>
        <v>274.01575129373856</v>
      </c>
      <c r="N77" s="1784">
        <f t="shared" si="52"/>
        <v>300.27841321814662</v>
      </c>
      <c r="O77" s="1784">
        <f t="shared" ref="O77" si="53">O33</f>
        <v>328.0297614982685</v>
      </c>
      <c r="R77" s="1538"/>
      <c r="S77" s="1349"/>
      <c r="T77" s="1349"/>
      <c r="U77" s="1529"/>
    </row>
    <row r="78" spans="1:25" s="1292" customFormat="1" ht="15" customHeight="1">
      <c r="A78" s="1570" t="s">
        <v>340</v>
      </c>
      <c r="B78" s="1571">
        <f>B77+B75</f>
        <v>271.14261994757737</v>
      </c>
      <c r="C78" s="1571">
        <f t="shared" ref="C78:H78" si="54">C77+C75</f>
        <v>305.17983366097997</v>
      </c>
      <c r="D78" s="1571">
        <f t="shared" si="54"/>
        <v>314.99761995820609</v>
      </c>
      <c r="E78" s="1571">
        <f t="shared" si="54"/>
        <v>333.27245682710247</v>
      </c>
      <c r="F78" s="1571">
        <f t="shared" si="54"/>
        <v>383.68823749887895</v>
      </c>
      <c r="G78" s="1571">
        <f t="shared" si="54"/>
        <v>448.0643524782613</v>
      </c>
      <c r="H78" s="1571">
        <f t="shared" si="54"/>
        <v>483.9580000000002</v>
      </c>
      <c r="I78" s="1571">
        <f t="shared" ref="I78:N78" si="55">I77+I75</f>
        <v>584.60399999999959</v>
      </c>
      <c r="J78" s="1571">
        <f t="shared" si="55"/>
        <v>696.22299999999973</v>
      </c>
      <c r="K78" s="1571">
        <f t="shared" si="55"/>
        <v>782.31956756102909</v>
      </c>
      <c r="L78" s="1910">
        <f t="shared" si="55"/>
        <v>857.21366400097656</v>
      </c>
      <c r="M78" s="1527">
        <f t="shared" si="55"/>
        <v>938.24309572550055</v>
      </c>
      <c r="N78" s="1571">
        <f t="shared" si="55"/>
        <v>1029.9580122471721</v>
      </c>
      <c r="O78" s="1572">
        <f t="shared" ref="O78" si="56">O77+O75</f>
        <v>1120.844224800253</v>
      </c>
      <c r="R78" s="1539">
        <f>((J78/E78)^(1/5)-1)*100</f>
        <v>15.875011070912205</v>
      </c>
      <c r="S78" s="1349" t="s">
        <v>102</v>
      </c>
      <c r="T78" s="1540">
        <f>((O78/J78)^(1/5)-1)*100</f>
        <v>9.9915642508156211</v>
      </c>
      <c r="U78" s="1529" t="s">
        <v>102</v>
      </c>
    </row>
    <row r="79" spans="1:25" ht="15" customHeight="1">
      <c r="A79" s="1282" t="s">
        <v>56</v>
      </c>
      <c r="B79" s="1587">
        <f t="shared" ref="B79:K79" si="57">B78/B8</f>
        <v>7.6965438255823845E-2</v>
      </c>
      <c r="C79" s="1587">
        <f t="shared" si="57"/>
        <v>8.3164286933836415E-2</v>
      </c>
      <c r="D79" s="1587">
        <f t="shared" si="57"/>
        <v>8.1729804920691929E-2</v>
      </c>
      <c r="E79" s="1587">
        <f t="shared" si="57"/>
        <v>8.174384683649491E-2</v>
      </c>
      <c r="F79" s="1587">
        <f t="shared" si="57"/>
        <v>8.6660186904193845E-2</v>
      </c>
      <c r="G79" s="1587">
        <f t="shared" si="57"/>
        <v>9.3065527098588202E-2</v>
      </c>
      <c r="H79" s="1587">
        <f t="shared" si="57"/>
        <v>9.4913601514983958E-2</v>
      </c>
      <c r="I79" s="1587">
        <f t="shared" si="57"/>
        <v>0.1050305441680419</v>
      </c>
      <c r="J79" s="1587">
        <f t="shared" si="57"/>
        <v>0.11442066958696517</v>
      </c>
      <c r="K79" s="1587">
        <f t="shared" si="57"/>
        <v>0.11876031245742764</v>
      </c>
      <c r="L79" s="1587">
        <f>L78/L8</f>
        <v>0.1178753268627942</v>
      </c>
      <c r="M79" s="1587">
        <f>M78/M8</f>
        <v>0.11732439744013248</v>
      </c>
      <c r="N79" s="1587">
        <f>N78/N8</f>
        <v>0.11752868894044909</v>
      </c>
      <c r="O79" s="1587">
        <f>O78/O8</f>
        <v>0.11707940147274087</v>
      </c>
      <c r="R79" s="1541"/>
      <c r="S79" s="1352"/>
      <c r="T79" s="1352"/>
      <c r="U79" s="1530"/>
    </row>
    <row r="80" spans="1:25" ht="15" customHeight="1"/>
    <row r="81" spans="1:52" ht="15" customHeight="1" outlineLevel="1">
      <c r="A81" s="1282" t="s">
        <v>887</v>
      </c>
      <c r="B81" s="1376">
        <v>274.72199999999987</v>
      </c>
      <c r="C81" s="1376">
        <v>308.60499999999968</v>
      </c>
      <c r="D81" s="1376">
        <v>315.08200000000016</v>
      </c>
      <c r="E81" s="1376">
        <v>331.48724535699478</v>
      </c>
      <c r="F81" s="1376">
        <v>383.18099999999981</v>
      </c>
      <c r="G81" s="1376">
        <v>447.91999999999979</v>
      </c>
      <c r="H81" s="1376">
        <v>493.2202133020524</v>
      </c>
    </row>
    <row r="82" spans="1:52">
      <c r="I82" s="1212"/>
    </row>
    <row r="83" spans="1:52">
      <c r="A83" s="1778" t="s">
        <v>78</v>
      </c>
      <c r="F83" s="1670"/>
      <c r="G83" s="1670"/>
      <c r="H83" s="1670"/>
      <c r="I83" s="1670"/>
      <c r="J83" s="1670"/>
      <c r="K83" s="1670"/>
      <c r="L83" s="1670"/>
      <c r="M83" s="1670"/>
      <c r="N83" s="1670"/>
      <c r="O83" s="1670"/>
    </row>
    <row r="84" spans="1:52">
      <c r="J84" s="1306"/>
      <c r="K84" s="1306"/>
      <c r="L84" s="1306"/>
      <c r="M84" s="1306"/>
      <c r="N84" s="1306"/>
      <c r="O84" s="1306"/>
    </row>
    <row r="85" spans="1:52">
      <c r="K85" s="1306"/>
      <c r="L85" s="1306"/>
      <c r="M85" s="1306"/>
      <c r="N85" s="1306"/>
      <c r="O85" s="1306"/>
    </row>
    <row r="86" spans="1:52">
      <c r="J86" s="1785"/>
    </row>
    <row r="87" spans="1:52">
      <c r="I87" s="1306"/>
      <c r="J87" s="1306"/>
      <c r="W87" s="1306"/>
    </row>
    <row r="89" spans="1:52" hidden="1" outlineLevel="1">
      <c r="A89" s="1812" t="s">
        <v>351</v>
      </c>
    </row>
    <row r="90" spans="1:52" ht="4.5" hidden="1" customHeight="1" outlineLevel="1">
      <c r="A90" s="1812"/>
    </row>
    <row r="91" spans="1:52" hidden="1" outlineLevel="1">
      <c r="A91" s="1283" t="s">
        <v>352</v>
      </c>
    </row>
    <row r="92" spans="1:52" ht="4.5" hidden="1" customHeight="1" outlineLevel="1"/>
    <row r="93" spans="1:52" hidden="1" outlineLevel="1">
      <c r="A93" s="1282" t="s">
        <v>409</v>
      </c>
      <c r="AN93" s="1291"/>
      <c r="AR93" s="1291"/>
      <c r="AV93" s="1291"/>
      <c r="AZ93" s="1291"/>
    </row>
    <row r="94" spans="1:52" ht="4.5" hidden="1" customHeight="1" outlineLevel="1">
      <c r="AN94" s="1291"/>
      <c r="AR94" s="1291"/>
      <c r="AV94" s="1291"/>
      <c r="AZ94" s="1291"/>
    </row>
    <row r="95" spans="1:52" hidden="1" outlineLevel="1">
      <c r="A95" s="1282" t="s">
        <v>410</v>
      </c>
      <c r="AN95" s="1291"/>
      <c r="AR95" s="1291"/>
      <c r="AV95" s="1291"/>
      <c r="AZ95" s="1291"/>
    </row>
    <row r="96" spans="1:52" ht="4.5" hidden="1" customHeight="1" outlineLevel="1">
      <c r="AN96" s="1291"/>
      <c r="AR96" s="1291"/>
      <c r="AV96" s="1291"/>
      <c r="AZ96" s="1291"/>
    </row>
    <row r="97" spans="1:52" hidden="1" outlineLevel="1">
      <c r="A97" s="1282" t="s">
        <v>412</v>
      </c>
      <c r="AN97" s="1291"/>
      <c r="AR97" s="1291"/>
      <c r="AV97" s="1291"/>
      <c r="AZ97" s="1291"/>
    </row>
    <row r="98" spans="1:52" ht="4.5" hidden="1" customHeight="1" outlineLevel="1">
      <c r="A98" s="1778"/>
    </row>
    <row r="99" spans="1:52" hidden="1" outlineLevel="1">
      <c r="A99" s="1282" t="s">
        <v>413</v>
      </c>
      <c r="AN99" s="1291"/>
      <c r="AR99" s="1291"/>
      <c r="AV99" s="1291"/>
      <c r="AZ99" s="1291"/>
    </row>
    <row r="100" spans="1:52" ht="4.5" hidden="1" customHeight="1" outlineLevel="1">
      <c r="AN100" s="1291"/>
      <c r="AR100" s="1291"/>
      <c r="AV100" s="1291"/>
      <c r="AZ100" s="1291"/>
    </row>
    <row r="101" spans="1:52" hidden="1" outlineLevel="1">
      <c r="A101" s="1282" t="s">
        <v>411</v>
      </c>
      <c r="AN101" s="1291"/>
      <c r="AR101" s="1291"/>
      <c r="AV101" s="1291"/>
      <c r="AZ101" s="1291"/>
    </row>
    <row r="102" spans="1:52" ht="4.5" hidden="1" customHeight="1" outlineLevel="1">
      <c r="AN102" s="1291"/>
      <c r="AR102" s="1291"/>
      <c r="AV102" s="1291"/>
      <c r="AZ102" s="1291"/>
    </row>
    <row r="103" spans="1:52" hidden="1" outlineLevel="1">
      <c r="A103" s="1282" t="s">
        <v>403</v>
      </c>
      <c r="AN103" s="1291"/>
      <c r="AR103" s="1291"/>
      <c r="AV103" s="1291"/>
      <c r="AZ103" s="1291"/>
    </row>
    <row r="104" spans="1:52" ht="4.5" hidden="1" customHeight="1" outlineLevel="1"/>
    <row r="105" spans="1:52" hidden="1" outlineLevel="1">
      <c r="A105" s="1282" t="s">
        <v>404</v>
      </c>
      <c r="AN105" s="1291"/>
      <c r="AR105" s="1291"/>
      <c r="AV105" s="1291"/>
      <c r="AZ105" s="1291"/>
    </row>
    <row r="106" spans="1:52" ht="4.5" hidden="1" customHeight="1" outlineLevel="1"/>
    <row r="107" spans="1:52" hidden="1" outlineLevel="1">
      <c r="A107" s="1282" t="s">
        <v>407</v>
      </c>
    </row>
    <row r="108" spans="1:52" ht="4.5" hidden="1" customHeight="1" outlineLevel="1"/>
    <row r="109" spans="1:52" hidden="1" outlineLevel="1">
      <c r="A109" s="1282" t="s">
        <v>406</v>
      </c>
    </row>
    <row r="110" spans="1:52" ht="4.5" hidden="1" customHeight="1" outlineLevel="1"/>
    <row r="111" spans="1:52" hidden="1" outlineLevel="1">
      <c r="A111" s="1282" t="s">
        <v>405</v>
      </c>
    </row>
    <row r="112" spans="1:52" ht="4.5" hidden="1" customHeight="1" outlineLevel="1"/>
    <row r="113" spans="1:10" ht="12" hidden="1" customHeight="1" outlineLevel="1">
      <c r="A113" s="1282" t="s">
        <v>362</v>
      </c>
    </row>
    <row r="114" spans="1:10" hidden="1" outlineLevel="1"/>
    <row r="115" spans="1:10" hidden="1" outlineLevel="1"/>
    <row r="116" spans="1:10" collapsed="1"/>
    <row r="118" spans="1:10">
      <c r="J118" s="1785"/>
    </row>
    <row r="119" spans="1:10">
      <c r="J119" s="1785"/>
    </row>
    <row r="65536" spans="20:20">
      <c r="T65536" s="1540"/>
    </row>
  </sheetData>
  <printOptions horizontalCentered="1" verticalCentered="1"/>
  <pageMargins left="0.7" right="0.7" top="0.75" bottom="0.75" header="0.3" footer="0.3"/>
  <pageSetup scale="46" orientation="portrait" horizontalDpi="300" verticalDpi="3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pageSetUpPr fitToPage="1"/>
  </sheetPr>
  <dimension ref="A1:AH47"/>
  <sheetViews>
    <sheetView zoomScaleNormal="100" workbookViewId="0">
      <selection activeCell="AI41" sqref="AI41"/>
    </sheetView>
  </sheetViews>
  <sheetFormatPr defaultRowHeight="12.75" outlineLevelRow="1" outlineLevelCol="2"/>
  <cols>
    <col min="1" max="1" width="28.85546875" style="1282" customWidth="1"/>
    <col min="2" max="6" width="11.28515625" style="1282" hidden="1" customWidth="1" outlineLevel="1"/>
    <col min="7" max="7" width="11.28515625" style="1282" hidden="1" customWidth="1" outlineLevel="1" collapsed="1"/>
    <col min="8" max="11" width="11.28515625" style="1282" hidden="1" customWidth="1" outlineLevel="1"/>
    <col min="12" max="13" width="11.28515625" style="1282" hidden="1" customWidth="1" outlineLevel="1" collapsed="1"/>
    <col min="14" max="14" width="11.28515625" style="1282" hidden="1" customWidth="1" outlineLevel="1"/>
    <col min="15" max="15" width="11.28515625" style="1282" hidden="1" customWidth="1" outlineLevel="2"/>
    <col min="16" max="16" width="11.28515625" style="1282" hidden="1" customWidth="1" outlineLevel="1" collapsed="1"/>
    <col min="17" max="17" width="9.140625" style="1282" collapsed="1"/>
    <col min="18" max="22" width="9.140625" style="1282"/>
    <col min="23" max="26" width="9.140625" style="1282" customWidth="1" outlineLevel="1"/>
    <col min="27" max="27" width="2.28515625" style="1282" customWidth="1" outlineLevel="1"/>
    <col min="28" max="28" width="9.140625" style="1850"/>
    <col min="29" max="29" width="2.42578125" style="1850" customWidth="1"/>
    <col min="30" max="30" width="9.140625" style="1850"/>
    <col min="31" max="31" width="2.28515625" style="1850" customWidth="1"/>
    <col min="32" max="32" width="2.42578125" style="1282" customWidth="1"/>
    <col min="33" max="16384" width="9.140625" style="1282"/>
  </cols>
  <sheetData>
    <row r="1" spans="1:34">
      <c r="A1" s="1283" t="s">
        <v>441</v>
      </c>
    </row>
    <row r="2" spans="1:34" s="1352" customFormat="1">
      <c r="A2" s="1246" t="s">
        <v>1079</v>
      </c>
      <c r="AB2" s="1898"/>
      <c r="AC2" s="1898"/>
      <c r="AD2" s="1898"/>
      <c r="AE2" s="1898"/>
    </row>
    <row r="4" spans="1:34">
      <c r="B4" s="1303" t="s">
        <v>260</v>
      </c>
      <c r="C4" s="1303"/>
      <c r="D4" s="1303"/>
      <c r="E4" s="1303"/>
      <c r="F4" s="1303"/>
      <c r="G4" s="1303" t="s">
        <v>260</v>
      </c>
      <c r="H4" s="1304"/>
      <c r="I4" s="1304"/>
      <c r="J4" s="1304"/>
      <c r="K4" s="1304"/>
      <c r="L4" s="1303" t="s">
        <v>989</v>
      </c>
      <c r="M4" s="1304"/>
      <c r="N4" s="1304"/>
      <c r="O4" s="1304"/>
      <c r="P4" s="1304"/>
      <c r="Q4" s="1304"/>
      <c r="R4" s="1304"/>
      <c r="S4" s="1304"/>
      <c r="T4" s="1304"/>
      <c r="U4" s="1304"/>
      <c r="V4" s="1304"/>
      <c r="W4" s="1304"/>
      <c r="X4" s="1304"/>
      <c r="Y4" s="1304"/>
      <c r="Z4" s="1304"/>
      <c r="AB4" s="1899"/>
      <c r="AC4" s="1900" t="s">
        <v>42</v>
      </c>
      <c r="AD4" s="1901"/>
      <c r="AE4" s="1902"/>
    </row>
    <row r="5" spans="1:34" s="1349" customFormat="1">
      <c r="B5" s="1673"/>
      <c r="C5" s="1673"/>
      <c r="D5" s="1673" t="s">
        <v>265</v>
      </c>
      <c r="E5" s="1673" t="s">
        <v>264</v>
      </c>
      <c r="F5" s="1673"/>
      <c r="G5" s="1673" t="s">
        <v>266</v>
      </c>
      <c r="H5" s="1673" t="s">
        <v>263</v>
      </c>
      <c r="I5" s="1395" t="s">
        <v>264</v>
      </c>
      <c r="J5" s="1395"/>
      <c r="K5" s="1395"/>
      <c r="L5" s="1634" t="s">
        <v>261</v>
      </c>
      <c r="M5" s="1634" t="s">
        <v>84</v>
      </c>
      <c r="N5" s="1634" t="s">
        <v>242</v>
      </c>
      <c r="O5" s="1634"/>
      <c r="P5" s="1634" t="s">
        <v>393</v>
      </c>
      <c r="Q5" s="1634" t="s">
        <v>611</v>
      </c>
      <c r="R5" s="1634" t="s">
        <v>626</v>
      </c>
      <c r="S5" s="1634" t="s">
        <v>933</v>
      </c>
      <c r="T5" s="1634" t="s">
        <v>988</v>
      </c>
      <c r="U5" s="1883" t="s">
        <v>245</v>
      </c>
      <c r="V5" s="1883" t="s">
        <v>341</v>
      </c>
      <c r="W5" s="1883" t="s">
        <v>420</v>
      </c>
      <c r="X5" s="1883" t="str">
        <f>'yrP&amp;L_new'!M$5</f>
        <v>2020E</v>
      </c>
      <c r="Y5" s="1883" t="str">
        <f>'yrP&amp;L_new'!N$5</f>
        <v>2021E</v>
      </c>
      <c r="Z5" s="1883" t="str">
        <f>'yrP&amp;L_new'!O$5</f>
        <v>2022E</v>
      </c>
      <c r="AB5" s="1903"/>
      <c r="AC5" s="1904"/>
      <c r="AD5" s="1905"/>
      <c r="AE5" s="1906"/>
    </row>
    <row r="6" spans="1:34">
      <c r="B6" s="1634" t="s">
        <v>252</v>
      </c>
      <c r="C6" s="1634" t="s">
        <v>253</v>
      </c>
      <c r="D6" s="1634" t="s">
        <v>254</v>
      </c>
      <c r="E6" s="1634" t="s">
        <v>255</v>
      </c>
      <c r="F6" s="1634" t="s">
        <v>166</v>
      </c>
      <c r="G6" s="1634" t="s">
        <v>96</v>
      </c>
      <c r="H6" s="1634" t="s">
        <v>95</v>
      </c>
      <c r="I6" s="1634" t="s">
        <v>94</v>
      </c>
      <c r="J6" s="1634" t="s">
        <v>93</v>
      </c>
      <c r="K6" s="1634" t="s">
        <v>83</v>
      </c>
      <c r="L6" s="1792" t="s">
        <v>265</v>
      </c>
      <c r="P6" s="1792" t="s">
        <v>394</v>
      </c>
      <c r="AB6" s="1983" t="s">
        <v>1073</v>
      </c>
      <c r="AC6" s="1984"/>
      <c r="AD6" s="1985" t="s">
        <v>1074</v>
      </c>
      <c r="AE6" s="1907"/>
    </row>
    <row r="7" spans="1:34">
      <c r="K7" s="1651"/>
      <c r="Q7" s="1587"/>
      <c r="R7" s="1587"/>
      <c r="S7" s="1587"/>
      <c r="T7" s="1587"/>
      <c r="U7" s="1587"/>
      <c r="V7" s="1587"/>
      <c r="W7" s="1587"/>
      <c r="X7" s="1587"/>
      <c r="Y7" s="1587"/>
      <c r="Z7" s="1587"/>
      <c r="AB7" s="1903"/>
      <c r="AC7" s="1905"/>
      <c r="AD7" s="1905"/>
      <c r="AE7" s="1906"/>
    </row>
    <row r="8" spans="1:34">
      <c r="A8" s="1282" t="s">
        <v>104</v>
      </c>
      <c r="B8" s="1884">
        <v>2198.6959999999999</v>
      </c>
      <c r="C8" s="1884">
        <v>2400.2890000000002</v>
      </c>
      <c r="D8" s="1884">
        <v>2533.7080000000001</v>
      </c>
      <c r="E8" s="1884">
        <v>2655.0720000000001</v>
      </c>
      <c r="F8" s="1884">
        <v>2833.4839999999999</v>
      </c>
      <c r="G8" s="1884">
        <v>3171.2420000000002</v>
      </c>
      <c r="H8" s="1884">
        <v>3438.8130000000001</v>
      </c>
      <c r="I8" s="1884">
        <v>3403.4070000000002</v>
      </c>
      <c r="J8" s="1884">
        <v>3393.4169999999999</v>
      </c>
      <c r="K8" s="1884">
        <v>3541.9810000000002</v>
      </c>
      <c r="L8" s="1794">
        <f>qtrSales!$S73</f>
        <v>3522.9139999999998</v>
      </c>
      <c r="M8" s="1794">
        <f>qtrSales!$S80</f>
        <v>3669.6019999999999</v>
      </c>
      <c r="N8" s="1794">
        <f>qtrSales!$S87</f>
        <v>3854.134</v>
      </c>
      <c r="O8" s="1794"/>
      <c r="P8" s="1794">
        <f>qtrSales!$S94</f>
        <v>4077.034171070005</v>
      </c>
      <c r="Q8" s="1794">
        <f>qtrSales!$S101</f>
        <v>4427.3630387229168</v>
      </c>
      <c r="R8" s="1794">
        <f>qtrSales!$S108</f>
        <v>4814.5039999999999</v>
      </c>
      <c r="S8" s="1643">
        <f>'qtrP&amp;L_new'!BG15</f>
        <v>5098.9319999999998</v>
      </c>
      <c r="T8" s="1643">
        <f>'qtrP&amp;L_new'!BK15</f>
        <v>5566.0379999999996</v>
      </c>
      <c r="U8" s="1643">
        <f>'qtrP&amp;L_new'!$BO$15</f>
        <v>6084.7659999999996</v>
      </c>
      <c r="V8" s="1643">
        <f>'qtrP&amp;L_new'!$BS$15</f>
        <v>6587.3821933692661</v>
      </c>
      <c r="W8" s="1643">
        <f>V8*(1+(W40+W42*W20))</f>
        <v>7272.2060401899489</v>
      </c>
      <c r="X8" s="1643">
        <f>W8*(1+(X40+X42*X20))</f>
        <v>7996.9990572869638</v>
      </c>
      <c r="Y8" s="1643">
        <f>X8*(1+(Y40+Y42*Y20))</f>
        <v>8763.46040726315</v>
      </c>
      <c r="Z8" s="1643">
        <f>Y8*(1+(Z40+Z42*Z20))</f>
        <v>9573.3682501034527</v>
      </c>
      <c r="AB8" s="1803">
        <f>((U8/P8)^(1/5)-1)*100</f>
        <v>8.3377735068880021</v>
      </c>
      <c r="AC8" s="1783" t="s">
        <v>102</v>
      </c>
      <c r="AD8" s="1798">
        <f>((Z8/U8)^(1/5)-1)*100</f>
        <v>9.4874085738652969</v>
      </c>
      <c r="AE8" s="1908" t="s">
        <v>102</v>
      </c>
      <c r="AH8" s="1587"/>
    </row>
    <row r="9" spans="1:34">
      <c r="A9" s="1795" t="s">
        <v>40</v>
      </c>
      <c r="B9" s="1885" t="s">
        <v>90</v>
      </c>
      <c r="C9" s="1587">
        <f t="shared" ref="C9:I9" si="0">C8/B8-1</f>
        <v>9.1687527516309819E-2</v>
      </c>
      <c r="D9" s="1587">
        <f t="shared" si="0"/>
        <v>5.5584556692964915E-2</v>
      </c>
      <c r="E9" s="1587">
        <f t="shared" si="0"/>
        <v>4.7899757983161484E-2</v>
      </c>
      <c r="F9" s="1587">
        <f t="shared" si="0"/>
        <v>6.7196671126056096E-2</v>
      </c>
      <c r="G9" s="1587">
        <f>G8/F8-1</f>
        <v>0.11920236712118371</v>
      </c>
      <c r="H9" s="1587">
        <f t="shared" si="0"/>
        <v>8.4374197869478307E-2</v>
      </c>
      <c r="I9" s="1587">
        <f t="shared" si="0"/>
        <v>-1.0295994577198542E-2</v>
      </c>
      <c r="J9" s="1587">
        <f>J8/I8-1</f>
        <v>-2.9352939569085024E-3</v>
      </c>
      <c r="K9" s="1587">
        <f>K8/J8-1</f>
        <v>4.378006003977708E-2</v>
      </c>
      <c r="L9" s="1796" t="s">
        <v>90</v>
      </c>
      <c r="M9" s="1587">
        <f>M8/L8-1</f>
        <v>4.1638257419851943E-2</v>
      </c>
      <c r="N9" s="1587">
        <f>N8/M8-1</f>
        <v>5.0286652339954108E-2</v>
      </c>
      <c r="O9" s="1587"/>
      <c r="P9" s="1587">
        <f>P8/N8-1</f>
        <v>5.7834048081879086E-2</v>
      </c>
      <c r="Q9" s="1587">
        <f t="shared" ref="Q9:V9" si="1">Q8/P8-1</f>
        <v>8.5927380775660644E-2</v>
      </c>
      <c r="R9" s="1587">
        <f t="shared" si="1"/>
        <v>8.7442786573191267E-2</v>
      </c>
      <c r="S9" s="1587">
        <f t="shared" si="1"/>
        <v>5.9077321360621937E-2</v>
      </c>
      <c r="T9" s="1587">
        <f t="shared" si="1"/>
        <v>9.1608595682389993E-2</v>
      </c>
      <c r="U9" s="1587">
        <f t="shared" si="1"/>
        <v>9.3195195577177259E-2</v>
      </c>
      <c r="V9" s="1587">
        <f t="shared" si="1"/>
        <v>8.2602386578097819E-2</v>
      </c>
      <c r="W9" s="1587">
        <f>W8/V8-1</f>
        <v>0.1039599383667178</v>
      </c>
      <c r="X9" s="1587">
        <f>X8/W8-1</f>
        <v>9.9666182873729969E-2</v>
      </c>
      <c r="Y9" s="1587">
        <f>Y8/X8-1</f>
        <v>9.5843621399176904E-2</v>
      </c>
      <c r="Z9" s="1587">
        <f>Z8/Y8-1</f>
        <v>9.2418725617685382E-2</v>
      </c>
      <c r="AB9" s="1803"/>
      <c r="AC9" s="1783"/>
      <c r="AD9" s="1798"/>
      <c r="AE9" s="1908"/>
    </row>
    <row r="10" spans="1:34" outlineLevel="1">
      <c r="A10" s="1282" t="s">
        <v>258</v>
      </c>
      <c r="B10" s="1884">
        <v>27.486999999999998</v>
      </c>
      <c r="C10" s="1884">
        <v>28.295000000000002</v>
      </c>
      <c r="D10" s="1884">
        <v>20.048999999999999</v>
      </c>
      <c r="E10" s="1884">
        <v>23.056000000000001</v>
      </c>
      <c r="F10" s="1884">
        <v>26.475999999999999</v>
      </c>
      <c r="G10" s="1884">
        <v>28.597999999999999</v>
      </c>
      <c r="H10" s="1884">
        <v>31.741</v>
      </c>
      <c r="I10" s="1884">
        <v>38.238</v>
      </c>
      <c r="J10" s="1884">
        <v>30.556000000000001</v>
      </c>
      <c r="K10" s="1884">
        <v>29.385999999999999</v>
      </c>
      <c r="L10" s="1794">
        <f>qtrSales!AR73</f>
        <v>30.84</v>
      </c>
      <c r="M10" s="1794">
        <f>qtrSales!AR80</f>
        <v>31.486999999999998</v>
      </c>
      <c r="N10" s="1794">
        <f>qtrSales!AR87</f>
        <v>33.396999999999998</v>
      </c>
      <c r="O10" s="1794"/>
      <c r="P10" s="1794">
        <f>qtrSales!AR94</f>
        <v>34.125</v>
      </c>
      <c r="Q10" s="1643">
        <f>qtrSales!AR101</f>
        <v>35.896549999999998</v>
      </c>
      <c r="R10" s="1643">
        <f>qtrSales!AR108</f>
        <v>37.691377500000002</v>
      </c>
      <c r="S10" s="1643">
        <f>R10*(1+S11)</f>
        <v>39.575946375000001</v>
      </c>
      <c r="T10" s="1643">
        <f>S10*(1+T11)</f>
        <v>41.554743693750005</v>
      </c>
      <c r="U10" s="1643">
        <f>T10*(1+U11)</f>
        <v>43.632480878437505</v>
      </c>
      <c r="V10" s="1643">
        <f>U10*(1+V11)</f>
        <v>45.814104922359384</v>
      </c>
      <c r="W10" s="1643">
        <f>U10*(1+W11)</f>
        <v>45.814104922359384</v>
      </c>
      <c r="X10" s="1643">
        <f>V10*(1+X11)</f>
        <v>48.104810168477357</v>
      </c>
      <c r="Y10" s="1643">
        <f>X10*(1+Y11)</f>
        <v>50.51005067690123</v>
      </c>
      <c r="Z10" s="1643">
        <f>Y10*(1+Z11)</f>
        <v>53.035553210746293</v>
      </c>
      <c r="AB10" s="1803"/>
      <c r="AC10" s="1783"/>
      <c r="AD10" s="1798"/>
      <c r="AE10" s="1908"/>
    </row>
    <row r="11" spans="1:34" outlineLevel="1">
      <c r="A11" s="1795" t="s">
        <v>40</v>
      </c>
      <c r="B11" s="1885" t="s">
        <v>90</v>
      </c>
      <c r="C11" s="1587">
        <f t="shared" ref="C11:I11" si="2">C10/B10-1</f>
        <v>2.9395714337687062E-2</v>
      </c>
      <c r="D11" s="1587">
        <f t="shared" si="2"/>
        <v>-0.29142958119809159</v>
      </c>
      <c r="E11" s="1587">
        <f t="shared" si="2"/>
        <v>0.14998254277021306</v>
      </c>
      <c r="F11" s="1587">
        <f t="shared" si="2"/>
        <v>0.14833448993754339</v>
      </c>
      <c r="G11" s="1587">
        <f t="shared" si="2"/>
        <v>8.0148058619126772E-2</v>
      </c>
      <c r="H11" s="1587">
        <f t="shared" si="2"/>
        <v>0.10990279040492346</v>
      </c>
      <c r="I11" s="1587">
        <f t="shared" si="2"/>
        <v>0.20468794303897164</v>
      </c>
      <c r="J11" s="1587">
        <f t="shared" ref="J11:R11" si="3">J10/I10-1</f>
        <v>-0.20089962864166533</v>
      </c>
      <c r="K11" s="1587">
        <f t="shared" si="3"/>
        <v>-3.8290352140332606E-2</v>
      </c>
      <c r="L11" s="1796" t="s">
        <v>90</v>
      </c>
      <c r="M11" s="1587">
        <f t="shared" si="3"/>
        <v>2.0979247730220418E-2</v>
      </c>
      <c r="N11" s="1587">
        <f t="shared" si="3"/>
        <v>6.0659954902023028E-2</v>
      </c>
      <c r="O11" s="1587"/>
      <c r="P11" s="1587">
        <f>P10/N10-1</f>
        <v>2.1798365122615904E-2</v>
      </c>
      <c r="Q11" s="1587">
        <f t="shared" si="3"/>
        <v>5.1913553113553057E-2</v>
      </c>
      <c r="R11" s="1587">
        <f t="shared" si="3"/>
        <v>5.0000000000000044E-2</v>
      </c>
      <c r="S11" s="1886">
        <v>0.05</v>
      </c>
      <c r="T11" s="1886">
        <v>0.05</v>
      </c>
      <c r="U11" s="1886">
        <v>0.05</v>
      </c>
      <c r="V11" s="1886">
        <v>0.05</v>
      </c>
      <c r="W11" s="1886">
        <v>0.05</v>
      </c>
      <c r="X11" s="1886">
        <v>0.05</v>
      </c>
      <c r="Y11" s="1886">
        <v>0.05</v>
      </c>
      <c r="Z11" s="1886">
        <v>0.05</v>
      </c>
      <c r="AB11" s="1803"/>
      <c r="AC11" s="1783"/>
      <c r="AD11" s="1798"/>
      <c r="AE11" s="1908"/>
    </row>
    <row r="12" spans="1:34" outlineLevel="1">
      <c r="A12" s="1282" t="s">
        <v>39</v>
      </c>
      <c r="B12" s="1887">
        <v>2226.183</v>
      </c>
      <c r="C12" s="1794">
        <f t="shared" ref="C12:H12" si="4">C8+C10</f>
        <v>2428.5840000000003</v>
      </c>
      <c r="D12" s="1794">
        <f t="shared" si="4"/>
        <v>2553.7570000000001</v>
      </c>
      <c r="E12" s="1794">
        <f t="shared" si="4"/>
        <v>2678.1280000000002</v>
      </c>
      <c r="F12" s="1794">
        <f t="shared" si="4"/>
        <v>2859.96</v>
      </c>
      <c r="G12" s="1794">
        <f t="shared" si="4"/>
        <v>3199.84</v>
      </c>
      <c r="H12" s="1794">
        <f t="shared" si="4"/>
        <v>3470.5540000000001</v>
      </c>
      <c r="I12" s="1794">
        <f t="shared" ref="I12:U12" si="5">I8+I10</f>
        <v>3441.645</v>
      </c>
      <c r="J12" s="1794">
        <f t="shared" si="5"/>
        <v>3423.973</v>
      </c>
      <c r="K12" s="1794">
        <f t="shared" si="5"/>
        <v>3571.3670000000002</v>
      </c>
      <c r="L12" s="1794">
        <f t="shared" si="5"/>
        <v>3553.7539999999999</v>
      </c>
      <c r="M12" s="1794">
        <f t="shared" si="5"/>
        <v>3701.0889999999999</v>
      </c>
      <c r="N12" s="1794">
        <f t="shared" si="5"/>
        <v>3887.5309999999999</v>
      </c>
      <c r="O12" s="1794"/>
      <c r="P12" s="1794">
        <f t="shared" si="5"/>
        <v>4111.159171070005</v>
      </c>
      <c r="Q12" s="1643">
        <f t="shared" si="5"/>
        <v>4463.2595887229172</v>
      </c>
      <c r="R12" s="1643">
        <f t="shared" si="5"/>
        <v>4852.1953775000002</v>
      </c>
      <c r="S12" s="1643">
        <f t="shared" si="5"/>
        <v>5138.5079463749998</v>
      </c>
      <c r="T12" s="1643">
        <f t="shared" si="5"/>
        <v>5607.59274369375</v>
      </c>
      <c r="U12" s="1643">
        <f t="shared" si="5"/>
        <v>6128.3984808784371</v>
      </c>
      <c r="V12" s="1643">
        <f>V8+V10</f>
        <v>6633.1962982916257</v>
      </c>
      <c r="W12" s="1643">
        <f>W8+W10</f>
        <v>7318.0201451123085</v>
      </c>
      <c r="X12" s="1643">
        <f>X8+X10</f>
        <v>8045.1038674554411</v>
      </c>
      <c r="Y12" s="1643">
        <f>Y8+Y10</f>
        <v>8813.9704579400513</v>
      </c>
      <c r="Z12" s="1643">
        <f>Z8+Z10</f>
        <v>9626.4038033141987</v>
      </c>
      <c r="AB12" s="1803">
        <f>((P12/I12)^(1/5)-1)*100</f>
        <v>3.6190590050966698</v>
      </c>
      <c r="AC12" s="1783" t="s">
        <v>102</v>
      </c>
      <c r="AD12" s="1798">
        <f>((V12/P12)^(1/5)-1)*100</f>
        <v>10.040286290529</v>
      </c>
      <c r="AE12" s="1908" t="s">
        <v>102</v>
      </c>
    </row>
    <row r="13" spans="1:34" outlineLevel="1">
      <c r="A13" s="1795" t="s">
        <v>40</v>
      </c>
      <c r="B13" s="1887" t="s">
        <v>90</v>
      </c>
      <c r="C13" s="1587">
        <f t="shared" ref="C13:I13" si="6">C12/B12-1</f>
        <v>9.0918401586931763E-2</v>
      </c>
      <c r="D13" s="1587">
        <f t="shared" si="6"/>
        <v>5.1541556726059312E-2</v>
      </c>
      <c r="E13" s="1587">
        <f t="shared" si="6"/>
        <v>4.8701188092680647E-2</v>
      </c>
      <c r="F13" s="1587">
        <f t="shared" si="6"/>
        <v>6.7895186488472481E-2</v>
      </c>
      <c r="G13" s="1587">
        <f t="shared" si="6"/>
        <v>0.11884082294857268</v>
      </c>
      <c r="H13" s="1587">
        <f t="shared" si="6"/>
        <v>8.4602355117755934E-2</v>
      </c>
      <c r="I13" s="1587">
        <f t="shared" si="6"/>
        <v>-8.3297940328835862E-3</v>
      </c>
      <c r="J13" s="1587">
        <f t="shared" ref="J13:S13" si="7">J12/I12-1</f>
        <v>-5.134753874963871E-3</v>
      </c>
      <c r="K13" s="1587">
        <f t="shared" si="7"/>
        <v>4.3047652536979841E-2</v>
      </c>
      <c r="L13" s="1796" t="s">
        <v>90</v>
      </c>
      <c r="M13" s="1587">
        <f t="shared" si="7"/>
        <v>4.1458975494645944E-2</v>
      </c>
      <c r="N13" s="1587">
        <f t="shared" si="7"/>
        <v>5.0374903170391283E-2</v>
      </c>
      <c r="O13" s="1587"/>
      <c r="P13" s="1587">
        <f>P12/N12-1</f>
        <v>5.7524472748900379E-2</v>
      </c>
      <c r="Q13" s="1587">
        <f t="shared" si="7"/>
        <v>8.5645046324312357E-2</v>
      </c>
      <c r="R13" s="1587">
        <f t="shared" si="7"/>
        <v>8.7141646378755766E-2</v>
      </c>
      <c r="S13" s="1587">
        <f t="shared" si="7"/>
        <v>5.9006809619137179E-2</v>
      </c>
      <c r="T13" s="1587">
        <f>T12/S12-1</f>
        <v>9.1288133095069002E-2</v>
      </c>
      <c r="U13" s="1587">
        <f>U12/T12-1</f>
        <v>9.2875100063281257E-2</v>
      </c>
      <c r="V13" s="1587">
        <f>V12/U12-1</f>
        <v>8.2370266716212504E-2</v>
      </c>
      <c r="W13" s="1587">
        <f>W12/U12-1</f>
        <v>0.19411623900529262</v>
      </c>
      <c r="X13" s="1587">
        <f>X12/V12-1</f>
        <v>0.21285478458212537</v>
      </c>
      <c r="Y13" s="1587">
        <f>Y12/X12-1</f>
        <v>9.556950452745272E-2</v>
      </c>
      <c r="Z13" s="1587">
        <f>Z12/Y12-1</f>
        <v>9.2175637444106506E-2</v>
      </c>
      <c r="AB13" s="1803"/>
      <c r="AC13" s="1783"/>
      <c r="AD13" s="1798"/>
      <c r="AE13" s="1908"/>
    </row>
    <row r="14" spans="1:34">
      <c r="AB14" s="1803"/>
      <c r="AC14" s="1783"/>
      <c r="AD14" s="1798"/>
      <c r="AE14" s="1908"/>
    </row>
    <row r="15" spans="1:34">
      <c r="A15" s="1282" t="s">
        <v>43</v>
      </c>
      <c r="B15" s="1887" t="s">
        <v>90</v>
      </c>
      <c r="C15" s="1282">
        <f t="shared" ref="C15:I15" si="8">B18</f>
        <v>282</v>
      </c>
      <c r="D15" s="1282">
        <f t="shared" si="8"/>
        <v>295</v>
      </c>
      <c r="E15" s="1282">
        <f t="shared" si="8"/>
        <v>319</v>
      </c>
      <c r="F15" s="1282">
        <f t="shared" si="8"/>
        <v>335</v>
      </c>
      <c r="G15" s="1282">
        <f>F18</f>
        <v>349</v>
      </c>
      <c r="H15" s="1282">
        <f t="shared" si="8"/>
        <v>362</v>
      </c>
      <c r="I15" s="1282">
        <f t="shared" si="8"/>
        <v>368</v>
      </c>
      <c r="J15" s="1282">
        <f>I18</f>
        <v>379</v>
      </c>
      <c r="K15" s="1282">
        <f>J18</f>
        <v>397</v>
      </c>
      <c r="L15" s="1782">
        <v>433</v>
      </c>
      <c r="M15" s="1782">
        <v>442</v>
      </c>
      <c r="N15" s="1282">
        <f t="shared" ref="N15:V15" si="9">M18</f>
        <v>460</v>
      </c>
      <c r="P15" s="1282">
        <f>N18</f>
        <v>477</v>
      </c>
      <c r="Q15" s="1282">
        <f t="shared" si="9"/>
        <v>500</v>
      </c>
      <c r="R15" s="1282">
        <f t="shared" si="9"/>
        <v>521</v>
      </c>
      <c r="S15" s="1282">
        <f t="shared" si="9"/>
        <v>542</v>
      </c>
      <c r="T15" s="1282">
        <f t="shared" si="9"/>
        <v>567</v>
      </c>
      <c r="U15" s="1282">
        <f t="shared" si="9"/>
        <v>592</v>
      </c>
      <c r="V15" s="1282">
        <f t="shared" si="9"/>
        <v>629</v>
      </c>
      <c r="W15" s="1282">
        <f>V18</f>
        <v>669</v>
      </c>
      <c r="X15" s="1282">
        <f>W18</f>
        <v>709</v>
      </c>
      <c r="Y15" s="1282">
        <f>X18</f>
        <v>749</v>
      </c>
      <c r="Z15" s="1282">
        <f>Y18</f>
        <v>789</v>
      </c>
      <c r="AB15" s="1803"/>
      <c r="AC15" s="1783"/>
      <c r="AD15" s="1798"/>
      <c r="AE15" s="1908"/>
    </row>
    <row r="16" spans="1:34">
      <c r="A16" s="1888" t="s">
        <v>44</v>
      </c>
      <c r="B16" s="1887" t="s">
        <v>90</v>
      </c>
      <c r="C16" s="1889">
        <f>C18-C15</f>
        <v>13</v>
      </c>
      <c r="D16" s="1782">
        <v>29</v>
      </c>
      <c r="E16" s="1782">
        <v>22</v>
      </c>
      <c r="F16" s="1782">
        <v>24</v>
      </c>
      <c r="G16" s="1782">
        <v>16</v>
      </c>
      <c r="H16" s="1782">
        <v>12</v>
      </c>
      <c r="I16" s="1782">
        <v>19</v>
      </c>
      <c r="J16" s="1782">
        <v>20</v>
      </c>
      <c r="K16" s="1782">
        <v>37</v>
      </c>
      <c r="L16" s="1282">
        <f>L18-L15</f>
        <v>9</v>
      </c>
      <c r="M16" s="1782">
        <v>25</v>
      </c>
      <c r="N16" s="1782">
        <v>20</v>
      </c>
      <c r="O16" s="1782"/>
      <c r="P16" s="1782">
        <v>25</v>
      </c>
      <c r="Q16" s="1890">
        <v>21</v>
      </c>
      <c r="R16" s="1890">
        <v>24</v>
      </c>
      <c r="S16" s="1890">
        <v>25</v>
      </c>
      <c r="T16" s="1890">
        <f>S16</f>
        <v>25</v>
      </c>
      <c r="U16" s="1890">
        <v>48</v>
      </c>
      <c r="V16" s="1890">
        <v>60</v>
      </c>
      <c r="W16" s="1890">
        <f>V16</f>
        <v>60</v>
      </c>
      <c r="X16" s="1890">
        <f>V16</f>
        <v>60</v>
      </c>
      <c r="Y16" s="1890">
        <f>X16</f>
        <v>60</v>
      </c>
      <c r="Z16" s="1890">
        <f>Y16</f>
        <v>60</v>
      </c>
      <c r="AB16" s="1803"/>
      <c r="AC16" s="1783"/>
      <c r="AD16" s="1798"/>
      <c r="AE16" s="1908"/>
    </row>
    <row r="17" spans="1:33">
      <c r="A17" s="1888" t="s">
        <v>262</v>
      </c>
      <c r="B17" s="1887" t="s">
        <v>90</v>
      </c>
      <c r="C17" s="1887" t="s">
        <v>90</v>
      </c>
      <c r="D17" s="1782">
        <v>-5</v>
      </c>
      <c r="E17" s="1782">
        <v>-6</v>
      </c>
      <c r="F17" s="1782">
        <v>-10</v>
      </c>
      <c r="G17" s="1782">
        <v>-3</v>
      </c>
      <c r="H17" s="1782">
        <v>-6</v>
      </c>
      <c r="I17" s="1782">
        <v>-8</v>
      </c>
      <c r="J17" s="1782">
        <v>-2</v>
      </c>
      <c r="K17" s="1782">
        <v>-1</v>
      </c>
      <c r="L17" s="1796" t="s">
        <v>90</v>
      </c>
      <c r="M17" s="1782">
        <v>-7</v>
      </c>
      <c r="N17" s="1782">
        <v>-3</v>
      </c>
      <c r="O17" s="1782"/>
      <c r="P17" s="1782">
        <v>-2</v>
      </c>
      <c r="Q17" s="1890">
        <v>0</v>
      </c>
      <c r="R17" s="1890">
        <v>-3</v>
      </c>
      <c r="S17" s="1890">
        <v>0</v>
      </c>
      <c r="T17" s="1890">
        <f>S17</f>
        <v>0</v>
      </c>
      <c r="U17" s="1890">
        <v>-11</v>
      </c>
      <c r="V17" s="1890">
        <v>-20</v>
      </c>
      <c r="W17" s="1890">
        <f>V17</f>
        <v>-20</v>
      </c>
      <c r="X17" s="1890">
        <f>V17</f>
        <v>-20</v>
      </c>
      <c r="Y17" s="1890">
        <f>X17</f>
        <v>-20</v>
      </c>
      <c r="Z17" s="1890">
        <f>Y17</f>
        <v>-20</v>
      </c>
      <c r="AB17" s="1803"/>
      <c r="AC17" s="1783"/>
      <c r="AD17" s="1798"/>
      <c r="AE17" s="1908"/>
    </row>
    <row r="18" spans="1:33">
      <c r="A18" s="1282" t="s">
        <v>45</v>
      </c>
      <c r="B18" s="1782">
        <v>282</v>
      </c>
      <c r="C18" s="1782">
        <v>295</v>
      </c>
      <c r="D18" s="1282">
        <f t="shared" ref="D18:K18" si="10">SUM(D15:D17)</f>
        <v>319</v>
      </c>
      <c r="E18" s="1282">
        <f t="shared" si="10"/>
        <v>335</v>
      </c>
      <c r="F18" s="1282">
        <f t="shared" si="10"/>
        <v>349</v>
      </c>
      <c r="G18" s="1282">
        <f t="shared" si="10"/>
        <v>362</v>
      </c>
      <c r="H18" s="1282">
        <f t="shared" si="10"/>
        <v>368</v>
      </c>
      <c r="I18" s="1282">
        <f t="shared" si="10"/>
        <v>379</v>
      </c>
      <c r="J18" s="1282">
        <f t="shared" si="10"/>
        <v>397</v>
      </c>
      <c r="K18" s="1282">
        <f t="shared" si="10"/>
        <v>433</v>
      </c>
      <c r="L18" s="1282">
        <f>M15</f>
        <v>442</v>
      </c>
      <c r="M18" s="1282">
        <f t="shared" ref="M18:V18" si="11">SUM(M15:M17)</f>
        <v>460</v>
      </c>
      <c r="N18" s="1282">
        <f t="shared" si="11"/>
        <v>477</v>
      </c>
      <c r="P18" s="1282">
        <f t="shared" si="11"/>
        <v>500</v>
      </c>
      <c r="Q18" s="1282">
        <f t="shared" si="11"/>
        <v>521</v>
      </c>
      <c r="R18" s="1282">
        <f t="shared" si="11"/>
        <v>542</v>
      </c>
      <c r="S18" s="1282">
        <f t="shared" si="11"/>
        <v>567</v>
      </c>
      <c r="T18" s="1282">
        <f t="shared" si="11"/>
        <v>592</v>
      </c>
      <c r="U18" s="1282">
        <f t="shared" si="11"/>
        <v>629</v>
      </c>
      <c r="V18" s="1282">
        <f t="shared" si="11"/>
        <v>669</v>
      </c>
      <c r="W18" s="1282">
        <f>SUM(W15:W17)</f>
        <v>709</v>
      </c>
      <c r="X18" s="1282">
        <f>SUM(X15:X17)</f>
        <v>749</v>
      </c>
      <c r="Y18" s="1282">
        <f>SUM(Y15:Y17)</f>
        <v>789</v>
      </c>
      <c r="Z18" s="1282">
        <f>SUM(Z15:Z17)</f>
        <v>829</v>
      </c>
      <c r="AB18" s="1803">
        <f>((U18/P18)^(1/5)-1)*100</f>
        <v>4.6974557965435704</v>
      </c>
      <c r="AC18" s="1783" t="s">
        <v>102</v>
      </c>
      <c r="AD18" s="1798">
        <f>((Z18/U18)^(1/5)-1)*100</f>
        <v>5.6770732816449287</v>
      </c>
      <c r="AE18" s="1908" t="s">
        <v>102</v>
      </c>
    </row>
    <row r="19" spans="1:33">
      <c r="A19" s="1282" t="s">
        <v>46</v>
      </c>
      <c r="B19" s="1887" t="s">
        <v>90</v>
      </c>
      <c r="C19" s="1849">
        <f t="shared" ref="C19:V19" si="12">AVERAGE(C15,C18)</f>
        <v>288.5</v>
      </c>
      <c r="D19" s="1849">
        <f t="shared" si="12"/>
        <v>307</v>
      </c>
      <c r="E19" s="1849">
        <f t="shared" si="12"/>
        <v>327</v>
      </c>
      <c r="F19" s="1849">
        <f t="shared" si="12"/>
        <v>342</v>
      </c>
      <c r="G19" s="1849">
        <f t="shared" si="12"/>
        <v>355.5</v>
      </c>
      <c r="H19" s="1849">
        <f t="shared" si="12"/>
        <v>365</v>
      </c>
      <c r="I19" s="1849">
        <f t="shared" si="12"/>
        <v>373.5</v>
      </c>
      <c r="J19" s="1849">
        <f t="shared" si="12"/>
        <v>388</v>
      </c>
      <c r="K19" s="1849">
        <f t="shared" si="12"/>
        <v>415</v>
      </c>
      <c r="L19" s="1849">
        <f t="shared" si="12"/>
        <v>437.5</v>
      </c>
      <c r="M19" s="1849">
        <f t="shared" si="12"/>
        <v>451</v>
      </c>
      <c r="N19" s="1849">
        <f t="shared" si="12"/>
        <v>468.5</v>
      </c>
      <c r="O19" s="1849"/>
      <c r="P19" s="1849">
        <f t="shared" si="12"/>
        <v>488.5</v>
      </c>
      <c r="Q19" s="1849">
        <f t="shared" si="12"/>
        <v>510.5</v>
      </c>
      <c r="R19" s="1849">
        <f t="shared" si="12"/>
        <v>531.5</v>
      </c>
      <c r="S19" s="1849">
        <f t="shared" si="12"/>
        <v>554.5</v>
      </c>
      <c r="T19" s="1849">
        <f t="shared" si="12"/>
        <v>579.5</v>
      </c>
      <c r="U19" s="1849">
        <f t="shared" si="12"/>
        <v>610.5</v>
      </c>
      <c r="V19" s="1849">
        <f t="shared" si="12"/>
        <v>649</v>
      </c>
      <c r="W19" s="1849">
        <f>AVERAGE(W15,W18)</f>
        <v>689</v>
      </c>
      <c r="X19" s="1849">
        <f>AVERAGE(X15,X18)</f>
        <v>729</v>
      </c>
      <c r="Y19" s="1849">
        <f>AVERAGE(Y15,Y18)</f>
        <v>769</v>
      </c>
      <c r="Z19" s="1849">
        <f>AVERAGE(Z15,Z18)</f>
        <v>809</v>
      </c>
      <c r="AB19" s="1803"/>
      <c r="AC19" s="1783"/>
      <c r="AD19" s="1798"/>
      <c r="AE19" s="1908"/>
    </row>
    <row r="20" spans="1:33">
      <c r="A20" s="1795" t="s">
        <v>41</v>
      </c>
      <c r="B20" s="1887" t="s">
        <v>90</v>
      </c>
      <c r="C20" s="1887" t="s">
        <v>90</v>
      </c>
      <c r="D20" s="1587">
        <f t="shared" ref="D20:I20" si="13">D19/C19-1</f>
        <v>6.4124783362218274E-2</v>
      </c>
      <c r="E20" s="1587">
        <f t="shared" si="13"/>
        <v>6.514657980456029E-2</v>
      </c>
      <c r="F20" s="1587">
        <f t="shared" si="13"/>
        <v>4.587155963302747E-2</v>
      </c>
      <c r="G20" s="1587">
        <f>G19/F19-1</f>
        <v>3.9473684210526327E-2</v>
      </c>
      <c r="H20" s="1587">
        <f t="shared" si="13"/>
        <v>2.6722925457102642E-2</v>
      </c>
      <c r="I20" s="1587">
        <f t="shared" si="13"/>
        <v>2.3287671232876672E-2</v>
      </c>
      <c r="J20" s="1587">
        <f t="shared" ref="J20:S20" si="14">J19/I19-1</f>
        <v>3.8821954484605126E-2</v>
      </c>
      <c r="K20" s="1587">
        <f t="shared" si="14"/>
        <v>6.9587628865979356E-2</v>
      </c>
      <c r="L20" s="1587">
        <f t="shared" si="14"/>
        <v>5.4216867469879526E-2</v>
      </c>
      <c r="M20" s="1587">
        <f t="shared" si="14"/>
        <v>3.0857142857142916E-2</v>
      </c>
      <c r="N20" s="1587">
        <f t="shared" si="14"/>
        <v>3.880266075388028E-2</v>
      </c>
      <c r="O20" s="1587"/>
      <c r="P20" s="1587">
        <f>P19/N19-1</f>
        <v>4.2689434364994616E-2</v>
      </c>
      <c r="Q20" s="1587">
        <f t="shared" si="14"/>
        <v>4.5035823950869913E-2</v>
      </c>
      <c r="R20" s="1587">
        <f t="shared" si="14"/>
        <v>4.1136141038197849E-2</v>
      </c>
      <c r="S20" s="1587">
        <f t="shared" si="14"/>
        <v>4.3273753527751646E-2</v>
      </c>
      <c r="T20" s="1587">
        <f t="shared" ref="T20:Z20" si="15">T19/S19-1</f>
        <v>4.508566275924264E-2</v>
      </c>
      <c r="U20" s="1587">
        <f t="shared" si="15"/>
        <v>5.3494391716997436E-2</v>
      </c>
      <c r="V20" s="1587">
        <f t="shared" si="15"/>
        <v>6.3063063063063085E-2</v>
      </c>
      <c r="W20" s="1587">
        <f t="shared" si="15"/>
        <v>6.1633281972264919E-2</v>
      </c>
      <c r="X20" s="1587">
        <f t="shared" si="15"/>
        <v>5.8055152394774989E-2</v>
      </c>
      <c r="Y20" s="1587">
        <f t="shared" si="15"/>
        <v>5.4869684499314175E-2</v>
      </c>
      <c r="Z20" s="1587">
        <f t="shared" si="15"/>
        <v>5.2015604681404426E-2</v>
      </c>
      <c r="AB20" s="1803"/>
      <c r="AC20" s="1783"/>
      <c r="AD20" s="1798"/>
      <c r="AE20" s="1908"/>
    </row>
    <row r="21" spans="1:33">
      <c r="S21" s="1282">
        <f>S18-R18</f>
        <v>25</v>
      </c>
      <c r="T21" s="1282">
        <f>T18-S18</f>
        <v>25</v>
      </c>
      <c r="U21" s="1282">
        <f>U18-T18</f>
        <v>37</v>
      </c>
      <c r="AB21" s="1803"/>
      <c r="AC21" s="1783"/>
      <c r="AD21" s="1798"/>
      <c r="AE21" s="1908"/>
    </row>
    <row r="22" spans="1:33">
      <c r="A22" s="1891" t="s">
        <v>30</v>
      </c>
      <c r="B22" s="1887" t="s">
        <v>90</v>
      </c>
      <c r="C22" s="1785">
        <f>C8/C19</f>
        <v>8.3198925476603129</v>
      </c>
      <c r="D22" s="1785">
        <f>D8/D19</f>
        <v>8.2531205211726384</v>
      </c>
      <c r="E22" s="1785">
        <f>E8/E19</f>
        <v>8.1194862385321098</v>
      </c>
      <c r="F22" s="1785">
        <f>F8/F19</f>
        <v>8.2850409356725141</v>
      </c>
      <c r="G22" s="1785">
        <f t="shared" ref="G22:U22" si="16">G8/G19</f>
        <v>8.9205119549929677</v>
      </c>
      <c r="H22" s="1785">
        <f t="shared" si="16"/>
        <v>9.421405479452055</v>
      </c>
      <c r="I22" s="1785">
        <f t="shared" si="16"/>
        <v>9.1122008032128523</v>
      </c>
      <c r="J22" s="1785">
        <f t="shared" si="16"/>
        <v>8.745920103092784</v>
      </c>
      <c r="K22" s="1785">
        <f t="shared" si="16"/>
        <v>8.5348939759036142</v>
      </c>
      <c r="L22" s="1785">
        <f t="shared" si="16"/>
        <v>8.0523748571428566</v>
      </c>
      <c r="M22" s="1785">
        <f t="shared" si="16"/>
        <v>8.136589800443458</v>
      </c>
      <c r="N22" s="1785">
        <f t="shared" si="16"/>
        <v>8.226540021344718</v>
      </c>
      <c r="O22" s="1785"/>
      <c r="P22" s="1785">
        <f t="shared" si="16"/>
        <v>8.3460269622722727</v>
      </c>
      <c r="Q22" s="1785">
        <f t="shared" si="16"/>
        <v>8.6726014470576231</v>
      </c>
      <c r="R22" s="1785">
        <f t="shared" si="16"/>
        <v>9.0583330197554091</v>
      </c>
      <c r="S22" s="1785">
        <f t="shared" si="16"/>
        <v>9.195549143372407</v>
      </c>
      <c r="T22" s="1785">
        <f t="shared" si="16"/>
        <v>9.6048973252804135</v>
      </c>
      <c r="U22" s="1785">
        <f t="shared" si="16"/>
        <v>9.9668566748566736</v>
      </c>
      <c r="V22" s="1785">
        <f>V8/V19</f>
        <v>10.150049604575141</v>
      </c>
      <c r="W22" s="1785">
        <f>W8/W19</f>
        <v>10.554725747735775</v>
      </c>
      <c r="X22" s="1785">
        <f>X8/X19</f>
        <v>10.969820380366205</v>
      </c>
      <c r="Y22" s="1785">
        <f>Y8/Y19</f>
        <v>11.395917304633485</v>
      </c>
      <c r="Z22" s="1785">
        <f>Z8/Z19</f>
        <v>11.833582509398582</v>
      </c>
      <c r="AB22" s="1803"/>
      <c r="AC22" s="1783"/>
      <c r="AD22" s="1798"/>
      <c r="AE22" s="1908"/>
    </row>
    <row r="23" spans="1:33">
      <c r="A23" s="1892" t="s">
        <v>40</v>
      </c>
      <c r="B23" s="1887" t="s">
        <v>90</v>
      </c>
      <c r="C23" s="1887" t="s">
        <v>90</v>
      </c>
      <c r="D23" s="1587">
        <f>D22/C22-1</f>
        <v>-8.0255876028653139E-3</v>
      </c>
      <c r="E23" s="1587">
        <f>E22/D22-1</f>
        <v>-1.6191970333851557E-2</v>
      </c>
      <c r="F23" s="1587">
        <f>F22/E22-1</f>
        <v>2.0389799585439627E-2</v>
      </c>
      <c r="G23" s="1587">
        <f>G22/F22-1</f>
        <v>7.670101140772112E-2</v>
      </c>
      <c r="H23" s="1587">
        <f t="shared" ref="H23:S23" si="17">H22/G22-1</f>
        <v>5.6150759842738429E-2</v>
      </c>
      <c r="I23" s="1587">
        <f>I22/H22-1</f>
        <v>-3.2819378904089591E-2</v>
      </c>
      <c r="J23" s="1587">
        <f t="shared" si="17"/>
        <v>-4.0196732713673522E-2</v>
      </c>
      <c r="K23" s="1587">
        <f t="shared" si="17"/>
        <v>-2.4128522179678424E-2</v>
      </c>
      <c r="L23" s="1587">
        <f>L22/J22-1</f>
        <v>-7.9299289014162389E-2</v>
      </c>
      <c r="M23" s="1587">
        <f t="shared" si="17"/>
        <v>1.0458398273137881E-2</v>
      </c>
      <c r="N23" s="1587">
        <f t="shared" si="17"/>
        <v>1.1055027119144967E-2</v>
      </c>
      <c r="O23" s="1587"/>
      <c r="P23" s="1587">
        <f>P22/N22-1</f>
        <v>1.452456811946834E-2</v>
      </c>
      <c r="Q23" s="1587">
        <f t="shared" si="17"/>
        <v>3.9129334983173614E-2</v>
      </c>
      <c r="R23" s="1587">
        <f t="shared" si="17"/>
        <v>4.4477032070769695E-2</v>
      </c>
      <c r="S23" s="1587">
        <f t="shared" si="17"/>
        <v>1.5148054649541054E-2</v>
      </c>
      <c r="T23" s="1587">
        <f>T22/S22-1</f>
        <v>4.4515903892813125E-2</v>
      </c>
      <c r="U23" s="1587">
        <f>U22/T22-1</f>
        <v>3.7684874425838011E-2</v>
      </c>
      <c r="V23" s="1587">
        <f>V22/U22-1</f>
        <v>1.8380211103126154E-2</v>
      </c>
      <c r="W23" s="1587">
        <f>W22/U22-1</f>
        <v>5.8982394555960216E-2</v>
      </c>
      <c r="X23" s="1587">
        <f>X22/V22-1</f>
        <v>8.0765198962333251E-2</v>
      </c>
      <c r="Y23" s="1587">
        <f>Y22/X22-1</f>
        <v>3.8842652795838761E-2</v>
      </c>
      <c r="Z23" s="1587">
        <f>Z22/Y22-1</f>
        <v>3.8405438813349901E-2</v>
      </c>
      <c r="AB23" s="1803"/>
      <c r="AC23" s="1783"/>
      <c r="AD23" s="1798"/>
      <c r="AE23" s="1908"/>
    </row>
    <row r="24" spans="1:33" hidden="1">
      <c r="A24" s="1892"/>
      <c r="H24" s="1587"/>
      <c r="I24" s="1587"/>
      <c r="J24" s="1587"/>
      <c r="K24" s="1587"/>
      <c r="L24" s="1587"/>
      <c r="M24" s="1587"/>
      <c r="N24" s="1587"/>
      <c r="O24" s="1587"/>
      <c r="P24" s="1587"/>
      <c r="Q24" s="1587"/>
      <c r="R24" s="1587"/>
      <c r="S24" s="1587"/>
      <c r="T24" s="1587"/>
      <c r="U24" s="1587"/>
      <c r="V24" s="1587"/>
      <c r="W24" s="1587"/>
      <c r="X24" s="1587"/>
      <c r="Y24" s="1587"/>
      <c r="Z24" s="1587"/>
      <c r="AB24" s="1803"/>
      <c r="AC24" s="1783"/>
      <c r="AD24" s="1798"/>
      <c r="AE24" s="1908"/>
    </row>
    <row r="25" spans="1:33" hidden="1">
      <c r="A25" s="1891" t="s">
        <v>29</v>
      </c>
      <c r="B25" s="1887" t="s">
        <v>90</v>
      </c>
      <c r="C25" s="1887" t="s">
        <v>90</v>
      </c>
      <c r="D25" s="1887" t="s">
        <v>90</v>
      </c>
      <c r="E25" s="1887" t="s">
        <v>90</v>
      </c>
      <c r="F25" s="1887" t="s">
        <v>90</v>
      </c>
      <c r="G25" s="1785">
        <f t="shared" ref="G25:U25" si="18">G12/G19</f>
        <v>9.0009563994374133</v>
      </c>
      <c r="H25" s="1785">
        <f t="shared" si="18"/>
        <v>9.5083671232876714</v>
      </c>
      <c r="I25" s="1785">
        <f t="shared" si="18"/>
        <v>9.2145783132530124</v>
      </c>
      <c r="J25" s="1785">
        <f t="shared" si="18"/>
        <v>8.8246726804123714</v>
      </c>
      <c r="K25" s="1785">
        <f t="shared" si="18"/>
        <v>8.6057036144578323</v>
      </c>
      <c r="L25" s="1785">
        <f t="shared" si="18"/>
        <v>8.1228662857142861</v>
      </c>
      <c r="M25" s="1785">
        <f t="shared" si="18"/>
        <v>8.2064057649667408</v>
      </c>
      <c r="N25" s="1785">
        <f t="shared" si="18"/>
        <v>8.2978249733191038</v>
      </c>
      <c r="O25" s="1785"/>
      <c r="P25" s="1785">
        <f t="shared" si="18"/>
        <v>8.4158836664687922</v>
      </c>
      <c r="Q25" s="1785">
        <f t="shared" si="18"/>
        <v>8.7429179015140388</v>
      </c>
      <c r="R25" s="1785">
        <f t="shared" si="18"/>
        <v>9.129248123236124</v>
      </c>
      <c r="S25" s="1785">
        <f t="shared" si="18"/>
        <v>9.2669214542380516</v>
      </c>
      <c r="T25" s="1785">
        <f t="shared" si="18"/>
        <v>9.6766052522756691</v>
      </c>
      <c r="U25" s="1785">
        <f t="shared" si="18"/>
        <v>10.038326750005631</v>
      </c>
      <c r="V25" s="1785">
        <f>V12/V19</f>
        <v>10.220641445749809</v>
      </c>
      <c r="W25" s="1785">
        <f>W12/W19</f>
        <v>10.62121936881322</v>
      </c>
      <c r="X25" s="1785">
        <f>X12/X19</f>
        <v>11.035807774287299</v>
      </c>
      <c r="Y25" s="1785">
        <f>Y12/Y19</f>
        <v>11.46160007534467</v>
      </c>
      <c r="Z25" s="1785">
        <f>Z12/Z19</f>
        <v>11.899139435493447</v>
      </c>
      <c r="AB25" s="1803"/>
      <c r="AC25" s="1783"/>
      <c r="AD25" s="1798"/>
      <c r="AE25" s="1908"/>
    </row>
    <row r="26" spans="1:33" hidden="1">
      <c r="A26" s="1892" t="s">
        <v>40</v>
      </c>
      <c r="B26" s="1887" t="s">
        <v>90</v>
      </c>
      <c r="C26" s="1887" t="s">
        <v>90</v>
      </c>
      <c r="D26" s="1887" t="s">
        <v>90</v>
      </c>
      <c r="E26" s="1887" t="s">
        <v>90</v>
      </c>
      <c r="F26" s="1887" t="s">
        <v>90</v>
      </c>
      <c r="G26" s="1887" t="s">
        <v>90</v>
      </c>
      <c r="H26" s="1587">
        <f>H25/G25-1</f>
        <v>5.6372978751677127E-2</v>
      </c>
      <c r="I26" s="1587">
        <f>I25/H25-1</f>
        <v>-3.089792455690088E-2</v>
      </c>
      <c r="J26" s="1587">
        <f t="shared" ref="J26:S26" si="19">J25/I25-1</f>
        <v>-4.231399632035826E-2</v>
      </c>
      <c r="K26" s="1587">
        <f t="shared" si="19"/>
        <v>-2.4813279073859884E-2</v>
      </c>
      <c r="L26" s="1587">
        <f>L25/J25-1</f>
        <v>-7.9527753619218711E-2</v>
      </c>
      <c r="M26" s="1587">
        <f t="shared" si="19"/>
        <v>1.028448288006123E-2</v>
      </c>
      <c r="N26" s="1587">
        <f t="shared" si="19"/>
        <v>1.1139981493802464E-2</v>
      </c>
      <c r="O26" s="1587"/>
      <c r="P26" s="1587">
        <f>P25/N25-1</f>
        <v>1.4227667313940096E-2</v>
      </c>
      <c r="Q26" s="1587">
        <f t="shared" si="19"/>
        <v>3.8859167736388978E-2</v>
      </c>
      <c r="R26" s="1587">
        <f t="shared" si="19"/>
        <v>4.4187790171881014E-2</v>
      </c>
      <c r="S26" s="1587">
        <f t="shared" si="19"/>
        <v>1.5080467651165774E-2</v>
      </c>
      <c r="T26" s="1587">
        <f>T25/S25-1</f>
        <v>4.4209266266118652E-2</v>
      </c>
      <c r="U26" s="1587">
        <f>U25/T25-1</f>
        <v>3.7381032738200703E-2</v>
      </c>
      <c r="V26" s="1587">
        <f>V25/U25-1</f>
        <v>1.8161861063555884E-2</v>
      </c>
      <c r="W26" s="1587">
        <f>W25/U25-1</f>
        <v>5.8066711048956776E-2</v>
      </c>
      <c r="X26" s="1587">
        <f>X25/V25-1</f>
        <v>7.9756865835115764E-2</v>
      </c>
      <c r="Y26" s="1587">
        <f>Y25/X25-1</f>
        <v>3.8582794278950505E-2</v>
      </c>
      <c r="Z26" s="1587">
        <f>Z25/Y25-1</f>
        <v>3.8174369832531418E-2</v>
      </c>
      <c r="AB26" s="1803"/>
      <c r="AC26" s="1783"/>
      <c r="AD26" s="1798"/>
      <c r="AE26" s="1908"/>
    </row>
    <row r="27" spans="1:33" hidden="1">
      <c r="A27" s="1893"/>
      <c r="AB27" s="1803"/>
      <c r="AC27" s="1783"/>
      <c r="AD27" s="1798"/>
      <c r="AE27" s="1908"/>
    </row>
    <row r="28" spans="1:33">
      <c r="A28" s="1891" t="s">
        <v>103</v>
      </c>
      <c r="B28" s="1887" t="s">
        <v>90</v>
      </c>
      <c r="C28" s="1325">
        <f t="shared" ref="C28:R28" si="20">(C31+B31)/2</f>
        <v>21.019500000000001</v>
      </c>
      <c r="D28" s="1325">
        <f t="shared" si="20"/>
        <v>22.880500000000001</v>
      </c>
      <c r="E28" s="1325">
        <f t="shared" si="20"/>
        <v>24.750500000000002</v>
      </c>
      <c r="F28" s="1325">
        <f t="shared" si="20"/>
        <v>26.407499999999999</v>
      </c>
      <c r="G28" s="1325">
        <f>(G31+F31)/2</f>
        <v>28.307500000000001</v>
      </c>
      <c r="H28" s="1325">
        <f t="shared" si="20"/>
        <v>29.37</v>
      </c>
      <c r="I28" s="1325">
        <f>(I31+H31)/2</f>
        <v>29.880000000000003</v>
      </c>
      <c r="J28" s="1325">
        <f t="shared" si="20"/>
        <v>31.04</v>
      </c>
      <c r="K28" s="1325">
        <f t="shared" si="20"/>
        <v>33.200000000000003</v>
      </c>
      <c r="L28" s="1887" t="s">
        <v>90</v>
      </c>
      <c r="M28" s="1325">
        <f t="shared" si="20"/>
        <v>36.08</v>
      </c>
      <c r="N28" s="1325">
        <f t="shared" si="20"/>
        <v>37.480000000000004</v>
      </c>
      <c r="O28" s="1325"/>
      <c r="P28" s="1325">
        <f>(P31+N31)/2</f>
        <v>40.08</v>
      </c>
      <c r="Q28" s="1325">
        <f t="shared" si="20"/>
        <v>41.504999999999995</v>
      </c>
      <c r="R28" s="1325">
        <f t="shared" si="20"/>
        <v>41.611000000000004</v>
      </c>
      <c r="S28" s="1325">
        <f>(S31+R31)/2</f>
        <v>42.84</v>
      </c>
      <c r="T28" s="1325">
        <f>(T31+S31)/2</f>
        <v>44.102000000000004</v>
      </c>
      <c r="U28" s="1325">
        <f>(U31+T31)/2</f>
        <v>45.214500000000001</v>
      </c>
      <c r="V28" s="1325">
        <f>(V31+U31)/2</f>
        <v>46.592999999999996</v>
      </c>
      <c r="W28" s="1325">
        <f>(W31+U31)/2</f>
        <v>47.143000000000001</v>
      </c>
      <c r="X28" s="1325">
        <f>(X31+V31)/2</f>
        <v>48.592999999999996</v>
      </c>
      <c r="Y28" s="1325">
        <f>(Y31+X31)/2</f>
        <v>50.242999999999995</v>
      </c>
      <c r="Z28" s="1325">
        <f>(Z31+Y31)/2</f>
        <v>51.343000000000004</v>
      </c>
      <c r="AB28" s="1803">
        <f>((U28/P28)^(1/5)-1)*100</f>
        <v>2.4401024064796495</v>
      </c>
      <c r="AC28" s="1783" t="s">
        <v>102</v>
      </c>
      <c r="AD28" s="1798">
        <f>((Z28/U28)^(1/5)-1)*100</f>
        <v>2.5748053979808505</v>
      </c>
      <c r="AE28" s="1908" t="s">
        <v>102</v>
      </c>
      <c r="AG28" s="1587"/>
    </row>
    <row r="29" spans="1:33">
      <c r="A29" s="1892" t="s">
        <v>40</v>
      </c>
      <c r="B29" s="1887" t="s">
        <v>90</v>
      </c>
      <c r="C29" s="1887" t="s">
        <v>90</v>
      </c>
      <c r="D29" s="1587">
        <f t="shared" ref="D29:S29" si="21">D28/C28-1</f>
        <v>8.8536834843835566E-2</v>
      </c>
      <c r="E29" s="1587">
        <f t="shared" si="21"/>
        <v>8.1728983195297422E-2</v>
      </c>
      <c r="F29" s="1587">
        <f t="shared" si="21"/>
        <v>6.694814246176839E-2</v>
      </c>
      <c r="G29" s="1587">
        <f>G28/F28-1</f>
        <v>7.1949256839912934E-2</v>
      </c>
      <c r="H29" s="1587">
        <f t="shared" si="21"/>
        <v>3.7534222379228099E-2</v>
      </c>
      <c r="I29" s="1587">
        <f>I28/H28-1</f>
        <v>1.7364657814096018E-2</v>
      </c>
      <c r="J29" s="1587">
        <f t="shared" si="21"/>
        <v>3.8821954484604904E-2</v>
      </c>
      <c r="K29" s="1587">
        <f t="shared" si="21"/>
        <v>6.9587628865979578E-2</v>
      </c>
      <c r="L29" s="1887" t="s">
        <v>90</v>
      </c>
      <c r="M29" s="1887" t="s">
        <v>90</v>
      </c>
      <c r="N29" s="1587">
        <f t="shared" si="21"/>
        <v>3.8802660753880502E-2</v>
      </c>
      <c r="O29" s="1587"/>
      <c r="P29" s="1587">
        <f>P28/N28-1</f>
        <v>6.9370330843116168E-2</v>
      </c>
      <c r="Q29" s="1587">
        <f t="shared" si="21"/>
        <v>3.5553892215568705E-2</v>
      </c>
      <c r="R29" s="1587">
        <f t="shared" si="21"/>
        <v>2.5539091675703673E-3</v>
      </c>
      <c r="S29" s="1587">
        <f t="shared" si="21"/>
        <v>2.9535459373723372E-2</v>
      </c>
      <c r="T29" s="1587">
        <f>T28/S28-1</f>
        <v>2.9458450046685458E-2</v>
      </c>
      <c r="U29" s="1587">
        <f>U28/T28-1</f>
        <v>2.522561335086837E-2</v>
      </c>
      <c r="V29" s="1587">
        <f>V28/U28-1</f>
        <v>3.0488007165842657E-2</v>
      </c>
      <c r="W29" s="1587">
        <f>W28/U28-1</f>
        <v>4.2652246513839476E-2</v>
      </c>
      <c r="X29" s="1587">
        <f>X28/V28-1</f>
        <v>4.2924902882407245E-2</v>
      </c>
      <c r="Y29" s="1587">
        <f>Y28/X28-1</f>
        <v>3.3955507994978706E-2</v>
      </c>
      <c r="Z29" s="1587">
        <f>Z28/Y28-1</f>
        <v>2.1893597118006758E-2</v>
      </c>
      <c r="AB29" s="1803"/>
      <c r="AC29" s="1783"/>
      <c r="AD29" s="1798"/>
      <c r="AE29" s="1908"/>
    </row>
    <row r="30" spans="1:33">
      <c r="A30" s="1891"/>
      <c r="AB30" s="1803"/>
      <c r="AC30" s="1783"/>
      <c r="AD30" s="1798"/>
      <c r="AE30" s="1908"/>
    </row>
    <row r="31" spans="1:33">
      <c r="A31" s="1891" t="s">
        <v>52</v>
      </c>
      <c r="B31" s="1866">
        <v>20.279</v>
      </c>
      <c r="C31" s="1866">
        <v>21.76</v>
      </c>
      <c r="D31" s="1866">
        <v>24.001000000000001</v>
      </c>
      <c r="E31" s="1866">
        <v>25.5</v>
      </c>
      <c r="F31" s="1866">
        <v>27.315000000000001</v>
      </c>
      <c r="G31" s="1866">
        <v>29.3</v>
      </c>
      <c r="H31" s="1894">
        <f t="shared" ref="H31:N31" si="22">H18*0.08</f>
        <v>29.44</v>
      </c>
      <c r="I31" s="1894">
        <f t="shared" si="22"/>
        <v>30.32</v>
      </c>
      <c r="J31" s="1894">
        <f t="shared" si="22"/>
        <v>31.76</v>
      </c>
      <c r="K31" s="1894">
        <f t="shared" si="22"/>
        <v>34.64</v>
      </c>
      <c r="L31" s="1894">
        <f t="shared" si="22"/>
        <v>35.36</v>
      </c>
      <c r="M31" s="2189">
        <f t="shared" si="22"/>
        <v>36.800000000000004</v>
      </c>
      <c r="N31" s="2189">
        <f t="shared" si="22"/>
        <v>38.160000000000004</v>
      </c>
      <c r="O31" s="2189"/>
      <c r="P31" s="2189">
        <f>P18*0.084</f>
        <v>42</v>
      </c>
      <c r="Q31" s="1895">
        <f>qtrSales!$Y$100</f>
        <v>41.01</v>
      </c>
      <c r="R31" s="1895">
        <f>qtrSales!$Y$107</f>
        <v>42.212000000000003</v>
      </c>
      <c r="S31" s="1895">
        <f>qtrSales!$Y$114</f>
        <v>43.468000000000004</v>
      </c>
      <c r="T31" s="1895">
        <f>qtrSales!$Y$121</f>
        <v>44.735999999999997</v>
      </c>
      <c r="U31" s="1895">
        <f>qtrSales!Y128</f>
        <v>45.692999999999998</v>
      </c>
      <c r="V31" s="1895">
        <f>qtrSales!Y135</f>
        <v>47.492999999999995</v>
      </c>
      <c r="W31" s="1895">
        <f>V31+W17*0.08+W16*0.045*100%</f>
        <v>48.592999999999996</v>
      </c>
      <c r="X31" s="1895">
        <f>W31+X17*0.08+X16*0.045*100%</f>
        <v>49.692999999999998</v>
      </c>
      <c r="Y31" s="1895">
        <f>X31+Y17*0.08+Y16*0.045*100%</f>
        <v>50.792999999999999</v>
      </c>
      <c r="Z31" s="1895">
        <f>Y31+Z17*0.08+Z16*0.045*100%</f>
        <v>51.893000000000001</v>
      </c>
      <c r="AB31" s="1803">
        <f>((U31/P31)^(1/5)-1)*100</f>
        <v>1.6997947632201971</v>
      </c>
      <c r="AC31" s="1783" t="s">
        <v>102</v>
      </c>
      <c r="AD31" s="1798">
        <f>((Z31/U31)^(1/5)-1)*100</f>
        <v>2.5774316987299262</v>
      </c>
      <c r="AE31" s="1908" t="s">
        <v>102</v>
      </c>
    </row>
    <row r="32" spans="1:33">
      <c r="A32" s="1892" t="s">
        <v>40</v>
      </c>
      <c r="B32" s="1887" t="s">
        <v>90</v>
      </c>
      <c r="C32" s="1587">
        <f t="shared" ref="C32:H32" si="23">C31/B31-1</f>
        <v>7.3031214556930957E-2</v>
      </c>
      <c r="D32" s="1587">
        <f t="shared" si="23"/>
        <v>0.10298713235294121</v>
      </c>
      <c r="E32" s="1587">
        <f t="shared" si="23"/>
        <v>6.2455731011207716E-2</v>
      </c>
      <c r="F32" s="1587">
        <f t="shared" si="23"/>
        <v>7.1176470588235397E-2</v>
      </c>
      <c r="G32" s="1587">
        <f>G31/F31-1</f>
        <v>7.2670693758008387E-2</v>
      </c>
      <c r="H32" s="1587">
        <f t="shared" si="23"/>
        <v>4.778156996587013E-3</v>
      </c>
      <c r="I32" s="1587">
        <f>I31/H31-1</f>
        <v>2.9891304347825942E-2</v>
      </c>
      <c r="J32" s="1587">
        <f t="shared" ref="J32:S32" si="24">J31/I31-1</f>
        <v>4.7493403693931402E-2</v>
      </c>
      <c r="K32" s="1587">
        <f t="shared" si="24"/>
        <v>9.0680100755667459E-2</v>
      </c>
      <c r="L32" s="1587">
        <f>L31/J31-1</f>
        <v>0.11335012594458438</v>
      </c>
      <c r="M32" s="1587">
        <f t="shared" si="24"/>
        <v>4.0723981900452566E-2</v>
      </c>
      <c r="N32" s="1587">
        <f t="shared" si="24"/>
        <v>3.6956521739130332E-2</v>
      </c>
      <c r="O32" s="1587"/>
      <c r="P32" s="1587">
        <f>P31/N31-1</f>
        <v>0.10062893081761004</v>
      </c>
      <c r="Q32" s="1587">
        <f t="shared" si="24"/>
        <v>-2.3571428571428577E-2</v>
      </c>
      <c r="R32" s="1587">
        <f t="shared" si="24"/>
        <v>2.9309924408680965E-2</v>
      </c>
      <c r="S32" s="1587">
        <f t="shared" si="24"/>
        <v>2.9754572159575554E-2</v>
      </c>
      <c r="T32" s="1587">
        <f>T31/S31-1</f>
        <v>2.9170884328701518E-2</v>
      </c>
      <c r="U32" s="1587">
        <f>U31/T31-1</f>
        <v>2.1392167381974359E-2</v>
      </c>
      <c r="V32" s="1587">
        <f>V31/U31-1</f>
        <v>3.9393342525113173E-2</v>
      </c>
      <c r="W32" s="1587">
        <f>W31/U31-1</f>
        <v>6.3467051846015865E-2</v>
      </c>
      <c r="X32" s="1587">
        <f>X31/V31-1</f>
        <v>4.632261596445808E-2</v>
      </c>
      <c r="Y32" s="1587">
        <f>Y31/X31-1</f>
        <v>2.2135914515122979E-2</v>
      </c>
      <c r="Z32" s="1587">
        <f>Z31/Y31-1</f>
        <v>2.1656527474258391E-2</v>
      </c>
      <c r="AB32" s="1803"/>
      <c r="AC32" s="1783"/>
      <c r="AD32" s="1798"/>
      <c r="AE32" s="1908"/>
    </row>
    <row r="33" spans="1:33">
      <c r="A33" s="1893"/>
      <c r="AB33" s="1803"/>
      <c r="AC33" s="1783"/>
      <c r="AD33" s="1798"/>
      <c r="AE33" s="1908"/>
    </row>
    <row r="34" spans="1:33">
      <c r="A34" s="1891" t="s">
        <v>51</v>
      </c>
      <c r="B34" s="1325">
        <f t="shared" ref="B34:J34" si="25">B31/B18*1000</f>
        <v>71.911347517730505</v>
      </c>
      <c r="C34" s="1325">
        <f t="shared" si="25"/>
        <v>73.762711864406796</v>
      </c>
      <c r="D34" s="1325">
        <f t="shared" si="25"/>
        <v>75.238244514106583</v>
      </c>
      <c r="E34" s="1325">
        <f t="shared" si="25"/>
        <v>76.119402985074615</v>
      </c>
      <c r="F34" s="1325">
        <f t="shared" si="25"/>
        <v>78.266475644699142</v>
      </c>
      <c r="G34" s="1325">
        <f t="shared" si="25"/>
        <v>80.939226519337026</v>
      </c>
      <c r="H34" s="1866">
        <f t="shared" si="25"/>
        <v>80</v>
      </c>
      <c r="I34" s="1866">
        <f t="shared" si="25"/>
        <v>80</v>
      </c>
      <c r="J34" s="1866">
        <f t="shared" si="25"/>
        <v>80</v>
      </c>
      <c r="K34" s="1866">
        <f t="shared" ref="K34:U34" si="26">K31/K18*1000</f>
        <v>80</v>
      </c>
      <c r="L34" s="1325">
        <f t="shared" si="26"/>
        <v>80</v>
      </c>
      <c r="M34" s="1325">
        <f t="shared" si="26"/>
        <v>80.000000000000014</v>
      </c>
      <c r="N34" s="1325">
        <f t="shared" si="26"/>
        <v>80</v>
      </c>
      <c r="O34" s="1325"/>
      <c r="P34" s="1325">
        <f t="shared" si="26"/>
        <v>84</v>
      </c>
      <c r="Q34" s="1325">
        <f t="shared" si="26"/>
        <v>78.71401151631477</v>
      </c>
      <c r="R34" s="1325">
        <f t="shared" si="26"/>
        <v>77.881918819188201</v>
      </c>
      <c r="S34" s="1325">
        <f>S31/S18*1000</f>
        <v>76.663139329806</v>
      </c>
      <c r="T34" s="1325">
        <f>T31/T18*1000</f>
        <v>75.567567567567565</v>
      </c>
      <c r="U34" s="1325">
        <f t="shared" si="26"/>
        <v>72.643879173290927</v>
      </c>
      <c r="V34" s="1325">
        <f>V31/V18*1000</f>
        <v>70.991031390134523</v>
      </c>
      <c r="W34" s="1325">
        <f>W31/W18*1000</f>
        <v>68.537376586741885</v>
      </c>
      <c r="X34" s="1325">
        <f>X31/X18*1000</f>
        <v>66.345794392523359</v>
      </c>
      <c r="Y34" s="1325">
        <f>Y31/Y18*1000</f>
        <v>64.376425855513318</v>
      </c>
      <c r="Z34" s="1325">
        <f>Z31/Z18*1000</f>
        <v>62.597104945717724</v>
      </c>
      <c r="AB34" s="1803"/>
      <c r="AC34" s="1783"/>
      <c r="AD34" s="1798"/>
      <c r="AE34" s="1908"/>
    </row>
    <row r="35" spans="1:33">
      <c r="A35" s="1892" t="s">
        <v>40</v>
      </c>
      <c r="B35" s="1887" t="s">
        <v>90</v>
      </c>
      <c r="C35" s="1887" t="s">
        <v>90</v>
      </c>
      <c r="D35" s="1887" t="s">
        <v>90</v>
      </c>
      <c r="E35" s="1887" t="s">
        <v>90</v>
      </c>
      <c r="F35" s="1887" t="s">
        <v>90</v>
      </c>
      <c r="G35" s="1887" t="s">
        <v>90</v>
      </c>
      <c r="H35" s="1887" t="s">
        <v>90</v>
      </c>
      <c r="I35" s="1887" t="s">
        <v>90</v>
      </c>
      <c r="J35" s="1887" t="s">
        <v>90</v>
      </c>
      <c r="K35" s="1887" t="s">
        <v>90</v>
      </c>
      <c r="L35" s="1887" t="s">
        <v>90</v>
      </c>
      <c r="M35" s="1887" t="s">
        <v>90</v>
      </c>
      <c r="N35" s="1887" t="s">
        <v>90</v>
      </c>
      <c r="O35" s="1887"/>
      <c r="P35" s="1887" t="s">
        <v>90</v>
      </c>
      <c r="Q35" s="1587">
        <f t="shared" ref="Q35:V35" si="27">Q34/P34-1</f>
        <v>-6.2928434329586058E-2</v>
      </c>
      <c r="R35" s="1587">
        <f>R34/Q34-1</f>
        <v>-1.0571087422651559E-2</v>
      </c>
      <c r="S35" s="1587">
        <f t="shared" si="27"/>
        <v>-1.5649068588201254E-2</v>
      </c>
      <c r="T35" s="1587">
        <f t="shared" si="27"/>
        <v>-1.4290723962206542E-2</v>
      </c>
      <c r="U35" s="1587">
        <f t="shared" si="27"/>
        <v>-3.8689724816965532E-2</v>
      </c>
      <c r="V35" s="1587">
        <f t="shared" si="27"/>
        <v>-2.275274671405636E-2</v>
      </c>
      <c r="W35" s="1587">
        <f>W34/U34-1</f>
        <v>-5.6529230449726353E-2</v>
      </c>
      <c r="X35" s="1587">
        <f>X34/V34-1</f>
        <v>-6.5434138744696502E-2</v>
      </c>
      <c r="Y35" s="1587">
        <f>Y34/X34-1</f>
        <v>-2.9683396740396439E-2</v>
      </c>
      <c r="Z35" s="1587">
        <f>Z34/Y34-1</f>
        <v>-2.7639324273595278E-2</v>
      </c>
      <c r="AB35" s="1803"/>
      <c r="AC35" s="1783"/>
      <c r="AD35" s="1798"/>
      <c r="AE35" s="1908"/>
    </row>
    <row r="36" spans="1:33">
      <c r="A36" s="1893"/>
      <c r="AB36" s="1803"/>
      <c r="AC36" s="1783"/>
      <c r="AD36" s="1798"/>
      <c r="AE36" s="1908"/>
    </row>
    <row r="37" spans="1:33">
      <c r="A37" s="1891" t="s">
        <v>267</v>
      </c>
      <c r="B37" s="1887" t="s">
        <v>90</v>
      </c>
      <c r="C37" s="1794">
        <f t="shared" ref="C37:K37" si="28">C8/C28</f>
        <v>114.19343942529557</v>
      </c>
      <c r="D37" s="1794">
        <f t="shared" si="28"/>
        <v>110.73656607154564</v>
      </c>
      <c r="E37" s="1794">
        <f t="shared" si="28"/>
        <v>107.27346922284397</v>
      </c>
      <c r="F37" s="1794">
        <f t="shared" si="28"/>
        <v>107.29845687778094</v>
      </c>
      <c r="G37" s="1794">
        <f t="shared" si="28"/>
        <v>112.02833171421001</v>
      </c>
      <c r="H37" s="1794">
        <f t="shared" si="28"/>
        <v>117.08590398365679</v>
      </c>
      <c r="I37" s="1794">
        <f t="shared" si="28"/>
        <v>113.90251004016064</v>
      </c>
      <c r="J37" s="1794">
        <f t="shared" si="28"/>
        <v>109.3240012886598</v>
      </c>
      <c r="K37" s="1794">
        <f t="shared" si="28"/>
        <v>106.68617469879518</v>
      </c>
      <c r="L37" s="1887" t="s">
        <v>90</v>
      </c>
      <c r="M37" s="1794">
        <f t="shared" ref="M37:U37" si="29">M8/M28</f>
        <v>101.70737250554323</v>
      </c>
      <c r="N37" s="1794">
        <f t="shared" si="29"/>
        <v>102.83175026680895</v>
      </c>
      <c r="O37" s="1794"/>
      <c r="P37" s="1794">
        <f t="shared" si="29"/>
        <v>101.72240945783446</v>
      </c>
      <c r="Q37" s="1794">
        <f t="shared" si="29"/>
        <v>106.67059483731882</v>
      </c>
      <c r="R37" s="1794">
        <f t="shared" si="29"/>
        <v>115.70267477349738</v>
      </c>
      <c r="S37" s="1794">
        <f t="shared" si="29"/>
        <v>119.02268907563024</v>
      </c>
      <c r="T37" s="1794">
        <f t="shared" si="29"/>
        <v>126.20828987347511</v>
      </c>
      <c r="U37" s="1794">
        <f t="shared" si="29"/>
        <v>134.57554545555075</v>
      </c>
      <c r="V37" s="1794">
        <f>V8/V28</f>
        <v>141.38137044983725</v>
      </c>
      <c r="W37" s="1794">
        <f>W8/W28</f>
        <v>154.25844855418512</v>
      </c>
      <c r="X37" s="1794">
        <f>X8/X28</f>
        <v>164.57100934881493</v>
      </c>
      <c r="Y37" s="1794">
        <f>Y8/Y28</f>
        <v>174.42151956020044</v>
      </c>
      <c r="Z37" s="1794">
        <f>Z8/Z28</f>
        <v>186.45907426725068</v>
      </c>
      <c r="AB37" s="1803">
        <f>((U37/P37)^(1/5)-1)*100</f>
        <v>5.7571897741829137</v>
      </c>
      <c r="AC37" s="1783" t="s">
        <v>102</v>
      </c>
      <c r="AD37" s="1798">
        <f>((Z37/U37)^(1/5)-1)*100</f>
        <v>6.7390848552567828</v>
      </c>
      <c r="AE37" s="1908" t="s">
        <v>102</v>
      </c>
    </row>
    <row r="38" spans="1:33">
      <c r="A38" s="1892" t="s">
        <v>40</v>
      </c>
      <c r="B38" s="1887" t="s">
        <v>90</v>
      </c>
      <c r="C38" s="1887" t="s">
        <v>90</v>
      </c>
      <c r="D38" s="1587">
        <f t="shared" ref="D38:S38" si="30">D37/C37-1</f>
        <v>-3.0272083677901573E-2</v>
      </c>
      <c r="E38" s="1587">
        <f t="shared" si="30"/>
        <v>-3.1273290942254839E-2</v>
      </c>
      <c r="F38" s="1587">
        <f t="shared" si="30"/>
        <v>2.3293415527625427E-4</v>
      </c>
      <c r="G38" s="1587">
        <f>G37/F37-1</f>
        <v>4.4081480517624616E-2</v>
      </c>
      <c r="H38" s="1587">
        <f t="shared" si="30"/>
        <v>4.514547518523182E-2</v>
      </c>
      <c r="I38" s="1587">
        <f>I37/H37-1</f>
        <v>-2.7188532822366884E-2</v>
      </c>
      <c r="J38" s="1587">
        <f t="shared" si="30"/>
        <v>-4.0196732713673411E-2</v>
      </c>
      <c r="K38" s="1587">
        <f t="shared" si="30"/>
        <v>-2.4128522179678424E-2</v>
      </c>
      <c r="L38" s="1887" t="s">
        <v>90</v>
      </c>
      <c r="M38" s="1887" t="s">
        <v>90</v>
      </c>
      <c r="N38" s="1587">
        <f t="shared" si="30"/>
        <v>1.1055027119144523E-2</v>
      </c>
      <c r="O38" s="1587"/>
      <c r="P38" s="1587">
        <f>P37/N37-1</f>
        <v>-1.0787921105068987E-2</v>
      </c>
      <c r="Q38" s="1587">
        <f t="shared" si="30"/>
        <v>4.8644004854559109E-2</v>
      </c>
      <c r="R38" s="1587">
        <f t="shared" si="30"/>
        <v>8.467263119656554E-2</v>
      </c>
      <c r="S38" s="1587">
        <f t="shared" si="30"/>
        <v>2.8694360857536072E-2</v>
      </c>
      <c r="T38" s="1587">
        <f>T37/S37-1</f>
        <v>6.03716892438797E-2</v>
      </c>
      <c r="U38" s="1587">
        <f>U37/T37-1</f>
        <v>6.6297194823445427E-2</v>
      </c>
      <c r="V38" s="1587">
        <f>V37/U37-1</f>
        <v>5.0572523939978353E-2</v>
      </c>
      <c r="W38" s="1587">
        <f>W37/U37-1</f>
        <v>0.14625913669534762</v>
      </c>
      <c r="X38" s="1587">
        <f>X37/V37-1</f>
        <v>0.16402188509840099</v>
      </c>
      <c r="Y38" s="1587">
        <f>Y37/X37-1</f>
        <v>5.985568327230073E-2</v>
      </c>
      <c r="Z38" s="1587">
        <f>Z37/Y37-1</f>
        <v>6.9014160279090797E-2</v>
      </c>
      <c r="AB38" s="1803"/>
      <c r="AC38" s="1783"/>
      <c r="AD38" s="1798"/>
      <c r="AE38" s="1908"/>
    </row>
    <row r="39" spans="1:33">
      <c r="A39" s="1893"/>
      <c r="AB39" s="1803"/>
      <c r="AC39" s="1783"/>
      <c r="AD39" s="1798"/>
      <c r="AE39" s="1908"/>
    </row>
    <row r="40" spans="1:33">
      <c r="A40" s="1891" t="s">
        <v>47</v>
      </c>
      <c r="B40" s="1796">
        <v>2.1999999999999999E-2</v>
      </c>
      <c r="C40" s="1796">
        <v>0.03</v>
      </c>
      <c r="D40" s="1796">
        <v>-3.0000000000000001E-3</v>
      </c>
      <c r="E40" s="1796">
        <v>-1.7000000000000001E-2</v>
      </c>
      <c r="F40" s="1796">
        <v>-3.0000000000000001E-3</v>
      </c>
      <c r="G40" s="1796">
        <v>6.3E-2</v>
      </c>
      <c r="H40" s="1796">
        <v>4.2999999999999997E-2</v>
      </c>
      <c r="I40" s="1796">
        <v>-2.1999999999999999E-2</v>
      </c>
      <c r="J40" s="1796">
        <v>-5.1999999999999998E-2</v>
      </c>
      <c r="K40" s="1796">
        <v>-2.5000000000000001E-2</v>
      </c>
      <c r="L40" s="1896">
        <f>'qtrP&amp;L'!AK15%</f>
        <v>-0.04</v>
      </c>
      <c r="M40" s="1896">
        <f>'qtrP&amp;L'!AO15/100</f>
        <v>-2E-3</v>
      </c>
      <c r="N40" s="1896">
        <f>'qtrP&amp;L'!AS15/100</f>
        <v>6.9999999999999993E-3</v>
      </c>
      <c r="O40" s="1896"/>
      <c r="P40" s="1896">
        <f>'qtrP&amp;L'!AW15/100</f>
        <v>1.2E-2</v>
      </c>
      <c r="Q40" s="1896">
        <f>'qtrP&amp;L'!BA15/100</f>
        <v>4.7E-2</v>
      </c>
      <c r="R40" s="1896">
        <f>'qtrP&amp;L'!BE15/100</f>
        <v>4.9000000000000002E-2</v>
      </c>
      <c r="S40" s="1896">
        <f>qtrSales!E115/100</f>
        <v>2.1484157270581374E-2</v>
      </c>
      <c r="T40" s="1896">
        <f>qtrSales!$E$122/100</f>
        <v>4.494161951463501E-2</v>
      </c>
      <c r="U40" s="1896">
        <f>qtrSales!E129/100</f>
        <v>3.4000000000000002E-2</v>
      </c>
      <c r="V40" s="1896">
        <f>qtrSales!E136/100</f>
        <v>2.9999999999999995E-2</v>
      </c>
      <c r="W40" s="1897">
        <v>0.03</v>
      </c>
      <c r="X40" s="1897">
        <v>0.03</v>
      </c>
      <c r="Y40" s="1897">
        <v>0.03</v>
      </c>
      <c r="Z40" s="1897">
        <v>0.03</v>
      </c>
      <c r="AB40" s="1803"/>
      <c r="AC40" s="1783"/>
      <c r="AD40" s="1798"/>
      <c r="AE40" s="1908"/>
      <c r="AG40" s="1587"/>
    </row>
    <row r="41" spans="1:33">
      <c r="AB41" s="1803"/>
      <c r="AC41" s="1783"/>
      <c r="AD41" s="1798"/>
      <c r="AE41" s="1908"/>
    </row>
    <row r="42" spans="1:33">
      <c r="A42" s="1282" t="s">
        <v>48</v>
      </c>
      <c r="B42" s="1896" t="s">
        <v>90</v>
      </c>
      <c r="C42" s="1896" t="s">
        <v>90</v>
      </c>
      <c r="D42" s="1587">
        <f t="shared" ref="D42:K42" si="31">(D9-D40)/D29</f>
        <v>0.66169698517344167</v>
      </c>
      <c r="E42" s="1587">
        <f t="shared" si="31"/>
        <v>0.7940849799645584</v>
      </c>
      <c r="F42" s="1587">
        <f t="shared" si="31"/>
        <v>1.0485230589652703</v>
      </c>
      <c r="G42" s="1587">
        <f t="shared" si="31"/>
        <v>0.78113895250139898</v>
      </c>
      <c r="H42" s="1587">
        <f t="shared" si="31"/>
        <v>1.1023059822967134</v>
      </c>
      <c r="I42" s="1587">
        <f t="shared" si="31"/>
        <v>0.67401301817191916</v>
      </c>
      <c r="J42" s="1587">
        <f t="shared" si="31"/>
        <v>1.2638391522134318</v>
      </c>
      <c r="K42" s="1587">
        <f t="shared" si="31"/>
        <v>0.98839493686790481</v>
      </c>
      <c r="L42" s="1887" t="s">
        <v>90</v>
      </c>
      <c r="M42" s="1887" t="s">
        <v>90</v>
      </c>
      <c r="N42" s="1587">
        <f>(N9-N40)/N29</f>
        <v>1.1155588688753819</v>
      </c>
      <c r="O42" s="1587"/>
      <c r="P42" s="1587">
        <f t="shared" ref="P42:V42" si="32">(P9-P40)/P29</f>
        <v>0.66071543158032009</v>
      </c>
      <c r="Q42" s="1587">
        <f t="shared" si="32"/>
        <v>1.0948838045533231</v>
      </c>
      <c r="R42" s="1587">
        <f t="shared" si="32"/>
        <v>15.052526950190392</v>
      </c>
      <c r="S42" s="1587">
        <f t="shared" si="32"/>
        <v>1.2728146061437542</v>
      </c>
      <c r="T42" s="1587">
        <f t="shared" si="32"/>
        <v>1.5841626458214069</v>
      </c>
      <c r="U42" s="1587">
        <f t="shared" si="32"/>
        <v>2.3466305755907224</v>
      </c>
      <c r="V42" s="1587">
        <f t="shared" si="32"/>
        <v>1.7253468320169869</v>
      </c>
      <c r="W42" s="1886">
        <v>1.2</v>
      </c>
      <c r="X42" s="1886">
        <v>1.2</v>
      </c>
      <c r="Y42" s="1886">
        <v>1.2</v>
      </c>
      <c r="Z42" s="1886">
        <v>1.2</v>
      </c>
      <c r="AB42" s="1803"/>
      <c r="AC42" s="1783"/>
      <c r="AD42" s="1798"/>
      <c r="AE42" s="1908"/>
    </row>
    <row r="43" spans="1:33">
      <c r="AB43" s="1803"/>
      <c r="AC43" s="1783"/>
      <c r="AD43" s="1798"/>
      <c r="AE43" s="1908"/>
    </row>
    <row r="44" spans="1:33">
      <c r="A44" s="1282" t="s">
        <v>49</v>
      </c>
      <c r="B44" s="1794">
        <f>'yrP&amp;L'!B32</f>
        <v>105.50299999999996</v>
      </c>
      <c r="C44" s="1794">
        <f>'yrP&amp;L'!C32</f>
        <v>114.69200000000038</v>
      </c>
      <c r="D44" s="1794">
        <f>'yrP&amp;L'!D32</f>
        <v>109.17900000000002</v>
      </c>
      <c r="E44" s="1794">
        <f>'yrP&amp;L'!E32</f>
        <v>110.07100000000007</v>
      </c>
      <c r="F44" s="1794">
        <f>'yrP&amp;L'!F32</f>
        <v>110.508</v>
      </c>
      <c r="G44" s="1794">
        <f>'yrP&amp;L'!G32</f>
        <v>165.82900000000001</v>
      </c>
      <c r="H44" s="1794">
        <f>'yrP&amp;L'!H32</f>
        <v>128.21600000000015</v>
      </c>
      <c r="I44" s="1794">
        <f>'yrP&amp;L'!I32</f>
        <v>79.930000000000064</v>
      </c>
      <c r="J44" s="1794">
        <f>'yrP&amp;L'!J32</f>
        <v>71.113999999999976</v>
      </c>
      <c r="K44" s="1794">
        <f>'yrP&amp;L'!K32</f>
        <v>96.746000000000066</v>
      </c>
      <c r="L44" s="1794">
        <f>'yrP&amp;L_new'!B40</f>
        <v>39.468619947577345</v>
      </c>
      <c r="M44" s="1794">
        <f>'yrP&amp;L_new'!C40</f>
        <v>152.43583366097994</v>
      </c>
      <c r="N44" s="1794">
        <f>'yrP&amp;L_new'!D40</f>
        <v>118.2256199582061</v>
      </c>
      <c r="P44" s="1794">
        <f>'yrP&amp;L_new'!E40</f>
        <v>143.57870799710253</v>
      </c>
      <c r="Q44" s="1794">
        <f>'yrP&amp;L_new'!F40</f>
        <v>160.08923749887896</v>
      </c>
      <c r="R44" s="1794">
        <f>'yrP&amp;L_new'!G40</f>
        <v>198.0593524782613</v>
      </c>
      <c r="S44" s="1794">
        <f>'yrP&amp;L_new'!H40</f>
        <v>297.87400000000014</v>
      </c>
      <c r="T44" s="1794">
        <f>'yrP&amp;L_new'!I40</f>
        <v>389.37299999999954</v>
      </c>
      <c r="U44" s="1794">
        <f>'yrP&amp;L_new'!J40</f>
        <v>487.75699999999966</v>
      </c>
      <c r="V44" s="1794">
        <f>'yrP&amp;L_new'!K40</f>
        <v>556.653087561029</v>
      </c>
      <c r="W44" s="1794">
        <f>'yrP&amp;L_new'!L40</f>
        <v>608.08181661176241</v>
      </c>
      <c r="X44" s="1794">
        <f>'yrP&amp;L_new'!M40</f>
        <v>664.27634443176203</v>
      </c>
      <c r="Y44" s="1794">
        <f>'yrP&amp;L_new'!N40</f>
        <v>729.72859902902542</v>
      </c>
      <c r="Z44" s="1794">
        <f>'yrP&amp;L_new'!O40</f>
        <v>792.86346330198444</v>
      </c>
      <c r="AB44" s="1803">
        <f>((U44/P44)^(1/5)-1)*100</f>
        <v>27.709349850337507</v>
      </c>
      <c r="AC44" s="1783" t="s">
        <v>102</v>
      </c>
      <c r="AD44" s="1798">
        <f>((Z44/U44)^(1/5)-1)*100</f>
        <v>10.204411277856295</v>
      </c>
      <c r="AE44" s="1908" t="s">
        <v>102</v>
      </c>
    </row>
    <row r="45" spans="1:33">
      <c r="A45" s="1795" t="s">
        <v>56</v>
      </c>
      <c r="B45" s="1887" t="s">
        <v>90</v>
      </c>
      <c r="C45" s="1694">
        <f>C44/C12</f>
        <v>4.7225873183715433E-2</v>
      </c>
      <c r="D45" s="1694">
        <f>D44/D12</f>
        <v>4.2752305720552115E-2</v>
      </c>
      <c r="E45" s="1694">
        <f>E44/E12</f>
        <v>4.1099977297575044E-2</v>
      </c>
      <c r="F45" s="1694">
        <f>F44/F12</f>
        <v>3.8639701254563001E-2</v>
      </c>
      <c r="G45" s="1694">
        <f t="shared" ref="G45:P45" si="33">G44/G12</f>
        <v>5.1824153707685387E-2</v>
      </c>
      <c r="H45" s="1694">
        <f t="shared" si="33"/>
        <v>3.6943957650565344E-2</v>
      </c>
      <c r="I45" s="1694">
        <f t="shared" si="33"/>
        <v>2.3224359281680727E-2</v>
      </c>
      <c r="J45" s="1694">
        <f t="shared" si="33"/>
        <v>2.0769439478640742E-2</v>
      </c>
      <c r="K45" s="1694">
        <f t="shared" si="33"/>
        <v>2.7089347020342647E-2</v>
      </c>
      <c r="L45" s="1694">
        <f t="shared" si="33"/>
        <v>1.1106176721173538E-2</v>
      </c>
      <c r="M45" s="1694">
        <f t="shared" si="33"/>
        <v>4.1186751699561923E-2</v>
      </c>
      <c r="N45" s="1694">
        <f t="shared" si="33"/>
        <v>3.0411492527829643E-2</v>
      </c>
      <c r="O45" s="1694"/>
      <c r="P45" s="1694">
        <f t="shared" si="33"/>
        <v>3.4924142321576306E-2</v>
      </c>
      <c r="Q45" s="1694">
        <f t="shared" ref="Q45" si="34">Q44/Q8</f>
        <v>3.6159049099587066E-2</v>
      </c>
      <c r="R45" s="1694">
        <f t="shared" ref="R45" si="35">R44/R8</f>
        <v>4.1138059596224512E-2</v>
      </c>
      <c r="S45" s="1694">
        <f t="shared" ref="S45" si="36">S44/S8</f>
        <v>5.8418900271664763E-2</v>
      </c>
      <c r="T45" s="1694">
        <f t="shared" ref="T45" si="37">T44/T8</f>
        <v>6.9955145832637067E-2</v>
      </c>
      <c r="U45" s="1694">
        <f t="shared" ref="U45" si="38">U44/U8</f>
        <v>8.0160354564168895E-2</v>
      </c>
      <c r="V45" s="1694">
        <f t="shared" ref="V45" si="39">V44/V8</f>
        <v>8.4502928662822302E-2</v>
      </c>
      <c r="W45" s="1694">
        <f t="shared" ref="W45:Z45" si="40">W44/W8</f>
        <v>8.3617242587901069E-2</v>
      </c>
      <c r="X45" s="1694">
        <f t="shared" si="40"/>
        <v>8.3065702480790621E-2</v>
      </c>
      <c r="Y45" s="1694">
        <f t="shared" si="40"/>
        <v>8.326945808121948E-2</v>
      </c>
      <c r="Z45" s="1694">
        <f t="shared" si="40"/>
        <v>8.281969758067298E-2</v>
      </c>
      <c r="AB45" s="1909"/>
      <c r="AC45" s="1898"/>
      <c r="AD45" s="1898"/>
      <c r="AE45" s="1907"/>
    </row>
    <row r="47" spans="1:33">
      <c r="A47" s="1778" t="s">
        <v>78</v>
      </c>
    </row>
  </sheetData>
  <phoneticPr fontId="11" type="noConversion"/>
  <printOptions horizontalCentered="1" verticalCentered="1"/>
  <pageMargins left="0.5" right="0.5" top="0.5" bottom="0.5" header="0.5" footer="0.5"/>
  <pageSetup scale="88" orientation="landscape" horizontalDpi="300" verticalDpi="300"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N41"/>
  <sheetViews>
    <sheetView workbookViewId="0">
      <selection activeCell="K40" sqref="K40"/>
    </sheetView>
  </sheetViews>
  <sheetFormatPr defaultRowHeight="12.75"/>
  <cols>
    <col min="1" max="1" width="23.85546875" style="17" customWidth="1"/>
    <col min="2" max="6" width="9.7109375" style="17" bestFit="1" customWidth="1"/>
    <col min="7" max="7" width="10.7109375" style="17" bestFit="1" customWidth="1"/>
    <col min="8" max="8" width="9.7109375" style="17" bestFit="1" customWidth="1"/>
    <col min="9" max="10" width="9.7109375" style="17" customWidth="1"/>
    <col min="11" max="16384" width="9.140625" style="17"/>
  </cols>
  <sheetData>
    <row r="1" spans="1:14">
      <c r="A1" s="1" t="s">
        <v>441</v>
      </c>
      <c r="B1" s="107"/>
      <c r="C1" s="107"/>
      <c r="D1" s="107"/>
      <c r="E1" s="107"/>
      <c r="F1" s="107"/>
      <c r="G1" s="107"/>
      <c r="H1" s="107"/>
      <c r="I1" s="107"/>
      <c r="J1" s="107"/>
    </row>
    <row r="2" spans="1:14">
      <c r="A2" s="108" t="s">
        <v>416</v>
      </c>
      <c r="B2" s="109"/>
      <c r="C2" s="109"/>
      <c r="D2" s="109"/>
      <c r="E2" s="109"/>
      <c r="F2" s="109"/>
      <c r="G2" s="109"/>
      <c r="H2" s="109"/>
      <c r="I2" s="109"/>
      <c r="J2" s="109"/>
    </row>
    <row r="3" spans="1:14">
      <c r="A3" s="766" t="s">
        <v>417</v>
      </c>
      <c r="B3" s="767"/>
      <c r="C3" s="767"/>
      <c r="D3" s="767"/>
      <c r="E3" s="767"/>
      <c r="F3" s="767"/>
      <c r="G3" s="767"/>
      <c r="H3" s="767"/>
      <c r="I3" s="768"/>
      <c r="J3" s="768"/>
      <c r="L3" s="1" t="s">
        <v>443</v>
      </c>
    </row>
    <row r="4" spans="1:14">
      <c r="A4" s="769" t="s">
        <v>418</v>
      </c>
      <c r="B4" s="768"/>
      <c r="C4" s="768"/>
      <c r="D4" s="768"/>
      <c r="E4" s="768"/>
      <c r="F4" s="768"/>
      <c r="G4" s="768"/>
      <c r="H4" s="768"/>
      <c r="I4" s="768"/>
      <c r="J4" s="768"/>
      <c r="K4" s="17" t="s">
        <v>442</v>
      </c>
      <c r="L4" s="770">
        <v>0.4</v>
      </c>
    </row>
    <row r="5" spans="1:14">
      <c r="A5" s="771" t="s">
        <v>419</v>
      </c>
      <c r="B5" s="772">
        <v>2012</v>
      </c>
      <c r="C5" s="772">
        <f>B5+1</f>
        <v>2013</v>
      </c>
      <c r="D5" s="772" t="s">
        <v>37</v>
      </c>
      <c r="E5" s="772" t="s">
        <v>38</v>
      </c>
      <c r="F5" s="772" t="s">
        <v>244</v>
      </c>
      <c r="G5" s="772" t="s">
        <v>245</v>
      </c>
      <c r="H5" s="772" t="s">
        <v>341</v>
      </c>
      <c r="I5" s="773"/>
      <c r="J5" s="773"/>
      <c r="K5" s="17" t="s">
        <v>444</v>
      </c>
      <c r="L5" s="770">
        <v>0.49</v>
      </c>
    </row>
    <row r="6" spans="1:14">
      <c r="A6" s="774" t="s">
        <v>416</v>
      </c>
      <c r="B6" s="775"/>
      <c r="C6" s="775"/>
      <c r="D6" s="775"/>
      <c r="E6" s="775"/>
      <c r="F6" s="776"/>
      <c r="G6" s="776"/>
      <c r="H6" s="776"/>
      <c r="I6" s="777"/>
      <c r="J6" s="777"/>
      <c r="K6" s="17" t="s">
        <v>445</v>
      </c>
      <c r="L6" s="770">
        <v>1.2</v>
      </c>
    </row>
    <row r="7" spans="1:14">
      <c r="A7" s="777"/>
      <c r="B7" s="777"/>
      <c r="C7" s="777"/>
      <c r="D7" s="777"/>
      <c r="E7" s="777"/>
      <c r="F7" s="777"/>
      <c r="G7" s="777"/>
      <c r="H7" s="777"/>
      <c r="I7" s="777"/>
      <c r="J7" s="777"/>
      <c r="K7" s="17" t="s">
        <v>446</v>
      </c>
      <c r="L7" s="770">
        <v>0.51</v>
      </c>
    </row>
    <row r="8" spans="1:14">
      <c r="A8" s="777" t="s">
        <v>423</v>
      </c>
      <c r="B8" s="778">
        <v>1.7600000000000001E-2</v>
      </c>
      <c r="C8" s="779">
        <f t="shared" ref="C8:H10" si="0">+B8</f>
        <v>1.7600000000000001E-2</v>
      </c>
      <c r="D8" s="779">
        <f t="shared" si="0"/>
        <v>1.7600000000000001E-2</v>
      </c>
      <c r="E8" s="779">
        <f t="shared" si="0"/>
        <v>1.7600000000000001E-2</v>
      </c>
      <c r="F8" s="779">
        <f t="shared" si="0"/>
        <v>1.7600000000000001E-2</v>
      </c>
      <c r="G8" s="779">
        <f t="shared" si="0"/>
        <v>1.7600000000000001E-2</v>
      </c>
      <c r="H8" s="779">
        <f t="shared" si="0"/>
        <v>1.7600000000000001E-2</v>
      </c>
      <c r="I8" s="779"/>
      <c r="J8" s="779"/>
      <c r="K8" s="17" t="s">
        <v>447</v>
      </c>
      <c r="L8" s="770">
        <v>0.57999999999999996</v>
      </c>
    </row>
    <row r="9" spans="1:14">
      <c r="A9" s="777" t="s">
        <v>424</v>
      </c>
      <c r="B9" s="778">
        <v>5.7799999999999997E-2</v>
      </c>
      <c r="C9" s="779">
        <f t="shared" si="0"/>
        <v>5.7799999999999997E-2</v>
      </c>
      <c r="D9" s="779">
        <f t="shared" si="0"/>
        <v>5.7799999999999997E-2</v>
      </c>
      <c r="E9" s="779">
        <f t="shared" si="0"/>
        <v>5.7799999999999997E-2</v>
      </c>
      <c r="F9" s="779">
        <f t="shared" si="0"/>
        <v>5.7799999999999997E-2</v>
      </c>
      <c r="G9" s="779">
        <f t="shared" si="0"/>
        <v>5.7799999999999997E-2</v>
      </c>
      <c r="H9" s="779">
        <f t="shared" si="0"/>
        <v>5.7799999999999997E-2</v>
      </c>
      <c r="I9" s="779"/>
      <c r="J9" s="779"/>
      <c r="K9" s="17" t="s">
        <v>449</v>
      </c>
      <c r="L9" s="770">
        <v>1.25</v>
      </c>
    </row>
    <row r="10" spans="1:14">
      <c r="A10" s="777" t="s">
        <v>425</v>
      </c>
      <c r="B10" s="780">
        <v>1.23</v>
      </c>
      <c r="C10" s="781">
        <f t="shared" si="0"/>
        <v>1.23</v>
      </c>
      <c r="D10" s="781">
        <f t="shared" si="0"/>
        <v>1.23</v>
      </c>
      <c r="E10" s="781">
        <f t="shared" si="0"/>
        <v>1.23</v>
      </c>
      <c r="F10" s="781">
        <f t="shared" si="0"/>
        <v>1.23</v>
      </c>
      <c r="G10" s="781">
        <f t="shared" si="0"/>
        <v>1.23</v>
      </c>
      <c r="H10" s="781">
        <f t="shared" si="0"/>
        <v>1.23</v>
      </c>
      <c r="I10" s="781"/>
      <c r="J10" s="781"/>
      <c r="L10" s="770"/>
      <c r="M10" s="1" t="s">
        <v>455</v>
      </c>
      <c r="N10" s="110">
        <f>AVERAGE(L4:L9)</f>
        <v>0.73833333333333329</v>
      </c>
    </row>
    <row r="11" spans="1:14">
      <c r="A11" s="777" t="s">
        <v>426</v>
      </c>
      <c r="B11" s="782">
        <f t="shared" ref="B11:H11" si="1">+B8+(B9*B10)</f>
        <v>8.8693999999999995E-2</v>
      </c>
      <c r="C11" s="782">
        <f t="shared" si="1"/>
        <v>8.8693999999999995E-2</v>
      </c>
      <c r="D11" s="782">
        <f t="shared" si="1"/>
        <v>8.8693999999999995E-2</v>
      </c>
      <c r="E11" s="782">
        <f t="shared" si="1"/>
        <v>8.8693999999999995E-2</v>
      </c>
      <c r="F11" s="782">
        <f t="shared" si="1"/>
        <v>8.8693999999999995E-2</v>
      </c>
      <c r="G11" s="782">
        <f t="shared" si="1"/>
        <v>8.8693999999999995E-2</v>
      </c>
      <c r="H11" s="782">
        <f t="shared" si="1"/>
        <v>8.8693999999999995E-2</v>
      </c>
      <c r="I11" s="782"/>
      <c r="J11" s="782"/>
      <c r="K11" s="17" t="s">
        <v>448</v>
      </c>
      <c r="L11" s="770">
        <v>1.71</v>
      </c>
    </row>
    <row r="12" spans="1:14">
      <c r="A12" s="777"/>
      <c r="B12" s="777"/>
      <c r="C12" s="777"/>
      <c r="D12" s="777"/>
      <c r="E12" s="777"/>
      <c r="F12" s="777"/>
      <c r="G12" s="777"/>
      <c r="H12" s="777"/>
      <c r="I12" s="777"/>
      <c r="J12" s="777"/>
      <c r="K12" s="17" t="s">
        <v>450</v>
      </c>
      <c r="L12" s="770">
        <v>1.413</v>
      </c>
    </row>
    <row r="13" spans="1:14">
      <c r="A13" s="777" t="s">
        <v>427</v>
      </c>
      <c r="B13" s="783">
        <v>0.11</v>
      </c>
      <c r="C13" s="779">
        <f t="shared" ref="C13:H13" si="2">B13</f>
        <v>0.11</v>
      </c>
      <c r="D13" s="779">
        <f t="shared" si="2"/>
        <v>0.11</v>
      </c>
      <c r="E13" s="779">
        <f t="shared" si="2"/>
        <v>0.11</v>
      </c>
      <c r="F13" s="779">
        <f t="shared" si="2"/>
        <v>0.11</v>
      </c>
      <c r="G13" s="779">
        <f t="shared" si="2"/>
        <v>0.11</v>
      </c>
      <c r="H13" s="779">
        <f t="shared" si="2"/>
        <v>0.11</v>
      </c>
      <c r="I13" s="779"/>
      <c r="J13" s="779"/>
      <c r="K13" s="17" t="s">
        <v>451</v>
      </c>
      <c r="L13" s="770">
        <v>5.0000000000000001E-3</v>
      </c>
    </row>
    <row r="14" spans="1:14">
      <c r="A14" s="777" t="s">
        <v>428</v>
      </c>
      <c r="B14" s="779">
        <f t="shared" ref="B14:H14" si="3">+B11</f>
        <v>8.8693999999999995E-2</v>
      </c>
      <c r="C14" s="779">
        <f t="shared" si="3"/>
        <v>8.8693999999999995E-2</v>
      </c>
      <c r="D14" s="779">
        <f t="shared" si="3"/>
        <v>8.8693999999999995E-2</v>
      </c>
      <c r="E14" s="779">
        <f t="shared" si="3"/>
        <v>8.8693999999999995E-2</v>
      </c>
      <c r="F14" s="779">
        <f t="shared" si="3"/>
        <v>8.8693999999999995E-2</v>
      </c>
      <c r="G14" s="779">
        <f t="shared" si="3"/>
        <v>8.8693999999999995E-2</v>
      </c>
      <c r="H14" s="779">
        <f t="shared" si="3"/>
        <v>8.8693999999999995E-2</v>
      </c>
      <c r="I14" s="779"/>
      <c r="J14" s="779"/>
      <c r="K14" s="17" t="s">
        <v>452</v>
      </c>
      <c r="L14" s="770">
        <v>1.9430000000000001</v>
      </c>
    </row>
    <row r="15" spans="1:14">
      <c r="A15" s="777" t="s">
        <v>429</v>
      </c>
      <c r="B15" s="784">
        <f>dtc!Y53</f>
        <v>1.0639060481017033</v>
      </c>
      <c r="C15" s="784">
        <f>dtc!AA53</f>
        <v>1.1177631666480137</v>
      </c>
      <c r="D15" s="784">
        <f>dtc!AC53</f>
        <v>1.055678721342145</v>
      </c>
      <c r="E15" s="784">
        <f>dtc!AE53</f>
        <v>1.0821161012971461</v>
      </c>
      <c r="F15" s="784">
        <f>dtc!AG53</f>
        <v>1.0460936697545686</v>
      </c>
      <c r="G15" s="784">
        <f>dtc!AI53</f>
        <v>0.92850728241328906</v>
      </c>
      <c r="H15" s="784">
        <f>dtc!AK53</f>
        <v>0.76992236170030348</v>
      </c>
      <c r="I15" s="784"/>
      <c r="J15" s="784"/>
      <c r="K15" s="17" t="s">
        <v>453</v>
      </c>
      <c r="L15" s="770">
        <v>1.3420000000000001</v>
      </c>
    </row>
    <row r="16" spans="1:14">
      <c r="A16" s="777" t="s">
        <v>208</v>
      </c>
      <c r="B16" s="778">
        <v>0.39</v>
      </c>
      <c r="C16" s="782">
        <f t="shared" ref="C16:H16" si="4">B16</f>
        <v>0.39</v>
      </c>
      <c r="D16" s="782">
        <f t="shared" si="4"/>
        <v>0.39</v>
      </c>
      <c r="E16" s="782">
        <f t="shared" si="4"/>
        <v>0.39</v>
      </c>
      <c r="F16" s="782">
        <f t="shared" si="4"/>
        <v>0.39</v>
      </c>
      <c r="G16" s="782">
        <f t="shared" si="4"/>
        <v>0.39</v>
      </c>
      <c r="H16" s="782">
        <f t="shared" si="4"/>
        <v>0.39</v>
      </c>
      <c r="I16" s="782"/>
      <c r="J16" s="782"/>
      <c r="K16" s="17" t="s">
        <v>454</v>
      </c>
      <c r="L16" s="770">
        <v>1.29</v>
      </c>
      <c r="M16" s="1" t="s">
        <v>455</v>
      </c>
      <c r="N16" s="110">
        <f>AVERAGE(L4:L16)</f>
        <v>1.0110833333333333</v>
      </c>
    </row>
    <row r="17" spans="1:10">
      <c r="A17" s="777" t="s">
        <v>430</v>
      </c>
      <c r="B17" s="782">
        <f>+(B13*(1-B16)*B15)+(B14*(1-B15))</f>
        <v>6.572001279729181E-2</v>
      </c>
      <c r="C17" s="782">
        <f t="shared" ref="C17:H17" si="5">+(C13*(1-C16)*C15)+(C14*(1-C15))</f>
        <v>6.455702217940279E-2</v>
      </c>
      <c r="D17" s="782">
        <f t="shared" si="5"/>
        <v>6.5897673691337713E-2</v>
      </c>
      <c r="E17" s="782">
        <f t="shared" si="5"/>
        <v>6.5326784908589425E-2</v>
      </c>
      <c r="F17" s="782">
        <f t="shared" si="5"/>
        <v>6.6104653295319837E-2</v>
      </c>
      <c r="G17" s="782">
        <f t="shared" si="5"/>
        <v>6.8643813743567428E-2</v>
      </c>
      <c r="H17" s="782">
        <f t="shared" si="5"/>
        <v>7.2068296521443642E-2</v>
      </c>
      <c r="I17" s="782"/>
      <c r="J17" s="782"/>
    </row>
    <row r="18" spans="1:10">
      <c r="A18" s="777" t="s">
        <v>431</v>
      </c>
      <c r="B18" s="785">
        <v>1.4999999999999999E-2</v>
      </c>
      <c r="C18" s="779">
        <f t="shared" ref="C18:H18" si="6">+B18</f>
        <v>1.4999999999999999E-2</v>
      </c>
      <c r="D18" s="779">
        <f t="shared" si="6"/>
        <v>1.4999999999999999E-2</v>
      </c>
      <c r="E18" s="779">
        <f t="shared" si="6"/>
        <v>1.4999999999999999E-2</v>
      </c>
      <c r="F18" s="779">
        <f t="shared" si="6"/>
        <v>1.4999999999999999E-2</v>
      </c>
      <c r="G18" s="779">
        <f t="shared" si="6"/>
        <v>1.4999999999999999E-2</v>
      </c>
      <c r="H18" s="779">
        <f t="shared" si="6"/>
        <v>1.4999999999999999E-2</v>
      </c>
      <c r="I18" s="779"/>
      <c r="J18" s="779"/>
    </row>
    <row r="19" spans="1:10">
      <c r="A19" s="786"/>
      <c r="B19" s="786"/>
      <c r="C19" s="786"/>
      <c r="D19" s="786"/>
      <c r="E19" s="786"/>
      <c r="F19" s="786"/>
      <c r="G19" s="786"/>
      <c r="H19" s="786"/>
      <c r="I19" s="786"/>
      <c r="J19" s="786"/>
    </row>
    <row r="20" spans="1:10">
      <c r="A20" s="786"/>
      <c r="B20" s="786"/>
      <c r="C20" s="786"/>
      <c r="D20" s="786"/>
      <c r="E20" s="786"/>
      <c r="F20" s="786"/>
      <c r="G20" s="786"/>
      <c r="H20" s="786"/>
      <c r="I20" s="786"/>
      <c r="J20" s="786"/>
    </row>
    <row r="21" spans="1:10">
      <c r="A21" s="777" t="s">
        <v>158</v>
      </c>
      <c r="B21" s="787">
        <f>flow!AC9</f>
        <v>28.311879829999256</v>
      </c>
      <c r="C21" s="787">
        <f>flow!AE9</f>
        <v>16.149999999999807</v>
      </c>
      <c r="D21" s="787">
        <f>flow!AG9</f>
        <v>65.954999999999998</v>
      </c>
      <c r="E21" s="787">
        <f>flow!AI9</f>
        <v>150.48200000000014</v>
      </c>
      <c r="F21" s="787">
        <f>flow!AK9</f>
        <v>215.87299999999954</v>
      </c>
      <c r="G21" s="787">
        <f>flow!AM9</f>
        <v>384.85244599999965</v>
      </c>
      <c r="H21" s="787">
        <f>flow!AO9</f>
        <v>379.84264696875221</v>
      </c>
      <c r="I21" s="787"/>
      <c r="J21" s="787"/>
    </row>
    <row r="22" spans="1:10">
      <c r="A22" s="777" t="s">
        <v>432</v>
      </c>
      <c r="B22" s="788">
        <f>flow!AC11</f>
        <v>163.80918510199999</v>
      </c>
      <c r="C22" s="788">
        <f>flow!AE11</f>
        <v>168.19499999999999</v>
      </c>
      <c r="D22" s="788">
        <f>flow!AG11</f>
        <v>167.58</v>
      </c>
      <c r="E22" s="788">
        <f>flow!AI11</f>
        <v>172.09900000000002</v>
      </c>
      <c r="F22" s="788">
        <f>flow!AK11</f>
        <v>183.58600000000001</v>
      </c>
      <c r="G22" s="788">
        <f>flow!AM11</f>
        <v>201.10300000000001</v>
      </c>
      <c r="H22" s="788">
        <f>flow!AO11</f>
        <v>225.71548000000001</v>
      </c>
      <c r="I22" s="788"/>
      <c r="J22" s="788"/>
    </row>
    <row r="23" spans="1:10">
      <c r="A23" s="777" t="s">
        <v>458</v>
      </c>
      <c r="B23" s="788">
        <f>flow!AC28</f>
        <v>52.6</v>
      </c>
      <c r="C23" s="788">
        <f>flow!AE28</f>
        <v>54.651999999999994</v>
      </c>
      <c r="D23" s="788">
        <f>flow!AG28</f>
        <v>33.441999999999993</v>
      </c>
      <c r="E23" s="788">
        <f>flow!AI28</f>
        <v>45.15</v>
      </c>
      <c r="F23" s="788">
        <f>flow!AK28</f>
        <v>13.742000000000004</v>
      </c>
      <c r="G23" s="788">
        <f>flow!AM28</f>
        <v>23.333000000000002</v>
      </c>
      <c r="H23" s="788">
        <f>flow!AO28</f>
        <v>0</v>
      </c>
      <c r="I23" s="788"/>
      <c r="J23" s="788"/>
    </row>
    <row r="24" spans="1:10">
      <c r="A24" s="777" t="s">
        <v>457</v>
      </c>
      <c r="B24" s="788">
        <f>flow!AC46</f>
        <v>203.7</v>
      </c>
      <c r="C24" s="788">
        <f>flow!AE46</f>
        <v>49.903999999999996</v>
      </c>
      <c r="D24" s="788">
        <f>flow!AG46</f>
        <v>50.47699999999999</v>
      </c>
      <c r="E24" s="788">
        <f>flow!AI46</f>
        <v>-28.329000000000001</v>
      </c>
      <c r="F24" s="788">
        <f>flow!AK46</f>
        <v>189.245</v>
      </c>
      <c r="G24" s="788">
        <f>flow!AM46</f>
        <v>-2.0379999999999967</v>
      </c>
      <c r="H24" s="788">
        <f>flow!AO46</f>
        <v>57.5091372619314</v>
      </c>
      <c r="I24" s="788"/>
      <c r="J24" s="788"/>
    </row>
    <row r="25" spans="1:10">
      <c r="A25" s="777" t="s">
        <v>456</v>
      </c>
      <c r="B25" s="789">
        <f>flow!AC31</f>
        <v>-167.3</v>
      </c>
      <c r="C25" s="789">
        <f>flow!AE31</f>
        <v>-168.267</v>
      </c>
      <c r="D25" s="789">
        <f>flow!AG31</f>
        <v>-220.98</v>
      </c>
      <c r="E25" s="789">
        <f>flow!AI31</f>
        <v>-201.78700000000001</v>
      </c>
      <c r="F25" s="789">
        <f>flow!AK31</f>
        <v>-187.50700000000001</v>
      </c>
      <c r="G25" s="789">
        <f>flow!AM31</f>
        <v>-268.19400000000002</v>
      </c>
      <c r="H25" s="789">
        <f>flow!AO31</f>
        <v>-250</v>
      </c>
      <c r="I25" s="790"/>
      <c r="J25" s="790"/>
    </row>
    <row r="26" spans="1:10">
      <c r="A26" s="777" t="s">
        <v>460</v>
      </c>
      <c r="B26" s="791">
        <f t="shared" ref="B26:H26" si="7">SUM(B21:B25)</f>
        <v>281.12106493199923</v>
      </c>
      <c r="C26" s="791">
        <f t="shared" si="7"/>
        <v>120.63399999999979</v>
      </c>
      <c r="D26" s="791">
        <f t="shared" si="7"/>
        <v>96.474000000000018</v>
      </c>
      <c r="E26" s="791">
        <f t="shared" si="7"/>
        <v>137.61500000000009</v>
      </c>
      <c r="F26" s="791">
        <f t="shared" si="7"/>
        <v>414.93899999999957</v>
      </c>
      <c r="G26" s="791">
        <f t="shared" si="7"/>
        <v>339.05644599999965</v>
      </c>
      <c r="H26" s="791">
        <f t="shared" si="7"/>
        <v>413.06726423068369</v>
      </c>
      <c r="I26" s="791"/>
      <c r="J26" s="791"/>
    </row>
    <row r="27" spans="1:10">
      <c r="A27" s="777"/>
      <c r="B27" s="786"/>
      <c r="C27" s="786"/>
      <c r="D27" s="786"/>
      <c r="E27" s="786"/>
      <c r="F27" s="786"/>
      <c r="G27" s="786"/>
      <c r="H27" s="786"/>
      <c r="I27" s="786"/>
      <c r="J27" s="786"/>
    </row>
    <row r="28" spans="1:10">
      <c r="A28" s="777" t="s">
        <v>433</v>
      </c>
      <c r="B28" s="791">
        <f>H26</f>
        <v>413.06726423068369</v>
      </c>
      <c r="C28" s="791">
        <f t="shared" ref="C28:H28" si="8">B28</f>
        <v>413.06726423068369</v>
      </c>
      <c r="D28" s="791">
        <f t="shared" si="8"/>
        <v>413.06726423068369</v>
      </c>
      <c r="E28" s="791">
        <f t="shared" si="8"/>
        <v>413.06726423068369</v>
      </c>
      <c r="F28" s="791">
        <f t="shared" si="8"/>
        <v>413.06726423068369</v>
      </c>
      <c r="G28" s="791">
        <f t="shared" si="8"/>
        <v>413.06726423068369</v>
      </c>
      <c r="H28" s="791">
        <f t="shared" si="8"/>
        <v>413.06726423068369</v>
      </c>
      <c r="I28" s="791"/>
      <c r="J28" s="791"/>
    </row>
    <row r="29" spans="1:10">
      <c r="A29" s="777" t="s">
        <v>434</v>
      </c>
      <c r="B29" s="792">
        <f t="shared" ref="B29:H29" si="9">(1+B18)/(B17-B18)</f>
        <v>20.011824603762634</v>
      </c>
      <c r="C29" s="792">
        <f t="shared" si="9"/>
        <v>20.481456620326568</v>
      </c>
      <c r="D29" s="792">
        <f t="shared" si="9"/>
        <v>19.941972321865528</v>
      </c>
      <c r="E29" s="792">
        <f t="shared" si="9"/>
        <v>20.168186818283452</v>
      </c>
      <c r="F29" s="792">
        <f t="shared" si="9"/>
        <v>19.861205087031742</v>
      </c>
      <c r="G29" s="792">
        <f t="shared" si="9"/>
        <v>18.921100666928464</v>
      </c>
      <c r="H29" s="792">
        <f t="shared" si="9"/>
        <v>17.785706983887447</v>
      </c>
      <c r="I29" s="792"/>
      <c r="J29" s="792"/>
    </row>
    <row r="30" spans="1:10">
      <c r="A30" s="777" t="s">
        <v>435</v>
      </c>
      <c r="B30" s="791">
        <f t="shared" ref="B30:H30" si="10">B28*B29</f>
        <v>8266.2296413405165</v>
      </c>
      <c r="C30" s="791">
        <f t="shared" si="10"/>
        <v>8460.2192536177208</v>
      </c>
      <c r="D30" s="791">
        <f t="shared" si="10"/>
        <v>8237.3759503570091</v>
      </c>
      <c r="E30" s="791">
        <f t="shared" si="10"/>
        <v>8330.8177535216819</v>
      </c>
      <c r="F30" s="791">
        <f t="shared" si="10"/>
        <v>8204.0136496247396</v>
      </c>
      <c r="G30" s="791">
        <f t="shared" si="10"/>
        <v>7815.687288721505</v>
      </c>
      <c r="H30" s="791">
        <f t="shared" si="10"/>
        <v>7346.693326242952</v>
      </c>
      <c r="I30" s="791"/>
      <c r="J30" s="791"/>
    </row>
    <row r="31" spans="1:10">
      <c r="A31" s="777" t="s">
        <v>436</v>
      </c>
      <c r="B31" s="791">
        <f t="shared" ref="B31:H31" si="11">B30/((1+B17)^B33)</f>
        <v>5294.2642817149244</v>
      </c>
      <c r="C31" s="791">
        <f t="shared" si="11"/>
        <v>5812.5679645853752</v>
      </c>
      <c r="D31" s="791">
        <f t="shared" si="11"/>
        <v>5987.0283634621692</v>
      </c>
      <c r="E31" s="791">
        <f t="shared" si="11"/>
        <v>6467.7950310010665</v>
      </c>
      <c r="F31" s="791">
        <f t="shared" si="11"/>
        <v>6770.5953313492873</v>
      </c>
      <c r="G31" s="791">
        <f t="shared" si="11"/>
        <v>6843.8616653250965</v>
      </c>
      <c r="H31" s="791">
        <f t="shared" si="11"/>
        <v>6852.8221103831538</v>
      </c>
      <c r="I31" s="791"/>
      <c r="J31" s="791"/>
    </row>
    <row r="32" spans="1:10">
      <c r="A32" s="777" t="s">
        <v>437</v>
      </c>
      <c r="B32" s="791">
        <f>NPV(B17,C26:$H$26)</f>
        <v>1162.0811763124202</v>
      </c>
      <c r="C32" s="791">
        <f>NPV(C17,D26:$H$26)</f>
        <v>1122.1030460871432</v>
      </c>
      <c r="D32" s="791">
        <f>NPV(D17,E26:$H$26)</f>
        <v>1094.3114701947188</v>
      </c>
      <c r="E32" s="791">
        <f>NPV(E17,F26:$H$26)</f>
        <v>1029.8862440900675</v>
      </c>
      <c r="F32" s="791">
        <f>NPV(F17,G26:$H$26)</f>
        <v>681.46325881371752</v>
      </c>
      <c r="G32" s="791">
        <f>NPV(G17,H26:$H$26)</f>
        <v>386.53409014147309</v>
      </c>
      <c r="H32" s="791"/>
      <c r="I32" s="791"/>
      <c r="J32" s="791"/>
    </row>
    <row r="33" spans="1:11">
      <c r="A33" s="777" t="s">
        <v>438</v>
      </c>
      <c r="B33" s="793">
        <f t="shared" ref="B33:G33" si="12">C33+1</f>
        <v>7</v>
      </c>
      <c r="C33" s="793">
        <f t="shared" si="12"/>
        <v>6</v>
      </c>
      <c r="D33" s="793">
        <f t="shared" si="12"/>
        <v>5</v>
      </c>
      <c r="E33" s="793">
        <f t="shared" si="12"/>
        <v>4</v>
      </c>
      <c r="F33" s="793">
        <f t="shared" si="12"/>
        <v>3</v>
      </c>
      <c r="G33" s="793">
        <f t="shared" si="12"/>
        <v>2</v>
      </c>
      <c r="H33" s="793">
        <v>1</v>
      </c>
      <c r="I33" s="793"/>
      <c r="J33" s="793"/>
    </row>
    <row r="34" spans="1:11">
      <c r="A34" s="777"/>
      <c r="B34" s="793"/>
      <c r="C34" s="786"/>
      <c r="D34" s="786"/>
      <c r="E34" s="786"/>
      <c r="F34" s="786"/>
      <c r="G34" s="786"/>
      <c r="H34" s="786"/>
      <c r="I34" s="786"/>
      <c r="J34" s="786"/>
    </row>
    <row r="35" spans="1:11">
      <c r="A35" s="777" t="s">
        <v>118</v>
      </c>
      <c r="B35" s="793">
        <f>bal!AC47</f>
        <v>2479.0099999999998</v>
      </c>
      <c r="C35" s="793">
        <f>bal!AE47</f>
        <v>2621.0919999999996</v>
      </c>
      <c r="D35" s="793">
        <f>bal!AG47</f>
        <v>2624.5690000000004</v>
      </c>
      <c r="E35" s="793">
        <f>bal!AI47</f>
        <v>2580.1469999999999</v>
      </c>
      <c r="F35" s="793">
        <f>bal!AK47</f>
        <v>2574.4830000000002</v>
      </c>
      <c r="G35" s="793">
        <f>bal!AM47</f>
        <v>2812.8289999999997</v>
      </c>
      <c r="H35" s="793">
        <f>bal!AO47</f>
        <v>2794.9966002056963</v>
      </c>
      <c r="J35" s="786"/>
    </row>
    <row r="36" spans="1:11">
      <c r="A36" s="777" t="s">
        <v>470</v>
      </c>
      <c r="B36" s="496">
        <f>B21/B35</f>
        <v>1.1420639622268268E-2</v>
      </c>
      <c r="C36" s="496">
        <f t="shared" ref="C36:H36" si="13">C21/C35</f>
        <v>6.1615540393087339E-3</v>
      </c>
      <c r="D36" s="496">
        <f t="shared" si="13"/>
        <v>2.5129840366170594E-2</v>
      </c>
      <c r="E36" s="496">
        <f t="shared" si="13"/>
        <v>5.8323033532585604E-2</v>
      </c>
      <c r="F36" s="496">
        <f t="shared" si="13"/>
        <v>8.3851010086296751E-2</v>
      </c>
      <c r="G36" s="496">
        <f t="shared" si="13"/>
        <v>0.13682042029572353</v>
      </c>
      <c r="H36" s="496">
        <f t="shared" si="13"/>
        <v>0.13590093345401488</v>
      </c>
      <c r="I36" s="786"/>
      <c r="J36" s="786"/>
    </row>
    <row r="37" spans="1:11">
      <c r="A37" s="777" t="s">
        <v>439</v>
      </c>
      <c r="B37" s="791">
        <f t="shared" ref="B37:H37" si="14">B32+B31</f>
        <v>6456.3454580273446</v>
      </c>
      <c r="C37" s="791">
        <f t="shared" si="14"/>
        <v>6934.6710106725186</v>
      </c>
      <c r="D37" s="791">
        <f t="shared" si="14"/>
        <v>7081.339833656888</v>
      </c>
      <c r="E37" s="791">
        <f t="shared" si="14"/>
        <v>7497.681275091134</v>
      </c>
      <c r="F37" s="791">
        <f t="shared" si="14"/>
        <v>7452.0585901630047</v>
      </c>
      <c r="G37" s="791">
        <f t="shared" si="14"/>
        <v>7230.3957554665694</v>
      </c>
      <c r="H37" s="791">
        <f t="shared" si="14"/>
        <v>6852.8221103831538</v>
      </c>
      <c r="I37" s="791"/>
      <c r="J37" s="791"/>
    </row>
    <row r="38" spans="1:11">
      <c r="A38" s="777" t="s">
        <v>459</v>
      </c>
      <c r="B38" s="791">
        <f>dtc!Y35</f>
        <v>1292.8824</v>
      </c>
      <c r="C38" s="791">
        <f>dtc!AA35</f>
        <v>1295.2010000000002</v>
      </c>
      <c r="D38" s="791">
        <f>dtc!AC35</f>
        <v>1225.049</v>
      </c>
      <c r="E38" s="791">
        <f>dtc!AE35</f>
        <v>1283.9850000000001</v>
      </c>
      <c r="F38" s="791">
        <f>dtc!AG35</f>
        <v>1048.884</v>
      </c>
      <c r="G38" s="791">
        <f>dtc!AI35</f>
        <v>993.68599999999992</v>
      </c>
      <c r="H38" s="791">
        <f>dtc!AK35</f>
        <v>780.61899999999991</v>
      </c>
      <c r="I38" s="791"/>
      <c r="J38" s="791"/>
    </row>
    <row r="39" spans="1:11">
      <c r="A39" s="777" t="s">
        <v>461</v>
      </c>
      <c r="B39" s="791">
        <f>B37-B38</f>
        <v>5163.4630580273442</v>
      </c>
      <c r="C39" s="791">
        <f t="shared" ref="C39:H39" si="15">C37-C38</f>
        <v>5639.4700106725186</v>
      </c>
      <c r="D39" s="791">
        <f t="shared" si="15"/>
        <v>5856.290833656888</v>
      </c>
      <c r="E39" s="791">
        <f t="shared" si="15"/>
        <v>6213.6962750911334</v>
      </c>
      <c r="F39" s="791">
        <f t="shared" si="15"/>
        <v>6403.1745901630047</v>
      </c>
      <c r="G39" s="791">
        <f t="shared" si="15"/>
        <v>6236.7097554665697</v>
      </c>
      <c r="H39" s="791">
        <f t="shared" si="15"/>
        <v>6072.2031103831541</v>
      </c>
      <c r="I39" s="791"/>
      <c r="J39" s="791"/>
      <c r="K39" s="17">
        <f>0.31/0.44</f>
        <v>0.70454545454545459</v>
      </c>
    </row>
    <row r="40" spans="1:11" ht="13.5" thickBot="1">
      <c r="A40" s="777" t="s">
        <v>462</v>
      </c>
      <c r="B40" s="562">
        <f>sumry!BO34</f>
        <v>71.508025000000004</v>
      </c>
      <c r="C40" s="562">
        <f t="shared" ref="C40:H40" si="16">B40</f>
        <v>71.508025000000004</v>
      </c>
      <c r="D40" s="562">
        <f t="shared" si="16"/>
        <v>71.508025000000004</v>
      </c>
      <c r="E40" s="562">
        <f t="shared" si="16"/>
        <v>71.508025000000004</v>
      </c>
      <c r="F40" s="562">
        <f t="shared" si="16"/>
        <v>71.508025000000004</v>
      </c>
      <c r="G40" s="562">
        <f t="shared" si="16"/>
        <v>71.508025000000004</v>
      </c>
      <c r="H40" s="562">
        <f t="shared" si="16"/>
        <v>71.508025000000004</v>
      </c>
      <c r="I40" s="562"/>
      <c r="J40" s="562"/>
    </row>
    <row r="41" spans="1:11" ht="13.5" thickBot="1">
      <c r="A41" s="794" t="s">
        <v>463</v>
      </c>
      <c r="B41" s="795">
        <f>B39/B40</f>
        <v>72.20816206331169</v>
      </c>
      <c r="C41" s="795">
        <f t="shared" ref="C41:H41" si="17">C39/C40</f>
        <v>78.864854828147173</v>
      </c>
      <c r="D41" s="795">
        <f t="shared" si="17"/>
        <v>81.896973572642892</v>
      </c>
      <c r="E41" s="796">
        <f t="shared" si="17"/>
        <v>86.895090097805564</v>
      </c>
      <c r="F41" s="795">
        <f t="shared" si="17"/>
        <v>89.544839060553059</v>
      </c>
      <c r="G41" s="795">
        <f t="shared" si="17"/>
        <v>87.216920834641556</v>
      </c>
      <c r="H41" s="795">
        <f t="shared" si="17"/>
        <v>84.916386802504391</v>
      </c>
      <c r="I41" s="562"/>
      <c r="J41" s="562"/>
    </row>
  </sheetData>
  <phoneticPr fontId="11"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V41"/>
  <sheetViews>
    <sheetView workbookViewId="0">
      <selection activeCell="H8" sqref="H8"/>
    </sheetView>
  </sheetViews>
  <sheetFormatPr defaultRowHeight="12.75"/>
  <cols>
    <col min="1" max="1" width="23.85546875" style="17" customWidth="1"/>
    <col min="2" max="6" width="9.7109375" style="17" bestFit="1" customWidth="1"/>
    <col min="7" max="7" width="10.7109375" style="17" bestFit="1" customWidth="1"/>
    <col min="8" max="8" width="9.7109375" style="17" bestFit="1" customWidth="1"/>
    <col min="9" max="15" width="9.7109375" style="79" bestFit="1" customWidth="1"/>
    <col min="16" max="18" width="9.7109375" style="17" customWidth="1"/>
    <col min="19" max="16384" width="9.140625" style="17"/>
  </cols>
  <sheetData>
    <row r="1" spans="1:22">
      <c r="A1" s="1" t="s">
        <v>441</v>
      </c>
      <c r="B1" s="107"/>
      <c r="C1" s="107"/>
      <c r="D1" s="107"/>
      <c r="E1" s="107"/>
      <c r="F1" s="107"/>
      <c r="G1" s="107"/>
      <c r="H1" s="107"/>
      <c r="I1" s="111"/>
      <c r="J1" s="111"/>
      <c r="K1" s="111"/>
      <c r="L1" s="111"/>
      <c r="M1" s="111"/>
      <c r="N1" s="111"/>
      <c r="O1" s="111"/>
      <c r="P1" s="107"/>
      <c r="Q1" s="107"/>
      <c r="R1" s="107"/>
    </row>
    <row r="2" spans="1:22">
      <c r="A2" s="108" t="s">
        <v>416</v>
      </c>
      <c r="B2" s="109"/>
      <c r="C2" s="109"/>
      <c r="D2" s="109"/>
      <c r="E2" s="109"/>
      <c r="F2" s="109"/>
      <c r="G2" s="109"/>
      <c r="H2" s="109"/>
      <c r="I2" s="112"/>
      <c r="J2" s="112"/>
      <c r="K2" s="112"/>
      <c r="L2" s="112"/>
      <c r="M2" s="112"/>
      <c r="N2" s="112"/>
      <c r="O2" s="112"/>
      <c r="P2" s="109"/>
      <c r="Q2" s="109"/>
      <c r="R2" s="109"/>
    </row>
    <row r="3" spans="1:22">
      <c r="A3" s="766" t="s">
        <v>417</v>
      </c>
      <c r="B3" s="767"/>
      <c r="C3" s="767"/>
      <c r="D3" s="767"/>
      <c r="E3" s="767"/>
      <c r="F3" s="767"/>
      <c r="G3" s="767"/>
      <c r="H3" s="767"/>
      <c r="I3" s="797"/>
      <c r="J3" s="797"/>
      <c r="K3" s="797"/>
      <c r="L3" s="797"/>
      <c r="M3" s="797"/>
      <c r="N3" s="797"/>
      <c r="O3" s="797"/>
      <c r="P3" s="768"/>
      <c r="Q3" s="768"/>
      <c r="R3" s="768"/>
      <c r="T3" s="1" t="s">
        <v>443</v>
      </c>
    </row>
    <row r="4" spans="1:22">
      <c r="A4" s="769" t="s">
        <v>418</v>
      </c>
      <c r="B4" s="768"/>
      <c r="C4" s="768"/>
      <c r="D4" s="768"/>
      <c r="E4" s="768"/>
      <c r="F4" s="768"/>
      <c r="G4" s="768"/>
      <c r="H4" s="768"/>
      <c r="I4" s="798"/>
      <c r="J4" s="798"/>
      <c r="K4" s="798"/>
      <c r="L4" s="798"/>
      <c r="M4" s="798"/>
      <c r="N4" s="798"/>
      <c r="O4" s="798"/>
      <c r="P4" s="768"/>
      <c r="Q4" s="768"/>
      <c r="R4" s="768"/>
      <c r="S4" s="17" t="s">
        <v>442</v>
      </c>
      <c r="T4" s="770">
        <v>0.4</v>
      </c>
    </row>
    <row r="5" spans="1:22">
      <c r="A5" s="771" t="s">
        <v>419</v>
      </c>
      <c r="B5" s="772">
        <v>2012</v>
      </c>
      <c r="C5" s="772">
        <f>B5+1</f>
        <v>2013</v>
      </c>
      <c r="D5" s="772" t="s">
        <v>37</v>
      </c>
      <c r="E5" s="772" t="s">
        <v>38</v>
      </c>
      <c r="F5" s="772" t="s">
        <v>244</v>
      </c>
      <c r="G5" s="772" t="s">
        <v>245</v>
      </c>
      <c r="H5" s="772" t="s">
        <v>341</v>
      </c>
      <c r="I5" s="799" t="s">
        <v>420</v>
      </c>
      <c r="J5" s="799" t="s">
        <v>421</v>
      </c>
      <c r="K5" s="799" t="s">
        <v>422</v>
      </c>
      <c r="L5" s="799" t="s">
        <v>464</v>
      </c>
      <c r="M5" s="799" t="s">
        <v>466</v>
      </c>
      <c r="N5" s="799" t="s">
        <v>467</v>
      </c>
      <c r="O5" s="799" t="s">
        <v>468</v>
      </c>
      <c r="P5" s="773"/>
      <c r="Q5" s="773"/>
      <c r="R5" s="773"/>
      <c r="S5" s="17" t="s">
        <v>444</v>
      </c>
      <c r="T5" s="770">
        <v>0.49</v>
      </c>
    </row>
    <row r="6" spans="1:22">
      <c r="A6" s="774" t="s">
        <v>416</v>
      </c>
      <c r="B6" s="775"/>
      <c r="C6" s="775"/>
      <c r="D6" s="775"/>
      <c r="E6" s="775"/>
      <c r="F6" s="776"/>
      <c r="G6" s="776"/>
      <c r="H6" s="776"/>
      <c r="I6" s="776"/>
      <c r="J6" s="776"/>
      <c r="K6" s="776"/>
      <c r="L6" s="776"/>
      <c r="M6" s="776"/>
      <c r="N6" s="776"/>
      <c r="O6" s="776"/>
      <c r="P6" s="777"/>
      <c r="Q6" s="777"/>
      <c r="R6" s="777"/>
      <c r="S6" s="17" t="s">
        <v>445</v>
      </c>
      <c r="T6" s="770">
        <v>1.2</v>
      </c>
    </row>
    <row r="7" spans="1:22">
      <c r="A7" s="777"/>
      <c r="B7" s="777"/>
      <c r="C7" s="777"/>
      <c r="D7" s="777"/>
      <c r="E7" s="777"/>
      <c r="F7" s="777"/>
      <c r="G7" s="777"/>
      <c r="H7" s="777"/>
      <c r="I7" s="800"/>
      <c r="J7" s="800"/>
      <c r="K7" s="800"/>
      <c r="L7" s="800"/>
      <c r="M7" s="800"/>
      <c r="N7" s="800"/>
      <c r="O7" s="800"/>
      <c r="P7" s="777"/>
      <c r="Q7" s="777"/>
      <c r="R7" s="777"/>
      <c r="S7" s="17" t="s">
        <v>446</v>
      </c>
      <c r="T7" s="770">
        <v>0.51</v>
      </c>
    </row>
    <row r="8" spans="1:22">
      <c r="A8" s="777" t="s">
        <v>423</v>
      </c>
      <c r="B8" s="778">
        <v>1.7600000000000001E-2</v>
      </c>
      <c r="C8" s="779">
        <f t="shared" ref="C8:G9" si="0">+B8</f>
        <v>1.7600000000000001E-2</v>
      </c>
      <c r="D8" s="779">
        <f t="shared" si="0"/>
        <v>1.7600000000000001E-2</v>
      </c>
      <c r="E8" s="779">
        <f t="shared" si="0"/>
        <v>1.7600000000000001E-2</v>
      </c>
      <c r="F8" s="779">
        <f t="shared" si="0"/>
        <v>1.7600000000000001E-2</v>
      </c>
      <c r="G8" s="779">
        <f t="shared" si="0"/>
        <v>1.7600000000000001E-2</v>
      </c>
      <c r="H8" s="779">
        <f t="shared" ref="H8:O9" si="1">+G8</f>
        <v>1.7600000000000001E-2</v>
      </c>
      <c r="I8" s="801">
        <f t="shared" si="1"/>
        <v>1.7600000000000001E-2</v>
      </c>
      <c r="J8" s="801">
        <f t="shared" si="1"/>
        <v>1.7600000000000001E-2</v>
      </c>
      <c r="K8" s="801">
        <f t="shared" si="1"/>
        <v>1.7600000000000001E-2</v>
      </c>
      <c r="L8" s="801">
        <f t="shared" si="1"/>
        <v>1.7600000000000001E-2</v>
      </c>
      <c r="M8" s="801">
        <f t="shared" si="1"/>
        <v>1.7600000000000001E-2</v>
      </c>
      <c r="N8" s="801">
        <f t="shared" si="1"/>
        <v>1.7600000000000001E-2</v>
      </c>
      <c r="O8" s="801">
        <f t="shared" si="1"/>
        <v>1.7600000000000001E-2</v>
      </c>
      <c r="P8" s="779"/>
      <c r="Q8" s="779"/>
      <c r="R8" s="779"/>
      <c r="S8" s="17" t="s">
        <v>447</v>
      </c>
      <c r="T8" s="770">
        <v>0.57999999999999996</v>
      </c>
    </row>
    <row r="9" spans="1:22">
      <c r="A9" s="777" t="s">
        <v>424</v>
      </c>
      <c r="B9" s="778">
        <v>5.7799999999999997E-2</v>
      </c>
      <c r="C9" s="779">
        <f t="shared" si="0"/>
        <v>5.7799999999999997E-2</v>
      </c>
      <c r="D9" s="779">
        <f t="shared" si="0"/>
        <v>5.7799999999999997E-2</v>
      </c>
      <c r="E9" s="779">
        <f t="shared" si="0"/>
        <v>5.7799999999999997E-2</v>
      </c>
      <c r="F9" s="779">
        <f t="shared" si="0"/>
        <v>5.7799999999999997E-2</v>
      </c>
      <c r="G9" s="779">
        <f t="shared" si="0"/>
        <v>5.7799999999999997E-2</v>
      </c>
      <c r="H9" s="779">
        <f t="shared" si="1"/>
        <v>5.7799999999999997E-2</v>
      </c>
      <c r="I9" s="801">
        <f t="shared" si="1"/>
        <v>5.7799999999999997E-2</v>
      </c>
      <c r="J9" s="801">
        <f t="shared" si="1"/>
        <v>5.7799999999999997E-2</v>
      </c>
      <c r="K9" s="801">
        <f t="shared" si="1"/>
        <v>5.7799999999999997E-2</v>
      </c>
      <c r="L9" s="801">
        <f t="shared" si="1"/>
        <v>5.7799999999999997E-2</v>
      </c>
      <c r="M9" s="801">
        <f t="shared" si="1"/>
        <v>5.7799999999999997E-2</v>
      </c>
      <c r="N9" s="801">
        <f t="shared" si="1"/>
        <v>5.7799999999999997E-2</v>
      </c>
      <c r="O9" s="801">
        <f t="shared" si="1"/>
        <v>5.7799999999999997E-2</v>
      </c>
      <c r="P9" s="779"/>
      <c r="Q9" s="779"/>
      <c r="R9" s="779"/>
      <c r="S9" s="17" t="s">
        <v>449</v>
      </c>
      <c r="T9" s="770">
        <v>1.25</v>
      </c>
    </row>
    <row r="10" spans="1:22">
      <c r="A10" s="777" t="s">
        <v>425</v>
      </c>
      <c r="B10" s="802">
        <v>1.29</v>
      </c>
      <c r="C10" s="781">
        <f>B10-0.02</f>
        <v>1.27</v>
      </c>
      <c r="D10" s="781">
        <f t="shared" ref="D10:O10" si="2">C10-0.02</f>
        <v>1.25</v>
      </c>
      <c r="E10" s="781">
        <f t="shared" si="2"/>
        <v>1.23</v>
      </c>
      <c r="F10" s="781">
        <f t="shared" si="2"/>
        <v>1.21</v>
      </c>
      <c r="G10" s="781">
        <f t="shared" si="2"/>
        <v>1.19</v>
      </c>
      <c r="H10" s="781">
        <f t="shared" si="2"/>
        <v>1.17</v>
      </c>
      <c r="I10" s="781">
        <f t="shared" si="2"/>
        <v>1.1499999999999999</v>
      </c>
      <c r="J10" s="781">
        <f t="shared" si="2"/>
        <v>1.1299999999999999</v>
      </c>
      <c r="K10" s="781">
        <f>J10-0.02</f>
        <v>1.1099999999999999</v>
      </c>
      <c r="L10" s="781">
        <f>K10-0.02</f>
        <v>1.0899999999999999</v>
      </c>
      <c r="M10" s="781">
        <f t="shared" si="2"/>
        <v>1.0699999999999998</v>
      </c>
      <c r="N10" s="781">
        <f t="shared" si="2"/>
        <v>1.0499999999999998</v>
      </c>
      <c r="O10" s="781">
        <f t="shared" si="2"/>
        <v>1.0299999999999998</v>
      </c>
      <c r="P10" s="781"/>
      <c r="Q10" s="781"/>
      <c r="R10" s="781"/>
      <c r="T10" s="770"/>
      <c r="U10" s="1" t="s">
        <v>455</v>
      </c>
      <c r="V10" s="110">
        <f>AVERAGE(T4:T9)</f>
        <v>0.73833333333333329</v>
      </c>
    </row>
    <row r="11" spans="1:22">
      <c r="A11" s="777" t="s">
        <v>426</v>
      </c>
      <c r="B11" s="782">
        <f t="shared" ref="B11:H11" si="3">+B8+(B9*B10)</f>
        <v>9.2162000000000008E-2</v>
      </c>
      <c r="C11" s="782">
        <f t="shared" si="3"/>
        <v>9.1006000000000004E-2</v>
      </c>
      <c r="D11" s="782">
        <f t="shared" si="3"/>
        <v>8.9849999999999999E-2</v>
      </c>
      <c r="E11" s="782">
        <f t="shared" si="3"/>
        <v>8.8693999999999995E-2</v>
      </c>
      <c r="F11" s="782">
        <f t="shared" si="3"/>
        <v>8.7538000000000005E-2</v>
      </c>
      <c r="G11" s="782">
        <f t="shared" si="3"/>
        <v>8.6382E-2</v>
      </c>
      <c r="H11" s="782">
        <f t="shared" si="3"/>
        <v>8.5225999999999996E-2</v>
      </c>
      <c r="I11" s="803">
        <f t="shared" ref="I11:O11" si="4">+I8+(I9*I10)</f>
        <v>8.4069999999999992E-2</v>
      </c>
      <c r="J11" s="803">
        <f t="shared" si="4"/>
        <v>8.2914000000000002E-2</v>
      </c>
      <c r="K11" s="803">
        <f t="shared" si="4"/>
        <v>8.1757999999999997E-2</v>
      </c>
      <c r="L11" s="803">
        <f t="shared" si="4"/>
        <v>8.0601999999999993E-2</v>
      </c>
      <c r="M11" s="803">
        <f t="shared" si="4"/>
        <v>7.9445999999999989E-2</v>
      </c>
      <c r="N11" s="803">
        <f t="shared" si="4"/>
        <v>7.8289999999999985E-2</v>
      </c>
      <c r="O11" s="803">
        <f t="shared" si="4"/>
        <v>7.713399999999998E-2</v>
      </c>
      <c r="P11" s="782"/>
      <c r="Q11" s="782"/>
      <c r="R11" s="782"/>
      <c r="S11" s="17" t="s">
        <v>448</v>
      </c>
      <c r="T11" s="770">
        <v>1.71</v>
      </c>
    </row>
    <row r="12" spans="1:22">
      <c r="A12" s="777"/>
      <c r="B12" s="777"/>
      <c r="C12" s="777"/>
      <c r="D12" s="777"/>
      <c r="E12" s="777"/>
      <c r="F12" s="777"/>
      <c r="G12" s="777"/>
      <c r="H12" s="777"/>
      <c r="I12" s="800"/>
      <c r="J12" s="800"/>
      <c r="K12" s="800"/>
      <c r="L12" s="800"/>
      <c r="M12" s="800"/>
      <c r="N12" s="800"/>
      <c r="O12" s="800"/>
      <c r="P12" s="777"/>
      <c r="Q12" s="777"/>
      <c r="R12" s="777"/>
      <c r="S12" s="17" t="s">
        <v>450</v>
      </c>
      <c r="T12" s="770">
        <v>1.413</v>
      </c>
    </row>
    <row r="13" spans="1:22">
      <c r="A13" s="777" t="s">
        <v>427</v>
      </c>
      <c r="B13" s="783">
        <v>0.11</v>
      </c>
      <c r="C13" s="779">
        <f t="shared" ref="C13:O13" si="5">B13</f>
        <v>0.11</v>
      </c>
      <c r="D13" s="779">
        <f t="shared" si="5"/>
        <v>0.11</v>
      </c>
      <c r="E13" s="779">
        <f t="shared" si="5"/>
        <v>0.11</v>
      </c>
      <c r="F13" s="779">
        <f t="shared" si="5"/>
        <v>0.11</v>
      </c>
      <c r="G13" s="779">
        <f t="shared" si="5"/>
        <v>0.11</v>
      </c>
      <c r="H13" s="779">
        <f t="shared" si="5"/>
        <v>0.11</v>
      </c>
      <c r="I13" s="801">
        <f t="shared" si="5"/>
        <v>0.11</v>
      </c>
      <c r="J13" s="801">
        <f t="shared" si="5"/>
        <v>0.11</v>
      </c>
      <c r="K13" s="801">
        <f t="shared" si="5"/>
        <v>0.11</v>
      </c>
      <c r="L13" s="801">
        <f t="shared" si="5"/>
        <v>0.11</v>
      </c>
      <c r="M13" s="801">
        <f t="shared" si="5"/>
        <v>0.11</v>
      </c>
      <c r="N13" s="801">
        <f t="shared" si="5"/>
        <v>0.11</v>
      </c>
      <c r="O13" s="801">
        <f t="shared" si="5"/>
        <v>0.11</v>
      </c>
      <c r="P13" s="779"/>
      <c r="Q13" s="779"/>
      <c r="R13" s="779"/>
      <c r="S13" s="17" t="s">
        <v>451</v>
      </c>
      <c r="T13" s="770">
        <v>5.0000000000000001E-3</v>
      </c>
    </row>
    <row r="14" spans="1:22">
      <c r="A14" s="777" t="s">
        <v>428</v>
      </c>
      <c r="B14" s="779">
        <f t="shared" ref="B14:G14" si="6">+B11</f>
        <v>9.2162000000000008E-2</v>
      </c>
      <c r="C14" s="779">
        <f t="shared" si="6"/>
        <v>9.1006000000000004E-2</v>
      </c>
      <c r="D14" s="779">
        <f t="shared" si="6"/>
        <v>8.9849999999999999E-2</v>
      </c>
      <c r="E14" s="779">
        <f t="shared" si="6"/>
        <v>8.8693999999999995E-2</v>
      </c>
      <c r="F14" s="779">
        <f t="shared" si="6"/>
        <v>8.7538000000000005E-2</v>
      </c>
      <c r="G14" s="779">
        <f t="shared" si="6"/>
        <v>8.6382E-2</v>
      </c>
      <c r="H14" s="779">
        <f t="shared" ref="H14:O14" si="7">+H11</f>
        <v>8.5225999999999996E-2</v>
      </c>
      <c r="I14" s="801">
        <f t="shared" si="7"/>
        <v>8.4069999999999992E-2</v>
      </c>
      <c r="J14" s="801">
        <f t="shared" si="7"/>
        <v>8.2914000000000002E-2</v>
      </c>
      <c r="K14" s="801">
        <f t="shared" si="7"/>
        <v>8.1757999999999997E-2</v>
      </c>
      <c r="L14" s="801">
        <f t="shared" si="7"/>
        <v>8.0601999999999993E-2</v>
      </c>
      <c r="M14" s="801">
        <f t="shared" si="7"/>
        <v>7.9445999999999989E-2</v>
      </c>
      <c r="N14" s="801">
        <f t="shared" si="7"/>
        <v>7.8289999999999985E-2</v>
      </c>
      <c r="O14" s="801">
        <f t="shared" si="7"/>
        <v>7.713399999999998E-2</v>
      </c>
      <c r="P14" s="779"/>
      <c r="Q14" s="779"/>
      <c r="R14" s="779"/>
      <c r="S14" s="17" t="s">
        <v>452</v>
      </c>
      <c r="T14" s="770">
        <v>1.9430000000000001</v>
      </c>
    </row>
    <row r="15" spans="1:22">
      <c r="A15" s="777" t="s">
        <v>429</v>
      </c>
      <c r="B15" s="784">
        <f>dtc!Y53</f>
        <v>1.0639060481017033</v>
      </c>
      <c r="C15" s="784">
        <f>dtc!AA53</f>
        <v>1.1177631666480137</v>
      </c>
      <c r="D15" s="784">
        <f>dtc!AC53</f>
        <v>1.055678721342145</v>
      </c>
      <c r="E15" s="784">
        <f>dtc!AE53</f>
        <v>1.0821161012971461</v>
      </c>
      <c r="F15" s="784">
        <f>dtc!AG53</f>
        <v>1.0460936697545686</v>
      </c>
      <c r="G15" s="784">
        <f>dtc!AI53</f>
        <v>0.92850728241328906</v>
      </c>
      <c r="H15" s="784">
        <f>dtc!AK53</f>
        <v>0.76992236170030348</v>
      </c>
      <c r="I15" s="804">
        <f>H15-10%</f>
        <v>0.6699223617003035</v>
      </c>
      <c r="J15" s="804">
        <f t="shared" ref="J15:O15" si="8">I15-10%</f>
        <v>0.56992236170030353</v>
      </c>
      <c r="K15" s="804">
        <f t="shared" si="8"/>
        <v>0.46992236170030355</v>
      </c>
      <c r="L15" s="804">
        <f t="shared" si="8"/>
        <v>0.36992236170030357</v>
      </c>
      <c r="M15" s="804">
        <f t="shared" si="8"/>
        <v>0.26992236170030359</v>
      </c>
      <c r="N15" s="804">
        <f t="shared" si="8"/>
        <v>0.16992236170030359</v>
      </c>
      <c r="O15" s="804">
        <f t="shared" si="8"/>
        <v>6.9922361700303581E-2</v>
      </c>
      <c r="P15" s="784"/>
      <c r="Q15" s="784"/>
      <c r="R15" s="784"/>
      <c r="S15" s="17" t="s">
        <v>453</v>
      </c>
      <c r="T15" s="770">
        <v>1.3420000000000001</v>
      </c>
    </row>
    <row r="16" spans="1:22">
      <c r="A16" s="777" t="s">
        <v>208</v>
      </c>
      <c r="B16" s="778">
        <v>0.39</v>
      </c>
      <c r="C16" s="782">
        <f t="shared" ref="C16:O16" si="9">B16</f>
        <v>0.39</v>
      </c>
      <c r="D16" s="782">
        <f t="shared" si="9"/>
        <v>0.39</v>
      </c>
      <c r="E16" s="782">
        <f t="shared" si="9"/>
        <v>0.39</v>
      </c>
      <c r="F16" s="782">
        <f t="shared" si="9"/>
        <v>0.39</v>
      </c>
      <c r="G16" s="782">
        <f t="shared" si="9"/>
        <v>0.39</v>
      </c>
      <c r="H16" s="782">
        <f t="shared" si="9"/>
        <v>0.39</v>
      </c>
      <c r="I16" s="803">
        <f t="shared" si="9"/>
        <v>0.39</v>
      </c>
      <c r="J16" s="803">
        <f t="shared" si="9"/>
        <v>0.39</v>
      </c>
      <c r="K16" s="803">
        <f t="shared" si="9"/>
        <v>0.39</v>
      </c>
      <c r="L16" s="803">
        <f t="shared" si="9"/>
        <v>0.39</v>
      </c>
      <c r="M16" s="803">
        <f t="shared" si="9"/>
        <v>0.39</v>
      </c>
      <c r="N16" s="803">
        <f t="shared" si="9"/>
        <v>0.39</v>
      </c>
      <c r="O16" s="803">
        <f t="shared" si="9"/>
        <v>0.39</v>
      </c>
      <c r="P16" s="782"/>
      <c r="Q16" s="782"/>
      <c r="R16" s="782"/>
      <c r="S16" s="17" t="s">
        <v>454</v>
      </c>
      <c r="T16" s="770">
        <v>1.29</v>
      </c>
      <c r="U16" s="1" t="s">
        <v>455</v>
      </c>
      <c r="V16" s="110">
        <f>AVERAGE(T4:T16)</f>
        <v>1.0110833333333333</v>
      </c>
    </row>
    <row r="17" spans="1:18">
      <c r="A17" s="777" t="s">
        <v>430</v>
      </c>
      <c r="B17" s="782">
        <f>+(B13*(1-B16)*B15)+(B14*(1-B15))</f>
        <v>6.5498386622475105E-2</v>
      </c>
      <c r="C17" s="782">
        <f t="shared" ref="C17:H17" si="10">+(C13*(1-C16)*C15)+(C14*(1-C15))</f>
        <v>6.4284753738112585E-2</v>
      </c>
      <c r="D17" s="782">
        <f t="shared" si="10"/>
        <v>6.5833309089466191E-2</v>
      </c>
      <c r="E17" s="782">
        <f t="shared" si="10"/>
        <v>6.5326784908589425E-2</v>
      </c>
      <c r="F17" s="782">
        <f t="shared" si="10"/>
        <v>6.6157937577556114E-2</v>
      </c>
      <c r="G17" s="782">
        <f t="shared" si="10"/>
        <v>6.8478522580506962E-2</v>
      </c>
      <c r="H17" s="782">
        <f t="shared" si="10"/>
        <v>7.1270387271820293E-2</v>
      </c>
      <c r="I17" s="803">
        <f t="shared" ref="I17:O17" si="11">+(I13*(1-I16)*I15)+(I14*(1-I15))</f>
        <v>7.2701417521945838E-2</v>
      </c>
      <c r="J17" s="803">
        <f t="shared" si="11"/>
        <v>7.3901247772071396E-2</v>
      </c>
      <c r="K17" s="803">
        <f t="shared" si="11"/>
        <v>7.486987802219694E-2</v>
      </c>
      <c r="L17" s="803">
        <f t="shared" si="11"/>
        <v>7.5607308272322496E-2</v>
      </c>
      <c r="M17" s="803">
        <f t="shared" si="11"/>
        <v>7.6113538522448038E-2</v>
      </c>
      <c r="N17" s="803">
        <f t="shared" si="11"/>
        <v>7.6388568772573578E-2</v>
      </c>
      <c r="O17" s="803">
        <f t="shared" si="11"/>
        <v>7.6432399022699146E-2</v>
      </c>
      <c r="P17" s="782"/>
      <c r="Q17" s="782"/>
      <c r="R17" s="782"/>
    </row>
    <row r="18" spans="1:18" ht="13.5" thickBot="1">
      <c r="A18" s="777" t="s">
        <v>431</v>
      </c>
      <c r="B18" s="785">
        <v>1.4999999999999999E-2</v>
      </c>
      <c r="C18" s="779">
        <f t="shared" ref="C18:O18" si="12">+B18</f>
        <v>1.4999999999999999E-2</v>
      </c>
      <c r="D18" s="779">
        <f t="shared" si="12"/>
        <v>1.4999999999999999E-2</v>
      </c>
      <c r="E18" s="779">
        <f t="shared" si="12"/>
        <v>1.4999999999999999E-2</v>
      </c>
      <c r="F18" s="779">
        <f t="shared" si="12"/>
        <v>1.4999999999999999E-2</v>
      </c>
      <c r="G18" s="779">
        <f t="shared" si="12"/>
        <v>1.4999999999999999E-2</v>
      </c>
      <c r="H18" s="779">
        <f t="shared" si="12"/>
        <v>1.4999999999999999E-2</v>
      </c>
      <c r="I18" s="801">
        <f t="shared" si="12"/>
        <v>1.4999999999999999E-2</v>
      </c>
      <c r="J18" s="801">
        <f t="shared" si="12"/>
        <v>1.4999999999999999E-2</v>
      </c>
      <c r="K18" s="801">
        <f t="shared" si="12"/>
        <v>1.4999999999999999E-2</v>
      </c>
      <c r="L18" s="801">
        <f t="shared" si="12"/>
        <v>1.4999999999999999E-2</v>
      </c>
      <c r="M18" s="801">
        <f t="shared" si="12"/>
        <v>1.4999999999999999E-2</v>
      </c>
      <c r="N18" s="801">
        <f t="shared" si="12"/>
        <v>1.4999999999999999E-2</v>
      </c>
      <c r="O18" s="801">
        <f t="shared" si="12"/>
        <v>1.4999999999999999E-2</v>
      </c>
      <c r="P18" s="779"/>
      <c r="Q18" s="779"/>
      <c r="R18" s="779"/>
    </row>
    <row r="19" spans="1:18" ht="13.5" thickBot="1">
      <c r="A19" s="786"/>
      <c r="B19" s="786"/>
      <c r="C19" s="786"/>
      <c r="D19" s="786"/>
      <c r="E19" s="786"/>
      <c r="F19" s="786"/>
      <c r="G19" s="805" t="s">
        <v>469</v>
      </c>
      <c r="H19" s="806">
        <v>0.13</v>
      </c>
      <c r="I19" s="807"/>
      <c r="J19" s="807"/>
      <c r="K19" s="807"/>
      <c r="L19" s="807"/>
      <c r="M19" s="807"/>
      <c r="N19" s="807"/>
      <c r="O19" s="807"/>
      <c r="P19" s="786"/>
      <c r="Q19" s="786"/>
      <c r="R19" s="786"/>
    </row>
    <row r="20" spans="1:18" ht="13.5" thickBot="1">
      <c r="A20" s="786"/>
      <c r="B20" s="786"/>
      <c r="C20" s="786"/>
      <c r="D20" s="786"/>
      <c r="E20" s="786"/>
      <c r="F20" s="786"/>
      <c r="G20" s="808" t="s">
        <v>465</v>
      </c>
      <c r="H20" s="809">
        <v>0.1</v>
      </c>
      <c r="I20" s="807"/>
      <c r="J20" s="807"/>
      <c r="K20" s="807"/>
      <c r="L20" s="807"/>
      <c r="M20" s="807"/>
      <c r="N20" s="807"/>
      <c r="O20" s="807"/>
      <c r="P20" s="786"/>
      <c r="Q20" s="786"/>
      <c r="R20" s="786"/>
    </row>
    <row r="21" spans="1:18">
      <c r="A21" s="777" t="s">
        <v>158</v>
      </c>
      <c r="B21" s="787">
        <f>flow!AC9</f>
        <v>28.311879829999256</v>
      </c>
      <c r="C21" s="787">
        <f>flow!AE9</f>
        <v>16.149999999999807</v>
      </c>
      <c r="D21" s="787">
        <f>flow!AG9</f>
        <v>65.954999999999998</v>
      </c>
      <c r="E21" s="787">
        <f>flow!AI9</f>
        <v>150.48200000000014</v>
      </c>
      <c r="F21" s="787">
        <f>flow!AK9</f>
        <v>215.87299999999954</v>
      </c>
      <c r="G21" s="787">
        <f>flow!AM9</f>
        <v>384.85244599999965</v>
      </c>
      <c r="H21" s="787">
        <f>flow!AO9</f>
        <v>379.84264696875221</v>
      </c>
      <c r="I21" s="810">
        <f t="shared" ref="I21:O21" si="13">H21*(1+$H$20)</f>
        <v>417.82691166562745</v>
      </c>
      <c r="J21" s="810">
        <f t="shared" si="13"/>
        <v>459.60960283219021</v>
      </c>
      <c r="K21" s="810">
        <f t="shared" si="13"/>
        <v>505.57056311540924</v>
      </c>
      <c r="L21" s="810">
        <f t="shared" si="13"/>
        <v>556.12761942695022</v>
      </c>
      <c r="M21" s="810">
        <f t="shared" si="13"/>
        <v>611.74038136964532</v>
      </c>
      <c r="N21" s="810">
        <f t="shared" si="13"/>
        <v>672.91441950660987</v>
      </c>
      <c r="O21" s="810">
        <f t="shared" si="13"/>
        <v>740.20586145727088</v>
      </c>
      <c r="P21" s="787"/>
      <c r="Q21" s="787"/>
      <c r="R21" s="787"/>
    </row>
    <row r="22" spans="1:18">
      <c r="A22" s="777" t="s">
        <v>432</v>
      </c>
      <c r="B22" s="788">
        <f>flow!AC11</f>
        <v>163.80918510199999</v>
      </c>
      <c r="C22" s="788">
        <f>flow!AE11</f>
        <v>168.19499999999999</v>
      </c>
      <c r="D22" s="788">
        <f>flow!AG11</f>
        <v>167.58</v>
      </c>
      <c r="E22" s="788">
        <f>flow!AI11</f>
        <v>172.09900000000002</v>
      </c>
      <c r="F22" s="788">
        <f>flow!AK11</f>
        <v>183.58600000000001</v>
      </c>
      <c r="G22" s="788">
        <f>flow!AM11</f>
        <v>201.10300000000001</v>
      </c>
      <c r="H22" s="788">
        <f>flow!AO11</f>
        <v>225.71548000000001</v>
      </c>
      <c r="I22" s="811">
        <f t="shared" ref="I22:O22" si="14">H22</f>
        <v>225.71548000000001</v>
      </c>
      <c r="J22" s="811">
        <f t="shared" si="14"/>
        <v>225.71548000000001</v>
      </c>
      <c r="K22" s="811">
        <f t="shared" si="14"/>
        <v>225.71548000000001</v>
      </c>
      <c r="L22" s="811">
        <f t="shared" si="14"/>
        <v>225.71548000000001</v>
      </c>
      <c r="M22" s="811">
        <f t="shared" si="14"/>
        <v>225.71548000000001</v>
      </c>
      <c r="N22" s="811">
        <f t="shared" si="14"/>
        <v>225.71548000000001</v>
      </c>
      <c r="O22" s="811">
        <f t="shared" si="14"/>
        <v>225.71548000000001</v>
      </c>
      <c r="P22" s="788"/>
      <c r="Q22" s="788"/>
      <c r="R22" s="788"/>
    </row>
    <row r="23" spans="1:18">
      <c r="A23" s="777" t="s">
        <v>458</v>
      </c>
      <c r="B23" s="788">
        <f>flow!AC28</f>
        <v>52.6</v>
      </c>
      <c r="C23" s="788">
        <f>flow!AE28</f>
        <v>54.651999999999994</v>
      </c>
      <c r="D23" s="788">
        <f>flow!AG28</f>
        <v>33.441999999999993</v>
      </c>
      <c r="E23" s="788">
        <f>flow!AI28</f>
        <v>45.15</v>
      </c>
      <c r="F23" s="788">
        <f>flow!AK28</f>
        <v>13.742000000000004</v>
      </c>
      <c r="G23" s="788">
        <f>flow!AM28</f>
        <v>23.333000000000002</v>
      </c>
      <c r="H23" s="788">
        <f>flow!AO28</f>
        <v>0</v>
      </c>
      <c r="I23" s="811">
        <f t="shared" ref="I23:O23" si="15">H23*(1+$H$19)</f>
        <v>0</v>
      </c>
      <c r="J23" s="811">
        <f t="shared" si="15"/>
        <v>0</v>
      </c>
      <c r="K23" s="811">
        <f t="shared" si="15"/>
        <v>0</v>
      </c>
      <c r="L23" s="811">
        <f t="shared" si="15"/>
        <v>0</v>
      </c>
      <c r="M23" s="811">
        <f t="shared" si="15"/>
        <v>0</v>
      </c>
      <c r="N23" s="811">
        <f t="shared" si="15"/>
        <v>0</v>
      </c>
      <c r="O23" s="811">
        <f t="shared" si="15"/>
        <v>0</v>
      </c>
      <c r="P23" s="788"/>
      <c r="Q23" s="788"/>
      <c r="R23" s="788"/>
    </row>
    <row r="24" spans="1:18">
      <c r="A24" s="777" t="s">
        <v>457</v>
      </c>
      <c r="B24" s="788">
        <f>flow!AC46</f>
        <v>203.7</v>
      </c>
      <c r="C24" s="788">
        <f>flow!AE46</f>
        <v>49.903999999999996</v>
      </c>
      <c r="D24" s="788">
        <f>flow!AG46</f>
        <v>50.47699999999999</v>
      </c>
      <c r="E24" s="788">
        <f>flow!AI46</f>
        <v>-28.329000000000001</v>
      </c>
      <c r="F24" s="788">
        <f>flow!AK46</f>
        <v>189.245</v>
      </c>
      <c r="G24" s="788">
        <f>flow!AM46</f>
        <v>-2.0379999999999967</v>
      </c>
      <c r="H24" s="788">
        <f>flow!AO46</f>
        <v>57.5091372619314</v>
      </c>
      <c r="I24" s="811">
        <f t="shared" ref="I24:O24" si="16">H24</f>
        <v>57.5091372619314</v>
      </c>
      <c r="J24" s="811">
        <f t="shared" si="16"/>
        <v>57.5091372619314</v>
      </c>
      <c r="K24" s="811">
        <f t="shared" si="16"/>
        <v>57.5091372619314</v>
      </c>
      <c r="L24" s="811">
        <f t="shared" si="16"/>
        <v>57.5091372619314</v>
      </c>
      <c r="M24" s="811">
        <f t="shared" si="16"/>
        <v>57.5091372619314</v>
      </c>
      <c r="N24" s="811">
        <f t="shared" si="16"/>
        <v>57.5091372619314</v>
      </c>
      <c r="O24" s="811">
        <f t="shared" si="16"/>
        <v>57.5091372619314</v>
      </c>
      <c r="P24" s="788"/>
      <c r="Q24" s="788"/>
      <c r="R24" s="788"/>
    </row>
    <row r="25" spans="1:18">
      <c r="A25" s="777" t="s">
        <v>456</v>
      </c>
      <c r="B25" s="789">
        <f>flow!AC31</f>
        <v>-167.3</v>
      </c>
      <c r="C25" s="789">
        <f>flow!AE31</f>
        <v>-168.267</v>
      </c>
      <c r="D25" s="789">
        <f>flow!AG31</f>
        <v>-220.98</v>
      </c>
      <c r="E25" s="789">
        <f>flow!AI31</f>
        <v>-201.78700000000001</v>
      </c>
      <c r="F25" s="789">
        <f>flow!AK31</f>
        <v>-187.50700000000001</v>
      </c>
      <c r="G25" s="789">
        <f>flow!AM31</f>
        <v>-268.19400000000002</v>
      </c>
      <c r="H25" s="789">
        <f>flow!AO31</f>
        <v>-250</v>
      </c>
      <c r="I25" s="812">
        <f t="shared" ref="I25:O25" si="17">H25*(1+$H$19)</f>
        <v>-282.5</v>
      </c>
      <c r="J25" s="812">
        <f t="shared" si="17"/>
        <v>-319.22499999999997</v>
      </c>
      <c r="K25" s="812">
        <f t="shared" si="17"/>
        <v>-360.72424999999993</v>
      </c>
      <c r="L25" s="812">
        <f t="shared" si="17"/>
        <v>-407.61840249999989</v>
      </c>
      <c r="M25" s="812">
        <f t="shared" si="17"/>
        <v>-460.60879482499985</v>
      </c>
      <c r="N25" s="812">
        <f t="shared" si="17"/>
        <v>-520.48793815224974</v>
      </c>
      <c r="O25" s="812">
        <f t="shared" si="17"/>
        <v>-588.15137011204217</v>
      </c>
      <c r="P25" s="790"/>
      <c r="Q25" s="790"/>
      <c r="R25" s="790"/>
    </row>
    <row r="26" spans="1:18">
      <c r="A26" s="777" t="s">
        <v>460</v>
      </c>
      <c r="B26" s="791">
        <f t="shared" ref="B26:O26" si="18">SUM(B21:B25)</f>
        <v>281.12106493199923</v>
      </c>
      <c r="C26" s="791">
        <f t="shared" si="18"/>
        <v>120.63399999999979</v>
      </c>
      <c r="D26" s="791">
        <f t="shared" si="18"/>
        <v>96.474000000000018</v>
      </c>
      <c r="E26" s="791">
        <f t="shared" si="18"/>
        <v>137.61500000000009</v>
      </c>
      <c r="F26" s="791">
        <f t="shared" si="18"/>
        <v>414.93899999999957</v>
      </c>
      <c r="G26" s="791">
        <f t="shared" si="18"/>
        <v>339.05644599999965</v>
      </c>
      <c r="H26" s="791">
        <f t="shared" si="18"/>
        <v>413.06726423068369</v>
      </c>
      <c r="I26" s="813">
        <f t="shared" si="18"/>
        <v>418.55152892755893</v>
      </c>
      <c r="J26" s="813">
        <f t="shared" si="18"/>
        <v>423.60922009412167</v>
      </c>
      <c r="K26" s="813">
        <f t="shared" si="18"/>
        <v>428.07093037734074</v>
      </c>
      <c r="L26" s="813">
        <f t="shared" si="18"/>
        <v>431.7338341888817</v>
      </c>
      <c r="M26" s="813">
        <f t="shared" si="18"/>
        <v>434.35620380657696</v>
      </c>
      <c r="N26" s="813">
        <f t="shared" si="18"/>
        <v>435.65109861629162</v>
      </c>
      <c r="O26" s="813">
        <f t="shared" si="18"/>
        <v>435.2791086071602</v>
      </c>
      <c r="P26" s="791"/>
      <c r="Q26" s="791"/>
      <c r="R26" s="791"/>
    </row>
    <row r="27" spans="1:18">
      <c r="A27" s="777"/>
      <c r="B27" s="786"/>
      <c r="C27" s="786"/>
      <c r="D27" s="786"/>
      <c r="E27" s="786"/>
      <c r="F27" s="786"/>
      <c r="G27" s="786"/>
      <c r="H27" s="786"/>
      <c r="I27" s="807"/>
      <c r="J27" s="807"/>
      <c r="K27" s="807"/>
      <c r="L27" s="807"/>
      <c r="M27" s="807"/>
      <c r="N27" s="807"/>
      <c r="O27" s="807"/>
      <c r="P27" s="786"/>
      <c r="Q27" s="786"/>
      <c r="R27" s="786"/>
    </row>
    <row r="28" spans="1:18">
      <c r="A28" s="777" t="s">
        <v>433</v>
      </c>
      <c r="B28" s="791">
        <f>O26</f>
        <v>435.2791086071602</v>
      </c>
      <c r="C28" s="791">
        <f t="shared" ref="C28:O28" si="19">B28</f>
        <v>435.2791086071602</v>
      </c>
      <c r="D28" s="791">
        <f t="shared" si="19"/>
        <v>435.2791086071602</v>
      </c>
      <c r="E28" s="791">
        <f t="shared" si="19"/>
        <v>435.2791086071602</v>
      </c>
      <c r="F28" s="791">
        <f t="shared" si="19"/>
        <v>435.2791086071602</v>
      </c>
      <c r="G28" s="791">
        <f t="shared" si="19"/>
        <v>435.2791086071602</v>
      </c>
      <c r="H28" s="791">
        <f t="shared" si="19"/>
        <v>435.2791086071602</v>
      </c>
      <c r="I28" s="813">
        <f t="shared" si="19"/>
        <v>435.2791086071602</v>
      </c>
      <c r="J28" s="813">
        <f t="shared" si="19"/>
        <v>435.2791086071602</v>
      </c>
      <c r="K28" s="813">
        <f t="shared" si="19"/>
        <v>435.2791086071602</v>
      </c>
      <c r="L28" s="813">
        <f t="shared" si="19"/>
        <v>435.2791086071602</v>
      </c>
      <c r="M28" s="813">
        <f t="shared" si="19"/>
        <v>435.2791086071602</v>
      </c>
      <c r="N28" s="813">
        <f t="shared" si="19"/>
        <v>435.2791086071602</v>
      </c>
      <c r="O28" s="813">
        <f t="shared" si="19"/>
        <v>435.2791086071602</v>
      </c>
      <c r="P28" s="791"/>
      <c r="Q28" s="791"/>
      <c r="R28" s="791"/>
    </row>
    <row r="29" spans="1:18">
      <c r="A29" s="777" t="s">
        <v>434</v>
      </c>
      <c r="B29" s="792">
        <f t="shared" ref="B29:G29" si="20">(1+B18)/(B17-B18)</f>
        <v>20.099652046076617</v>
      </c>
      <c r="C29" s="792">
        <f t="shared" si="20"/>
        <v>20.594604274446972</v>
      </c>
      <c r="D29" s="792">
        <f t="shared" si="20"/>
        <v>19.967222637692316</v>
      </c>
      <c r="E29" s="792">
        <f t="shared" si="20"/>
        <v>20.168186818283452</v>
      </c>
      <c r="F29" s="792">
        <f t="shared" si="20"/>
        <v>19.840518364549908</v>
      </c>
      <c r="G29" s="792">
        <f t="shared" si="20"/>
        <v>18.979581914814709</v>
      </c>
      <c r="H29" s="792">
        <f t="shared" ref="H29:O29" si="21">(1+H18)/(H17-H18)</f>
        <v>18.03790677851444</v>
      </c>
      <c r="I29" s="814">
        <f t="shared" si="21"/>
        <v>17.590555719258724</v>
      </c>
      <c r="J29" s="814">
        <f t="shared" si="21"/>
        <v>17.232232565390103</v>
      </c>
      <c r="K29" s="814">
        <f t="shared" si="21"/>
        <v>16.953433571781883</v>
      </c>
      <c r="L29" s="814">
        <f t="shared" si="21"/>
        <v>16.747155234800609</v>
      </c>
      <c r="M29" s="814">
        <f t="shared" si="21"/>
        <v>16.60843120100423</v>
      </c>
      <c r="N29" s="814">
        <f t="shared" si="21"/>
        <v>16.534022869310956</v>
      </c>
      <c r="O29" s="814">
        <f t="shared" si="21"/>
        <v>16.522226319453345</v>
      </c>
      <c r="P29" s="792"/>
      <c r="Q29" s="792"/>
      <c r="R29" s="792"/>
    </row>
    <row r="30" spans="1:18">
      <c r="A30" s="777" t="s">
        <v>435</v>
      </c>
      <c r="B30" s="791">
        <f t="shared" ref="B30:H30" si="22">B28*B29</f>
        <v>8748.9586259303142</v>
      </c>
      <c r="C30" s="791">
        <f t="shared" si="22"/>
        <v>8964.4009906984884</v>
      </c>
      <c r="D30" s="791">
        <f t="shared" si="22"/>
        <v>8691.314871095421</v>
      </c>
      <c r="E30" s="791">
        <f t="shared" si="22"/>
        <v>8778.7903804850994</v>
      </c>
      <c r="F30" s="791">
        <f t="shared" si="22"/>
        <v>8636.1631480252763</v>
      </c>
      <c r="G30" s="791">
        <f t="shared" si="22"/>
        <v>8261.4154976171249</v>
      </c>
      <c r="H30" s="791">
        <f t="shared" si="22"/>
        <v>7851.5239836908177</v>
      </c>
      <c r="I30" s="813">
        <f t="shared" ref="I30:O30" si="23">I28*I29</f>
        <v>7656.8014133835213</v>
      </c>
      <c r="J30" s="813">
        <f t="shared" si="23"/>
        <v>7500.8308303742815</v>
      </c>
      <c r="K30" s="813">
        <f t="shared" si="23"/>
        <v>7379.4754529559223</v>
      </c>
      <c r="L30" s="813">
        <f t="shared" si="23"/>
        <v>7289.6868023097459</v>
      </c>
      <c r="M30" s="813">
        <f t="shared" si="23"/>
        <v>7229.3031285364677</v>
      </c>
      <c r="N30" s="813">
        <f t="shared" si="23"/>
        <v>7196.9147362440744</v>
      </c>
      <c r="O30" s="813">
        <f t="shared" si="23"/>
        <v>7191.779944537413</v>
      </c>
      <c r="P30" s="791"/>
      <c r="Q30" s="791"/>
      <c r="R30" s="791"/>
    </row>
    <row r="31" spans="1:18">
      <c r="A31" s="777" t="s">
        <v>436</v>
      </c>
      <c r="B31" s="791">
        <f t="shared" ref="B31:O31" si="24">B30/((1+B17)^B33)</f>
        <v>3599.2930893047774</v>
      </c>
      <c r="C31" s="791">
        <f t="shared" si="24"/>
        <v>3988.1303530730565</v>
      </c>
      <c r="D31" s="791">
        <f t="shared" si="24"/>
        <v>4044.0267653970172</v>
      </c>
      <c r="E31" s="791">
        <f t="shared" si="24"/>
        <v>4376.4640859359542</v>
      </c>
      <c r="F31" s="791">
        <f t="shared" si="24"/>
        <v>4550.984875156164</v>
      </c>
      <c r="G31" s="791">
        <f t="shared" si="24"/>
        <v>4551.5811824595357</v>
      </c>
      <c r="H31" s="791">
        <f t="shared" si="24"/>
        <v>4526.4857901634196</v>
      </c>
      <c r="I31" s="813">
        <f t="shared" si="24"/>
        <v>4684.8468886998289</v>
      </c>
      <c r="J31" s="813">
        <f t="shared" si="24"/>
        <v>4890.1624757482132</v>
      </c>
      <c r="K31" s="813">
        <f t="shared" si="24"/>
        <v>5143.3494257132752</v>
      </c>
      <c r="L31" s="813">
        <f t="shared" si="24"/>
        <v>5446.2038380091371</v>
      </c>
      <c r="M31" s="813">
        <f t="shared" si="24"/>
        <v>5801.2575887371786</v>
      </c>
      <c r="N31" s="813">
        <f t="shared" si="24"/>
        <v>6211.6675436181222</v>
      </c>
      <c r="O31" s="813">
        <f t="shared" si="24"/>
        <v>6681.1254947982634</v>
      </c>
      <c r="P31" s="791"/>
      <c r="Q31" s="791"/>
      <c r="R31" s="791"/>
    </row>
    <row r="32" spans="1:18">
      <c r="A32" s="777" t="s">
        <v>437</v>
      </c>
      <c r="B32" s="791">
        <f>NPV(B17,C26:$O$26)</f>
        <v>2767.7468051517981</v>
      </c>
      <c r="C32" s="791">
        <f>NPV(C17,D26:$O$26)</f>
        <v>2850.0594433849292</v>
      </c>
      <c r="D32" s="791">
        <f>NPV(D17,E26:$O$26)</f>
        <v>2911.7945411169126</v>
      </c>
      <c r="E32" s="791">
        <f>NPV(E17,F26:$O$26)</f>
        <v>2973.0757622198576</v>
      </c>
      <c r="F32" s="791">
        <f>NPV(F17,G26:$O$26)</f>
        <v>2742.2424854460869</v>
      </c>
      <c r="G32" s="791">
        <f>NPV(G17,H26:$O$26)</f>
        <v>2561.1067343642967</v>
      </c>
      <c r="H32" s="791">
        <f>NPV(H17,I26:$O$26)</f>
        <v>2300.744446348257</v>
      </c>
      <c r="I32" s="813">
        <f>NPV(I17,J26:$O$26)</f>
        <v>2037.1343254133842</v>
      </c>
      <c r="J32" s="813">
        <f>NPV(J17,K26:$O$26)</f>
        <v>1755.989627705502</v>
      </c>
      <c r="K32" s="813">
        <f>NPV(K17,L26:$O$26)</f>
        <v>1454.5195004946786</v>
      </c>
      <c r="L32" s="813">
        <f>NPV(L17,M26:$O$26)</f>
        <v>1130.1710231510883</v>
      </c>
      <c r="M32" s="813">
        <f>NPV(M17,N26:$O$26)</f>
        <v>780.71957511342669</v>
      </c>
      <c r="N32" s="813">
        <f>NPV(N17,O26:$O$26)</f>
        <v>404.38845342209203</v>
      </c>
      <c r="O32" s="813"/>
      <c r="P32" s="791"/>
      <c r="Q32" s="791"/>
      <c r="R32" s="791"/>
    </row>
    <row r="33" spans="1:18">
      <c r="A33" s="777" t="s">
        <v>438</v>
      </c>
      <c r="B33" s="793">
        <f t="shared" ref="B33:G33" si="25">C33+1</f>
        <v>14</v>
      </c>
      <c r="C33" s="793">
        <f t="shared" si="25"/>
        <v>13</v>
      </c>
      <c r="D33" s="793">
        <f t="shared" si="25"/>
        <v>12</v>
      </c>
      <c r="E33" s="793">
        <f t="shared" si="25"/>
        <v>11</v>
      </c>
      <c r="F33" s="793">
        <f t="shared" si="25"/>
        <v>10</v>
      </c>
      <c r="G33" s="793">
        <f t="shared" si="25"/>
        <v>9</v>
      </c>
      <c r="H33" s="793">
        <f t="shared" ref="H33:N33" si="26">I33+1</f>
        <v>8</v>
      </c>
      <c r="I33" s="815">
        <f t="shared" si="26"/>
        <v>7</v>
      </c>
      <c r="J33" s="815">
        <f t="shared" si="26"/>
        <v>6</v>
      </c>
      <c r="K33" s="815">
        <f t="shared" si="26"/>
        <v>5</v>
      </c>
      <c r="L33" s="815">
        <f t="shared" si="26"/>
        <v>4</v>
      </c>
      <c r="M33" s="815">
        <f t="shared" si="26"/>
        <v>3</v>
      </c>
      <c r="N33" s="815">
        <f t="shared" si="26"/>
        <v>2</v>
      </c>
      <c r="O33" s="815">
        <v>1</v>
      </c>
      <c r="P33" s="793"/>
      <c r="Q33" s="793"/>
      <c r="R33" s="793"/>
    </row>
    <row r="34" spans="1:18">
      <c r="A34" s="777"/>
      <c r="B34" s="793"/>
      <c r="C34" s="786"/>
      <c r="D34" s="786"/>
      <c r="E34" s="786"/>
      <c r="F34" s="786"/>
      <c r="G34" s="786"/>
      <c r="H34" s="786"/>
      <c r="I34" s="807"/>
      <c r="J34" s="807"/>
      <c r="K34" s="807"/>
      <c r="L34" s="807"/>
      <c r="M34" s="807"/>
      <c r="N34" s="807"/>
      <c r="O34" s="807"/>
      <c r="P34" s="786"/>
      <c r="Q34" s="786"/>
      <c r="R34" s="786"/>
    </row>
    <row r="35" spans="1:18">
      <c r="A35" s="777" t="s">
        <v>118</v>
      </c>
      <c r="B35" s="793">
        <f>bal!AC47</f>
        <v>2479.0099999999998</v>
      </c>
      <c r="C35" s="793">
        <f>bal!AE47</f>
        <v>2621.0919999999996</v>
      </c>
      <c r="D35" s="793">
        <f>bal!AG47</f>
        <v>2624.5690000000004</v>
      </c>
      <c r="E35" s="793">
        <f>bal!AI47</f>
        <v>2580.1469999999999</v>
      </c>
      <c r="F35" s="793">
        <f>bal!AK47</f>
        <v>2574.4830000000002</v>
      </c>
      <c r="G35" s="793">
        <f>bal!AM47</f>
        <v>2812.8289999999997</v>
      </c>
      <c r="H35" s="793">
        <f>bal!AO47</f>
        <v>2794.9966002056963</v>
      </c>
      <c r="I35" s="807"/>
      <c r="J35" s="807"/>
      <c r="K35" s="807"/>
      <c r="L35" s="807"/>
      <c r="M35" s="807"/>
      <c r="N35" s="807"/>
      <c r="O35" s="807"/>
    </row>
    <row r="36" spans="1:18">
      <c r="A36" s="777" t="s">
        <v>470</v>
      </c>
      <c r="B36" s="496">
        <f>B21/B35</f>
        <v>1.1420639622268268E-2</v>
      </c>
      <c r="C36" s="496">
        <f t="shared" ref="C36:H36" si="27">C21/C35</f>
        <v>6.1615540393087339E-3</v>
      </c>
      <c r="D36" s="496">
        <f t="shared" si="27"/>
        <v>2.5129840366170594E-2</v>
      </c>
      <c r="E36" s="496">
        <f t="shared" si="27"/>
        <v>5.8323033532585604E-2</v>
      </c>
      <c r="F36" s="496">
        <f t="shared" si="27"/>
        <v>8.3851010086296751E-2</v>
      </c>
      <c r="G36" s="496">
        <f t="shared" si="27"/>
        <v>0.13682042029572353</v>
      </c>
      <c r="H36" s="496">
        <f t="shared" si="27"/>
        <v>0.13590093345401488</v>
      </c>
      <c r="I36" s="807"/>
      <c r="J36" s="807"/>
      <c r="K36" s="807"/>
      <c r="L36" s="807"/>
      <c r="M36" s="807"/>
      <c r="N36" s="807"/>
      <c r="O36" s="807"/>
    </row>
    <row r="37" spans="1:18">
      <c r="A37" s="777" t="s">
        <v>439</v>
      </c>
      <c r="B37" s="791">
        <f t="shared" ref="B37:G37" si="28">B32+B31</f>
        <v>6367.039894456575</v>
      </c>
      <c r="C37" s="791">
        <f t="shared" si="28"/>
        <v>6838.1897964579857</v>
      </c>
      <c r="D37" s="791">
        <f t="shared" si="28"/>
        <v>6955.8213065139298</v>
      </c>
      <c r="E37" s="791">
        <f t="shared" si="28"/>
        <v>7349.5398481558113</v>
      </c>
      <c r="F37" s="791">
        <f t="shared" si="28"/>
        <v>7293.2273606022509</v>
      </c>
      <c r="G37" s="791">
        <f t="shared" si="28"/>
        <v>7112.687916823832</v>
      </c>
      <c r="H37" s="791">
        <f t="shared" ref="H37:O37" si="29">H32+H31</f>
        <v>6827.2302365116766</v>
      </c>
      <c r="I37" s="813">
        <f t="shared" si="29"/>
        <v>6721.9812141132134</v>
      </c>
      <c r="J37" s="813">
        <f t="shared" si="29"/>
        <v>6646.1521034537154</v>
      </c>
      <c r="K37" s="813">
        <f t="shared" si="29"/>
        <v>6597.8689262079533</v>
      </c>
      <c r="L37" s="813">
        <f t="shared" si="29"/>
        <v>6576.3748611602259</v>
      </c>
      <c r="M37" s="813">
        <f t="shared" si="29"/>
        <v>6581.9771638506054</v>
      </c>
      <c r="N37" s="813">
        <f t="shared" si="29"/>
        <v>6616.0559970402146</v>
      </c>
      <c r="O37" s="813">
        <f t="shared" si="29"/>
        <v>6681.1254947982634</v>
      </c>
      <c r="P37" s="791"/>
      <c r="Q37" s="791"/>
      <c r="R37" s="791"/>
    </row>
    <row r="38" spans="1:18">
      <c r="A38" s="777" t="s">
        <v>459</v>
      </c>
      <c r="B38" s="791">
        <f>dtc!Y35</f>
        <v>1292.8824</v>
      </c>
      <c r="C38" s="791">
        <f>dtc!AA35</f>
        <v>1295.2010000000002</v>
      </c>
      <c r="D38" s="791">
        <f>dtc!AC35</f>
        <v>1225.049</v>
      </c>
      <c r="E38" s="791">
        <f>dtc!AE35</f>
        <v>1283.9850000000001</v>
      </c>
      <c r="F38" s="791">
        <f>dtc!AG35</f>
        <v>1048.884</v>
      </c>
      <c r="G38" s="791">
        <f>dtc!AI35</f>
        <v>993.68599999999992</v>
      </c>
      <c r="H38" s="791">
        <f>dtc!AK35</f>
        <v>780.61899999999991</v>
      </c>
      <c r="I38" s="813">
        <f t="shared" ref="I38:O38" si="30">H38-150</f>
        <v>630.61899999999991</v>
      </c>
      <c r="J38" s="813">
        <f t="shared" si="30"/>
        <v>480.61899999999991</v>
      </c>
      <c r="K38" s="813">
        <f t="shared" si="30"/>
        <v>330.61899999999991</v>
      </c>
      <c r="L38" s="813">
        <f t="shared" si="30"/>
        <v>180.61899999999991</v>
      </c>
      <c r="M38" s="813">
        <f t="shared" si="30"/>
        <v>30.618999999999915</v>
      </c>
      <c r="N38" s="813">
        <f t="shared" si="30"/>
        <v>-119.38100000000009</v>
      </c>
      <c r="O38" s="813">
        <f t="shared" si="30"/>
        <v>-269.38100000000009</v>
      </c>
      <c r="P38" s="791"/>
      <c r="Q38" s="791"/>
      <c r="R38" s="791"/>
    </row>
    <row r="39" spans="1:18">
      <c r="A39" s="777" t="s">
        <v>461</v>
      </c>
      <c r="B39" s="791">
        <f>B37-B38</f>
        <v>5074.1574944565746</v>
      </c>
      <c r="C39" s="791">
        <f t="shared" ref="C39:H39" si="31">C37-C38</f>
        <v>5542.9887964579857</v>
      </c>
      <c r="D39" s="791">
        <f t="shared" si="31"/>
        <v>5730.7723065139298</v>
      </c>
      <c r="E39" s="791">
        <f t="shared" si="31"/>
        <v>6065.5548481558108</v>
      </c>
      <c r="F39" s="791">
        <f t="shared" si="31"/>
        <v>6244.3433606022509</v>
      </c>
      <c r="G39" s="791">
        <f t="shared" si="31"/>
        <v>6119.0019168238323</v>
      </c>
      <c r="H39" s="791">
        <f t="shared" si="31"/>
        <v>6046.6112365116769</v>
      </c>
      <c r="I39" s="813">
        <f t="shared" ref="I39:O39" si="32">I37-I38</f>
        <v>6091.3622141132137</v>
      </c>
      <c r="J39" s="813">
        <f t="shared" si="32"/>
        <v>6165.5331034537157</v>
      </c>
      <c r="K39" s="813">
        <f t="shared" si="32"/>
        <v>6267.2499262079536</v>
      </c>
      <c r="L39" s="813">
        <f t="shared" si="32"/>
        <v>6395.7558611602262</v>
      </c>
      <c r="M39" s="813">
        <f t="shared" si="32"/>
        <v>6551.3581638506057</v>
      </c>
      <c r="N39" s="813">
        <f t="shared" si="32"/>
        <v>6735.4369970402149</v>
      </c>
      <c r="O39" s="813">
        <f t="shared" si="32"/>
        <v>6950.5064947982637</v>
      </c>
      <c r="P39" s="791"/>
      <c r="Q39" s="791"/>
      <c r="R39" s="791"/>
    </row>
    <row r="40" spans="1:18" ht="13.5" thickBot="1">
      <c r="A40" s="777" t="s">
        <v>462</v>
      </c>
      <c r="B40" s="562">
        <f>sumry!BO34</f>
        <v>71.508025000000004</v>
      </c>
      <c r="C40" s="562">
        <f>B40</f>
        <v>71.508025000000004</v>
      </c>
      <c r="D40" s="562">
        <f t="shared" ref="D40:L40" si="33">C40</f>
        <v>71.508025000000004</v>
      </c>
      <c r="E40" s="562">
        <f t="shared" si="33"/>
        <v>71.508025000000004</v>
      </c>
      <c r="F40" s="562">
        <f t="shared" si="33"/>
        <v>71.508025000000004</v>
      </c>
      <c r="G40" s="562">
        <f t="shared" si="33"/>
        <v>71.508025000000004</v>
      </c>
      <c r="H40" s="562">
        <f t="shared" si="33"/>
        <v>71.508025000000004</v>
      </c>
      <c r="I40" s="639">
        <f t="shared" si="33"/>
        <v>71.508025000000004</v>
      </c>
      <c r="J40" s="639">
        <f t="shared" si="33"/>
        <v>71.508025000000004</v>
      </c>
      <c r="K40" s="639">
        <f t="shared" si="33"/>
        <v>71.508025000000004</v>
      </c>
      <c r="L40" s="639">
        <f t="shared" si="33"/>
        <v>71.508025000000004</v>
      </c>
      <c r="M40" s="639">
        <f>L40</f>
        <v>71.508025000000004</v>
      </c>
      <c r="N40" s="639">
        <f>M40</f>
        <v>71.508025000000004</v>
      </c>
      <c r="O40" s="639">
        <f>N40</f>
        <v>71.508025000000004</v>
      </c>
      <c r="P40" s="562"/>
      <c r="Q40" s="562"/>
      <c r="R40" s="562"/>
    </row>
    <row r="41" spans="1:18" ht="13.5" thickBot="1">
      <c r="A41" s="794" t="s">
        <v>463</v>
      </c>
      <c r="B41" s="795">
        <f>B39/B40</f>
        <v>70.959273374653748</v>
      </c>
      <c r="C41" s="795">
        <f t="shared" ref="C41:H41" si="34">C39/C40</f>
        <v>77.515618652004235</v>
      </c>
      <c r="D41" s="795">
        <f t="shared" si="34"/>
        <v>80.141666708232108</v>
      </c>
      <c r="E41" s="796">
        <f t="shared" si="34"/>
        <v>84.823414549007751</v>
      </c>
      <c r="F41" s="795">
        <f t="shared" si="34"/>
        <v>87.323672561257993</v>
      </c>
      <c r="G41" s="795">
        <f t="shared" si="34"/>
        <v>85.570842109313347</v>
      </c>
      <c r="H41" s="795">
        <f t="shared" si="34"/>
        <v>84.558498665173261</v>
      </c>
      <c r="I41" s="762">
        <f t="shared" ref="I41:O41" si="35">I39/I40</f>
        <v>85.184316223433854</v>
      </c>
      <c r="J41" s="762">
        <f t="shared" si="35"/>
        <v>86.221554901757045</v>
      </c>
      <c r="K41" s="762">
        <f t="shared" si="35"/>
        <v>87.644008154440755</v>
      </c>
      <c r="L41" s="762">
        <f t="shared" si="35"/>
        <v>89.441092257270782</v>
      </c>
      <c r="M41" s="762">
        <f t="shared" si="35"/>
        <v>91.617104008264889</v>
      </c>
      <c r="N41" s="762">
        <f t="shared" si="35"/>
        <v>94.191344216823424</v>
      </c>
      <c r="O41" s="762">
        <f t="shared" si="35"/>
        <v>97.198971651059637</v>
      </c>
      <c r="P41" s="562"/>
      <c r="Q41" s="562"/>
      <c r="R41" s="562"/>
    </row>
  </sheetData>
  <phoneticPr fontId="11"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A1:AQ61"/>
  <sheetViews>
    <sheetView topLeftCell="A37" zoomScaleNormal="100" workbookViewId="0">
      <selection activeCell="AO15" sqref="AO15"/>
    </sheetView>
  </sheetViews>
  <sheetFormatPr defaultRowHeight="12.75" outlineLevelCol="1"/>
  <cols>
    <col min="1" max="1" width="3.140625" style="1282" customWidth="1"/>
    <col min="2" max="2" width="4.42578125" style="1282" customWidth="1"/>
    <col min="3" max="3" width="4.28515625" style="1282" customWidth="1"/>
    <col min="4" max="4" width="10.28515625" style="1282" hidden="1" customWidth="1" outlineLevel="1"/>
    <col min="5" max="5" width="2.140625" style="1282" hidden="1" customWidth="1" outlineLevel="1"/>
    <col min="6" max="6" width="10.28515625" style="1282" hidden="1" customWidth="1" outlineLevel="1"/>
    <col min="7" max="7" width="2.140625" style="1282" hidden="1" customWidth="1" outlineLevel="1"/>
    <col min="8" max="8" width="10.28515625" style="1282" hidden="1" customWidth="1" outlineLevel="1" collapsed="1"/>
    <col min="9" max="9" width="2.140625" style="1282" hidden="1" customWidth="1" outlineLevel="1"/>
    <col min="10" max="10" width="10.28515625" style="1282" hidden="1" customWidth="1" outlineLevel="1" collapsed="1"/>
    <col min="11" max="11" width="2.140625" style="1282" hidden="1" customWidth="1" outlineLevel="1"/>
    <col min="12" max="12" width="10.28515625" style="1282" hidden="1" customWidth="1" outlineLevel="1" collapsed="1"/>
    <col min="13" max="13" width="2.140625" style="1282" hidden="1" customWidth="1" outlineLevel="1"/>
    <col min="14" max="14" width="10.28515625" style="1282" hidden="1" customWidth="1" outlineLevel="1" collapsed="1"/>
    <col min="15" max="15" width="2.140625" style="1282" hidden="1" customWidth="1" outlineLevel="1"/>
    <col min="16" max="16" width="10.28515625" style="1282" hidden="1" customWidth="1" outlineLevel="1" collapsed="1"/>
    <col min="17" max="18" width="2.140625" style="1282" hidden="1" customWidth="1" outlineLevel="1"/>
    <col min="19" max="19" width="10.28515625" style="1282" customWidth="1" collapsed="1"/>
    <col min="20" max="20" width="2.140625" style="1282" customWidth="1"/>
    <col min="21" max="21" width="10.28515625" style="1282" customWidth="1"/>
    <col min="22" max="22" width="2.140625" style="1282" customWidth="1"/>
    <col min="23" max="23" width="10.28515625" style="1282" customWidth="1"/>
    <col min="24" max="24" width="2.140625" style="1282" customWidth="1"/>
    <col min="25" max="25" width="10.28515625" style="1282" customWidth="1"/>
    <col min="26" max="26" width="2.140625" style="1282" customWidth="1"/>
    <col min="27" max="27" width="9.140625" style="1282"/>
    <col min="28" max="28" width="2.140625" style="1282" customWidth="1"/>
    <col min="29" max="29" width="9.5703125" style="1282" bestFit="1" customWidth="1"/>
    <col min="30" max="30" width="2.140625" style="1282" customWidth="1"/>
    <col min="31" max="31" width="9.5703125" style="1282" bestFit="1" customWidth="1"/>
    <col min="32" max="32" width="2.140625" style="1282" customWidth="1"/>
    <col min="33" max="33" width="9.5703125" style="1282" bestFit="1" customWidth="1"/>
    <col min="34" max="34" width="2.140625" style="1282" customWidth="1"/>
    <col min="35" max="35" width="9.5703125" style="1282" bestFit="1" customWidth="1"/>
    <col min="36" max="36" width="2.140625" style="1282" customWidth="1" outlineLevel="1"/>
    <col min="37" max="37" width="9.5703125" style="1282" customWidth="1" outlineLevel="1"/>
    <col min="38" max="38" width="9.140625" style="1282" customWidth="1" outlineLevel="1"/>
    <col min="39" max="16384" width="9.140625" style="1282"/>
  </cols>
  <sheetData>
    <row r="1" spans="1:43">
      <c r="A1" s="1283" t="s">
        <v>441</v>
      </c>
    </row>
    <row r="2" spans="1:43" s="1352" customFormat="1">
      <c r="A2" s="1246" t="s">
        <v>1080</v>
      </c>
      <c r="P2" s="1632"/>
    </row>
    <row r="3" spans="1:43">
      <c r="A3" s="1633" t="s">
        <v>111</v>
      </c>
    </row>
    <row r="4" spans="1:43">
      <c r="D4" s="1303" t="s">
        <v>260</v>
      </c>
      <c r="E4" s="1303"/>
      <c r="F4" s="1303"/>
      <c r="G4" s="1303"/>
      <c r="H4" s="1303"/>
      <c r="I4" s="1303"/>
      <c r="J4" s="1303"/>
      <c r="K4" s="1303"/>
      <c r="L4" s="1303"/>
      <c r="M4" s="1303"/>
      <c r="N4" s="1303"/>
      <c r="O4" s="1303"/>
      <c r="P4" s="1303"/>
      <c r="Q4" s="1303"/>
      <c r="S4" s="1303" t="s">
        <v>259</v>
      </c>
      <c r="T4" s="1303"/>
      <c r="U4" s="1303"/>
      <c r="V4" s="1304"/>
      <c r="W4" s="1304"/>
      <c r="X4" s="1304"/>
      <c r="Y4" s="1304"/>
      <c r="Z4" s="1304"/>
      <c r="AA4" s="1304"/>
      <c r="AB4" s="1304"/>
      <c r="AC4" s="1304"/>
      <c r="AD4" s="1304"/>
      <c r="AE4" s="1304"/>
      <c r="AF4" s="1304"/>
      <c r="AG4" s="1304"/>
      <c r="AH4" s="1304"/>
      <c r="AI4" s="1304"/>
      <c r="AJ4" s="1304"/>
      <c r="AK4" s="1304"/>
    </row>
    <row r="5" spans="1:43">
      <c r="D5" s="1634" t="s">
        <v>254</v>
      </c>
      <c r="F5" s="1634" t="s">
        <v>255</v>
      </c>
      <c r="H5" s="1634" t="s">
        <v>166</v>
      </c>
      <c r="J5" s="1634" t="s">
        <v>96</v>
      </c>
      <c r="L5" s="1634" t="s">
        <v>95</v>
      </c>
      <c r="N5" s="1634" t="s">
        <v>94</v>
      </c>
      <c r="P5" s="1634" t="s">
        <v>93</v>
      </c>
      <c r="S5" s="1634" t="s">
        <v>83</v>
      </c>
      <c r="U5" s="1634" t="s">
        <v>84</v>
      </c>
      <c r="W5" s="1634" t="s">
        <v>242</v>
      </c>
      <c r="Y5" s="1634" t="s">
        <v>247</v>
      </c>
      <c r="AA5" s="1634" t="s">
        <v>611</v>
      </c>
      <c r="AC5" s="1634" t="s">
        <v>626</v>
      </c>
      <c r="AE5" s="1634" t="s">
        <v>933</v>
      </c>
      <c r="AG5" s="1634" t="s">
        <v>988</v>
      </c>
      <c r="AI5" s="1634" t="s">
        <v>245</v>
      </c>
      <c r="AK5" s="1634" t="s">
        <v>341</v>
      </c>
    </row>
    <row r="7" spans="1:43">
      <c r="A7" s="1635" t="s">
        <v>112</v>
      </c>
      <c r="B7" s="1635"/>
      <c r="C7" s="1635"/>
      <c r="D7" s="1635"/>
      <c r="E7" s="1635"/>
      <c r="F7" s="1635"/>
      <c r="G7" s="1635"/>
      <c r="H7" s="1635"/>
      <c r="I7" s="1635"/>
      <c r="J7" s="1635"/>
      <c r="K7" s="1635"/>
      <c r="L7" s="1635"/>
      <c r="M7" s="1635"/>
      <c r="N7" s="1635"/>
      <c r="O7" s="1635"/>
      <c r="P7" s="1635"/>
      <c r="Q7" s="1635"/>
      <c r="R7" s="1635"/>
      <c r="S7" s="1635"/>
      <c r="T7" s="1635"/>
      <c r="U7" s="1635"/>
      <c r="V7" s="1635"/>
      <c r="W7" s="1635"/>
      <c r="Y7" s="1635"/>
    </row>
    <row r="8" spans="1:43">
      <c r="A8" s="1282" t="s">
        <v>105</v>
      </c>
      <c r="B8" s="1282" t="s">
        <v>79</v>
      </c>
      <c r="D8" s="1636">
        <v>15.615</v>
      </c>
      <c r="F8" s="1636">
        <v>24.948</v>
      </c>
      <c r="H8" s="1636">
        <f>25.971</f>
        <v>25.971</v>
      </c>
      <c r="J8" s="1637">
        <f>44.418+48.208</f>
        <v>92.626000000000005</v>
      </c>
      <c r="L8" s="1636">
        <f>70.55+56.636</f>
        <v>127.18600000000001</v>
      </c>
      <c r="N8" s="1638" t="s">
        <v>90</v>
      </c>
      <c r="P8" s="1636">
        <v>52.517000000000003</v>
      </c>
      <c r="Q8" s="1390"/>
      <c r="R8" s="1390"/>
      <c r="S8" s="1636">
        <v>61.786999999999999</v>
      </c>
      <c r="T8" s="1390"/>
      <c r="U8" s="1639">
        <v>237.179</v>
      </c>
      <c r="W8" s="1636">
        <v>67.536000000000001</v>
      </c>
      <c r="Y8" s="1636">
        <v>53.654000000000003</v>
      </c>
      <c r="AA8" s="1636">
        <v>102.672</v>
      </c>
      <c r="AC8" s="1636">
        <v>69.489999999999995</v>
      </c>
      <c r="AE8" s="1636">
        <v>34.747999999999998</v>
      </c>
      <c r="AG8" s="1636">
        <v>28.1</v>
      </c>
      <c r="AI8" s="1636">
        <v>29.588000000000001</v>
      </c>
    </row>
    <row r="9" spans="1:43">
      <c r="A9" s="1282" t="s">
        <v>106</v>
      </c>
      <c r="B9" s="1282" t="s">
        <v>80</v>
      </c>
      <c r="D9" s="1637">
        <v>92.271000000000001</v>
      </c>
      <c r="F9" s="1637">
        <f>76.012</f>
        <v>76.012</v>
      </c>
      <c r="H9" s="1637">
        <f>125.617+8.953</f>
        <v>134.57</v>
      </c>
      <c r="J9" s="1637">
        <v>194.18099999999998</v>
      </c>
      <c r="L9" s="1637">
        <f>124.323+81.075</f>
        <v>205.398</v>
      </c>
      <c r="N9" s="1637">
        <f>38.326+0.783</f>
        <v>39.109000000000002</v>
      </c>
      <c r="P9" s="1637">
        <v>42.814999999999998</v>
      </c>
      <c r="Q9" s="1364"/>
      <c r="R9" s="1364"/>
      <c r="S9" s="1637">
        <v>25.818999999999999</v>
      </c>
      <c r="T9" s="1364"/>
      <c r="U9" s="1637">
        <v>81.046000000000006</v>
      </c>
      <c r="W9" s="1637">
        <v>31.808</v>
      </c>
      <c r="Y9" s="1637">
        <v>31.67</v>
      </c>
      <c r="AA9" s="1637">
        <v>34.799999999999997</v>
      </c>
      <c r="AC9" s="1637">
        <v>32.1</v>
      </c>
      <c r="AE9" s="1637">
        <v>27.231000000000002</v>
      </c>
      <c r="AG9" s="1637">
        <v>30.469000000000001</v>
      </c>
      <c r="AI9" s="1637">
        <v>32.648000000000003</v>
      </c>
    </row>
    <row r="10" spans="1:43">
      <c r="A10" s="1282" t="s">
        <v>107</v>
      </c>
      <c r="B10" s="1282" t="s">
        <v>81</v>
      </c>
      <c r="D10" s="1637">
        <v>120.74299999999999</v>
      </c>
      <c r="F10" s="1637">
        <v>78.887</v>
      </c>
      <c r="H10" s="1637">
        <f>149.266+24.172</f>
        <v>173.43799999999999</v>
      </c>
      <c r="J10" s="1637">
        <f>72.66+173.088</f>
        <v>245.74799999999999</v>
      </c>
      <c r="L10" s="1637">
        <v>249.36699999999999</v>
      </c>
      <c r="N10" s="1637">
        <f>59.673+0.81</f>
        <v>60.483000000000004</v>
      </c>
      <c r="P10" s="1637">
        <v>45.531999999999996</v>
      </c>
      <c r="Q10" s="1364"/>
      <c r="R10" s="1364"/>
      <c r="S10" s="1640">
        <v>64.403999999999996</v>
      </c>
      <c r="T10" s="1364"/>
      <c r="U10" s="1637">
        <v>53.722999999999999</v>
      </c>
      <c r="W10" s="1637">
        <v>45.843000000000004</v>
      </c>
      <c r="Y10" s="1637">
        <v>30.169</v>
      </c>
      <c r="AA10" s="1637">
        <v>31.556999999999999</v>
      </c>
      <c r="AC10" s="1637">
        <v>29.427</v>
      </c>
      <c r="AE10" s="1637">
        <v>28.847000000000001</v>
      </c>
      <c r="AG10" s="1637">
        <v>32.798999999999999</v>
      </c>
      <c r="AI10" s="1637">
        <v>48.08</v>
      </c>
    </row>
    <row r="11" spans="1:43">
      <c r="A11" s="1282" t="s">
        <v>108</v>
      </c>
      <c r="B11" s="1282" t="s">
        <v>82</v>
      </c>
      <c r="D11" s="1641">
        <f>bal!I9</f>
        <v>122.47399999999999</v>
      </c>
      <c r="F11" s="1641">
        <f>bal!K9</f>
        <v>27.903999999999996</v>
      </c>
      <c r="H11" s="1641">
        <f>bal!M9</f>
        <v>29.816999999999997</v>
      </c>
      <c r="J11" s="1641">
        <f>bal!O9</f>
        <v>47.952999999999996</v>
      </c>
      <c r="L11" s="1641">
        <f>bal!Q9</f>
        <v>58.375999999999998</v>
      </c>
      <c r="N11" s="1641">
        <f>bal!S9</f>
        <v>33.878</v>
      </c>
      <c r="P11" s="1641">
        <f>bal!U9</f>
        <v>40.100999999999999</v>
      </c>
      <c r="Q11" s="1364"/>
      <c r="R11" s="1364"/>
      <c r="S11" s="1637">
        <v>24.75</v>
      </c>
      <c r="T11" s="1364"/>
      <c r="U11" s="1637">
        <v>30.213999999999999</v>
      </c>
      <c r="W11" s="1642">
        <v>35.664000000000001</v>
      </c>
      <c r="Y11" s="1642">
        <v>43.433599999999998</v>
      </c>
      <c r="AA11" s="1642">
        <v>132.98400000000001</v>
      </c>
      <c r="AB11" s="1643"/>
      <c r="AC11" s="1642">
        <v>25.393999999999998</v>
      </c>
      <c r="AD11" s="1643"/>
      <c r="AE11" s="1637">
        <v>20.914999999999999</v>
      </c>
      <c r="AF11" s="1643"/>
      <c r="AG11" s="1637">
        <v>81.596999999999994</v>
      </c>
      <c r="AH11" s="1643"/>
      <c r="AI11" s="1637">
        <f>bal!AM9</f>
        <v>133.286</v>
      </c>
      <c r="AJ11" s="1643"/>
      <c r="AK11" s="1643">
        <f>bal!AO9</f>
        <v>111.57599999999999</v>
      </c>
      <c r="AO11" s="1282">
        <f>1117*0.025</f>
        <v>27.925000000000001</v>
      </c>
      <c r="AP11" s="1282">
        <f>1112.044*0.0275</f>
        <v>30.581210000000002</v>
      </c>
      <c r="AQ11" s="1282">
        <f>AP11-AO11</f>
        <v>2.6562100000000015</v>
      </c>
    </row>
    <row r="12" spans="1:43">
      <c r="W12" s="1292"/>
      <c r="Y12" s="1292"/>
      <c r="AA12" s="1643"/>
      <c r="AB12" s="1643"/>
      <c r="AC12" s="1643"/>
      <c r="AD12" s="1643"/>
      <c r="AE12" s="1643"/>
      <c r="AF12" s="1643"/>
      <c r="AG12" s="1643"/>
      <c r="AH12" s="1643"/>
      <c r="AI12" s="1643"/>
      <c r="AJ12" s="1643"/>
      <c r="AK12" s="1643"/>
      <c r="AO12" s="1282">
        <f>1117*0.0225</f>
        <v>25.1325</v>
      </c>
      <c r="AQ12" s="1282">
        <f>AP11-AO12</f>
        <v>5.4487100000000019</v>
      </c>
    </row>
    <row r="13" spans="1:43">
      <c r="A13" s="1635" t="s">
        <v>113</v>
      </c>
      <c r="B13" s="1635"/>
      <c r="C13" s="1635"/>
      <c r="D13" s="1635"/>
      <c r="E13" s="1635"/>
      <c r="F13" s="1635"/>
      <c r="G13" s="1635"/>
      <c r="H13" s="1635"/>
      <c r="I13" s="1635"/>
      <c r="J13" s="1635"/>
      <c r="K13" s="1635"/>
      <c r="L13" s="1635"/>
      <c r="M13" s="1635"/>
      <c r="N13" s="1635"/>
      <c r="O13" s="1635"/>
      <c r="P13" s="1635"/>
      <c r="Q13" s="1635"/>
      <c r="R13" s="1635"/>
      <c r="S13" s="1635"/>
      <c r="T13" s="1635"/>
      <c r="U13" s="1635"/>
      <c r="V13" s="1635"/>
      <c r="W13" s="1644"/>
      <c r="Y13" s="1644"/>
      <c r="AA13" s="1643"/>
      <c r="AB13" s="1643"/>
      <c r="AC13" s="1643"/>
      <c r="AD13" s="1643"/>
      <c r="AE13" s="1643"/>
      <c r="AF13" s="1643"/>
      <c r="AG13" s="1643"/>
      <c r="AH13" s="1643"/>
      <c r="AI13" s="1643"/>
      <c r="AJ13" s="1643"/>
      <c r="AK13" s="1643"/>
    </row>
    <row r="14" spans="1:43">
      <c r="A14" s="1282" t="s">
        <v>105</v>
      </c>
      <c r="B14" s="1282" t="s">
        <v>79</v>
      </c>
      <c r="D14" s="1636">
        <v>0.55500000000000005</v>
      </c>
      <c r="F14" s="1636">
        <f>0.282+43.5</f>
        <v>43.781999999999996</v>
      </c>
      <c r="H14" s="1636">
        <v>0.92100000000000004</v>
      </c>
      <c r="J14" s="1636">
        <v>1.0780000000000001</v>
      </c>
      <c r="L14" s="1636">
        <v>1.196</v>
      </c>
      <c r="N14" s="1638" t="s">
        <v>90</v>
      </c>
      <c r="P14" s="1636">
        <v>13.914999999999999</v>
      </c>
      <c r="Q14" s="1390"/>
      <c r="R14" s="1390"/>
      <c r="S14" s="1636">
        <v>10.602</v>
      </c>
      <c r="T14" s="1390"/>
      <c r="U14" s="1645">
        <v>15.449</v>
      </c>
      <c r="W14" s="1645">
        <v>10.788</v>
      </c>
      <c r="Y14" s="1645">
        <v>10.236000000000001</v>
      </c>
      <c r="AA14" s="1645">
        <v>9.7370000000000001</v>
      </c>
      <c r="AC14" s="1645">
        <v>1.07</v>
      </c>
      <c r="AD14" s="1643"/>
      <c r="AE14" s="1645">
        <v>1.1950000000000001</v>
      </c>
      <c r="AF14" s="1643"/>
      <c r="AG14" s="1645">
        <v>1.452</v>
      </c>
      <c r="AH14" s="1643"/>
      <c r="AI14" s="1645">
        <v>1.696</v>
      </c>
      <c r="AJ14" s="1643"/>
      <c r="AK14" s="1643"/>
    </row>
    <row r="15" spans="1:43">
      <c r="A15" s="1282" t="s">
        <v>106</v>
      </c>
      <c r="B15" s="1282" t="s">
        <v>80</v>
      </c>
      <c r="D15" s="1637">
        <v>0.55500000000000005</v>
      </c>
      <c r="F15" s="1637">
        <v>0.88800000000000001</v>
      </c>
      <c r="H15" s="1637">
        <v>0.92200000000000004</v>
      </c>
      <c r="J15" s="1637">
        <v>1.18</v>
      </c>
      <c r="L15" s="1637">
        <v>1.276</v>
      </c>
      <c r="N15" s="1637">
        <v>10.461</v>
      </c>
      <c r="P15" s="1637">
        <v>1.5840000000000001</v>
      </c>
      <c r="Q15" s="1364"/>
      <c r="R15" s="1364"/>
      <c r="S15" s="1637">
        <v>10.835000000000001</v>
      </c>
      <c r="T15" s="1364"/>
      <c r="U15" s="1642">
        <v>17.507000000000001</v>
      </c>
      <c r="W15" s="1642">
        <v>3.2719999999999998</v>
      </c>
      <c r="Y15" s="1642">
        <v>3.1219999999999999</v>
      </c>
      <c r="AA15" s="1642">
        <v>9.6630000000000003</v>
      </c>
      <c r="AB15" s="1643"/>
      <c r="AC15" s="1642">
        <v>1.25</v>
      </c>
      <c r="AD15" s="1643"/>
      <c r="AE15" s="1642">
        <v>1.34</v>
      </c>
      <c r="AF15" s="1643"/>
      <c r="AG15" s="1642">
        <v>1.512</v>
      </c>
      <c r="AH15" s="1643"/>
      <c r="AI15" s="1642">
        <v>1.823</v>
      </c>
      <c r="AJ15" s="1643"/>
      <c r="AK15" s="1643"/>
    </row>
    <row r="16" spans="1:43">
      <c r="A16" s="1282" t="s">
        <v>107</v>
      </c>
      <c r="B16" s="1282" t="s">
        <v>81</v>
      </c>
      <c r="D16" s="1637">
        <v>0.77200000000000002</v>
      </c>
      <c r="F16" s="1637">
        <v>0.92</v>
      </c>
      <c r="H16" s="1637">
        <v>0.95599999999999996</v>
      </c>
      <c r="J16" s="1637">
        <v>1.1850000000000001</v>
      </c>
      <c r="L16" s="1637">
        <v>1.353</v>
      </c>
      <c r="N16" s="1637">
        <v>3.7170000000000001</v>
      </c>
      <c r="P16" s="1637">
        <v>1.5920000000000001</v>
      </c>
      <c r="Q16" s="1364"/>
      <c r="R16" s="1364"/>
      <c r="S16" s="1637">
        <v>7.2430000000000003</v>
      </c>
      <c r="T16" s="1364"/>
      <c r="U16" s="1642">
        <v>18.559000000000001</v>
      </c>
      <c r="W16" s="1642">
        <v>5.7279999999999998</v>
      </c>
      <c r="Y16" s="1642">
        <v>5.5149999999999997</v>
      </c>
      <c r="AA16" s="1642">
        <v>231.46</v>
      </c>
      <c r="AB16" s="1643"/>
      <c r="AC16" s="1642">
        <v>13.275</v>
      </c>
      <c r="AD16" s="1643"/>
      <c r="AE16" s="1642">
        <v>1.3759999999999999</v>
      </c>
      <c r="AF16" s="1643"/>
      <c r="AG16" s="1642">
        <v>1.5740000000000001</v>
      </c>
      <c r="AH16" s="1643"/>
      <c r="AI16" s="1642">
        <v>1.9419999999999999</v>
      </c>
      <c r="AJ16" s="1643"/>
      <c r="AK16" s="1643"/>
    </row>
    <row r="17" spans="1:37">
      <c r="A17" s="1282" t="s">
        <v>108</v>
      </c>
      <c r="B17" s="1282" t="s">
        <v>82</v>
      </c>
      <c r="D17" s="1641">
        <f>bal!I28</f>
        <v>0.82799999999999996</v>
      </c>
      <c r="F17" s="1641">
        <f>bal!K28</f>
        <v>0.91800000000000004</v>
      </c>
      <c r="H17" s="1641">
        <f>bal!M28</f>
        <v>1.0469999999999999</v>
      </c>
      <c r="J17" s="1641">
        <f>bal!O28</f>
        <v>1.19</v>
      </c>
      <c r="L17" s="1641">
        <f>bal!Q28</f>
        <v>10.36</v>
      </c>
      <c r="N17" s="1641">
        <f>bal!S28</f>
        <v>5.9740000000000002</v>
      </c>
      <c r="P17" s="1641">
        <f>bal!U28</f>
        <v>3.653</v>
      </c>
      <c r="Q17" s="1364"/>
      <c r="R17" s="1364"/>
      <c r="S17" s="1637">
        <v>14.201000000000001</v>
      </c>
      <c r="T17" s="1364"/>
      <c r="U17" s="1642">
        <v>14.263999999999999</v>
      </c>
      <c r="W17" s="1642">
        <v>7.6589999999999998</v>
      </c>
      <c r="Y17" s="1642">
        <v>0.78400000000000003</v>
      </c>
      <c r="AA17" s="1642">
        <v>59.026000000000003</v>
      </c>
      <c r="AB17" s="1643"/>
      <c r="AC17" s="1642">
        <v>1.167</v>
      </c>
      <c r="AD17" s="1643"/>
      <c r="AE17" s="1643">
        <f>bal!AI28</f>
        <v>1.403</v>
      </c>
      <c r="AF17" s="1643"/>
      <c r="AG17" s="1642">
        <v>1.6379999999999999</v>
      </c>
      <c r="AH17" s="1643"/>
      <c r="AI17" s="1642">
        <f>bal!AM28</f>
        <v>13.164</v>
      </c>
      <c r="AJ17" s="1643"/>
      <c r="AK17" s="1643">
        <f>bal!AO28</f>
        <v>13.164</v>
      </c>
    </row>
    <row r="18" spans="1:37">
      <c r="W18" s="1292"/>
      <c r="Y18" s="1292"/>
      <c r="AA18" s="1643"/>
      <c r="AB18" s="1643"/>
      <c r="AC18" s="1643"/>
      <c r="AD18" s="1643"/>
      <c r="AE18" s="1643"/>
      <c r="AF18" s="1643"/>
      <c r="AG18" s="1643"/>
      <c r="AH18" s="1643"/>
      <c r="AI18" s="1643"/>
      <c r="AJ18" s="1643"/>
      <c r="AK18" s="1643"/>
    </row>
    <row r="19" spans="1:37">
      <c r="A19" s="1635" t="s">
        <v>114</v>
      </c>
      <c r="B19" s="1635"/>
      <c r="C19" s="1635"/>
      <c r="D19" s="1635"/>
      <c r="E19" s="1635"/>
      <c r="F19" s="1635"/>
      <c r="G19" s="1635"/>
      <c r="H19" s="1635"/>
      <c r="I19" s="1635"/>
      <c r="J19" s="1635"/>
      <c r="K19" s="1635"/>
      <c r="L19" s="1635"/>
      <c r="M19" s="1635"/>
      <c r="N19" s="1635"/>
      <c r="O19" s="1635"/>
      <c r="P19" s="1635"/>
      <c r="Q19" s="1635"/>
      <c r="R19" s="1635"/>
      <c r="S19" s="1635"/>
      <c r="T19" s="1635"/>
      <c r="U19" s="1635"/>
      <c r="V19" s="1635"/>
      <c r="W19" s="1644"/>
      <c r="Y19" s="1644"/>
      <c r="AA19" s="1643"/>
      <c r="AB19" s="1643"/>
      <c r="AC19" s="1643"/>
      <c r="AD19" s="1643"/>
      <c r="AE19" s="1643"/>
      <c r="AF19" s="1643"/>
      <c r="AG19" s="1643"/>
      <c r="AH19" s="1643"/>
      <c r="AI19" s="1643"/>
      <c r="AJ19" s="1643"/>
      <c r="AK19" s="1643"/>
    </row>
    <row r="20" spans="1:37">
      <c r="A20" s="1282" t="s">
        <v>105</v>
      </c>
      <c r="B20" s="1282" t="s">
        <v>79</v>
      </c>
      <c r="D20" s="1636">
        <v>6.2</v>
      </c>
      <c r="F20" s="1636">
        <v>22.181000000000001</v>
      </c>
      <c r="H20" s="1636">
        <v>34.506</v>
      </c>
      <c r="J20" s="1636">
        <v>133.42599999999999</v>
      </c>
      <c r="L20" s="1636">
        <v>132.22999999999999</v>
      </c>
      <c r="N20" s="1638" t="s">
        <v>90</v>
      </c>
      <c r="P20" s="1636">
        <v>1510.873</v>
      </c>
      <c r="Q20" s="1390"/>
      <c r="R20" s="1390"/>
      <c r="S20" s="1645">
        <v>1290.6679999999999</v>
      </c>
      <c r="T20" s="1390"/>
      <c r="U20" s="1645">
        <v>1264.4839999999999</v>
      </c>
      <c r="W20" s="1645">
        <v>1451.636</v>
      </c>
      <c r="Y20" s="1645">
        <v>1406.184</v>
      </c>
      <c r="AA20" s="1645">
        <v>1671.6579999999999</v>
      </c>
      <c r="AC20" s="1645">
        <v>1366.414</v>
      </c>
      <c r="AE20" s="1645">
        <v>1316.037</v>
      </c>
      <c r="AF20" s="1643"/>
      <c r="AG20" s="1645">
        <v>1350.1759999999999</v>
      </c>
      <c r="AH20" s="1643"/>
      <c r="AI20" s="1645">
        <v>1152.1859999999999</v>
      </c>
      <c r="AJ20" s="1643"/>
      <c r="AK20" s="1643"/>
    </row>
    <row r="21" spans="1:37">
      <c r="A21" s="1282" t="s">
        <v>106</v>
      </c>
      <c r="B21" s="1282" t="s">
        <v>80</v>
      </c>
      <c r="D21" s="1642">
        <v>7.0049999999999999</v>
      </c>
      <c r="F21" s="1642">
        <v>21.504999999999999</v>
      </c>
      <c r="H21" s="1642">
        <v>133.821</v>
      </c>
      <c r="J21" s="1642">
        <v>132.578</v>
      </c>
      <c r="L21" s="1642">
        <v>31.300999999999998</v>
      </c>
      <c r="N21" s="1642">
        <v>1451.933</v>
      </c>
      <c r="P21" s="1642">
        <v>1399.4010000000001</v>
      </c>
      <c r="Q21" s="1364"/>
      <c r="R21" s="1364"/>
      <c r="S21" s="1642">
        <v>1307.0840000000001</v>
      </c>
      <c r="T21" s="1364"/>
      <c r="U21" s="1642">
        <v>1262.412</v>
      </c>
      <c r="W21" s="1642">
        <v>1528.4110000000001</v>
      </c>
      <c r="Y21" s="1642">
        <v>1421.1690000000001</v>
      </c>
      <c r="AA21" s="1642">
        <v>1684.675</v>
      </c>
      <c r="AB21" s="1643"/>
      <c r="AC21" s="1642">
        <v>1371.819</v>
      </c>
      <c r="AD21" s="1643"/>
      <c r="AE21" s="1642">
        <v>1349.95</v>
      </c>
      <c r="AF21" s="1643"/>
      <c r="AG21" s="1642">
        <v>1351.83</v>
      </c>
      <c r="AH21" s="1643"/>
      <c r="AI21" s="1642">
        <v>1276.443</v>
      </c>
      <c r="AJ21" s="1643"/>
      <c r="AK21" s="1643"/>
    </row>
    <row r="22" spans="1:37">
      <c r="A22" s="1282" t="s">
        <v>107</v>
      </c>
      <c r="B22" s="1282" t="s">
        <v>81</v>
      </c>
      <c r="D22" s="1642">
        <v>8.7720000000000002</v>
      </c>
      <c r="F22" s="1642">
        <v>34.661999999999999</v>
      </c>
      <c r="H22" s="1642">
        <v>133.708</v>
      </c>
      <c r="J22" s="1642">
        <v>132.46299999999999</v>
      </c>
      <c r="L22" s="1642">
        <f>31.575</f>
        <v>31.574999999999999</v>
      </c>
      <c r="N22" s="1642">
        <v>1433.683</v>
      </c>
      <c r="P22" s="1642">
        <v>1404.768</v>
      </c>
      <c r="Q22" s="1364"/>
      <c r="R22" s="1364"/>
      <c r="S22" s="1642">
        <v>1284.9179999999999</v>
      </c>
      <c r="T22" s="1364"/>
      <c r="U22" s="1642">
        <v>1260.135</v>
      </c>
      <c r="W22" s="1642">
        <v>1605.2380000000001</v>
      </c>
      <c r="Y22" s="1642">
        <v>1422.5709999999999</v>
      </c>
      <c r="AA22" s="1642">
        <v>1484.28</v>
      </c>
      <c r="AB22" s="1643"/>
      <c r="AC22" s="1642">
        <v>1410.838</v>
      </c>
      <c r="AD22" s="1643"/>
      <c r="AE22" s="1642">
        <v>1412.431</v>
      </c>
      <c r="AF22" s="1643"/>
      <c r="AG22" s="1642">
        <v>1303.001</v>
      </c>
      <c r="AH22" s="1643"/>
      <c r="AI22" s="1642">
        <v>1294.3</v>
      </c>
      <c r="AJ22" s="1643"/>
      <c r="AK22" s="1643"/>
    </row>
    <row r="23" spans="1:37">
      <c r="A23" s="1282" t="s">
        <v>108</v>
      </c>
      <c r="B23" s="1282" t="s">
        <v>82</v>
      </c>
      <c r="D23" s="1646">
        <f>bal!I32</f>
        <v>22.245000000000001</v>
      </c>
      <c r="F23" s="1646">
        <f>bal!K32</f>
        <v>34.587000000000003</v>
      </c>
      <c r="H23" s="1646">
        <f>bal!M32</f>
        <v>133.53800000000001</v>
      </c>
      <c r="J23" s="1646">
        <f>bal!O32</f>
        <v>132.34700000000001</v>
      </c>
      <c r="L23" s="1646">
        <f>bal!Q32</f>
        <v>1508.1189999999999</v>
      </c>
      <c r="N23" s="1646">
        <f>bal!S32</f>
        <v>1456.33</v>
      </c>
      <c r="P23" s="1646">
        <f>bal!U32</f>
        <v>1480.231</v>
      </c>
      <c r="Q23" s="1364"/>
      <c r="R23" s="1364"/>
      <c r="S23" s="1642">
        <v>1399.152</v>
      </c>
      <c r="T23" s="1364"/>
      <c r="U23" s="1642">
        <v>1358.021</v>
      </c>
      <c r="W23" s="1642">
        <v>1605.4639999999999</v>
      </c>
      <c r="Y23" s="1642">
        <v>1335.5319999999999</v>
      </c>
      <c r="AA23" s="1642">
        <v>1369.1590000000001</v>
      </c>
      <c r="AB23" s="1643"/>
      <c r="AC23" s="1642">
        <v>1249.2760000000001</v>
      </c>
      <c r="AD23" s="1643"/>
      <c r="AE23" s="1643">
        <f>bal!AI32</f>
        <v>1303.4970000000001</v>
      </c>
      <c r="AF23" s="1643"/>
      <c r="AG23" s="1642">
        <v>1128.8430000000001</v>
      </c>
      <c r="AH23" s="1643"/>
      <c r="AI23" s="1642">
        <f>bal!AM32</f>
        <v>1113.808</v>
      </c>
      <c r="AJ23" s="1643"/>
      <c r="AK23" s="1643">
        <f>bal!AO32</f>
        <v>879.03099999999995</v>
      </c>
    </row>
    <row r="24" spans="1:37">
      <c r="AA24" s="1643"/>
      <c r="AB24" s="1643"/>
      <c r="AC24" s="1643"/>
      <c r="AD24" s="1643"/>
      <c r="AE24" s="1643"/>
      <c r="AF24" s="1643"/>
      <c r="AG24" s="1643"/>
      <c r="AH24" s="1643"/>
      <c r="AI24" s="1643"/>
      <c r="AJ24" s="1643"/>
      <c r="AK24" s="1643"/>
    </row>
    <row r="25" spans="1:37">
      <c r="A25" s="1647" t="s">
        <v>115</v>
      </c>
      <c r="B25" s="1635"/>
      <c r="C25" s="1635"/>
      <c r="D25" s="1635"/>
      <c r="E25" s="1635"/>
      <c r="F25" s="1635"/>
      <c r="G25" s="1635"/>
      <c r="H25" s="1635"/>
      <c r="I25" s="1635"/>
      <c r="J25" s="1635"/>
      <c r="K25" s="1635"/>
      <c r="L25" s="1635"/>
      <c r="M25" s="1635"/>
      <c r="N25" s="1635"/>
      <c r="O25" s="1635"/>
      <c r="P25" s="1635"/>
      <c r="Q25" s="1635"/>
      <c r="R25" s="1635"/>
      <c r="S25" s="1635"/>
      <c r="T25" s="1635"/>
      <c r="U25" s="1635"/>
      <c r="V25" s="1635"/>
      <c r="W25" s="1635"/>
      <c r="Y25" s="1635"/>
      <c r="AA25" s="1643"/>
      <c r="AB25" s="1643"/>
      <c r="AC25" s="1643"/>
      <c r="AD25" s="1643"/>
      <c r="AE25" s="1643"/>
      <c r="AF25" s="1643"/>
      <c r="AG25" s="1643"/>
      <c r="AH25" s="1643"/>
      <c r="AI25" s="1643"/>
      <c r="AJ25" s="1643"/>
      <c r="AK25" s="1643"/>
    </row>
    <row r="26" spans="1:37">
      <c r="A26" s="1282" t="s">
        <v>105</v>
      </c>
      <c r="B26" s="1282" t="s">
        <v>79</v>
      </c>
      <c r="D26" s="1648">
        <f>D14+D20</f>
        <v>6.7549999999999999</v>
      </c>
      <c r="F26" s="1648">
        <f>F14+F20</f>
        <v>65.962999999999994</v>
      </c>
      <c r="H26" s="1648">
        <f>H14+H20</f>
        <v>35.427</v>
      </c>
      <c r="J26" s="1648">
        <f>J14+J20</f>
        <v>134.50399999999999</v>
      </c>
      <c r="L26" s="1648">
        <f>L14+L20</f>
        <v>133.42599999999999</v>
      </c>
      <c r="N26" s="1649" t="s">
        <v>90</v>
      </c>
      <c r="P26" s="1648">
        <f>P14+P20</f>
        <v>1524.788</v>
      </c>
      <c r="Q26" s="1390"/>
      <c r="R26" s="1390"/>
      <c r="S26" s="1648">
        <f>S14+S20</f>
        <v>1301.27</v>
      </c>
      <c r="T26" s="1390"/>
      <c r="U26" s="1648">
        <f>U14+U20</f>
        <v>1279.933</v>
      </c>
      <c r="W26" s="1648">
        <f>W14+W20</f>
        <v>1462.424</v>
      </c>
      <c r="Y26" s="1648">
        <f>Y14+Y20</f>
        <v>1416.42</v>
      </c>
      <c r="AA26" s="1648">
        <f>AA14+AA20</f>
        <v>1681.395</v>
      </c>
      <c r="AC26" s="1648">
        <f>AC14+AC20</f>
        <v>1367.4839999999999</v>
      </c>
      <c r="AD26" s="1643"/>
      <c r="AE26" s="1643">
        <f>AE14+AE20</f>
        <v>1317.232</v>
      </c>
      <c r="AF26" s="1643"/>
      <c r="AG26" s="1643">
        <f>AG14+AG20</f>
        <v>1351.6279999999999</v>
      </c>
      <c r="AH26" s="1643"/>
      <c r="AI26" s="1643">
        <f>AI14+AI20</f>
        <v>1153.8819999999998</v>
      </c>
      <c r="AJ26" s="1643"/>
      <c r="AK26" s="1643"/>
    </row>
    <row r="27" spans="1:37">
      <c r="A27" s="1282" t="s">
        <v>106</v>
      </c>
      <c r="B27" s="1282" t="s">
        <v>80</v>
      </c>
      <c r="D27" s="1650">
        <f>D15+D21</f>
        <v>7.56</v>
      </c>
      <c r="F27" s="1650">
        <f>F15+F21</f>
        <v>22.393000000000001</v>
      </c>
      <c r="H27" s="1650">
        <f>H15+H21</f>
        <v>134.74299999999999</v>
      </c>
      <c r="J27" s="1650">
        <f>J15+J21</f>
        <v>133.75800000000001</v>
      </c>
      <c r="L27" s="1650">
        <f>L15+L21</f>
        <v>32.576999999999998</v>
      </c>
      <c r="N27" s="1650">
        <f>N15+N21</f>
        <v>1462.394</v>
      </c>
      <c r="P27" s="1650">
        <f>P15+P21</f>
        <v>1400.9850000000001</v>
      </c>
      <c r="Q27" s="1376"/>
      <c r="R27" s="1376"/>
      <c r="S27" s="1650">
        <f>S15+S21</f>
        <v>1317.9190000000001</v>
      </c>
      <c r="T27" s="1376"/>
      <c r="U27" s="1650">
        <f>U15+U21</f>
        <v>1279.9190000000001</v>
      </c>
      <c r="V27" s="1376"/>
      <c r="W27" s="1650">
        <f>W15+W21</f>
        <v>1531.683</v>
      </c>
      <c r="X27" s="1376"/>
      <c r="Y27" s="1650">
        <f>Y15+Y21</f>
        <v>1424.2910000000002</v>
      </c>
      <c r="AA27" s="1650">
        <f>AA15+AA21</f>
        <v>1694.338</v>
      </c>
      <c r="AB27" s="1643"/>
      <c r="AC27" s="1650">
        <f>AC15+AC21</f>
        <v>1373.069</v>
      </c>
      <c r="AD27" s="1643"/>
      <c r="AE27" s="1650">
        <f>AE15+AE21</f>
        <v>1351.29</v>
      </c>
      <c r="AF27" s="1643"/>
      <c r="AG27" s="1650">
        <f>AG15+AG21</f>
        <v>1353.3419999999999</v>
      </c>
      <c r="AH27" s="1643"/>
      <c r="AI27" s="1643">
        <f>AI15+AI21</f>
        <v>1278.2660000000001</v>
      </c>
      <c r="AJ27" s="1643"/>
      <c r="AK27" s="1643"/>
    </row>
    <row r="28" spans="1:37">
      <c r="A28" s="1282" t="s">
        <v>107</v>
      </c>
      <c r="B28" s="1282" t="s">
        <v>81</v>
      </c>
      <c r="D28" s="1650">
        <f>D16+D22</f>
        <v>9.5440000000000005</v>
      </c>
      <c r="F28" s="1650">
        <f>F16+F22</f>
        <v>35.582000000000001</v>
      </c>
      <c r="H28" s="1650">
        <f>H16+H22</f>
        <v>134.66399999999999</v>
      </c>
      <c r="J28" s="1650">
        <f>J16+J22</f>
        <v>133.648</v>
      </c>
      <c r="L28" s="1650">
        <f>L16+L22</f>
        <v>32.927999999999997</v>
      </c>
      <c r="N28" s="1650">
        <f>N16+N22</f>
        <v>1437.4</v>
      </c>
      <c r="P28" s="1650">
        <f>P16+P22</f>
        <v>1406.3600000000001</v>
      </c>
      <c r="Q28" s="1376"/>
      <c r="R28" s="1376"/>
      <c r="S28" s="1650">
        <f>S16+S22</f>
        <v>1292.1609999999998</v>
      </c>
      <c r="T28" s="1376"/>
      <c r="U28" s="1650">
        <f>U16+U22</f>
        <v>1278.694</v>
      </c>
      <c r="V28" s="1376"/>
      <c r="W28" s="1650">
        <f>W16+W22</f>
        <v>1610.9660000000001</v>
      </c>
      <c r="X28" s="1376"/>
      <c r="Y28" s="1650">
        <f>Y16+Y22</f>
        <v>1428.086</v>
      </c>
      <c r="AA28" s="1650">
        <f>AA16+AA22</f>
        <v>1715.74</v>
      </c>
      <c r="AB28" s="1643"/>
      <c r="AC28" s="1650">
        <f>AC16+AC22</f>
        <v>1424.1130000000001</v>
      </c>
      <c r="AD28" s="1643"/>
      <c r="AE28" s="1650">
        <f>AE16+AE22</f>
        <v>1413.807</v>
      </c>
      <c r="AF28" s="1643"/>
      <c r="AG28" s="1650">
        <f>AG16+AG22</f>
        <v>1304.575</v>
      </c>
      <c r="AH28" s="1643"/>
      <c r="AI28" s="1643">
        <f>AI16+AI22</f>
        <v>1296.242</v>
      </c>
      <c r="AJ28" s="1643"/>
      <c r="AK28" s="1643"/>
    </row>
    <row r="29" spans="1:37">
      <c r="A29" s="1282" t="s">
        <v>108</v>
      </c>
      <c r="B29" s="1282" t="s">
        <v>82</v>
      </c>
      <c r="D29" s="1650">
        <f>D17+D23</f>
        <v>23.073</v>
      </c>
      <c r="F29" s="1650">
        <f>F17+F23</f>
        <v>35.505000000000003</v>
      </c>
      <c r="H29" s="1650">
        <f>H17+H23</f>
        <v>134.58500000000001</v>
      </c>
      <c r="J29" s="1650">
        <f>J17+J23</f>
        <v>133.53700000000001</v>
      </c>
      <c r="L29" s="1650">
        <f>L17+L23</f>
        <v>1518.4789999999998</v>
      </c>
      <c r="N29" s="1650">
        <f>N17+N23</f>
        <v>1462.3039999999999</v>
      </c>
      <c r="P29" s="1650">
        <f>P17+P23</f>
        <v>1483.884</v>
      </c>
      <c r="Q29" s="1376"/>
      <c r="R29" s="1376"/>
      <c r="S29" s="1650">
        <f>S17+S23</f>
        <v>1413.3530000000001</v>
      </c>
      <c r="T29" s="1376"/>
      <c r="U29" s="1650">
        <f>U17+U23</f>
        <v>1372.2849999999999</v>
      </c>
      <c r="V29" s="1376"/>
      <c r="W29" s="1650">
        <f>W17+W23</f>
        <v>1613.123</v>
      </c>
      <c r="X29" s="1376"/>
      <c r="Y29" s="1650">
        <f>Y17+Y23</f>
        <v>1336.316</v>
      </c>
      <c r="AA29" s="1650">
        <f>AA17+AA23</f>
        <v>1428.1850000000002</v>
      </c>
      <c r="AB29" s="1643"/>
      <c r="AC29" s="1643">
        <f>AC17+AC23</f>
        <v>1250.443</v>
      </c>
      <c r="AD29" s="1643"/>
      <c r="AE29" s="1643">
        <f>AE17+AE23</f>
        <v>1304.9000000000001</v>
      </c>
      <c r="AF29" s="1643"/>
      <c r="AG29" s="1643">
        <f>AG17+AG23</f>
        <v>1130.481</v>
      </c>
      <c r="AH29" s="1643"/>
      <c r="AI29" s="1643">
        <f>AI17+AI23</f>
        <v>1126.972</v>
      </c>
      <c r="AJ29" s="1643"/>
      <c r="AK29" s="1643">
        <f>AK17+AK23</f>
        <v>892.19499999999994</v>
      </c>
    </row>
    <row r="30" spans="1:37">
      <c r="AA30" s="1643"/>
      <c r="AB30" s="1643"/>
      <c r="AC30" s="1643"/>
      <c r="AD30" s="1643"/>
      <c r="AE30" s="1643"/>
      <c r="AF30" s="1643"/>
      <c r="AG30" s="1643"/>
      <c r="AH30" s="1643"/>
      <c r="AI30" s="1643"/>
      <c r="AJ30" s="1643"/>
      <c r="AK30" s="1643"/>
    </row>
    <row r="31" spans="1:37">
      <c r="A31" s="1647" t="s">
        <v>116</v>
      </c>
      <c r="B31" s="1635"/>
      <c r="C31" s="1635"/>
      <c r="D31" s="1635"/>
      <c r="E31" s="1635"/>
      <c r="F31" s="1635"/>
      <c r="G31" s="1635"/>
      <c r="H31" s="1635"/>
      <c r="I31" s="1635"/>
      <c r="J31" s="1635"/>
      <c r="K31" s="1635"/>
      <c r="L31" s="1635"/>
      <c r="M31" s="1635"/>
      <c r="N31" s="1635"/>
      <c r="O31" s="1635"/>
      <c r="P31" s="1635"/>
      <c r="Q31" s="1635"/>
      <c r="R31" s="1635"/>
      <c r="S31" s="1635"/>
      <c r="T31" s="1635"/>
      <c r="U31" s="1635"/>
      <c r="V31" s="1635"/>
      <c r="W31" s="1635"/>
      <c r="Y31" s="1635"/>
      <c r="AA31" s="1643"/>
      <c r="AB31" s="1643"/>
      <c r="AC31" s="1643"/>
      <c r="AD31" s="1643"/>
      <c r="AE31" s="1643"/>
      <c r="AF31" s="1643"/>
      <c r="AG31" s="1643"/>
      <c r="AH31" s="1643"/>
      <c r="AI31" s="1643"/>
      <c r="AJ31" s="1643"/>
      <c r="AK31" s="1643"/>
    </row>
    <row r="32" spans="1:37">
      <c r="A32" s="1282" t="s">
        <v>105</v>
      </c>
      <c r="B32" s="1282" t="s">
        <v>79</v>
      </c>
      <c r="D32" s="1648">
        <f>D26-D8</f>
        <v>-8.86</v>
      </c>
      <c r="F32" s="1648">
        <f>F26-F8</f>
        <v>41.014999999999993</v>
      </c>
      <c r="H32" s="1648">
        <f>H26-H8</f>
        <v>9.4559999999999995</v>
      </c>
      <c r="J32" s="1648">
        <f>J26-J8</f>
        <v>41.877999999999986</v>
      </c>
      <c r="L32" s="1648">
        <f>L26-L8</f>
        <v>6.2399999999999807</v>
      </c>
      <c r="N32" s="1649" t="s">
        <v>90</v>
      </c>
      <c r="P32" s="1648">
        <f>P26-P8</f>
        <v>1472.271</v>
      </c>
      <c r="Q32" s="1390"/>
      <c r="R32" s="1390"/>
      <c r="S32" s="1648">
        <f>S26-S8</f>
        <v>1239.4829999999999</v>
      </c>
      <c r="T32" s="1390"/>
      <c r="U32" s="1648">
        <f>U26-U8</f>
        <v>1042.7539999999999</v>
      </c>
      <c r="W32" s="1648">
        <f>W26-W8</f>
        <v>1394.8879999999999</v>
      </c>
      <c r="Y32" s="1648">
        <f>Y26-Y8</f>
        <v>1362.7660000000001</v>
      </c>
      <c r="AA32" s="1648">
        <f>AA26-AA8</f>
        <v>1578.723</v>
      </c>
      <c r="AC32" s="1648">
        <f>AC26-AC8</f>
        <v>1297.9939999999999</v>
      </c>
      <c r="AD32" s="1643"/>
      <c r="AE32" s="1648">
        <f>AE26-AE8</f>
        <v>1282.4839999999999</v>
      </c>
      <c r="AF32" s="1643"/>
      <c r="AG32" s="1648">
        <f>AG26-AG8</f>
        <v>1323.528</v>
      </c>
      <c r="AH32" s="1643"/>
      <c r="AI32" s="1648">
        <f>AI26-AI8</f>
        <v>1124.2939999999999</v>
      </c>
      <c r="AJ32" s="1643"/>
      <c r="AK32" s="1643"/>
    </row>
    <row r="33" spans="1:37">
      <c r="A33" s="1282" t="s">
        <v>106</v>
      </c>
      <c r="B33" s="1282" t="s">
        <v>80</v>
      </c>
      <c r="D33" s="1650">
        <f>D27-D9</f>
        <v>-84.710999999999999</v>
      </c>
      <c r="F33" s="1650">
        <f>F27-F9</f>
        <v>-53.619</v>
      </c>
      <c r="H33" s="1650">
        <f>H27-H9</f>
        <v>0.17300000000000182</v>
      </c>
      <c r="J33" s="1650">
        <f>J27-J9</f>
        <v>-60.422999999999973</v>
      </c>
      <c r="L33" s="1650">
        <f>L27-L9</f>
        <v>-172.821</v>
      </c>
      <c r="N33" s="1650">
        <f>N27-N9</f>
        <v>1423.2850000000001</v>
      </c>
      <c r="P33" s="1650">
        <f>P27-P9</f>
        <v>1358.17</v>
      </c>
      <c r="Q33" s="1376"/>
      <c r="R33" s="1376"/>
      <c r="S33" s="1650">
        <f>S27-S9</f>
        <v>1292.1000000000001</v>
      </c>
      <c r="T33" s="1376"/>
      <c r="U33" s="1650">
        <f>U27-U9</f>
        <v>1198.873</v>
      </c>
      <c r="V33" s="1376"/>
      <c r="W33" s="1650">
        <f>W27-W9</f>
        <v>1499.875</v>
      </c>
      <c r="X33" s="1376"/>
      <c r="Y33" s="1650">
        <f>Y27-Y9</f>
        <v>1392.6210000000001</v>
      </c>
      <c r="AA33" s="1650">
        <f>AA27-AA9</f>
        <v>1659.538</v>
      </c>
      <c r="AB33" s="1643"/>
      <c r="AC33" s="1650">
        <f>AC27-AC9</f>
        <v>1340.9690000000001</v>
      </c>
      <c r="AD33" s="1643"/>
      <c r="AE33" s="1650">
        <f>AE27-AE9</f>
        <v>1324.059</v>
      </c>
      <c r="AF33" s="1643"/>
      <c r="AG33" s="1643">
        <f>AG27-AG9</f>
        <v>1322.8729999999998</v>
      </c>
      <c r="AH33" s="1643"/>
      <c r="AI33" s="1648">
        <f>AI27-AI9</f>
        <v>1245.6180000000002</v>
      </c>
      <c r="AJ33" s="1643"/>
      <c r="AK33" s="1643"/>
    </row>
    <row r="34" spans="1:37">
      <c r="A34" s="1282" t="s">
        <v>107</v>
      </c>
      <c r="B34" s="1282" t="s">
        <v>81</v>
      </c>
      <c r="D34" s="1650">
        <f>D28-D10</f>
        <v>-111.199</v>
      </c>
      <c r="F34" s="1650">
        <f>F28-F10</f>
        <v>-43.305</v>
      </c>
      <c r="H34" s="1650">
        <f>H28-H10</f>
        <v>-38.774000000000001</v>
      </c>
      <c r="J34" s="1650">
        <f>J28-J10</f>
        <v>-112.1</v>
      </c>
      <c r="L34" s="1650">
        <f>L28-L10</f>
        <v>-216.43899999999999</v>
      </c>
      <c r="N34" s="1650">
        <f>N28-N10</f>
        <v>1376.9170000000001</v>
      </c>
      <c r="P34" s="1650">
        <f>P28-P10</f>
        <v>1360.8280000000002</v>
      </c>
      <c r="Q34" s="1376"/>
      <c r="R34" s="1376"/>
      <c r="S34" s="1650">
        <f>S28-S10</f>
        <v>1227.7569999999998</v>
      </c>
      <c r="T34" s="1376"/>
      <c r="U34" s="1650">
        <f>U28-U10</f>
        <v>1224.971</v>
      </c>
      <c r="V34" s="1376"/>
      <c r="W34" s="1650">
        <f>W28-W10</f>
        <v>1565.123</v>
      </c>
      <c r="X34" s="1376"/>
      <c r="Y34" s="1650">
        <f>Y28-Y10</f>
        <v>1397.9169999999999</v>
      </c>
      <c r="AA34" s="1650">
        <f>AA28-AA10</f>
        <v>1684.183</v>
      </c>
      <c r="AB34" s="1643"/>
      <c r="AC34" s="1650">
        <f>AC28-AC10</f>
        <v>1394.6860000000001</v>
      </c>
      <c r="AD34" s="1643"/>
      <c r="AE34" s="1650">
        <f>AE28-AE10</f>
        <v>1384.96</v>
      </c>
      <c r="AF34" s="1643"/>
      <c r="AG34" s="1643">
        <f>AG28-AG10</f>
        <v>1271.7760000000001</v>
      </c>
      <c r="AH34" s="1643"/>
      <c r="AI34" s="1648">
        <f>AI28-AI10</f>
        <v>1248.162</v>
      </c>
      <c r="AJ34" s="1643"/>
      <c r="AK34" s="1643"/>
    </row>
    <row r="35" spans="1:37">
      <c r="A35" s="1282" t="s">
        <v>108</v>
      </c>
      <c r="B35" s="1282" t="s">
        <v>82</v>
      </c>
      <c r="D35" s="1650">
        <f>D29-D11</f>
        <v>-99.400999999999982</v>
      </c>
      <c r="F35" s="1650">
        <f>F29-F11</f>
        <v>7.6010000000000062</v>
      </c>
      <c r="H35" s="1650">
        <f>H29-H11</f>
        <v>104.76800000000001</v>
      </c>
      <c r="J35" s="1650">
        <f>J29-J11</f>
        <v>85.584000000000003</v>
      </c>
      <c r="L35" s="1650">
        <f>L29-L11</f>
        <v>1460.1029999999998</v>
      </c>
      <c r="N35" s="1650">
        <f>N29-N11</f>
        <v>1428.4259999999999</v>
      </c>
      <c r="P35" s="1650">
        <f>P29-P11</f>
        <v>1443.7829999999999</v>
      </c>
      <c r="Q35" s="1376"/>
      <c r="R35" s="1376"/>
      <c r="S35" s="1650">
        <f>S29-S11</f>
        <v>1388.6030000000001</v>
      </c>
      <c r="T35" s="1376"/>
      <c r="U35" s="1650">
        <f>U29-U11</f>
        <v>1342.0709999999999</v>
      </c>
      <c r="V35" s="1376"/>
      <c r="W35" s="1650">
        <f>W29-W11</f>
        <v>1577.4590000000001</v>
      </c>
      <c r="X35" s="1376"/>
      <c r="Y35" s="1650">
        <f>Y29-Y11</f>
        <v>1292.8824</v>
      </c>
      <c r="AA35" s="1650">
        <f>AA29-AA11</f>
        <v>1295.2010000000002</v>
      </c>
      <c r="AB35" s="1643"/>
      <c r="AC35" s="1650">
        <f>AC29-AC11</f>
        <v>1225.049</v>
      </c>
      <c r="AD35" s="1643"/>
      <c r="AE35" s="1650">
        <f>AE29-AE11</f>
        <v>1283.9850000000001</v>
      </c>
      <c r="AF35" s="1643"/>
      <c r="AG35" s="1643">
        <f>AG29-AG11</f>
        <v>1048.884</v>
      </c>
      <c r="AH35" s="1643"/>
      <c r="AI35" s="1643">
        <f>AI29-AI11</f>
        <v>993.68599999999992</v>
      </c>
      <c r="AJ35" s="1643"/>
      <c r="AK35" s="1643">
        <f>AK29-AK11</f>
        <v>780.61899999999991</v>
      </c>
    </row>
    <row r="37" spans="1:37">
      <c r="A37" s="1635" t="s">
        <v>117</v>
      </c>
      <c r="B37" s="1635"/>
      <c r="C37" s="1635"/>
      <c r="D37" s="1635"/>
      <c r="E37" s="1635"/>
      <c r="F37" s="1635"/>
      <c r="G37" s="1635"/>
      <c r="H37" s="1635"/>
      <c r="I37" s="1635"/>
      <c r="J37" s="1635"/>
      <c r="K37" s="1635"/>
      <c r="L37" s="1635"/>
      <c r="M37" s="1635"/>
      <c r="N37" s="1635"/>
      <c r="O37" s="1635"/>
      <c r="P37" s="1635"/>
      <c r="Q37" s="1635"/>
      <c r="R37" s="1635"/>
      <c r="S37" s="1635"/>
      <c r="T37" s="1635"/>
      <c r="U37" s="1635"/>
      <c r="V37" s="1635"/>
      <c r="W37" s="1635"/>
      <c r="Y37" s="1635"/>
    </row>
    <row r="38" spans="1:37">
      <c r="A38" s="1282" t="s">
        <v>105</v>
      </c>
      <c r="B38" s="1282" t="s">
        <v>79</v>
      </c>
      <c r="D38" s="1651">
        <v>633.96</v>
      </c>
      <c r="F38" s="1651">
        <v>706.52599999999995</v>
      </c>
      <c r="H38" s="1651">
        <v>769.65700000000004</v>
      </c>
      <c r="J38" s="1651">
        <v>825.01099999999997</v>
      </c>
      <c r="L38" s="1652">
        <v>910.24900000000002</v>
      </c>
      <c r="N38" s="1638" t="s">
        <v>90</v>
      </c>
      <c r="P38" s="1651">
        <v>320.33800000000002</v>
      </c>
      <c r="S38" s="1651">
        <v>131.59</v>
      </c>
      <c r="U38" s="1651">
        <v>159.79499999999999</v>
      </c>
      <c r="W38" s="1651">
        <v>-132.392</v>
      </c>
      <c r="Y38" s="1651">
        <v>-113.327</v>
      </c>
      <c r="AA38" s="1651">
        <f>-1455.987+1034.729</f>
        <v>-421.25800000000004</v>
      </c>
      <c r="AC38" s="1651">
        <v>-136.267</v>
      </c>
      <c r="AE38" s="1651">
        <v>-30.352</v>
      </c>
      <c r="AG38" s="1651">
        <v>-105.238</v>
      </c>
      <c r="AI38" s="1651">
        <v>-40.908000000000001</v>
      </c>
    </row>
    <row r="39" spans="1:37">
      <c r="A39" s="1282" t="s">
        <v>106</v>
      </c>
      <c r="B39" s="1282" t="s">
        <v>80</v>
      </c>
      <c r="D39" s="1653">
        <v>675.08600000000001</v>
      </c>
      <c r="F39" s="1653">
        <v>747.32299999999998</v>
      </c>
      <c r="H39" s="1653">
        <v>797.27099999999996</v>
      </c>
      <c r="J39" s="1653">
        <v>886.88199999999995</v>
      </c>
      <c r="L39" s="1653">
        <v>953.88099999999997</v>
      </c>
      <c r="N39" s="1653">
        <v>384.16399999999999</v>
      </c>
      <c r="P39" s="1653">
        <v>343.46800000000002</v>
      </c>
      <c r="S39" s="1653">
        <v>120.30800000000001</v>
      </c>
      <c r="U39" s="1653">
        <v>119.92</v>
      </c>
      <c r="W39" s="1653">
        <v>-164.65</v>
      </c>
      <c r="Y39" s="1653">
        <v>-143.70500000000001</v>
      </c>
      <c r="AA39" s="1653">
        <v>-1515.1569999999999</v>
      </c>
      <c r="AC39" s="1653">
        <v>-140.14599999999999</v>
      </c>
      <c r="AE39" s="1653">
        <v>-40.637</v>
      </c>
      <c r="AG39" s="1653">
        <v>-103.73399999999999</v>
      </c>
      <c r="AI39" s="1653">
        <v>-95.9</v>
      </c>
    </row>
    <row r="40" spans="1:37">
      <c r="A40" s="1282" t="s">
        <v>107</v>
      </c>
      <c r="B40" s="1282" t="s">
        <v>81</v>
      </c>
      <c r="D40" s="1653">
        <v>713.33900000000006</v>
      </c>
      <c r="F40" s="1653">
        <v>784.97699999999998</v>
      </c>
      <c r="H40" s="1653">
        <v>834.29899999999998</v>
      </c>
      <c r="J40" s="1653">
        <v>910.39400000000001</v>
      </c>
      <c r="L40" s="1653">
        <v>1012.207</v>
      </c>
      <c r="N40" s="1653">
        <v>417.529</v>
      </c>
      <c r="P40" s="1653">
        <v>370.90300000000002</v>
      </c>
      <c r="S40" s="1653">
        <v>127.104</v>
      </c>
      <c r="U40" s="1653">
        <v>117.621</v>
      </c>
      <c r="W40" s="1653">
        <v>-170.90700000000001</v>
      </c>
      <c r="Y40" s="1653">
        <v>-150.48699999999999</v>
      </c>
      <c r="AA40" s="1653">
        <v>-215.78399999999999</v>
      </c>
      <c r="AC40" s="1653">
        <v>-167.86500000000001</v>
      </c>
      <c r="AE40" s="1653">
        <v>-121.937</v>
      </c>
      <c r="AG40" s="1653">
        <v>-135.404</v>
      </c>
      <c r="AI40" s="1653">
        <v>-110.533</v>
      </c>
    </row>
    <row r="41" spans="1:37">
      <c r="A41" s="1282" t="s">
        <v>108</v>
      </c>
      <c r="B41" s="1282" t="s">
        <v>82</v>
      </c>
      <c r="D41" s="1646">
        <f>bal!I45</f>
        <v>722.49800000000016</v>
      </c>
      <c r="F41" s="1646">
        <f>bal!K45</f>
        <v>788.02100000000007</v>
      </c>
      <c r="H41" s="1646">
        <f>bal!M45</f>
        <v>845.4319999999999</v>
      </c>
      <c r="J41" s="1646">
        <f>bal!O45</f>
        <v>926.15300000000002</v>
      </c>
      <c r="L41" s="1646">
        <f>bal!Q45</f>
        <v>419.512</v>
      </c>
      <c r="N41" s="1646">
        <f>bal!S45</f>
        <v>380.47</v>
      </c>
      <c r="P41" s="1646">
        <f>bal!U45</f>
        <v>323.524</v>
      </c>
      <c r="S41" s="1653">
        <v>154.5</v>
      </c>
      <c r="U41" s="1653">
        <v>187.512</v>
      </c>
      <c r="W41" s="1653">
        <v>-110.94499999999999</v>
      </c>
      <c r="Y41" s="1653">
        <v>-80.269000000000005</v>
      </c>
      <c r="AA41" s="1653">
        <v>-150.46799999999999</v>
      </c>
      <c r="AB41" s="1643"/>
      <c r="AC41" s="1653">
        <v>-65.950999999999993</v>
      </c>
      <c r="AD41" s="1643"/>
      <c r="AE41" s="1643">
        <f>bal!AI45</f>
        <v>-99.021999999999935</v>
      </c>
      <c r="AF41" s="1643"/>
      <c r="AG41" s="1653">
        <v>-49.811999999999998</v>
      </c>
      <c r="AH41" s="1643"/>
      <c r="AI41" s="1653">
        <f>bal!AM45</f>
        <v>86.774000000000001</v>
      </c>
      <c r="AJ41" s="1643"/>
      <c r="AK41" s="1643">
        <f>bal!AO45</f>
        <v>266.61664696875221</v>
      </c>
    </row>
    <row r="42" spans="1:37">
      <c r="W42" s="1654"/>
      <c r="Y42" s="1654"/>
    </row>
    <row r="43" spans="1:37">
      <c r="A43" s="1647" t="s">
        <v>118</v>
      </c>
      <c r="B43" s="1635"/>
      <c r="C43" s="1635"/>
      <c r="D43" s="1635"/>
      <c r="E43" s="1635"/>
      <c r="F43" s="1635"/>
      <c r="G43" s="1635"/>
      <c r="H43" s="1635"/>
      <c r="I43" s="1635"/>
      <c r="J43" s="1635"/>
      <c r="K43" s="1635"/>
      <c r="L43" s="1635"/>
      <c r="M43" s="1635"/>
      <c r="N43" s="1635"/>
      <c r="O43" s="1635"/>
      <c r="P43" s="1635"/>
      <c r="Q43" s="1635"/>
      <c r="R43" s="1635"/>
      <c r="S43" s="1635"/>
      <c r="T43" s="1635"/>
      <c r="U43" s="1635"/>
      <c r="V43" s="1635"/>
      <c r="W43" s="1635"/>
      <c r="Y43" s="1635"/>
    </row>
    <row r="44" spans="1:37">
      <c r="A44" s="1282" t="s">
        <v>105</v>
      </c>
      <c r="B44" s="1282" t="s">
        <v>79</v>
      </c>
      <c r="D44" s="1648">
        <f>D26+D38</f>
        <v>640.71500000000003</v>
      </c>
      <c r="F44" s="1648">
        <f>F26+F38</f>
        <v>772.48899999999992</v>
      </c>
      <c r="H44" s="1648">
        <f>H26+H38</f>
        <v>805.08400000000006</v>
      </c>
      <c r="J44" s="1648">
        <f>J26+J38</f>
        <v>959.51499999999999</v>
      </c>
      <c r="L44" s="1648">
        <f>L26+L38</f>
        <v>1043.675</v>
      </c>
      <c r="N44" s="1649" t="s">
        <v>90</v>
      </c>
      <c r="P44" s="1648">
        <f>P26+P38</f>
        <v>1845.126</v>
      </c>
      <c r="Q44" s="1390"/>
      <c r="R44" s="1390"/>
      <c r="S44" s="1648">
        <f>S26+S38</f>
        <v>1432.86</v>
      </c>
      <c r="T44" s="1390"/>
      <c r="U44" s="1648">
        <f>U26+U38</f>
        <v>1439.7280000000001</v>
      </c>
      <c r="W44" s="1648">
        <f>W26+W38</f>
        <v>1330.0319999999999</v>
      </c>
      <c r="Y44" s="1648">
        <f>Y26+Y38</f>
        <v>1303.0930000000001</v>
      </c>
      <c r="AA44" s="1648">
        <f>AA26+AA38</f>
        <v>1260.1369999999999</v>
      </c>
      <c r="AC44" s="1648">
        <f>AC26+AC38</f>
        <v>1231.2169999999999</v>
      </c>
      <c r="AE44" s="1648">
        <f>AE26+AE38</f>
        <v>1286.8799999999999</v>
      </c>
      <c r="AG44" s="1648">
        <f>AG26+AG38</f>
        <v>1246.3899999999999</v>
      </c>
      <c r="AI44" s="1648">
        <f>AI26+AI38</f>
        <v>1112.9739999999999</v>
      </c>
    </row>
    <row r="45" spans="1:37" s="1376" customFormat="1">
      <c r="A45" s="1376" t="s">
        <v>106</v>
      </c>
      <c r="B45" s="1376" t="s">
        <v>80</v>
      </c>
      <c r="D45" s="1655">
        <f>D27+D39</f>
        <v>682.64599999999996</v>
      </c>
      <c r="F45" s="1655">
        <f>F27+F39</f>
        <v>769.71600000000001</v>
      </c>
      <c r="H45" s="1655">
        <f>H27+H39</f>
        <v>932.0139999999999</v>
      </c>
      <c r="J45" s="1655">
        <f>J27+J39</f>
        <v>1020.64</v>
      </c>
      <c r="L45" s="1655">
        <f>L27+L39</f>
        <v>986.45799999999997</v>
      </c>
      <c r="N45" s="1655">
        <f>N27+N39</f>
        <v>1846.558</v>
      </c>
      <c r="P45" s="1655">
        <f>P27+P39</f>
        <v>1744.4530000000002</v>
      </c>
      <c r="S45" s="1655">
        <f>S27+S39</f>
        <v>1438.2270000000001</v>
      </c>
      <c r="U45" s="1655">
        <f>U27+U39</f>
        <v>1399.8390000000002</v>
      </c>
      <c r="W45" s="1655">
        <f>W27+W39</f>
        <v>1367.0329999999999</v>
      </c>
      <c r="Y45" s="1650">
        <f>Y27+Y39</f>
        <v>1280.5860000000002</v>
      </c>
      <c r="AA45" s="1650">
        <f>AA27+AA39</f>
        <v>179.18100000000004</v>
      </c>
      <c r="AC45" s="1650">
        <f>AC27+AC39</f>
        <v>1232.923</v>
      </c>
      <c r="AE45" s="1650">
        <f>AE27+AE39</f>
        <v>1310.653</v>
      </c>
      <c r="AG45" s="1376">
        <f>AG27+AG39</f>
        <v>1249.6079999999999</v>
      </c>
      <c r="AI45" s="1648">
        <f>AI27+AI39</f>
        <v>1182.366</v>
      </c>
    </row>
    <row r="46" spans="1:37" s="1376" customFormat="1">
      <c r="A46" s="1376" t="s">
        <v>107</v>
      </c>
      <c r="B46" s="1376" t="s">
        <v>81</v>
      </c>
      <c r="D46" s="1655">
        <f>D28+D40</f>
        <v>722.88300000000004</v>
      </c>
      <c r="F46" s="1655">
        <f>F28+F40</f>
        <v>820.55899999999997</v>
      </c>
      <c r="H46" s="1655">
        <f>H28+H40</f>
        <v>968.96299999999997</v>
      </c>
      <c r="J46" s="1655">
        <f>J28+J40</f>
        <v>1044.0419999999999</v>
      </c>
      <c r="L46" s="1655">
        <f>L28+L40</f>
        <v>1045.135</v>
      </c>
      <c r="N46" s="1655">
        <f>N28+N40</f>
        <v>1854.9290000000001</v>
      </c>
      <c r="P46" s="1655">
        <f>P28+P40</f>
        <v>1777.2630000000001</v>
      </c>
      <c r="S46" s="1655">
        <f>S28+S40</f>
        <v>1419.2649999999999</v>
      </c>
      <c r="U46" s="1655">
        <f>U28+U40</f>
        <v>1396.3150000000001</v>
      </c>
      <c r="W46" s="1655">
        <f>W28+W40</f>
        <v>1440.0590000000002</v>
      </c>
      <c r="Y46" s="1650">
        <f>Y28+Y40</f>
        <v>1277.5989999999999</v>
      </c>
      <c r="AA46" s="1650">
        <f>AA28+AA40</f>
        <v>1499.9560000000001</v>
      </c>
      <c r="AC46" s="1650">
        <f>AC28+AC40</f>
        <v>1256.248</v>
      </c>
      <c r="AE46" s="1650">
        <f>AE28+AE40</f>
        <v>1291.8700000000001</v>
      </c>
      <c r="AG46" s="1376">
        <f>AG28+AG40</f>
        <v>1169.171</v>
      </c>
      <c r="AI46" s="1648">
        <f>AI28+AI40</f>
        <v>1185.7090000000001</v>
      </c>
    </row>
    <row r="47" spans="1:37" s="1376" customFormat="1">
      <c r="A47" s="1376" t="s">
        <v>108</v>
      </c>
      <c r="B47" s="1376" t="s">
        <v>82</v>
      </c>
      <c r="D47" s="1655">
        <f>D29+D41</f>
        <v>745.57100000000014</v>
      </c>
      <c r="F47" s="1655">
        <f>F29+F41</f>
        <v>823.52600000000007</v>
      </c>
      <c r="H47" s="1655">
        <f>H29+H41</f>
        <v>980.01699999999994</v>
      </c>
      <c r="J47" s="1655">
        <f>J29+J41</f>
        <v>1059.69</v>
      </c>
      <c r="L47" s="1655">
        <f>L29+L41</f>
        <v>1937.9909999999998</v>
      </c>
      <c r="N47" s="1655">
        <f>N29+N41</f>
        <v>1842.7739999999999</v>
      </c>
      <c r="P47" s="1655">
        <f>P29+P41</f>
        <v>1807.4079999999999</v>
      </c>
      <c r="S47" s="1655">
        <f>S29+S41</f>
        <v>1567.8530000000001</v>
      </c>
      <c r="U47" s="1655">
        <f>U29+U41</f>
        <v>1559.7969999999998</v>
      </c>
      <c r="W47" s="1655">
        <f>W29+W41</f>
        <v>1502.1780000000001</v>
      </c>
      <c r="Y47" s="1650">
        <f>Y29+Y41</f>
        <v>1256.047</v>
      </c>
      <c r="AA47" s="1650">
        <f>AA29+AA41</f>
        <v>1277.7170000000001</v>
      </c>
      <c r="AB47" s="1643"/>
      <c r="AC47" s="1650">
        <f>AC29+AC41</f>
        <v>1184.492</v>
      </c>
      <c r="AD47" s="1643"/>
      <c r="AE47" s="1650">
        <f>AE29+AE41</f>
        <v>1205.8780000000002</v>
      </c>
      <c r="AF47" s="1643"/>
      <c r="AG47" s="1643">
        <f>AG29+AG41</f>
        <v>1080.6690000000001</v>
      </c>
      <c r="AH47" s="1643"/>
      <c r="AI47" s="1643">
        <f>AI29+AI41</f>
        <v>1213.7460000000001</v>
      </c>
      <c r="AJ47" s="1643"/>
      <c r="AK47" s="1643">
        <f>AK29+AK41</f>
        <v>1158.811646968752</v>
      </c>
    </row>
    <row r="48" spans="1:37">
      <c r="H48" s="1641"/>
      <c r="J48" s="1641"/>
      <c r="L48" s="1641"/>
      <c r="N48" s="1641"/>
      <c r="P48" s="1641"/>
      <c r="Q48" s="1364"/>
      <c r="R48" s="1364"/>
      <c r="S48" s="1641"/>
      <c r="T48" s="1364"/>
      <c r="U48" s="1641"/>
      <c r="W48" s="1641"/>
      <c r="Y48" s="1648"/>
    </row>
    <row r="49" spans="1:37">
      <c r="A49" s="1647" t="s">
        <v>119</v>
      </c>
      <c r="B49" s="1635"/>
      <c r="C49" s="1635"/>
      <c r="D49" s="1635"/>
      <c r="E49" s="1635"/>
      <c r="F49" s="1635"/>
      <c r="G49" s="1635"/>
      <c r="H49" s="1635"/>
      <c r="I49" s="1635"/>
      <c r="J49" s="1635"/>
      <c r="K49" s="1635"/>
      <c r="L49" s="1635"/>
      <c r="M49" s="1635"/>
      <c r="N49" s="1635"/>
      <c r="O49" s="1635"/>
      <c r="P49" s="1635"/>
      <c r="Q49" s="1635"/>
      <c r="R49" s="1635"/>
      <c r="S49" s="1635"/>
      <c r="T49" s="1635"/>
      <c r="U49" s="1635"/>
      <c r="V49" s="1635"/>
      <c r="W49" s="1635"/>
      <c r="Y49" s="1635"/>
    </row>
    <row r="50" spans="1:37">
      <c r="A50" s="1282" t="s">
        <v>105</v>
      </c>
      <c r="B50" s="1282" t="s">
        <v>79</v>
      </c>
      <c r="D50" s="1587">
        <f>D26/D44</f>
        <v>1.0542909093746829E-2</v>
      </c>
      <c r="F50" s="1587">
        <f>F26/F44</f>
        <v>8.539021267616756E-2</v>
      </c>
      <c r="H50" s="1587">
        <f>H26/H44</f>
        <v>4.4004103919590996E-2</v>
      </c>
      <c r="J50" s="1587">
        <f>J26/J44</f>
        <v>0.14017915300959338</v>
      </c>
      <c r="L50" s="1587">
        <f>L26/L44</f>
        <v>0.12784247969914006</v>
      </c>
      <c r="N50" s="1649" t="s">
        <v>90</v>
      </c>
      <c r="P50" s="1587">
        <f>P26/P44</f>
        <v>0.82638692425341143</v>
      </c>
      <c r="S50" s="1587">
        <f>S26/S44</f>
        <v>0.90816269558784535</v>
      </c>
      <c r="U50" s="1587">
        <f>U26/U44</f>
        <v>0.8890102852761077</v>
      </c>
      <c r="W50" s="1587">
        <f>W26/W44</f>
        <v>1.0995404621843685</v>
      </c>
      <c r="Y50" s="1587">
        <f>Y26/Y44</f>
        <v>1.0869676991588475</v>
      </c>
      <c r="AA50" s="1587">
        <f>AA26/AA44</f>
        <v>1.3342953980400545</v>
      </c>
      <c r="AC50" s="1587">
        <f>AC26/AC44</f>
        <v>1.1106766719432888</v>
      </c>
      <c r="AE50" s="1587">
        <f>AE26/AE44</f>
        <v>1.0235857267188861</v>
      </c>
      <c r="AG50" s="1587">
        <f>AG26/AG44</f>
        <v>1.0844342461027447</v>
      </c>
      <c r="AI50" s="1587">
        <f>AI26/AI44</f>
        <v>1.0367555756019458</v>
      </c>
    </row>
    <row r="51" spans="1:37">
      <c r="A51" s="1282" t="s">
        <v>106</v>
      </c>
      <c r="B51" s="1282" t="s">
        <v>80</v>
      </c>
      <c r="D51" s="1587">
        <f>D27/D45</f>
        <v>1.1074554014818808E-2</v>
      </c>
      <c r="F51" s="1587">
        <f>F27/F45</f>
        <v>2.9092548420456377E-2</v>
      </c>
      <c r="H51" s="1587">
        <f>H27/H45</f>
        <v>0.14457186265442365</v>
      </c>
      <c r="J51" s="1587">
        <f>J27/J45</f>
        <v>0.13105306474369025</v>
      </c>
      <c r="L51" s="1587">
        <f>L27/L45</f>
        <v>3.3024213904697411E-2</v>
      </c>
      <c r="N51" s="1587">
        <f>N27/N45</f>
        <v>0.79195671081005847</v>
      </c>
      <c r="P51" s="1587">
        <f>P27/P45</f>
        <v>0.80310848156986747</v>
      </c>
      <c r="S51" s="1587">
        <f>S27/S45</f>
        <v>0.91634978344864892</v>
      </c>
      <c r="U51" s="1587">
        <f>U27/U45</f>
        <v>0.9143330054384825</v>
      </c>
      <c r="W51" s="1587">
        <f>W27/W45</f>
        <v>1.1204433250696948</v>
      </c>
      <c r="Y51" s="1587">
        <f>Y27/Y45</f>
        <v>1.1122181563752844</v>
      </c>
      <c r="AA51" s="1587">
        <f>AA27/AA45</f>
        <v>9.4560137514580198</v>
      </c>
      <c r="AC51" s="1587">
        <f>AC27/AC45</f>
        <v>1.1136697101116615</v>
      </c>
      <c r="AE51" s="1587">
        <f>AE27/AE45</f>
        <v>1.0310051554454154</v>
      </c>
      <c r="AG51" s="1587">
        <f>AG27/AG45</f>
        <v>1.083013232949853</v>
      </c>
      <c r="AI51" s="1587">
        <f>AI27/AI45</f>
        <v>1.0811085569104661</v>
      </c>
    </row>
    <row r="52" spans="1:37">
      <c r="A52" s="1282" t="s">
        <v>107</v>
      </c>
      <c r="B52" s="1282" t="s">
        <v>81</v>
      </c>
      <c r="D52" s="1587">
        <f>D28/D46</f>
        <v>1.3202689785207288E-2</v>
      </c>
      <c r="F52" s="1587">
        <f>F28/F46</f>
        <v>4.3363121969291665E-2</v>
      </c>
      <c r="H52" s="1587">
        <f>H28/H46</f>
        <v>0.13897744289513633</v>
      </c>
      <c r="J52" s="1587">
        <f>J28/J46</f>
        <v>0.12801017583583804</v>
      </c>
      <c r="L52" s="1587">
        <f>L28/L46</f>
        <v>3.1505977696661192E-2</v>
      </c>
      <c r="N52" s="1587">
        <f>N28/N46</f>
        <v>0.77490836576494304</v>
      </c>
      <c r="P52" s="1587">
        <f>P28/P46</f>
        <v>0.79130663272683899</v>
      </c>
      <c r="S52" s="1587">
        <f>S28/S46</f>
        <v>0.91044378604418486</v>
      </c>
      <c r="U52" s="1587">
        <f>U28/U46</f>
        <v>0.91576327691101211</v>
      </c>
      <c r="W52" s="1587">
        <f>W28/W46</f>
        <v>1.1186805540606322</v>
      </c>
      <c r="Y52" s="1587">
        <f>Y28/Y46</f>
        <v>1.1177889149881928</v>
      </c>
      <c r="AA52" s="1587">
        <f>AA28/AA46</f>
        <v>1.1438602198997836</v>
      </c>
      <c r="AC52" s="1587">
        <f>AC28/AC46</f>
        <v>1.13362409333189</v>
      </c>
      <c r="AE52" s="1587">
        <f>AE28/AE46</f>
        <v>1.0943879802147274</v>
      </c>
      <c r="AG52" s="1587">
        <f>AG28/AG46</f>
        <v>1.1158119727567652</v>
      </c>
      <c r="AI52" s="1587">
        <f>AI28/AI46</f>
        <v>1.0932210179732125</v>
      </c>
    </row>
    <row r="53" spans="1:37">
      <c r="A53" s="1282" t="s">
        <v>108</v>
      </c>
      <c r="B53" s="1282" t="s">
        <v>82</v>
      </c>
      <c r="D53" s="1587">
        <f>D29/D47</f>
        <v>3.0946750879527231E-2</v>
      </c>
      <c r="F53" s="1587">
        <f>F29/F47</f>
        <v>4.3113392898342005E-2</v>
      </c>
      <c r="H53" s="1587">
        <f>H29/H47</f>
        <v>0.13732925041096228</v>
      </c>
      <c r="J53" s="1587">
        <f>J29/J47</f>
        <v>0.12601515537562871</v>
      </c>
      <c r="L53" s="1587">
        <f>L29/L47</f>
        <v>0.7835325344648143</v>
      </c>
      <c r="N53" s="1587">
        <f>N29/N47</f>
        <v>0.79353409587936441</v>
      </c>
      <c r="P53" s="1587">
        <f>P29/P47</f>
        <v>0.82100112426192651</v>
      </c>
      <c r="S53" s="1587">
        <f>S29/S47</f>
        <v>0.90145759838454242</v>
      </c>
      <c r="U53" s="1587">
        <f>U29/U47</f>
        <v>0.87978435655409004</v>
      </c>
      <c r="W53" s="1587">
        <f>W29/W47</f>
        <v>1.0738560942844322</v>
      </c>
      <c r="Y53" s="1587">
        <f>Y29/Y47</f>
        <v>1.0639060481017033</v>
      </c>
      <c r="AA53" s="1587">
        <f>AA29/AA47</f>
        <v>1.1177631666480137</v>
      </c>
      <c r="AC53" s="1587">
        <f>AC29/AC47</f>
        <v>1.055678721342145</v>
      </c>
      <c r="AE53" s="1587">
        <f>AE29/AE47</f>
        <v>1.0821161012971461</v>
      </c>
      <c r="AG53" s="1587">
        <f>AG29/AG47</f>
        <v>1.0460936697545686</v>
      </c>
      <c r="AI53" s="1587">
        <f>AI29/AI47</f>
        <v>0.92850728241328906</v>
      </c>
      <c r="AK53" s="1587">
        <f>AK29/AK47</f>
        <v>0.76992236170030348</v>
      </c>
    </row>
    <row r="55" spans="1:37">
      <c r="A55" s="1647" t="s">
        <v>120</v>
      </c>
      <c r="B55" s="1635"/>
      <c r="C55" s="1635"/>
      <c r="D55" s="1635"/>
      <c r="E55" s="1635"/>
      <c r="F55" s="1635"/>
      <c r="G55" s="1635"/>
      <c r="H55" s="1635"/>
      <c r="I55" s="1635"/>
      <c r="J55" s="1635"/>
      <c r="K55" s="1635"/>
      <c r="L55" s="1635"/>
      <c r="M55" s="1635"/>
      <c r="N55" s="1635"/>
      <c r="O55" s="1635"/>
      <c r="P55" s="1635"/>
      <c r="Q55" s="1635"/>
      <c r="R55" s="1635"/>
      <c r="S55" s="1635"/>
      <c r="T55" s="1635"/>
      <c r="U55" s="1635"/>
      <c r="V55" s="1635"/>
      <c r="W55" s="1635"/>
      <c r="Y55" s="1635"/>
    </row>
    <row r="56" spans="1:37">
      <c r="A56" s="1282" t="s">
        <v>105</v>
      </c>
      <c r="B56" s="1282" t="s">
        <v>79</v>
      </c>
      <c r="D56" s="1656">
        <f>D32/D44</f>
        <v>-1.3828301194758979E-2</v>
      </c>
      <c r="E56" s="1657"/>
      <c r="F56" s="1656">
        <f>F32/F44</f>
        <v>5.309460717239986E-2</v>
      </c>
      <c r="H56" s="1656">
        <f>H32/H44</f>
        <v>1.1745358248331849E-2</v>
      </c>
      <c r="I56" s="1657"/>
      <c r="J56" s="1656">
        <f>J32/J44</f>
        <v>4.3644966467434057E-2</v>
      </c>
      <c r="L56" s="1656">
        <f>L32/L44</f>
        <v>5.978872733370044E-3</v>
      </c>
      <c r="M56" s="1657"/>
      <c r="N56" s="1649" t="s">
        <v>90</v>
      </c>
      <c r="O56" s="1657"/>
      <c r="P56" s="1656">
        <f>P32/P44</f>
        <v>0.79792436939265932</v>
      </c>
      <c r="Q56" s="1657"/>
      <c r="R56" s="1657"/>
      <c r="S56" s="1656">
        <f>S32/S44</f>
        <v>0.86504124617897071</v>
      </c>
      <c r="T56" s="1657"/>
      <c r="U56" s="1656">
        <f>U32/U44</f>
        <v>0.72427152906660142</v>
      </c>
      <c r="W56" s="1656">
        <f>W32/W44</f>
        <v>1.0487627365356622</v>
      </c>
      <c r="Y56" s="1656">
        <f>Y32/Y44</f>
        <v>1.0457933547336991</v>
      </c>
      <c r="AA56" s="1656">
        <f>AA32/AA44</f>
        <v>1.252818542745749</v>
      </c>
      <c r="AC56" s="1656">
        <f>AC32/AC44</f>
        <v>1.0542365805540372</v>
      </c>
      <c r="AE56" s="1656">
        <f>AE32/AE44</f>
        <v>0.99658398607484777</v>
      </c>
      <c r="AG56" s="1656">
        <f>AG32/AG44</f>
        <v>1.0618891358242606</v>
      </c>
      <c r="AI56" s="1656">
        <f>AI32/AI44</f>
        <v>1.0101709473896066</v>
      </c>
    </row>
    <row r="57" spans="1:37">
      <c r="A57" s="1282" t="s">
        <v>106</v>
      </c>
      <c r="B57" s="1282" t="s">
        <v>80</v>
      </c>
      <c r="D57" s="1656">
        <f>D33/D45</f>
        <v>-0.12409213560176138</v>
      </c>
      <c r="E57" s="1657"/>
      <c r="F57" s="1656">
        <f>F33/F45</f>
        <v>-6.9660757993857472E-2</v>
      </c>
      <c r="H57" s="1656">
        <f>H33/H45</f>
        <v>1.8561952932037698E-4</v>
      </c>
      <c r="I57" s="1657"/>
      <c r="J57" s="1656">
        <f>J33/J45</f>
        <v>-5.9201089512462744E-2</v>
      </c>
      <c r="L57" s="1656">
        <f>L33/L45</f>
        <v>-0.17519346997033833</v>
      </c>
      <c r="M57" s="1657"/>
      <c r="N57" s="1656">
        <f>N33/N45</f>
        <v>0.77077730566816749</v>
      </c>
      <c r="O57" s="1657"/>
      <c r="P57" s="1656">
        <f>P33/P45</f>
        <v>0.77856497136924863</v>
      </c>
      <c r="Q57" s="1657"/>
      <c r="R57" s="1657"/>
      <c r="S57" s="1656">
        <f>S33/S45</f>
        <v>0.89839781898128745</v>
      </c>
      <c r="T57" s="1657"/>
      <c r="U57" s="1656">
        <f>U33/U45</f>
        <v>0.85643634732279916</v>
      </c>
      <c r="W57" s="1656">
        <f>W33/W45</f>
        <v>1.0971754156629723</v>
      </c>
      <c r="Y57" s="1656">
        <f>Y33/Y45</f>
        <v>1.0874872909746005</v>
      </c>
      <c r="AA57" s="1656">
        <f>AA33/AA45</f>
        <v>9.2617967306801479</v>
      </c>
      <c r="AC57" s="1656">
        <f>AC33/AC45</f>
        <v>1.0876340209404805</v>
      </c>
      <c r="AE57" s="1656">
        <f>AE33/AE45</f>
        <v>1.0102284891576947</v>
      </c>
      <c r="AG57" s="1656">
        <f>AG33/AG45</f>
        <v>1.0586303864892028</v>
      </c>
      <c r="AI57" s="1656">
        <f>AI33/AI45</f>
        <v>1.0534961255651805</v>
      </c>
    </row>
    <row r="58" spans="1:37">
      <c r="A58" s="1282" t="s">
        <v>107</v>
      </c>
      <c r="B58" s="1282" t="s">
        <v>81</v>
      </c>
      <c r="D58" s="1656">
        <f>D34/D46</f>
        <v>-0.15382710618454162</v>
      </c>
      <c r="E58" s="1657"/>
      <c r="F58" s="1656">
        <f>F34/F46</f>
        <v>-5.277499850711527E-2</v>
      </c>
      <c r="H58" s="1656">
        <f>H34/H46</f>
        <v>-4.0015975842214821E-2</v>
      </c>
      <c r="I58" s="1657"/>
      <c r="J58" s="1656">
        <f>J34/J46</f>
        <v>-0.10737115939780201</v>
      </c>
      <c r="L58" s="1656">
        <f>L34/L46</f>
        <v>-0.20709190678716147</v>
      </c>
      <c r="M58" s="1657"/>
      <c r="N58" s="1656">
        <f>N34/N46</f>
        <v>0.74230172691245866</v>
      </c>
      <c r="O58" s="1657"/>
      <c r="P58" s="1656">
        <f>P34/P46</f>
        <v>0.76568746437640356</v>
      </c>
      <c r="Q58" s="1657"/>
      <c r="R58" s="1657"/>
      <c r="S58" s="1656">
        <f>S34/S46</f>
        <v>0.86506536834206438</v>
      </c>
      <c r="T58" s="1657"/>
      <c r="U58" s="1656">
        <f>U34/U46</f>
        <v>0.87728843420001934</v>
      </c>
      <c r="W58" s="1656">
        <f>W34/W46</f>
        <v>1.086846441708291</v>
      </c>
      <c r="Y58" s="1656">
        <f>Y34/Y46</f>
        <v>1.0941750893668514</v>
      </c>
      <c r="AA58" s="1656">
        <f>AA34/AA46</f>
        <v>1.1228216027670144</v>
      </c>
      <c r="AC58" s="1656">
        <f>AC34/AC46</f>
        <v>1.1101995784271896</v>
      </c>
      <c r="AE58" s="1656">
        <f>AE34/AE46</f>
        <v>1.0720583340428991</v>
      </c>
      <c r="AG58" s="1656">
        <f>AG34/AG46</f>
        <v>1.0877587624051572</v>
      </c>
      <c r="AI58" s="1656">
        <f>AI34/AI46</f>
        <v>1.0526714396196706</v>
      </c>
    </row>
    <row r="59" spans="1:37">
      <c r="A59" s="1282" t="s">
        <v>108</v>
      </c>
      <c r="B59" s="1282" t="s">
        <v>82</v>
      </c>
      <c r="D59" s="1656">
        <f>D35/D47</f>
        <v>-0.13332197738377694</v>
      </c>
      <c r="E59" s="1657"/>
      <c r="F59" s="1656">
        <f>F35/F47</f>
        <v>9.2298239521278087E-3</v>
      </c>
      <c r="H59" s="1656">
        <f>H35/H47</f>
        <v>0.106904267987188</v>
      </c>
      <c r="I59" s="1657"/>
      <c r="J59" s="1656">
        <f>J35/J47</f>
        <v>8.0763242080231015E-2</v>
      </c>
      <c r="L59" s="1656">
        <f>L35/L47</f>
        <v>0.75341061955396083</v>
      </c>
      <c r="M59" s="1657"/>
      <c r="N59" s="1656">
        <f>N35/N47</f>
        <v>0.77514985559813632</v>
      </c>
      <c r="O59" s="1657"/>
      <c r="P59" s="1656">
        <f>P35/P47</f>
        <v>0.79881410284783516</v>
      </c>
      <c r="Q59" s="1657"/>
      <c r="R59" s="1657"/>
      <c r="S59" s="1656">
        <f>S35/S47</f>
        <v>0.88567167967915361</v>
      </c>
      <c r="T59" s="1657"/>
      <c r="U59" s="1656">
        <f>U35/U47</f>
        <v>0.86041388719173073</v>
      </c>
      <c r="W59" s="1656">
        <f>W35/W47</f>
        <v>1.0501145669820753</v>
      </c>
      <c r="Y59" s="1656">
        <f>Y35/Y47</f>
        <v>1.0293264503637205</v>
      </c>
      <c r="AA59" s="1656">
        <f>AA35/AA47</f>
        <v>1.0136837813068154</v>
      </c>
      <c r="AC59" s="1656">
        <f>AC35/AC47</f>
        <v>1.0342399948669978</v>
      </c>
      <c r="AE59" s="1656">
        <f>AE35/AE47</f>
        <v>1.0647718923473186</v>
      </c>
      <c r="AG59" s="1656">
        <f>AG35/AG47</f>
        <v>0.97058766375273087</v>
      </c>
      <c r="AI59" s="1656">
        <f>AI35/AI47</f>
        <v>0.8186935322546891</v>
      </c>
      <c r="AK59" s="1656">
        <f>AK35/AK47</f>
        <v>0.67363751653856974</v>
      </c>
    </row>
    <row r="61" spans="1:37">
      <c r="A61" s="1282" t="s">
        <v>121</v>
      </c>
    </row>
  </sheetData>
  <phoneticPr fontId="11" type="noConversion"/>
  <printOptions horizontalCentered="1" verticalCentered="1"/>
  <pageMargins left="0.5" right="0.5" top="0.5" bottom="0.5" header="0.5" footer="0.5"/>
  <pageSetup scale="71" orientation="landscape" horizontalDpi="300" verticalDpi="300" r:id="rId1"/>
  <headerFooter alignWithMargins="0"/>
  <colBreaks count="1" manualBreakCount="1">
    <brk id="24" max="1048575" man="1"/>
  </col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AM203"/>
  <sheetViews>
    <sheetView showGridLines="0" topLeftCell="A7" zoomScale="85" workbookViewId="0">
      <selection activeCell="H43" sqref="H43"/>
    </sheetView>
  </sheetViews>
  <sheetFormatPr defaultColWidth="6.7109375" defaultRowHeight="12.75" outlineLevelRow="1" outlineLevelCol="1"/>
  <cols>
    <col min="1" max="1" width="1" style="143" customWidth="1"/>
    <col min="2" max="2" width="1.140625" style="144" customWidth="1"/>
    <col min="3" max="4" width="13.42578125" style="153" customWidth="1"/>
    <col min="5" max="5" width="13.28515625" style="153" customWidth="1"/>
    <col min="6" max="6" width="12.42578125" style="153" customWidth="1"/>
    <col min="7" max="7" width="9.42578125" style="153" customWidth="1"/>
    <col min="8" max="8" width="9.5703125" style="150" customWidth="1"/>
    <col min="9" max="9" width="12" style="150" customWidth="1"/>
    <col min="10" max="19" width="9.5703125" style="150" customWidth="1"/>
    <col min="20" max="23" width="9.5703125" style="128" customWidth="1"/>
    <col min="24" max="26" width="6.7109375" style="128" customWidth="1"/>
    <col min="27" max="27" width="46.5703125" customWidth="1" outlineLevel="1"/>
    <col min="28" max="28" width="6.7109375" customWidth="1" outlineLevel="1"/>
    <col min="29" max="29" width="32.85546875" customWidth="1" outlineLevel="1"/>
    <col min="30" max="32" width="6.7109375" customWidth="1" outlineLevel="1"/>
    <col min="33" max="35" width="6.7109375" style="128"/>
    <col min="36" max="36" width="6.7109375" style="129"/>
    <col min="37" max="16384" width="6.7109375" style="128"/>
  </cols>
  <sheetData>
    <row r="1" spans="1:36" s="120" customFormat="1" ht="45" customHeight="1" thickBot="1">
      <c r="A1" s="113"/>
      <c r="B1" s="114"/>
      <c r="C1" s="115"/>
      <c r="D1" s="116"/>
      <c r="E1" s="116"/>
      <c r="F1" s="115"/>
      <c r="G1" s="115" t="s">
        <v>481</v>
      </c>
      <c r="H1" s="117"/>
      <c r="I1" s="117"/>
      <c r="J1" s="117"/>
      <c r="K1" s="117"/>
      <c r="L1" s="117"/>
      <c r="M1" s="117"/>
      <c r="N1" s="118"/>
      <c r="O1" s="117"/>
      <c r="P1" s="117"/>
      <c r="Q1" s="117"/>
      <c r="R1" s="117"/>
      <c r="S1" s="117"/>
      <c r="T1" s="116"/>
      <c r="U1" s="116"/>
      <c r="V1" s="116"/>
      <c r="W1" s="119"/>
      <c r="AA1"/>
      <c r="AB1"/>
      <c r="AC1"/>
      <c r="AD1"/>
      <c r="AE1"/>
      <c r="AF1"/>
      <c r="AJ1" s="121"/>
    </row>
    <row r="2" spans="1:36" ht="32.25" customHeight="1" thickBot="1">
      <c r="A2" s="122"/>
      <c r="B2" s="123"/>
      <c r="C2" s="124"/>
      <c r="D2" s="124"/>
      <c r="E2" s="124"/>
      <c r="F2" s="124"/>
      <c r="G2" s="124"/>
      <c r="H2" s="125"/>
      <c r="I2" s="125"/>
      <c r="J2" s="125"/>
      <c r="K2" s="125"/>
      <c r="L2" s="125"/>
      <c r="M2" s="125"/>
      <c r="N2" s="126"/>
      <c r="O2" s="126"/>
      <c r="P2" s="126" t="s">
        <v>219</v>
      </c>
      <c r="Q2" s="126"/>
      <c r="R2" s="125"/>
      <c r="S2" s="125"/>
      <c r="T2" s="127"/>
      <c r="U2" s="127"/>
      <c r="V2" s="127"/>
      <c r="W2" s="127"/>
    </row>
    <row r="3" spans="1:36" s="136" customFormat="1" ht="15.75" customHeight="1" thickBot="1">
      <c r="A3" s="130"/>
      <c r="B3" s="131"/>
      <c r="C3" s="132"/>
      <c r="D3" s="132"/>
      <c r="E3" s="132"/>
      <c r="F3" s="132"/>
      <c r="G3" s="132"/>
      <c r="H3" s="133"/>
      <c r="I3" s="134" t="s">
        <v>579</v>
      </c>
      <c r="J3" s="135" t="s">
        <v>219</v>
      </c>
      <c r="L3" s="137"/>
      <c r="M3" s="138"/>
      <c r="N3" s="139"/>
      <c r="O3" s="140"/>
      <c r="P3" s="141"/>
      <c r="Q3" s="133"/>
      <c r="R3" s="133"/>
      <c r="S3" s="133"/>
      <c r="AA3"/>
      <c r="AB3"/>
      <c r="AC3"/>
      <c r="AD3"/>
      <c r="AE3"/>
      <c r="AF3"/>
      <c r="AJ3" s="142"/>
    </row>
    <row r="4" spans="1:36" ht="15.75" customHeight="1">
      <c r="C4" s="145" t="str">
        <f>_xll.ThomsonONEAddinShim.SpreadsheetFormulas.TF($F$4,"TextAv(TF.CompanyName(sdate=0D),-)")</f>
        <v>Burlington Stores Inc</v>
      </c>
      <c r="D4" s="146"/>
      <c r="E4" s="132"/>
      <c r="F4" s="147" t="s">
        <v>581</v>
      </c>
      <c r="G4" s="148"/>
      <c r="H4" s="149" t="str">
        <f>MONTH(I4)&amp;"/"&amp;YEAR(I4)</f>
        <v>1/2017</v>
      </c>
      <c r="I4" s="149">
        <f>_xll.ThomsonONEAddinShim.SpreadsheetFormulas.TF($F$4,"TF.FN.FiscalYearEndDate(period=FY0)")</f>
        <v>42763</v>
      </c>
      <c r="K4" s="133"/>
      <c r="AJ4" s="129" t="s">
        <v>482</v>
      </c>
    </row>
    <row r="5" spans="1:36" ht="15.75" customHeight="1">
      <c r="C5" s="151" t="s">
        <v>483</v>
      </c>
      <c r="D5" s="152"/>
      <c r="F5" s="154">
        <f>H8</f>
        <v>2009</v>
      </c>
      <c r="H5" s="155" t="str">
        <f t="shared" ref="H5:P5" si="0">"FY"&amp;H7</f>
        <v>FY-8</v>
      </c>
      <c r="I5" s="155" t="str">
        <f t="shared" si="0"/>
        <v>FY-7</v>
      </c>
      <c r="J5" s="155" t="str">
        <f t="shared" si="0"/>
        <v>FY-6</v>
      </c>
      <c r="K5" s="155" t="str">
        <f t="shared" si="0"/>
        <v>FY-5</v>
      </c>
      <c r="L5" s="155" t="str">
        <f t="shared" si="0"/>
        <v>FY-4</v>
      </c>
      <c r="M5" s="155" t="str">
        <f t="shared" si="0"/>
        <v>FY-3</v>
      </c>
      <c r="N5" s="155" t="str">
        <f t="shared" si="0"/>
        <v>FY-2</v>
      </c>
      <c r="O5" s="155" t="str">
        <f t="shared" si="0"/>
        <v>FY-1</v>
      </c>
      <c r="P5" s="155" t="str">
        <f t="shared" si="0"/>
        <v>FY0</v>
      </c>
      <c r="AJ5" s="156"/>
    </row>
    <row r="6" spans="1:36" customFormat="1" ht="13.5" customHeight="1"/>
    <row r="7" spans="1:36">
      <c r="C7" s="158"/>
      <c r="H7" s="159">
        <f t="shared" ref="H7:O7" si="1">I7-1</f>
        <v>-8</v>
      </c>
      <c r="I7" s="159">
        <f t="shared" si="1"/>
        <v>-7</v>
      </c>
      <c r="J7" s="159">
        <f t="shared" si="1"/>
        <v>-6</v>
      </c>
      <c r="K7" s="159">
        <f t="shared" si="1"/>
        <v>-5</v>
      </c>
      <c r="L7" s="159">
        <f t="shared" si="1"/>
        <v>-4</v>
      </c>
      <c r="M7" s="159">
        <f t="shared" si="1"/>
        <v>-3</v>
      </c>
      <c r="N7" s="159">
        <f t="shared" si="1"/>
        <v>-2</v>
      </c>
      <c r="O7" s="159">
        <f t="shared" si="1"/>
        <v>-1</v>
      </c>
      <c r="P7" s="159">
        <v>0</v>
      </c>
      <c r="Q7" s="159">
        <f t="shared" ref="Q7:W7" si="2">P7+1</f>
        <v>1</v>
      </c>
      <c r="R7" s="159">
        <f t="shared" si="2"/>
        <v>2</v>
      </c>
      <c r="S7" s="159">
        <f t="shared" si="2"/>
        <v>3</v>
      </c>
      <c r="T7" s="159">
        <f t="shared" si="2"/>
        <v>4</v>
      </c>
      <c r="U7" s="159">
        <f t="shared" si="2"/>
        <v>5</v>
      </c>
      <c r="V7" s="159">
        <f t="shared" si="2"/>
        <v>6</v>
      </c>
      <c r="W7" s="159">
        <f t="shared" si="2"/>
        <v>7</v>
      </c>
    </row>
    <row r="8" spans="1:36" s="144" customFormat="1" outlineLevel="1">
      <c r="A8" s="160"/>
      <c r="C8" s="157"/>
      <c r="D8" s="157"/>
      <c r="E8" s="157"/>
      <c r="F8" s="157"/>
      <c r="G8" s="157"/>
      <c r="H8" s="161">
        <f t="shared" ref="H8:W8" si="3">YEAR(H9)</f>
        <v>2009</v>
      </c>
      <c r="I8" s="161">
        <f t="shared" si="3"/>
        <v>2010</v>
      </c>
      <c r="J8" s="161">
        <f t="shared" si="3"/>
        <v>2011</v>
      </c>
      <c r="K8" s="161">
        <f t="shared" si="3"/>
        <v>2012</v>
      </c>
      <c r="L8" s="161">
        <f t="shared" si="3"/>
        <v>2013</v>
      </c>
      <c r="M8" s="161">
        <f t="shared" si="3"/>
        <v>2014</v>
      </c>
      <c r="N8" s="161">
        <f t="shared" si="3"/>
        <v>2015</v>
      </c>
      <c r="O8" s="161">
        <f t="shared" si="3"/>
        <v>2016</v>
      </c>
      <c r="P8" s="161">
        <f t="shared" si="3"/>
        <v>2017</v>
      </c>
      <c r="Q8" s="161">
        <f t="shared" si="3"/>
        <v>2018</v>
      </c>
      <c r="R8" s="161">
        <f t="shared" si="3"/>
        <v>2019</v>
      </c>
      <c r="S8" s="161">
        <f t="shared" si="3"/>
        <v>2020</v>
      </c>
      <c r="T8" s="161">
        <f t="shared" si="3"/>
        <v>2021</v>
      </c>
      <c r="U8" s="161">
        <f t="shared" si="3"/>
        <v>2022</v>
      </c>
      <c r="V8" s="161">
        <f t="shared" si="3"/>
        <v>2023</v>
      </c>
      <c r="W8" s="161">
        <f t="shared" si="3"/>
        <v>2024</v>
      </c>
      <c r="AA8"/>
      <c r="AB8"/>
      <c r="AC8"/>
      <c r="AD8"/>
      <c r="AE8"/>
      <c r="AF8"/>
      <c r="AJ8" s="129"/>
    </row>
    <row r="9" spans="1:36" ht="14.25" customHeight="1">
      <c r="C9" s="162" t="s">
        <v>185</v>
      </c>
      <c r="D9" s="163"/>
      <c r="E9" s="163"/>
      <c r="F9" s="163"/>
      <c r="G9" s="163"/>
      <c r="H9" s="164" t="str">
        <f t="shared" ref="H9:W9" si="4">MONTH($I$4)&amp;"/"&amp;YEAR($I$4)+H7</f>
        <v>1/2009</v>
      </c>
      <c r="I9" s="164" t="str">
        <f t="shared" si="4"/>
        <v>1/2010</v>
      </c>
      <c r="J9" s="164" t="str">
        <f t="shared" si="4"/>
        <v>1/2011</v>
      </c>
      <c r="K9" s="164" t="str">
        <f t="shared" si="4"/>
        <v>1/2012</v>
      </c>
      <c r="L9" s="164" t="str">
        <f t="shared" si="4"/>
        <v>1/2013</v>
      </c>
      <c r="M9" s="164" t="str">
        <f t="shared" si="4"/>
        <v>1/2014</v>
      </c>
      <c r="N9" s="164" t="str">
        <f t="shared" si="4"/>
        <v>1/2015</v>
      </c>
      <c r="O9" s="164" t="str">
        <f t="shared" si="4"/>
        <v>1/2016</v>
      </c>
      <c r="P9" s="164" t="str">
        <f t="shared" si="4"/>
        <v>1/2017</v>
      </c>
      <c r="Q9" s="164" t="str">
        <f t="shared" si="4"/>
        <v>1/2018</v>
      </c>
      <c r="R9" s="164" t="str">
        <f t="shared" si="4"/>
        <v>1/2019</v>
      </c>
      <c r="S9" s="164" t="str">
        <f t="shared" si="4"/>
        <v>1/2020</v>
      </c>
      <c r="T9" s="164" t="str">
        <f t="shared" si="4"/>
        <v>1/2021</v>
      </c>
      <c r="U9" s="164" t="str">
        <f t="shared" si="4"/>
        <v>1/2022</v>
      </c>
      <c r="V9" s="164" t="str">
        <f t="shared" si="4"/>
        <v>1/2023</v>
      </c>
      <c r="W9" s="164" t="str">
        <f t="shared" si="4"/>
        <v>1/2024</v>
      </c>
    </row>
    <row r="10" spans="1:36">
      <c r="C10" s="165"/>
      <c r="D10" s="163"/>
      <c r="E10" s="163"/>
      <c r="F10" s="163"/>
      <c r="G10" s="166"/>
      <c r="N10" s="167"/>
      <c r="T10" s="150"/>
      <c r="U10" s="150"/>
      <c r="V10" s="150"/>
      <c r="W10" s="150"/>
    </row>
    <row r="11" spans="1:36">
      <c r="C11" s="168" t="s">
        <v>484</v>
      </c>
      <c r="D11" s="168"/>
      <c r="E11" s="168"/>
      <c r="F11" s="168"/>
      <c r="G11" s="168"/>
      <c r="H11" s="169"/>
      <c r="I11" s="170">
        <f t="shared" ref="I11:W11" si="5">IF(I8&gt;$F$5,I76,0)</f>
        <v>0</v>
      </c>
      <c r="J11" s="170">
        <f t="shared" si="5"/>
        <v>165.09700000000001</v>
      </c>
      <c r="K11" s="170">
        <f t="shared" si="5"/>
        <v>175.14599999999999</v>
      </c>
      <c r="L11" s="170">
        <f t="shared" si="5"/>
        <v>197.875</v>
      </c>
      <c r="M11" s="170">
        <f t="shared" si="5"/>
        <v>0</v>
      </c>
      <c r="N11" s="170">
        <f t="shared" si="5"/>
        <v>0</v>
      </c>
      <c r="O11" s="170">
        <f t="shared" si="5"/>
        <v>267.89400000000001</v>
      </c>
      <c r="P11" s="170">
        <f t="shared" si="5"/>
        <v>285.49599999999998</v>
      </c>
      <c r="Q11" s="170">
        <f t="shared" si="5"/>
        <v>291.20591999999999</v>
      </c>
      <c r="R11" s="170">
        <f t="shared" si="5"/>
        <v>297.03003840000002</v>
      </c>
      <c r="S11" s="170">
        <f t="shared" si="5"/>
        <v>302.97063916800005</v>
      </c>
      <c r="T11" s="170">
        <f t="shared" si="5"/>
        <v>309.03005195136006</v>
      </c>
      <c r="U11" s="170">
        <f t="shared" si="5"/>
        <v>315.21065299038725</v>
      </c>
      <c r="V11" s="170">
        <f t="shared" si="5"/>
        <v>321.514866050195</v>
      </c>
      <c r="W11" s="170">
        <f t="shared" si="5"/>
        <v>327.94516337119893</v>
      </c>
    </row>
    <row r="12" spans="1:36">
      <c r="C12" s="171" t="s">
        <v>485</v>
      </c>
      <c r="D12" s="171"/>
      <c r="E12" s="171"/>
      <c r="F12" s="171"/>
      <c r="G12" s="171"/>
      <c r="H12" s="169"/>
      <c r="I12" s="172">
        <f t="shared" ref="I12:W12" si="6">IF(I8&gt;$F$5,I23,0)</f>
        <v>0</v>
      </c>
      <c r="J12" s="172">
        <f t="shared" si="6"/>
        <v>-16.509700000000002</v>
      </c>
      <c r="K12" s="172">
        <f t="shared" si="6"/>
        <v>-32.726259847989148</v>
      </c>
      <c r="L12" s="172">
        <f t="shared" si="6"/>
        <v>-149.94238374795711</v>
      </c>
      <c r="M12" s="172">
        <f t="shared" si="6"/>
        <v>-157.55893583515356</v>
      </c>
      <c r="N12" s="172">
        <f t="shared" si="6"/>
        <v>-167.75559392178485</v>
      </c>
      <c r="O12" s="172">
        <f t="shared" si="6"/>
        <v>-202.3936541201906</v>
      </c>
      <c r="P12" s="172">
        <f t="shared" si="6"/>
        <v>-240.53844653855668</v>
      </c>
      <c r="Q12" s="172">
        <f t="shared" si="6"/>
        <v>-260.73991055287689</v>
      </c>
      <c r="R12" s="172">
        <f t="shared" si="6"/>
        <v>-284.47740384748352</v>
      </c>
      <c r="S12" s="172">
        <f t="shared" si="6"/>
        <v>-307.15964700798224</v>
      </c>
      <c r="T12" s="172">
        <f t="shared" si="6"/>
        <v>-313.78583503169097</v>
      </c>
      <c r="U12" s="172">
        <f t="shared" si="6"/>
        <v>-321.16788096788468</v>
      </c>
      <c r="V12" s="172">
        <f t="shared" si="6"/>
        <v>-228.02233496778322</v>
      </c>
      <c r="W12" s="172">
        <f t="shared" si="6"/>
        <v>-244.95777233845064</v>
      </c>
    </row>
    <row r="13" spans="1:36">
      <c r="C13" s="173" t="s">
        <v>486</v>
      </c>
      <c r="D13" s="168"/>
      <c r="E13" s="168"/>
      <c r="F13" s="168"/>
      <c r="G13" s="168"/>
      <c r="H13" s="169"/>
      <c r="I13" s="174">
        <f t="shared" ref="I13:W13" si="7">SUM(I11:I12)</f>
        <v>0</v>
      </c>
      <c r="J13" s="174">
        <f t="shared" si="7"/>
        <v>148.5873</v>
      </c>
      <c r="K13" s="174">
        <f t="shared" si="7"/>
        <v>142.41974015201083</v>
      </c>
      <c r="L13" s="174">
        <f t="shared" si="7"/>
        <v>47.932616252042891</v>
      </c>
      <c r="M13" s="174">
        <f t="shared" si="7"/>
        <v>-157.55893583515356</v>
      </c>
      <c r="N13" s="174">
        <f t="shared" si="7"/>
        <v>-167.75559392178485</v>
      </c>
      <c r="O13" s="174">
        <f t="shared" si="7"/>
        <v>65.500345879809402</v>
      </c>
      <c r="P13" s="174">
        <f t="shared" si="7"/>
        <v>44.957553461443297</v>
      </c>
      <c r="Q13" s="174">
        <f t="shared" si="7"/>
        <v>30.466009447123099</v>
      </c>
      <c r="R13" s="174">
        <f t="shared" si="7"/>
        <v>12.552634552516508</v>
      </c>
      <c r="S13" s="174">
        <f t="shared" si="7"/>
        <v>-4.1890078399821959</v>
      </c>
      <c r="T13" s="174">
        <f t="shared" si="7"/>
        <v>-4.7557830803309002</v>
      </c>
      <c r="U13" s="174">
        <f t="shared" si="7"/>
        <v>-5.957227977497439</v>
      </c>
      <c r="V13" s="174">
        <f t="shared" si="7"/>
        <v>93.492531082411773</v>
      </c>
      <c r="W13" s="174">
        <f t="shared" si="7"/>
        <v>82.987391032748292</v>
      </c>
    </row>
    <row r="14" spans="1:36">
      <c r="C14" s="168"/>
      <c r="D14" s="168"/>
      <c r="E14" s="168"/>
      <c r="F14" s="168"/>
      <c r="G14" s="168"/>
      <c r="H14" s="169"/>
      <c r="I14" s="169"/>
      <c r="J14" s="169"/>
      <c r="K14" s="169"/>
      <c r="L14" s="169"/>
      <c r="M14" s="169"/>
      <c r="N14" s="169"/>
      <c r="O14" s="169"/>
      <c r="P14" s="169"/>
      <c r="Q14" s="169"/>
      <c r="R14" s="169"/>
      <c r="S14" s="169"/>
      <c r="T14" s="169"/>
      <c r="U14" s="169"/>
      <c r="V14" s="169"/>
      <c r="W14" s="169"/>
    </row>
    <row r="15" spans="1:36">
      <c r="C15" s="168" t="s">
        <v>487</v>
      </c>
      <c r="D15" s="168"/>
      <c r="E15" s="168"/>
      <c r="F15" s="168"/>
      <c r="G15" s="168"/>
      <c r="H15" s="169"/>
      <c r="I15" s="172">
        <f t="shared" ref="I15:W15" si="8">IF(OR(I8&gt;$F$5,I8=$F$5),-I30,0)</f>
        <v>0</v>
      </c>
      <c r="J15" s="172">
        <f t="shared" si="8"/>
        <v>0</v>
      </c>
      <c r="K15" s="172">
        <f t="shared" si="8"/>
        <v>-12.980401520108551</v>
      </c>
      <c r="L15" s="172">
        <f t="shared" si="8"/>
        <v>-99.932062083756023</v>
      </c>
      <c r="M15" s="411">
        <v>0</v>
      </c>
      <c r="N15" s="411">
        <v>0</v>
      </c>
      <c r="O15" s="411">
        <v>0</v>
      </c>
      <c r="P15" s="411">
        <v>0</v>
      </c>
      <c r="Q15" s="172">
        <f t="shared" si="8"/>
        <v>-116.57794059703221</v>
      </c>
      <c r="R15" s="172">
        <f t="shared" si="8"/>
        <v>-116.81553280087854</v>
      </c>
      <c r="S15" s="172">
        <f t="shared" si="8"/>
        <v>-116.52398364054267</v>
      </c>
      <c r="T15" s="172">
        <f t="shared" si="8"/>
        <v>-116.44731214064872</v>
      </c>
      <c r="U15" s="172">
        <f t="shared" si="8"/>
        <v>-116.54091581061027</v>
      </c>
      <c r="V15" s="172">
        <f t="shared" si="8"/>
        <v>-116.78767367048476</v>
      </c>
      <c r="W15" s="172">
        <f t="shared" si="8"/>
        <v>-117.17182151122178</v>
      </c>
    </row>
    <row r="16" spans="1:36">
      <c r="C16" s="173" t="s">
        <v>488</v>
      </c>
      <c r="D16" s="175"/>
      <c r="E16" s="175"/>
      <c r="F16" s="175"/>
      <c r="G16" s="175"/>
      <c r="H16" s="169"/>
      <c r="I16" s="174">
        <f t="shared" ref="I16:W16" si="9">I13+I15</f>
        <v>0</v>
      </c>
      <c r="J16" s="174">
        <f t="shared" si="9"/>
        <v>148.5873</v>
      </c>
      <c r="K16" s="174">
        <f t="shared" si="9"/>
        <v>129.43933863190227</v>
      </c>
      <c r="L16" s="174">
        <f t="shared" si="9"/>
        <v>-51.999445831713132</v>
      </c>
      <c r="M16" s="174">
        <f t="shared" si="9"/>
        <v>-157.55893583515356</v>
      </c>
      <c r="N16" s="174">
        <f t="shared" si="9"/>
        <v>-167.75559392178485</v>
      </c>
      <c r="O16" s="174">
        <f t="shared" si="9"/>
        <v>65.500345879809402</v>
      </c>
      <c r="P16" s="174">
        <f t="shared" si="9"/>
        <v>44.957553461443297</v>
      </c>
      <c r="Q16" s="174">
        <f t="shared" si="9"/>
        <v>-86.111931149909111</v>
      </c>
      <c r="R16" s="174">
        <f t="shared" si="9"/>
        <v>-104.26289824836203</v>
      </c>
      <c r="S16" s="174">
        <f t="shared" si="9"/>
        <v>-120.71299148052486</v>
      </c>
      <c r="T16" s="174">
        <f t="shared" si="9"/>
        <v>-121.20309522097962</v>
      </c>
      <c r="U16" s="174">
        <f t="shared" si="9"/>
        <v>-122.49814378810771</v>
      </c>
      <c r="V16" s="174">
        <f t="shared" si="9"/>
        <v>-23.295142588072991</v>
      </c>
      <c r="W16" s="174">
        <f t="shared" si="9"/>
        <v>-34.184430478473487</v>
      </c>
    </row>
    <row r="17" spans="1:36">
      <c r="C17" s="168"/>
      <c r="D17" s="168"/>
      <c r="E17" s="168"/>
      <c r="F17" s="168"/>
      <c r="G17" s="168"/>
      <c r="H17" s="169"/>
      <c r="I17" s="170"/>
      <c r="J17" s="170"/>
      <c r="K17" s="170"/>
      <c r="L17" s="170"/>
      <c r="M17" s="170"/>
      <c r="N17" s="170"/>
      <c r="O17" s="170"/>
      <c r="P17" s="170"/>
      <c r="Q17" s="170"/>
      <c r="R17" s="170"/>
      <c r="S17" s="170"/>
      <c r="T17" s="170"/>
      <c r="U17" s="170"/>
      <c r="V17" s="170"/>
      <c r="W17" s="170"/>
    </row>
    <row r="18" spans="1:36">
      <c r="C18" s="168"/>
      <c r="D18" s="168"/>
      <c r="E18" s="168"/>
      <c r="F18" s="168"/>
      <c r="G18" s="168"/>
      <c r="H18" s="176"/>
      <c r="I18" s="177"/>
      <c r="J18" s="177"/>
      <c r="K18" s="177"/>
      <c r="L18" s="177"/>
      <c r="M18" s="177"/>
      <c r="N18" s="177"/>
      <c r="O18" s="177"/>
      <c r="P18" s="177"/>
      <c r="Q18" s="177"/>
      <c r="R18" s="177"/>
      <c r="S18" s="177"/>
      <c r="T18" s="177"/>
      <c r="U18" s="177"/>
      <c r="V18" s="177"/>
      <c r="W18" s="177"/>
    </row>
    <row r="19" spans="1:36" s="153" customFormat="1" ht="14.25" customHeight="1">
      <c r="A19" s="178"/>
      <c r="C19" s="162" t="s">
        <v>132</v>
      </c>
      <c r="D19" s="179"/>
      <c r="E19" s="179"/>
      <c r="F19" s="179"/>
      <c r="G19" s="179"/>
      <c r="H19" s="180"/>
      <c r="I19" s="180"/>
      <c r="J19" s="180"/>
      <c r="K19" s="180"/>
      <c r="L19" s="180"/>
      <c r="M19" s="180"/>
      <c r="N19" s="180"/>
      <c r="O19" s="180"/>
      <c r="P19" s="181"/>
      <c r="Q19" s="181"/>
      <c r="R19" s="181"/>
      <c r="S19" s="181"/>
      <c r="T19" s="181"/>
      <c r="U19" s="181"/>
      <c r="V19" s="181"/>
      <c r="W19" s="181"/>
      <c r="AA19"/>
      <c r="AB19"/>
      <c r="AC19"/>
      <c r="AD19"/>
      <c r="AE19"/>
      <c r="AF19"/>
      <c r="AJ19" s="129"/>
    </row>
    <row r="20" spans="1:36" s="153" customFormat="1">
      <c r="A20" s="178"/>
      <c r="B20" s="182"/>
      <c r="C20" s="165"/>
      <c r="D20" s="179"/>
      <c r="E20" s="179"/>
      <c r="F20" s="179"/>
      <c r="G20" s="179"/>
      <c r="H20" s="180"/>
      <c r="I20" s="180"/>
      <c r="J20" s="180"/>
      <c r="K20" s="180"/>
      <c r="L20" s="180"/>
      <c r="M20" s="180"/>
      <c r="N20" s="180"/>
      <c r="O20" s="180"/>
      <c r="P20" s="181"/>
      <c r="Q20" s="181"/>
      <c r="R20" s="181"/>
      <c r="S20" s="181"/>
      <c r="T20" s="181"/>
      <c r="U20" s="181"/>
      <c r="V20" s="181"/>
      <c r="W20" s="181"/>
      <c r="AA20"/>
      <c r="AB20"/>
      <c r="AC20"/>
      <c r="AD20"/>
      <c r="AE20"/>
      <c r="AF20"/>
      <c r="AJ20" s="129"/>
    </row>
    <row r="21" spans="1:36">
      <c r="C21" s="183" t="s">
        <v>489</v>
      </c>
      <c r="D21" s="183"/>
      <c r="E21" s="183"/>
      <c r="F21" s="183"/>
      <c r="G21" s="183"/>
      <c r="H21" s="184"/>
      <c r="I21" s="184">
        <f t="shared" ref="I21:W21" si="10">H24</f>
        <v>0</v>
      </c>
      <c r="J21" s="184">
        <f t="shared" si="10"/>
        <v>0</v>
      </c>
      <c r="K21" s="184">
        <f t="shared" si="10"/>
        <v>148.5873</v>
      </c>
      <c r="L21" s="184">
        <f t="shared" si="10"/>
        <v>278.0266386319023</v>
      </c>
      <c r="M21" s="184">
        <f t="shared" si="10"/>
        <v>1300.2454938836249</v>
      </c>
      <c r="N21" s="184">
        <f t="shared" si="10"/>
        <v>1218.8520789204358</v>
      </c>
      <c r="O21" s="184">
        <f t="shared" si="10"/>
        <v>1153.0630658649638</v>
      </c>
      <c r="P21" s="184">
        <f t="shared" si="10"/>
        <v>1297.0500137288309</v>
      </c>
      <c r="Q21" s="184">
        <f t="shared" si="10"/>
        <v>1437.9594913739352</v>
      </c>
      <c r="R21" s="184">
        <f t="shared" si="10"/>
        <v>1379.2342209642604</v>
      </c>
      <c r="S21" s="184">
        <f t="shared" si="10"/>
        <v>1332.1317500628429</v>
      </c>
      <c r="T21" s="184">
        <f t="shared" si="10"/>
        <v>1251.7945346598481</v>
      </c>
      <c r="U21" s="184">
        <f t="shared" si="10"/>
        <v>1169.3675798652441</v>
      </c>
      <c r="V21" s="184">
        <f t="shared" si="10"/>
        <v>1084.1857567391883</v>
      </c>
      <c r="W21" s="184">
        <f t="shared" si="10"/>
        <v>1096.8692007700704</v>
      </c>
    </row>
    <row r="22" spans="1:36">
      <c r="B22" s="185"/>
      <c r="C22" s="186" t="s">
        <v>490</v>
      </c>
      <c r="D22" s="186"/>
      <c r="E22" s="186"/>
      <c r="F22" s="186"/>
      <c r="G22" s="186"/>
      <c r="H22" s="184"/>
      <c r="I22" s="184">
        <f t="shared" ref="I22:W22" si="11">IF((I8&gt;$F$5),I143,0)</f>
        <v>0</v>
      </c>
      <c r="J22" s="184">
        <f t="shared" si="11"/>
        <v>165.09700000000001</v>
      </c>
      <c r="K22" s="184">
        <f t="shared" si="11"/>
        <v>162.16559847989146</v>
      </c>
      <c r="L22" s="184">
        <f t="shared" si="11"/>
        <v>1172.1612389996797</v>
      </c>
      <c r="M22" s="184">
        <f t="shared" si="11"/>
        <v>76.165520871964418</v>
      </c>
      <c r="N22" s="184">
        <f t="shared" si="11"/>
        <v>101.96658086631274</v>
      </c>
      <c r="O22" s="184">
        <f t="shared" si="11"/>
        <v>346.38060198405759</v>
      </c>
      <c r="P22" s="184">
        <f t="shared" si="11"/>
        <v>381.44792418366086</v>
      </c>
      <c r="Q22" s="184">
        <f t="shared" si="11"/>
        <v>202.01464014320197</v>
      </c>
      <c r="R22" s="184">
        <f t="shared" si="11"/>
        <v>237.37493294606597</v>
      </c>
      <c r="S22" s="184">
        <f t="shared" si="11"/>
        <v>226.82243160498737</v>
      </c>
      <c r="T22" s="184">
        <f t="shared" si="11"/>
        <v>231.35888023708708</v>
      </c>
      <c r="U22" s="184">
        <f t="shared" si="11"/>
        <v>235.98605784182885</v>
      </c>
      <c r="V22" s="184">
        <f t="shared" si="11"/>
        <v>240.70577899866532</v>
      </c>
      <c r="W22" s="184">
        <f t="shared" si="11"/>
        <v>245.5198945786388</v>
      </c>
    </row>
    <row r="23" spans="1:36">
      <c r="C23" s="186" t="s">
        <v>491</v>
      </c>
      <c r="D23" s="132"/>
      <c r="E23" s="132"/>
      <c r="F23" s="132"/>
      <c r="G23" s="132"/>
      <c r="H23" s="187"/>
      <c r="I23" s="187">
        <f t="shared" ref="I23:W23" si="12">IF(I8&gt;$F$5,-I171,0)</f>
        <v>0</v>
      </c>
      <c r="J23" s="187">
        <f t="shared" si="12"/>
        <v>-16.509700000000002</v>
      </c>
      <c r="K23" s="187">
        <f t="shared" si="12"/>
        <v>-32.726259847989148</v>
      </c>
      <c r="L23" s="187">
        <f t="shared" si="12"/>
        <v>-149.94238374795711</v>
      </c>
      <c r="M23" s="187">
        <f t="shared" si="12"/>
        <v>-157.55893583515356</v>
      </c>
      <c r="N23" s="187">
        <f t="shared" si="12"/>
        <v>-167.75559392178485</v>
      </c>
      <c r="O23" s="187">
        <f t="shared" si="12"/>
        <v>-202.3936541201906</v>
      </c>
      <c r="P23" s="187">
        <f t="shared" si="12"/>
        <v>-240.53844653855668</v>
      </c>
      <c r="Q23" s="187">
        <f t="shared" si="12"/>
        <v>-260.73991055287689</v>
      </c>
      <c r="R23" s="187">
        <f t="shared" si="12"/>
        <v>-284.47740384748352</v>
      </c>
      <c r="S23" s="187">
        <f t="shared" si="12"/>
        <v>-307.15964700798224</v>
      </c>
      <c r="T23" s="187">
        <f t="shared" si="12"/>
        <v>-313.78583503169097</v>
      </c>
      <c r="U23" s="187">
        <f t="shared" si="12"/>
        <v>-321.16788096788468</v>
      </c>
      <c r="V23" s="187">
        <f t="shared" si="12"/>
        <v>-228.02233496778322</v>
      </c>
      <c r="W23" s="187">
        <f t="shared" si="12"/>
        <v>-244.95777233845064</v>
      </c>
    </row>
    <row r="24" spans="1:36">
      <c r="C24" s="188" t="s">
        <v>492</v>
      </c>
      <c r="D24" s="179"/>
      <c r="E24" s="179"/>
      <c r="F24" s="179"/>
      <c r="G24" s="179"/>
      <c r="H24" s="189">
        <f t="shared" ref="H24:W24" si="13">IF(H8=$F$5,H33*H35,IF(H8&gt;$F$5,SUM(H21:H23),0))</f>
        <v>0</v>
      </c>
      <c r="I24" s="189">
        <f t="shared" si="13"/>
        <v>0</v>
      </c>
      <c r="J24" s="189">
        <f t="shared" si="13"/>
        <v>148.5873</v>
      </c>
      <c r="K24" s="189">
        <f t="shared" si="13"/>
        <v>278.0266386319023</v>
      </c>
      <c r="L24" s="189">
        <f t="shared" si="13"/>
        <v>1300.2454938836249</v>
      </c>
      <c r="M24" s="189">
        <f t="shared" si="13"/>
        <v>1218.8520789204358</v>
      </c>
      <c r="N24" s="189">
        <f t="shared" si="13"/>
        <v>1153.0630658649638</v>
      </c>
      <c r="O24" s="189">
        <f t="shared" si="13"/>
        <v>1297.0500137288309</v>
      </c>
      <c r="P24" s="189">
        <f t="shared" si="13"/>
        <v>1437.9594913739352</v>
      </c>
      <c r="Q24" s="189">
        <f t="shared" si="13"/>
        <v>1379.2342209642604</v>
      </c>
      <c r="R24" s="189">
        <f t="shared" si="13"/>
        <v>1332.1317500628429</v>
      </c>
      <c r="S24" s="189">
        <f t="shared" si="13"/>
        <v>1251.7945346598481</v>
      </c>
      <c r="T24" s="189">
        <f t="shared" si="13"/>
        <v>1169.3675798652441</v>
      </c>
      <c r="U24" s="189">
        <f t="shared" si="13"/>
        <v>1084.1857567391883</v>
      </c>
      <c r="V24" s="189">
        <f t="shared" si="13"/>
        <v>1096.8692007700704</v>
      </c>
      <c r="W24" s="189">
        <f t="shared" si="13"/>
        <v>1097.4313230102584</v>
      </c>
    </row>
    <row r="25" spans="1:36">
      <c r="C25" s="132"/>
      <c r="D25" s="132"/>
      <c r="E25" s="132"/>
      <c r="F25" s="132"/>
      <c r="G25" s="132"/>
      <c r="I25" s="184"/>
      <c r="J25" s="184"/>
      <c r="K25" s="184"/>
      <c r="L25" s="184"/>
      <c r="M25" s="184"/>
      <c r="N25" s="184"/>
      <c r="O25" s="184"/>
      <c r="P25" s="184"/>
      <c r="Q25" s="184"/>
      <c r="R25" s="184"/>
      <c r="S25" s="184"/>
      <c r="T25" s="184"/>
      <c r="U25" s="184"/>
      <c r="V25" s="184"/>
      <c r="W25" s="184"/>
    </row>
    <row r="26" spans="1:36">
      <c r="C26" s="132"/>
      <c r="D26" s="132"/>
      <c r="E26" s="132"/>
      <c r="F26" s="132"/>
      <c r="G26" s="132"/>
      <c r="H26" s="184"/>
      <c r="I26" s="184"/>
      <c r="J26" s="184"/>
      <c r="K26" s="184"/>
      <c r="L26" s="184"/>
      <c r="M26" s="184"/>
      <c r="N26" s="184"/>
      <c r="O26" s="184"/>
      <c r="P26" s="184"/>
      <c r="Q26" s="184"/>
      <c r="R26" s="184"/>
      <c r="S26" s="184"/>
      <c r="T26" s="184"/>
      <c r="U26" s="184"/>
      <c r="V26" s="184"/>
      <c r="W26" s="184"/>
    </row>
    <row r="27" spans="1:36" s="153" customFormat="1" ht="14.25" customHeight="1">
      <c r="A27" s="178"/>
      <c r="B27" s="182"/>
      <c r="C27" s="162" t="s">
        <v>493</v>
      </c>
      <c r="D27" s="179"/>
      <c r="E27" s="179"/>
      <c r="F27" s="179"/>
      <c r="G27" s="179"/>
      <c r="H27" s="190"/>
      <c r="I27" s="190"/>
      <c r="J27" s="190"/>
      <c r="K27" s="190"/>
      <c r="L27" s="190"/>
      <c r="M27" s="190"/>
      <c r="N27" s="190"/>
      <c r="O27" s="190"/>
      <c r="P27" s="191"/>
      <c r="Q27" s="191"/>
      <c r="R27" s="191"/>
      <c r="S27" s="191"/>
      <c r="T27" s="191"/>
      <c r="U27" s="191"/>
      <c r="V27" s="191"/>
      <c r="W27" s="191"/>
      <c r="AA27"/>
      <c r="AB27"/>
      <c r="AC27"/>
      <c r="AD27"/>
      <c r="AE27"/>
      <c r="AF27"/>
      <c r="AJ27" s="129"/>
    </row>
    <row r="28" spans="1:36" s="153" customFormat="1">
      <c r="A28" s="178"/>
      <c r="B28" s="182"/>
      <c r="C28" s="165"/>
      <c r="D28" s="179"/>
      <c r="E28" s="179"/>
      <c r="F28" s="179"/>
      <c r="G28" s="179"/>
      <c r="H28" s="190"/>
      <c r="I28" s="190"/>
      <c r="J28" s="190"/>
      <c r="K28" s="190"/>
      <c r="L28" s="190"/>
      <c r="M28" s="190"/>
      <c r="N28" s="190"/>
      <c r="O28" s="190"/>
      <c r="P28" s="191"/>
      <c r="Q28" s="191"/>
      <c r="R28" s="191"/>
      <c r="S28" s="191"/>
      <c r="T28" s="191"/>
      <c r="U28" s="191"/>
      <c r="V28" s="191"/>
      <c r="W28" s="191"/>
      <c r="AA28"/>
      <c r="AB28"/>
      <c r="AC28"/>
      <c r="AD28"/>
      <c r="AE28"/>
      <c r="AF28"/>
      <c r="AJ28" s="129"/>
    </row>
    <row r="29" spans="1:36">
      <c r="C29" s="183" t="s">
        <v>494</v>
      </c>
      <c r="D29" s="192"/>
      <c r="E29" s="192"/>
      <c r="F29" s="192"/>
      <c r="G29" s="192"/>
      <c r="H29" s="184"/>
      <c r="I29" s="184">
        <f t="shared" ref="I29:W29" si="14">H33</f>
        <v>0</v>
      </c>
      <c r="J29" s="184">
        <f t="shared" si="14"/>
        <v>0</v>
      </c>
      <c r="K29" s="184">
        <f t="shared" si="14"/>
        <v>0</v>
      </c>
      <c r="L29" s="184">
        <f t="shared" si="14"/>
        <v>0</v>
      </c>
      <c r="M29" s="184">
        <f t="shared" si="14"/>
        <v>1074.2183010834356</v>
      </c>
      <c r="N29" s="184">
        <f t="shared" si="14"/>
        <v>1157.1961799276962</v>
      </c>
      <c r="O29" s="184">
        <f t="shared" si="14"/>
        <v>1265.9916936719167</v>
      </c>
      <c r="P29" s="184">
        <f t="shared" si="14"/>
        <v>1360.1393494811391</v>
      </c>
      <c r="Q29" s="184">
        <f t="shared" si="14"/>
        <v>1575.2314076313085</v>
      </c>
      <c r="R29" s="184">
        <f t="shared" si="14"/>
        <v>1602.6180683715429</v>
      </c>
      <c r="S29" s="184">
        <f t="shared" si="14"/>
        <v>1659.7784957184874</v>
      </c>
      <c r="T29" s="184">
        <f t="shared" si="14"/>
        <v>1700.1542717960174</v>
      </c>
      <c r="U29" s="184">
        <f t="shared" si="14"/>
        <v>1738.9304122223932</v>
      </c>
      <c r="V29" s="184">
        <f t="shared" si="14"/>
        <v>1776.246732884445</v>
      </c>
      <c r="W29" s="184">
        <f t="shared" si="14"/>
        <v>1812.2253195034</v>
      </c>
    </row>
    <row r="30" spans="1:36">
      <c r="C30" s="186" t="s">
        <v>495</v>
      </c>
      <c r="D30" s="193"/>
      <c r="E30" s="193"/>
      <c r="F30" s="193"/>
      <c r="G30" s="193"/>
      <c r="H30" s="184">
        <f t="shared" ref="H30:W30" si="15">IF(H8=$F$5,0,IF(H8&gt;$F$5,H29*G44+H45*H32,0))</f>
        <v>0</v>
      </c>
      <c r="I30" s="184">
        <f t="shared" si="15"/>
        <v>0</v>
      </c>
      <c r="J30" s="184">
        <f t="shared" si="15"/>
        <v>0</v>
      </c>
      <c r="K30" s="184">
        <f t="shared" si="15"/>
        <v>12.980401520108551</v>
      </c>
      <c r="L30" s="184">
        <f t="shared" si="15"/>
        <v>99.932062083756023</v>
      </c>
      <c r="M30" s="184">
        <f t="shared" si="15"/>
        <v>6.8123579722962102</v>
      </c>
      <c r="N30" s="184">
        <f t="shared" si="15"/>
        <v>6.8289328779075582</v>
      </c>
      <c r="O30" s="184">
        <f t="shared" si="15"/>
        <v>15.661053825164696</v>
      </c>
      <c r="P30" s="184">
        <f t="shared" si="15"/>
        <v>119.1401339665085</v>
      </c>
      <c r="Q30" s="184">
        <f t="shared" si="15"/>
        <v>116.57794059703221</v>
      </c>
      <c r="R30" s="184">
        <f t="shared" si="15"/>
        <v>116.81553280087854</v>
      </c>
      <c r="S30" s="184">
        <f t="shared" si="15"/>
        <v>116.52398364054267</v>
      </c>
      <c r="T30" s="184">
        <f t="shared" si="15"/>
        <v>116.44731214064872</v>
      </c>
      <c r="U30" s="184">
        <f t="shared" si="15"/>
        <v>116.54091581061027</v>
      </c>
      <c r="V30" s="184">
        <f t="shared" si="15"/>
        <v>116.78767367048476</v>
      </c>
      <c r="W30" s="184">
        <f t="shared" si="15"/>
        <v>117.17182151122178</v>
      </c>
    </row>
    <row r="31" spans="1:36">
      <c r="C31" s="186" t="s">
        <v>496</v>
      </c>
      <c r="D31" s="193"/>
      <c r="E31" s="193"/>
      <c r="F31" s="193"/>
      <c r="G31" s="193"/>
      <c r="H31" s="184"/>
      <c r="I31" s="184">
        <f t="shared" ref="I31:W31" si="16">-I11</f>
        <v>0</v>
      </c>
      <c r="J31" s="184">
        <f t="shared" si="16"/>
        <v>-165.09700000000001</v>
      </c>
      <c r="K31" s="184">
        <f t="shared" si="16"/>
        <v>-175.14599999999999</v>
      </c>
      <c r="L31" s="184">
        <f t="shared" si="16"/>
        <v>-197.875</v>
      </c>
      <c r="M31" s="184">
        <f t="shared" si="16"/>
        <v>0</v>
      </c>
      <c r="N31" s="184">
        <f t="shared" si="16"/>
        <v>0</v>
      </c>
      <c r="O31" s="184">
        <f t="shared" si="16"/>
        <v>-267.89400000000001</v>
      </c>
      <c r="P31" s="184">
        <f t="shared" si="16"/>
        <v>-285.49599999999998</v>
      </c>
      <c r="Q31" s="184">
        <f t="shared" si="16"/>
        <v>-291.20591999999999</v>
      </c>
      <c r="R31" s="184">
        <f t="shared" si="16"/>
        <v>-297.03003840000002</v>
      </c>
      <c r="S31" s="184">
        <f t="shared" si="16"/>
        <v>-302.97063916800005</v>
      </c>
      <c r="T31" s="184">
        <f t="shared" si="16"/>
        <v>-309.03005195136006</v>
      </c>
      <c r="U31" s="184">
        <f t="shared" si="16"/>
        <v>-315.21065299038725</v>
      </c>
      <c r="V31" s="184">
        <f t="shared" si="16"/>
        <v>-321.514866050195</v>
      </c>
      <c r="W31" s="184">
        <f t="shared" si="16"/>
        <v>-327.94516337119893</v>
      </c>
    </row>
    <row r="32" spans="1:36">
      <c r="C32" s="186" t="s">
        <v>497</v>
      </c>
      <c r="D32" s="193"/>
      <c r="E32" s="193"/>
      <c r="F32" s="193"/>
      <c r="G32" s="193"/>
      <c r="H32" s="187"/>
      <c r="I32" s="187">
        <f t="shared" ref="I32:W32" si="17">IF(I8&gt;$F$5,I22,0)</f>
        <v>0</v>
      </c>
      <c r="J32" s="187">
        <f t="shared" si="17"/>
        <v>165.09700000000001</v>
      </c>
      <c r="K32" s="187">
        <f t="shared" si="17"/>
        <v>162.16559847989146</v>
      </c>
      <c r="L32" s="187">
        <f t="shared" si="17"/>
        <v>1172.1612389996797</v>
      </c>
      <c r="M32" s="187">
        <f t="shared" si="17"/>
        <v>76.165520871964418</v>
      </c>
      <c r="N32" s="187">
        <f t="shared" si="17"/>
        <v>101.96658086631274</v>
      </c>
      <c r="O32" s="187">
        <f t="shared" si="17"/>
        <v>346.38060198405759</v>
      </c>
      <c r="P32" s="187">
        <f t="shared" si="17"/>
        <v>381.44792418366086</v>
      </c>
      <c r="Q32" s="187">
        <f t="shared" si="17"/>
        <v>202.01464014320197</v>
      </c>
      <c r="R32" s="187">
        <f t="shared" si="17"/>
        <v>237.37493294606597</v>
      </c>
      <c r="S32" s="187">
        <f t="shared" si="17"/>
        <v>226.82243160498737</v>
      </c>
      <c r="T32" s="187">
        <f t="shared" si="17"/>
        <v>231.35888023708708</v>
      </c>
      <c r="U32" s="187">
        <f t="shared" si="17"/>
        <v>235.98605784182885</v>
      </c>
      <c r="V32" s="187">
        <f t="shared" si="17"/>
        <v>240.70577899866532</v>
      </c>
      <c r="W32" s="187">
        <f t="shared" si="17"/>
        <v>245.5198945786388</v>
      </c>
    </row>
    <row r="33" spans="1:36" s="197" customFormat="1">
      <c r="A33" s="194"/>
      <c r="B33" s="195"/>
      <c r="C33" s="188" t="s">
        <v>498</v>
      </c>
      <c r="D33" s="196"/>
      <c r="E33" s="196"/>
      <c r="F33" s="196"/>
      <c r="G33" s="196"/>
      <c r="H33" s="189">
        <f t="shared" ref="H33:W33" si="18">IF(H8=$F$5,NPV(H44,H77:H95),IF(H8&lt;$F$5,0,SUM(H29:H32)))</f>
        <v>0</v>
      </c>
      <c r="I33" s="189">
        <f t="shared" si="18"/>
        <v>0</v>
      </c>
      <c r="J33" s="189">
        <f t="shared" si="18"/>
        <v>0</v>
      </c>
      <c r="K33" s="189">
        <f t="shared" si="18"/>
        <v>0</v>
      </c>
      <c r="L33" s="189">
        <f t="shared" si="18"/>
        <v>1074.2183010834356</v>
      </c>
      <c r="M33" s="189">
        <f t="shared" si="18"/>
        <v>1157.1961799276962</v>
      </c>
      <c r="N33" s="189">
        <f t="shared" si="18"/>
        <v>1265.9916936719167</v>
      </c>
      <c r="O33" s="189">
        <f t="shared" si="18"/>
        <v>1360.1393494811391</v>
      </c>
      <c r="P33" s="189">
        <f t="shared" si="18"/>
        <v>1575.2314076313085</v>
      </c>
      <c r="Q33" s="189">
        <f t="shared" si="18"/>
        <v>1602.6180683715429</v>
      </c>
      <c r="R33" s="189">
        <f t="shared" si="18"/>
        <v>1659.7784957184874</v>
      </c>
      <c r="S33" s="189">
        <f t="shared" si="18"/>
        <v>1700.1542717960174</v>
      </c>
      <c r="T33" s="189">
        <f t="shared" si="18"/>
        <v>1738.9304122223932</v>
      </c>
      <c r="U33" s="189">
        <f t="shared" si="18"/>
        <v>1776.246732884445</v>
      </c>
      <c r="V33" s="189">
        <f t="shared" si="18"/>
        <v>1812.2253195034</v>
      </c>
      <c r="W33" s="189">
        <f t="shared" si="18"/>
        <v>1846.9718722220616</v>
      </c>
      <c r="AA33"/>
      <c r="AB33"/>
      <c r="AC33"/>
      <c r="AD33"/>
      <c r="AE33"/>
      <c r="AF33"/>
      <c r="AJ33" s="198"/>
    </row>
    <row r="34" spans="1:36">
      <c r="C34" s="199"/>
      <c r="D34" s="192"/>
      <c r="E34" s="192"/>
      <c r="F34" s="192"/>
      <c r="G34" s="192"/>
      <c r="H34" s="200"/>
      <c r="I34" s="200"/>
      <c r="J34" s="200"/>
      <c r="K34" s="200"/>
      <c r="L34" s="200"/>
      <c r="M34" s="200"/>
      <c r="N34" s="200"/>
      <c r="O34" s="200"/>
      <c r="P34" s="200"/>
      <c r="Q34" s="200"/>
      <c r="R34" s="200"/>
      <c r="S34" s="200"/>
      <c r="T34" s="200"/>
      <c r="U34" s="200"/>
      <c r="V34" s="200"/>
      <c r="W34" s="200"/>
    </row>
    <row r="35" spans="1:36" s="208" customFormat="1">
      <c r="A35" s="201"/>
      <c r="B35" s="202"/>
      <c r="C35" s="203" t="s">
        <v>499</v>
      </c>
      <c r="D35" s="204"/>
      <c r="E35" s="204"/>
      <c r="F35" s="204"/>
      <c r="G35" s="205">
        <v>0.89</v>
      </c>
      <c r="H35" s="206">
        <f t="shared" ref="H35:W35" si="19">IF(ISERROR(IF($F$5=H8,$G$35,IF(H8&gt;$F$5,H24/H33,""))),0,IF($F$5=H8,$G$35,IF(H8&gt;$F$5,H24/H33,"")))</f>
        <v>0.89</v>
      </c>
      <c r="I35" s="206">
        <f t="shared" si="19"/>
        <v>0</v>
      </c>
      <c r="J35" s="206">
        <f t="shared" si="19"/>
        <v>0</v>
      </c>
      <c r="K35" s="206">
        <f t="shared" si="19"/>
        <v>0</v>
      </c>
      <c r="L35" s="206">
        <f t="shared" si="19"/>
        <v>1.2104108565011624</v>
      </c>
      <c r="M35" s="206">
        <f t="shared" si="19"/>
        <v>1.0532804204353594</v>
      </c>
      <c r="N35" s="206">
        <f t="shared" si="19"/>
        <v>0.91079828693076847</v>
      </c>
      <c r="O35" s="206">
        <f t="shared" si="19"/>
        <v>0.95361553521969988</v>
      </c>
      <c r="P35" s="206">
        <f t="shared" si="19"/>
        <v>0.91285603144252281</v>
      </c>
      <c r="Q35" s="206">
        <f t="shared" si="19"/>
        <v>0.86061317302239837</v>
      </c>
      <c r="R35" s="206">
        <f t="shared" si="19"/>
        <v>0.80259610152750394</v>
      </c>
      <c r="S35" s="206">
        <f t="shared" si="19"/>
        <v>0.73628290998408696</v>
      </c>
      <c r="T35" s="206">
        <f t="shared" si="19"/>
        <v>0.67246370047135207</v>
      </c>
      <c r="U35" s="206">
        <f t="shared" si="19"/>
        <v>0.61038015533944445</v>
      </c>
      <c r="V35" s="206">
        <f t="shared" si="19"/>
        <v>0.60526094021831844</v>
      </c>
      <c r="W35" s="206">
        <f t="shared" si="19"/>
        <v>0.59417868756710235</v>
      </c>
      <c r="X35" s="207"/>
      <c r="AA35"/>
      <c r="AB35"/>
      <c r="AC35"/>
      <c r="AD35"/>
      <c r="AE35"/>
      <c r="AF35"/>
      <c r="AJ35" s="209"/>
    </row>
    <row r="36" spans="1:36">
      <c r="C36" s="210"/>
      <c r="H36" s="211"/>
      <c r="I36" s="211"/>
      <c r="J36" s="211"/>
      <c r="K36" s="211"/>
      <c r="L36" s="211"/>
      <c r="M36" s="211"/>
      <c r="N36" s="211"/>
      <c r="O36" s="211"/>
      <c r="P36" s="211"/>
      <c r="Q36" s="211"/>
      <c r="R36" s="211"/>
      <c r="S36" s="211"/>
      <c r="T36" s="211"/>
      <c r="U36" s="211"/>
      <c r="V36" s="211"/>
      <c r="W36" s="211"/>
    </row>
    <row r="37" spans="1:36">
      <c r="C37" s="212" t="s">
        <v>500</v>
      </c>
      <c r="D37" s="213"/>
      <c r="E37" s="213"/>
      <c r="F37" s="213"/>
      <c r="G37" s="213"/>
      <c r="H37" s="189">
        <f t="shared" ref="H37:W37" si="20">(H24-H33)*(1-$G$56)</f>
        <v>0</v>
      </c>
      <c r="I37" s="189">
        <f t="shared" si="20"/>
        <v>0</v>
      </c>
      <c r="J37" s="189">
        <f t="shared" si="20"/>
        <v>148.5873</v>
      </c>
      <c r="K37" s="189">
        <f t="shared" si="20"/>
        <v>278.0266386319023</v>
      </c>
      <c r="L37" s="189">
        <f t="shared" si="20"/>
        <v>226.02719280018937</v>
      </c>
      <c r="M37" s="189">
        <f t="shared" si="20"/>
        <v>61.655898992739594</v>
      </c>
      <c r="N37" s="189">
        <f t="shared" si="20"/>
        <v>-112.92862780695282</v>
      </c>
      <c r="O37" s="189">
        <f t="shared" si="20"/>
        <v>-63.089335752308216</v>
      </c>
      <c r="P37" s="189">
        <f t="shared" si="20"/>
        <v>-137.27191625737328</v>
      </c>
      <c r="Q37" s="189">
        <f t="shared" si="20"/>
        <v>-223.38384740728247</v>
      </c>
      <c r="R37" s="189">
        <f t="shared" si="20"/>
        <v>-327.64674565564451</v>
      </c>
      <c r="S37" s="189">
        <f t="shared" si="20"/>
        <v>-448.35973713616931</v>
      </c>
      <c r="T37" s="189">
        <f t="shared" si="20"/>
        <v>-569.56283235714909</v>
      </c>
      <c r="U37" s="189">
        <f t="shared" si="20"/>
        <v>-692.06097614525675</v>
      </c>
      <c r="V37" s="189">
        <f t="shared" si="20"/>
        <v>-715.35611873332959</v>
      </c>
      <c r="W37" s="189">
        <f t="shared" si="20"/>
        <v>-749.54054921180318</v>
      </c>
    </row>
    <row r="38" spans="1:36">
      <c r="C38" s="214" t="s">
        <v>501</v>
      </c>
      <c r="D38" s="168"/>
      <c r="E38" s="168"/>
      <c r="F38" s="168"/>
      <c r="G38" s="168"/>
      <c r="H38" s="169"/>
      <c r="I38" s="174">
        <f t="shared" ref="I38:W38" si="21">I11+I15</f>
        <v>0</v>
      </c>
      <c r="J38" s="174">
        <f t="shared" si="21"/>
        <v>165.09700000000001</v>
      </c>
      <c r="K38" s="174">
        <f t="shared" si="21"/>
        <v>162.16559847989143</v>
      </c>
      <c r="L38" s="174">
        <f t="shared" si="21"/>
        <v>97.942937916243977</v>
      </c>
      <c r="M38" s="174">
        <f t="shared" si="21"/>
        <v>0</v>
      </c>
      <c r="N38" s="174">
        <f t="shared" si="21"/>
        <v>0</v>
      </c>
      <c r="O38" s="174">
        <f t="shared" si="21"/>
        <v>267.89400000000001</v>
      </c>
      <c r="P38" s="174">
        <f t="shared" si="21"/>
        <v>285.49599999999998</v>
      </c>
      <c r="Q38" s="174">
        <f t="shared" si="21"/>
        <v>174.62797940296778</v>
      </c>
      <c r="R38" s="174">
        <f t="shared" si="21"/>
        <v>180.21450559912148</v>
      </c>
      <c r="S38" s="174">
        <f t="shared" si="21"/>
        <v>186.44665552745738</v>
      </c>
      <c r="T38" s="174">
        <f t="shared" si="21"/>
        <v>192.58273981071136</v>
      </c>
      <c r="U38" s="174">
        <f t="shared" si="21"/>
        <v>198.66973717977697</v>
      </c>
      <c r="V38" s="174">
        <f t="shared" si="21"/>
        <v>204.72719237971023</v>
      </c>
      <c r="W38" s="174">
        <f t="shared" si="21"/>
        <v>210.77334185997717</v>
      </c>
    </row>
    <row r="39" spans="1:36">
      <c r="C39" s="215" t="s">
        <v>502</v>
      </c>
      <c r="D39" s="216"/>
      <c r="E39" s="216"/>
      <c r="F39" s="216"/>
      <c r="G39" s="216"/>
      <c r="H39" s="217"/>
      <c r="I39" s="217">
        <f t="shared" ref="I39:W39" si="22">I37-H37</f>
        <v>0</v>
      </c>
      <c r="J39" s="217">
        <f t="shared" si="22"/>
        <v>148.5873</v>
      </c>
      <c r="K39" s="217">
        <f t="shared" si="22"/>
        <v>129.4393386319023</v>
      </c>
      <c r="L39" s="217">
        <f t="shared" si="22"/>
        <v>-51.999445831712933</v>
      </c>
      <c r="M39" s="217">
        <f t="shared" si="22"/>
        <v>-164.37129380744977</v>
      </c>
      <c r="N39" s="217">
        <f t="shared" si="22"/>
        <v>-174.58452679969241</v>
      </c>
      <c r="O39" s="217">
        <f t="shared" si="22"/>
        <v>49.839292054644602</v>
      </c>
      <c r="P39" s="217">
        <f t="shared" si="22"/>
        <v>-74.182580505065062</v>
      </c>
      <c r="Q39" s="217">
        <f t="shared" si="22"/>
        <v>-86.111931149909196</v>
      </c>
      <c r="R39" s="217">
        <f t="shared" si="22"/>
        <v>-104.26289824836203</v>
      </c>
      <c r="S39" s="217">
        <f t="shared" si="22"/>
        <v>-120.71299148052481</v>
      </c>
      <c r="T39" s="217">
        <f t="shared" si="22"/>
        <v>-121.20309522097978</v>
      </c>
      <c r="U39" s="217">
        <f t="shared" si="22"/>
        <v>-122.49814378810765</v>
      </c>
      <c r="V39" s="217">
        <f t="shared" si="22"/>
        <v>-23.295142588072849</v>
      </c>
      <c r="W39" s="217">
        <f t="shared" si="22"/>
        <v>-34.184430478473587</v>
      </c>
    </row>
    <row r="40" spans="1:36">
      <c r="Q40" s="218"/>
      <c r="R40" s="218"/>
      <c r="S40" s="218"/>
      <c r="T40" s="218"/>
      <c r="U40" s="218"/>
      <c r="V40" s="218"/>
      <c r="W40" s="218"/>
    </row>
    <row r="41" spans="1:36">
      <c r="Q41" s="219"/>
      <c r="R41" s="218"/>
      <c r="S41" s="218"/>
      <c r="T41" s="218"/>
      <c r="U41" s="218"/>
      <c r="V41" s="218"/>
      <c r="W41" s="218"/>
    </row>
    <row r="42" spans="1:36" s="153" customFormat="1" ht="14.25" customHeight="1">
      <c r="A42" s="178"/>
      <c r="B42" s="182"/>
      <c r="C42" s="220" t="s">
        <v>503</v>
      </c>
      <c r="D42" s="221"/>
      <c r="Q42" s="191"/>
      <c r="R42" s="191"/>
      <c r="S42" s="191"/>
      <c r="T42" s="191"/>
      <c r="U42" s="191"/>
      <c r="V42" s="191"/>
      <c r="W42" s="191"/>
      <c r="AA42"/>
      <c r="AB42"/>
      <c r="AC42"/>
      <c r="AD42"/>
      <c r="AE42"/>
      <c r="AF42"/>
      <c r="AJ42" s="129"/>
    </row>
    <row r="43" spans="1:36" s="226" customFormat="1">
      <c r="A43" s="222"/>
      <c r="B43" s="223"/>
      <c r="C43" s="224"/>
      <c r="D43" s="225"/>
      <c r="Q43" s="225"/>
      <c r="R43" s="225"/>
      <c r="S43" s="225"/>
      <c r="T43" s="225"/>
      <c r="U43" s="225"/>
      <c r="V43" s="225"/>
      <c r="W43" s="225"/>
      <c r="AA43"/>
      <c r="AB43"/>
      <c r="AC43"/>
      <c r="AD43"/>
      <c r="AE43"/>
      <c r="AF43"/>
      <c r="AJ43" s="227"/>
    </row>
    <row r="44" spans="1:36" s="208" customFormat="1" ht="14.25" customHeight="1">
      <c r="A44" s="228"/>
      <c r="B44" s="228"/>
      <c r="C44" s="229" t="s">
        <v>504</v>
      </c>
      <c r="D44" s="230"/>
      <c r="E44" s="230"/>
      <c r="F44" s="230"/>
      <c r="G44" s="228"/>
      <c r="H44" s="231">
        <v>0</v>
      </c>
      <c r="I44" s="231">
        <v>0</v>
      </c>
      <c r="J44" s="231">
        <v>0</v>
      </c>
      <c r="K44" s="231">
        <v>0</v>
      </c>
      <c r="L44" s="231">
        <v>0</v>
      </c>
      <c r="M44" s="231">
        <v>0</v>
      </c>
      <c r="N44" s="231">
        <v>0</v>
      </c>
      <c r="O44" s="231">
        <v>7.3385166812512795E-2</v>
      </c>
      <c r="P44" s="231">
        <v>6.7509355624640138E-2</v>
      </c>
      <c r="Q44" s="232">
        <f t="shared" ref="Q44:W44" si="23">(P44*(Q29+Q30+Q31)+Q45*Q32)/Q33</f>
        <v>6.5386083123337907E-2</v>
      </c>
      <c r="R44" s="232">
        <f t="shared" si="23"/>
        <v>6.328074042932863E-2</v>
      </c>
      <c r="S44" s="232">
        <f t="shared" si="23"/>
        <v>6.1597646146289271E-2</v>
      </c>
      <c r="T44" s="232">
        <f t="shared" si="23"/>
        <v>6.0143101727828205E-2</v>
      </c>
      <c r="U44" s="232">
        <f t="shared" si="23"/>
        <v>5.8883881197810128E-2</v>
      </c>
      <c r="V44" s="232">
        <f t="shared" si="23"/>
        <v>5.7792229735062033E-2</v>
      </c>
      <c r="W44" s="232">
        <f t="shared" si="23"/>
        <v>5.6844807273708262E-2</v>
      </c>
      <c r="AA44"/>
      <c r="AB44"/>
      <c r="AC44"/>
      <c r="AD44"/>
      <c r="AE44"/>
      <c r="AF44"/>
      <c r="AJ44" s="156" t="s">
        <v>505</v>
      </c>
    </row>
    <row r="45" spans="1:36" s="208" customFormat="1" ht="15" customHeight="1">
      <c r="A45" s="228"/>
      <c r="B45" s="228"/>
      <c r="C45" s="229" t="s">
        <v>506</v>
      </c>
      <c r="D45" s="230"/>
      <c r="E45" s="230"/>
      <c r="F45" s="230"/>
      <c r="G45" s="228"/>
      <c r="H45" s="233"/>
      <c r="I45" s="231">
        <v>0</v>
      </c>
      <c r="J45" s="231">
        <v>0</v>
      </c>
      <c r="K45" s="231">
        <v>8.0044113189136845E-2</v>
      </c>
      <c r="L45" s="231">
        <v>8.5254535603854181E-2</v>
      </c>
      <c r="M45" s="231">
        <v>8.9441493924106469E-2</v>
      </c>
      <c r="N45" s="231">
        <v>6.6972265029273628E-2</v>
      </c>
      <c r="O45" s="231">
        <v>4.5213426316192809E-2</v>
      </c>
      <c r="P45" s="231">
        <v>5.0665057249773562E-2</v>
      </c>
      <c r="Q45" s="234">
        <f t="shared" ref="Q45:W45" si="24">P45</f>
        <v>5.0665057249773562E-2</v>
      </c>
      <c r="R45" s="234">
        <f t="shared" si="24"/>
        <v>5.0665057249773562E-2</v>
      </c>
      <c r="S45" s="234">
        <f t="shared" si="24"/>
        <v>5.0665057249773562E-2</v>
      </c>
      <c r="T45" s="234">
        <f t="shared" si="24"/>
        <v>5.0665057249773562E-2</v>
      </c>
      <c r="U45" s="234">
        <f t="shared" si="24"/>
        <v>5.0665057249773562E-2</v>
      </c>
      <c r="V45" s="234">
        <f t="shared" si="24"/>
        <v>5.0665057249773562E-2</v>
      </c>
      <c r="W45" s="234">
        <f t="shared" si="24"/>
        <v>5.0665057249773562E-2</v>
      </c>
      <c r="AA45"/>
      <c r="AB45"/>
      <c r="AC45"/>
      <c r="AD45"/>
      <c r="AE45"/>
      <c r="AF45"/>
      <c r="AJ45" s="156" t="s">
        <v>507</v>
      </c>
    </row>
    <row r="46" spans="1:36">
      <c r="C46" s="235"/>
      <c r="I46" s="236"/>
      <c r="J46" s="236"/>
      <c r="K46" s="236"/>
      <c r="L46" s="236"/>
      <c r="M46" s="236"/>
      <c r="N46" s="236"/>
      <c r="O46" s="236"/>
      <c r="P46" s="236"/>
      <c r="Q46" s="237"/>
      <c r="R46" s="133"/>
      <c r="T46" s="150"/>
      <c r="U46" s="150"/>
      <c r="V46" s="150"/>
      <c r="W46" s="150"/>
    </row>
    <row r="47" spans="1:36">
      <c r="C47" s="238" t="s">
        <v>508</v>
      </c>
      <c r="D47" s="221"/>
      <c r="E47" s="221"/>
      <c r="F47" s="221"/>
      <c r="G47" s="221"/>
      <c r="H47" s="239">
        <v>10</v>
      </c>
      <c r="I47" s="239">
        <v>10</v>
      </c>
      <c r="J47" s="239">
        <v>10</v>
      </c>
      <c r="K47" s="239">
        <v>10</v>
      </c>
      <c r="L47" s="239">
        <v>10</v>
      </c>
      <c r="M47" s="239">
        <v>10</v>
      </c>
      <c r="N47" s="239">
        <v>10</v>
      </c>
      <c r="O47" s="239">
        <v>10</v>
      </c>
      <c r="P47" s="239">
        <v>10</v>
      </c>
      <c r="Q47" s="240">
        <f t="shared" ref="Q47:W47" si="25">P47*(1+Q48)</f>
        <v>10.1</v>
      </c>
      <c r="R47" s="240">
        <f t="shared" si="25"/>
        <v>10.201000000000001</v>
      </c>
      <c r="S47" s="240">
        <f t="shared" si="25"/>
        <v>10.30301</v>
      </c>
      <c r="T47" s="240">
        <f t="shared" si="25"/>
        <v>10.4060401</v>
      </c>
      <c r="U47" s="240">
        <f t="shared" si="25"/>
        <v>10.510100501</v>
      </c>
      <c r="V47" s="240">
        <f t="shared" si="25"/>
        <v>10.615201506010001</v>
      </c>
      <c r="W47" s="240">
        <f t="shared" si="25"/>
        <v>10.721353521070101</v>
      </c>
    </row>
    <row r="48" spans="1:36">
      <c r="B48" s="182"/>
      <c r="C48" s="210" t="s">
        <v>509</v>
      </c>
      <c r="H48" s="241"/>
      <c r="I48" s="241">
        <f t="shared" ref="I48:P48" si="26">I47/H47-1</f>
        <v>0</v>
      </c>
      <c r="J48" s="241">
        <f t="shared" si="26"/>
        <v>0</v>
      </c>
      <c r="K48" s="241">
        <f t="shared" si="26"/>
        <v>0</v>
      </c>
      <c r="L48" s="241">
        <f t="shared" si="26"/>
        <v>0</v>
      </c>
      <c r="M48" s="241">
        <f t="shared" si="26"/>
        <v>0</v>
      </c>
      <c r="N48" s="241">
        <f t="shared" si="26"/>
        <v>0</v>
      </c>
      <c r="O48" s="241">
        <f t="shared" si="26"/>
        <v>0</v>
      </c>
      <c r="P48" s="241">
        <f t="shared" si="26"/>
        <v>0</v>
      </c>
      <c r="Q48" s="242">
        <v>0.01</v>
      </c>
      <c r="R48" s="242">
        <v>0.01</v>
      </c>
      <c r="S48" s="242">
        <v>0.01</v>
      </c>
      <c r="T48" s="242">
        <v>0.01</v>
      </c>
      <c r="U48" s="242">
        <v>0.01</v>
      </c>
      <c r="V48" s="242">
        <v>0.01</v>
      </c>
      <c r="W48" s="242">
        <v>0.01</v>
      </c>
    </row>
    <row r="49" spans="1:36">
      <c r="B49" s="182"/>
      <c r="C49" s="210" t="s">
        <v>510</v>
      </c>
      <c r="H49" s="243"/>
      <c r="I49" s="244"/>
      <c r="J49" s="243"/>
      <c r="K49" s="243"/>
      <c r="L49" s="243"/>
      <c r="M49" s="243"/>
      <c r="N49" s="245"/>
      <c r="O49" s="245"/>
      <c r="P49" s="245"/>
      <c r="Q49" s="245"/>
      <c r="R49" s="245"/>
      <c r="S49" s="245"/>
      <c r="T49" s="245"/>
      <c r="U49" s="245"/>
      <c r="V49" s="245"/>
      <c r="W49" s="245"/>
    </row>
    <row r="50" spans="1:36">
      <c r="B50" s="182"/>
      <c r="C50" s="210"/>
      <c r="H50" s="243"/>
      <c r="I50" s="244"/>
      <c r="J50" s="243"/>
      <c r="K50" s="243"/>
      <c r="L50" s="243"/>
      <c r="M50" s="243"/>
      <c r="N50" s="245"/>
      <c r="O50" s="245"/>
      <c r="P50" s="245"/>
      <c r="Q50" s="245"/>
      <c r="R50" s="245"/>
      <c r="S50" s="245"/>
      <c r="T50" s="245"/>
      <c r="U50" s="245"/>
      <c r="V50" s="245"/>
      <c r="W50" s="245"/>
    </row>
    <row r="51" spans="1:36">
      <c r="B51" s="182"/>
      <c r="C51" s="210" t="s">
        <v>511</v>
      </c>
      <c r="H51" s="246"/>
      <c r="I51" s="246">
        <f t="shared" ref="I51:W51" si="27">IF(ISERROR(I54/I47),0,I54/I47)</f>
        <v>0</v>
      </c>
      <c r="J51" s="246">
        <f t="shared" si="27"/>
        <v>16.509700000000002</v>
      </c>
      <c r="K51" s="246">
        <f t="shared" si="27"/>
        <v>16.216559847989146</v>
      </c>
      <c r="L51" s="246">
        <f t="shared" si="27"/>
        <v>117.21612389996797</v>
      </c>
      <c r="M51" s="246">
        <f t="shared" si="27"/>
        <v>7.6165520871964416</v>
      </c>
      <c r="N51" s="246">
        <f t="shared" si="27"/>
        <v>10.196658086631274</v>
      </c>
      <c r="O51" s="246">
        <f t="shared" si="27"/>
        <v>34.638060198405761</v>
      </c>
      <c r="P51" s="246">
        <f t="shared" si="27"/>
        <v>38.144792418366087</v>
      </c>
      <c r="Q51" s="246">
        <f t="shared" si="27"/>
        <v>20.001449519128908</v>
      </c>
      <c r="R51" s="246">
        <f t="shared" si="27"/>
        <v>23.269770899526122</v>
      </c>
      <c r="S51" s="246">
        <f t="shared" si="27"/>
        <v>22.015161744479268</v>
      </c>
      <c r="T51" s="246">
        <f t="shared" si="27"/>
        <v>22.233133642939457</v>
      </c>
      <c r="U51" s="246">
        <f t="shared" si="27"/>
        <v>22.453263679008167</v>
      </c>
      <c r="V51" s="246">
        <f t="shared" si="27"/>
        <v>22.675573220384475</v>
      </c>
      <c r="W51" s="246">
        <f t="shared" si="27"/>
        <v>22.90008384632889</v>
      </c>
    </row>
    <row r="52" spans="1:36">
      <c r="B52" s="182"/>
      <c r="C52" s="210" t="s">
        <v>512</v>
      </c>
      <c r="H52" s="241"/>
      <c r="I52" s="247"/>
      <c r="J52" s="247">
        <f t="shared" ref="J52:W52" si="28">IF(ISERROR(J51/I51-1),0,J51/I51-1)</f>
        <v>0</v>
      </c>
      <c r="K52" s="247">
        <f t="shared" si="28"/>
        <v>-1.7755631659621685E-2</v>
      </c>
      <c r="L52" s="247">
        <f t="shared" si="28"/>
        <v>6.2281744709561675</v>
      </c>
      <c r="M52" s="247">
        <f t="shared" si="28"/>
        <v>-0.93502129371129528</v>
      </c>
      <c r="N52" s="247">
        <f t="shared" si="28"/>
        <v>0.33874986606761825</v>
      </c>
      <c r="O52" s="247">
        <f t="shared" si="28"/>
        <v>2.3970012433602474</v>
      </c>
      <c r="P52" s="247">
        <f t="shared" si="28"/>
        <v>0.10123927840860225</v>
      </c>
      <c r="Q52" s="247">
        <f t="shared" si="28"/>
        <v>-0.47564403287987111</v>
      </c>
      <c r="R52" s="247">
        <f t="shared" si="28"/>
        <v>0.16340422614228389</v>
      </c>
      <c r="S52" s="247">
        <f t="shared" si="28"/>
        <v>-5.3915836149138974E-2</v>
      </c>
      <c r="T52" s="247">
        <f t="shared" si="28"/>
        <v>9.9009900990096877E-3</v>
      </c>
      <c r="U52" s="247">
        <f t="shared" si="28"/>
        <v>9.9009900990099098E-3</v>
      </c>
      <c r="V52" s="247">
        <f t="shared" si="28"/>
        <v>9.9009900990094657E-3</v>
      </c>
      <c r="W52" s="247">
        <f t="shared" si="28"/>
        <v>9.9009900990105759E-3</v>
      </c>
    </row>
    <row r="53" spans="1:36">
      <c r="B53" s="182"/>
      <c r="C53" s="210"/>
      <c r="H53" s="241"/>
      <c r="I53" s="241"/>
      <c r="J53" s="241"/>
      <c r="K53" s="241"/>
      <c r="L53" s="241"/>
      <c r="M53" s="241"/>
      <c r="N53" s="241"/>
      <c r="O53" s="241"/>
      <c r="P53" s="241"/>
      <c r="Q53" s="241"/>
      <c r="R53" s="241"/>
      <c r="S53" s="241"/>
      <c r="T53" s="241"/>
      <c r="U53" s="241"/>
      <c r="V53" s="241"/>
      <c r="W53" s="241"/>
    </row>
    <row r="54" spans="1:36">
      <c r="B54" s="182"/>
      <c r="C54" s="210" t="s">
        <v>513</v>
      </c>
      <c r="H54" s="248"/>
      <c r="I54" s="248">
        <f t="shared" ref="I54:W54" si="29">IF(ISERROR(I143),0,I143)</f>
        <v>0</v>
      </c>
      <c r="J54" s="248">
        <f t="shared" si="29"/>
        <v>165.09700000000001</v>
      </c>
      <c r="K54" s="248">
        <f t="shared" si="29"/>
        <v>162.16559847989146</v>
      </c>
      <c r="L54" s="248">
        <f t="shared" si="29"/>
        <v>1172.1612389996797</v>
      </c>
      <c r="M54" s="248">
        <f t="shared" si="29"/>
        <v>76.165520871964418</v>
      </c>
      <c r="N54" s="248">
        <f t="shared" si="29"/>
        <v>101.96658086631274</v>
      </c>
      <c r="O54" s="248">
        <f t="shared" si="29"/>
        <v>346.38060198405759</v>
      </c>
      <c r="P54" s="248">
        <f t="shared" si="29"/>
        <v>381.44792418366086</v>
      </c>
      <c r="Q54" s="248">
        <f t="shared" si="29"/>
        <v>202.01464014320197</v>
      </c>
      <c r="R54" s="248">
        <f t="shared" si="29"/>
        <v>237.37493294606597</v>
      </c>
      <c r="S54" s="248">
        <f t="shared" si="29"/>
        <v>226.82243160498737</v>
      </c>
      <c r="T54" s="248">
        <f t="shared" si="29"/>
        <v>231.35888023708708</v>
      </c>
      <c r="U54" s="248">
        <f t="shared" si="29"/>
        <v>235.98605784182885</v>
      </c>
      <c r="V54" s="248">
        <f t="shared" si="29"/>
        <v>240.70577899866532</v>
      </c>
      <c r="W54" s="248">
        <f t="shared" si="29"/>
        <v>245.5198945786388</v>
      </c>
    </row>
    <row r="55" spans="1:36">
      <c r="B55" s="182"/>
      <c r="C55" s="210"/>
      <c r="H55" s="128"/>
      <c r="I55" s="249"/>
      <c r="J55" s="247">
        <f t="shared" ref="J55:W55" si="30">IF(ISERROR(J54/I54-1),0,J54/I54-1)</f>
        <v>0</v>
      </c>
      <c r="K55" s="247">
        <f t="shared" si="30"/>
        <v>-1.7755631659621574E-2</v>
      </c>
      <c r="L55" s="247">
        <f t="shared" si="30"/>
        <v>6.2281744709561675</v>
      </c>
      <c r="M55" s="247">
        <f t="shared" si="30"/>
        <v>-0.93502129371129528</v>
      </c>
      <c r="N55" s="247">
        <f t="shared" si="30"/>
        <v>0.33874986606761825</v>
      </c>
      <c r="O55" s="247">
        <f t="shared" si="30"/>
        <v>2.3970012433602474</v>
      </c>
      <c r="P55" s="247">
        <f t="shared" si="30"/>
        <v>0.10123927840860225</v>
      </c>
      <c r="Q55" s="247">
        <f t="shared" si="30"/>
        <v>-0.47040047320866984</v>
      </c>
      <c r="R55" s="247">
        <f t="shared" si="30"/>
        <v>0.17503826840370662</v>
      </c>
      <c r="S55" s="247">
        <f t="shared" si="30"/>
        <v>-4.4454994510630286E-2</v>
      </c>
      <c r="T55" s="247">
        <f t="shared" si="30"/>
        <v>1.9999999999999796E-2</v>
      </c>
      <c r="U55" s="247">
        <f t="shared" si="30"/>
        <v>2.000000000000024E-2</v>
      </c>
      <c r="V55" s="247">
        <f t="shared" si="30"/>
        <v>1.9999999999999574E-2</v>
      </c>
      <c r="W55" s="247">
        <f t="shared" si="30"/>
        <v>2.0000000000000684E-2</v>
      </c>
    </row>
    <row r="56" spans="1:36" ht="12" customHeight="1">
      <c r="B56" s="182"/>
      <c r="C56" s="238" t="s">
        <v>514</v>
      </c>
      <c r="D56" s="179"/>
      <c r="E56" s="179"/>
      <c r="F56" s="179"/>
      <c r="G56" s="250">
        <f>_xll.ThomsonONEAddinShim.SpreadsheetFormulas.TF(SedolTicker,"ZAV(TF.FN.TaxRate(period=FY0))")/100</f>
        <v>0</v>
      </c>
      <c r="I56" s="251"/>
      <c r="J56" s="249"/>
      <c r="K56" s="249"/>
      <c r="L56" s="249"/>
      <c r="M56" s="249"/>
      <c r="N56" s="249"/>
      <c r="O56" s="249"/>
      <c r="P56" s="249"/>
      <c r="Q56" s="249"/>
      <c r="R56" s="249"/>
      <c r="S56" s="249"/>
      <c r="T56" s="249"/>
      <c r="U56" s="249"/>
      <c r="V56" s="249"/>
      <c r="W56" s="249"/>
    </row>
    <row r="57" spans="1:36">
      <c r="B57" s="182"/>
      <c r="C57" s="210"/>
      <c r="D57" s="221"/>
      <c r="E57" s="221"/>
      <c r="F57" s="221"/>
      <c r="G57" s="221"/>
      <c r="H57" s="249"/>
      <c r="I57" s="249"/>
      <c r="J57" s="252"/>
      <c r="K57" s="252"/>
      <c r="L57" s="252"/>
      <c r="M57" s="252"/>
      <c r="N57" s="252"/>
      <c r="O57" s="252"/>
      <c r="P57" s="252"/>
      <c r="Q57" s="252"/>
      <c r="R57" s="252"/>
      <c r="S57" s="252"/>
      <c r="T57" s="252"/>
      <c r="U57" s="252"/>
      <c r="V57" s="252"/>
      <c r="W57" s="252"/>
    </row>
    <row r="58" spans="1:36">
      <c r="B58" s="182"/>
      <c r="C58" s="210" t="s">
        <v>515</v>
      </c>
      <c r="D58" s="221"/>
      <c r="E58" s="221"/>
      <c r="F58" s="221"/>
      <c r="G58" s="221"/>
      <c r="H58" s="249"/>
      <c r="I58" s="249"/>
      <c r="J58" s="253">
        <v>0.8</v>
      </c>
      <c r="K58" s="253">
        <v>0.8</v>
      </c>
      <c r="L58" s="253">
        <v>0.8</v>
      </c>
      <c r="M58" s="253">
        <v>0.8</v>
      </c>
      <c r="N58" s="253">
        <v>0.8</v>
      </c>
      <c r="O58" s="253">
        <v>0.8</v>
      </c>
      <c r="P58" s="253">
        <v>0.8</v>
      </c>
      <c r="Q58" s="253">
        <v>0.8</v>
      </c>
      <c r="R58" s="253">
        <v>0.8</v>
      </c>
      <c r="S58" s="253">
        <v>0.8</v>
      </c>
      <c r="T58" s="253">
        <v>0.8</v>
      </c>
      <c r="U58" s="253">
        <v>0.8</v>
      </c>
      <c r="V58" s="253">
        <v>0.8</v>
      </c>
      <c r="W58" s="253">
        <v>0.8</v>
      </c>
    </row>
    <row r="59" spans="1:36" s="260" customFormat="1">
      <c r="A59" s="254"/>
      <c r="B59" s="255"/>
      <c r="C59" s="238" t="s">
        <v>516</v>
      </c>
      <c r="D59" s="179"/>
      <c r="E59" s="179"/>
      <c r="F59" s="179"/>
      <c r="G59" s="179"/>
      <c r="H59" s="256"/>
      <c r="I59" s="257"/>
      <c r="J59" s="258">
        <f t="shared" ref="J59:W59" si="31">J54*J58</f>
        <v>132.07760000000002</v>
      </c>
      <c r="K59" s="258">
        <f t="shared" si="31"/>
        <v>129.73247878391317</v>
      </c>
      <c r="L59" s="258">
        <f t="shared" si="31"/>
        <v>937.72899119974375</v>
      </c>
      <c r="M59" s="258">
        <f t="shared" si="31"/>
        <v>60.93241669757154</v>
      </c>
      <c r="N59" s="258">
        <f t="shared" si="31"/>
        <v>81.573264693050191</v>
      </c>
      <c r="O59" s="258">
        <f t="shared" si="31"/>
        <v>277.10448158724608</v>
      </c>
      <c r="P59" s="258">
        <f t="shared" si="31"/>
        <v>305.1583393469287</v>
      </c>
      <c r="Q59" s="258">
        <f t="shared" si="31"/>
        <v>161.61171211456158</v>
      </c>
      <c r="R59" s="258">
        <f t="shared" si="31"/>
        <v>189.89994635685278</v>
      </c>
      <c r="S59" s="258">
        <f t="shared" si="31"/>
        <v>181.45794528398991</v>
      </c>
      <c r="T59" s="258">
        <f t="shared" si="31"/>
        <v>185.08710418966967</v>
      </c>
      <c r="U59" s="258">
        <f t="shared" si="31"/>
        <v>188.78884627346309</v>
      </c>
      <c r="V59" s="258">
        <f t="shared" si="31"/>
        <v>192.56462319893228</v>
      </c>
      <c r="W59" s="258">
        <f t="shared" si="31"/>
        <v>196.41591566291106</v>
      </c>
      <c r="X59" s="259"/>
      <c r="Y59" s="259"/>
      <c r="Z59" s="259"/>
      <c r="AA59"/>
      <c r="AB59"/>
      <c r="AC59"/>
      <c r="AD59"/>
      <c r="AE59"/>
      <c r="AF59"/>
      <c r="AJ59" s="198"/>
    </row>
    <row r="60" spans="1:36" s="260" customFormat="1">
      <c r="A60" s="254"/>
      <c r="B60" s="255"/>
      <c r="C60" s="238" t="s">
        <v>517</v>
      </c>
      <c r="D60" s="179"/>
      <c r="E60" s="179"/>
      <c r="F60" s="179"/>
      <c r="G60" s="179"/>
      <c r="H60" s="256"/>
      <c r="I60" s="257"/>
      <c r="J60" s="248">
        <f t="shared" ref="J60:W60" si="32">J54-J59</f>
        <v>33.01939999999999</v>
      </c>
      <c r="K60" s="248">
        <f t="shared" si="32"/>
        <v>32.433119695978291</v>
      </c>
      <c r="L60" s="248">
        <f t="shared" si="32"/>
        <v>234.43224779993591</v>
      </c>
      <c r="M60" s="248">
        <f t="shared" si="32"/>
        <v>15.233104174392878</v>
      </c>
      <c r="N60" s="248">
        <f t="shared" si="32"/>
        <v>20.393316173262548</v>
      </c>
      <c r="O60" s="248">
        <f t="shared" si="32"/>
        <v>69.276120396811507</v>
      </c>
      <c r="P60" s="248">
        <f t="shared" si="32"/>
        <v>76.289584836732161</v>
      </c>
      <c r="Q60" s="248">
        <f t="shared" si="32"/>
        <v>40.402928028640389</v>
      </c>
      <c r="R60" s="248">
        <f t="shared" si="32"/>
        <v>47.474986589213188</v>
      </c>
      <c r="S60" s="248">
        <f t="shared" si="32"/>
        <v>45.364486320997457</v>
      </c>
      <c r="T60" s="248">
        <f t="shared" si="32"/>
        <v>46.271776047417404</v>
      </c>
      <c r="U60" s="248">
        <f t="shared" si="32"/>
        <v>47.197211568365759</v>
      </c>
      <c r="V60" s="248">
        <f t="shared" si="32"/>
        <v>48.141155799733042</v>
      </c>
      <c r="W60" s="248">
        <f t="shared" si="32"/>
        <v>49.103978915727737</v>
      </c>
      <c r="X60" s="179"/>
      <c r="Y60" s="179"/>
      <c r="Z60" s="179"/>
      <c r="AA60"/>
      <c r="AB60"/>
      <c r="AC60"/>
      <c r="AD60"/>
      <c r="AE60"/>
      <c r="AF60"/>
      <c r="AJ60" s="198"/>
    </row>
    <row r="61" spans="1:36">
      <c r="B61" s="182"/>
      <c r="C61" s="210"/>
      <c r="D61" s="221"/>
      <c r="E61" s="221"/>
      <c r="F61" s="221"/>
      <c r="G61" s="221"/>
      <c r="H61" s="256"/>
      <c r="I61" s="249"/>
      <c r="J61" s="249"/>
      <c r="K61" s="249"/>
      <c r="L61" s="249"/>
      <c r="M61" s="249"/>
      <c r="N61" s="249"/>
      <c r="O61" s="249"/>
      <c r="P61" s="249"/>
      <c r="Q61" s="249"/>
      <c r="R61" s="249"/>
      <c r="S61" s="249"/>
      <c r="T61" s="249"/>
      <c r="U61" s="249"/>
      <c r="V61" s="249"/>
      <c r="W61" s="249"/>
    </row>
    <row r="62" spans="1:36">
      <c r="B62" s="182"/>
      <c r="H62" s="261"/>
      <c r="I62" s="261"/>
      <c r="J62" s="261"/>
      <c r="K62" s="261"/>
      <c r="L62" s="261"/>
      <c r="M62" s="261"/>
      <c r="N62" s="262"/>
      <c r="O62" s="262"/>
      <c r="P62" s="262"/>
      <c r="Q62" s="263"/>
      <c r="R62" s="263"/>
      <c r="S62" s="263"/>
      <c r="T62" s="263"/>
      <c r="U62" s="263"/>
      <c r="V62" s="263"/>
      <c r="W62" s="263"/>
    </row>
    <row r="63" spans="1:36">
      <c r="B63" s="182"/>
      <c r="C63" s="153" t="s">
        <v>518</v>
      </c>
      <c r="H63" s="248" t="str">
        <f t="shared" ref="H63:P63" si="33">IF(ISERROR(H76),0,H76)</f>
        <v>Manual Calculation</v>
      </c>
      <c r="I63" s="248">
        <f t="shared" si="33"/>
        <v>0</v>
      </c>
      <c r="J63" s="248">
        <f t="shared" si="33"/>
        <v>165.09700000000001</v>
      </c>
      <c r="K63" s="248">
        <f t="shared" si="33"/>
        <v>175.14599999999999</v>
      </c>
      <c r="L63" s="248">
        <f t="shared" si="33"/>
        <v>197.875</v>
      </c>
      <c r="M63" s="248">
        <f t="shared" si="33"/>
        <v>0</v>
      </c>
      <c r="N63" s="248">
        <f t="shared" si="33"/>
        <v>0</v>
      </c>
      <c r="O63" s="248">
        <f t="shared" si="33"/>
        <v>267.89400000000001</v>
      </c>
      <c r="P63" s="248">
        <f t="shared" si="33"/>
        <v>285.49599999999998</v>
      </c>
      <c r="Q63" s="248">
        <f t="shared" ref="Q63:W63" si="34">P63*(1+Q64)</f>
        <v>291.20591999999999</v>
      </c>
      <c r="R63" s="248">
        <f t="shared" si="34"/>
        <v>297.03003840000002</v>
      </c>
      <c r="S63" s="248">
        <f t="shared" si="34"/>
        <v>302.97063916800005</v>
      </c>
      <c r="T63" s="248">
        <f t="shared" si="34"/>
        <v>309.03005195136006</v>
      </c>
      <c r="U63" s="248">
        <f t="shared" si="34"/>
        <v>315.21065299038725</v>
      </c>
      <c r="V63" s="248">
        <f t="shared" si="34"/>
        <v>321.514866050195</v>
      </c>
      <c r="W63" s="248">
        <f t="shared" si="34"/>
        <v>327.94516337119893</v>
      </c>
    </row>
    <row r="64" spans="1:36">
      <c r="B64" s="182"/>
      <c r="C64" s="264" t="s">
        <v>519</v>
      </c>
      <c r="D64" s="264"/>
      <c r="E64" s="264"/>
      <c r="F64" s="264"/>
      <c r="G64" s="264"/>
      <c r="H64" s="249"/>
      <c r="I64" s="247">
        <f t="shared" ref="I64:P64" si="35">IF(ISERROR(I63/H63-1),0,I63/H63-1)</f>
        <v>0</v>
      </c>
      <c r="J64" s="247">
        <f t="shared" si="35"/>
        <v>0</v>
      </c>
      <c r="K64" s="247">
        <f t="shared" si="35"/>
        <v>6.0867247739207819E-2</v>
      </c>
      <c r="L64" s="247">
        <f t="shared" si="35"/>
        <v>0.12977173329679248</v>
      </c>
      <c r="M64" s="247">
        <f t="shared" si="35"/>
        <v>-1</v>
      </c>
      <c r="N64" s="247">
        <f t="shared" si="35"/>
        <v>0</v>
      </c>
      <c r="O64" s="247">
        <f t="shared" si="35"/>
        <v>0</v>
      </c>
      <c r="P64" s="247">
        <f t="shared" si="35"/>
        <v>6.5705092312630997E-2</v>
      </c>
      <c r="Q64" s="265">
        <v>0.02</v>
      </c>
      <c r="R64" s="265">
        <v>0.02</v>
      </c>
      <c r="S64" s="265">
        <v>0.02</v>
      </c>
      <c r="T64" s="265">
        <v>0.02</v>
      </c>
      <c r="U64" s="265">
        <v>0.02</v>
      </c>
      <c r="V64" s="265">
        <v>0.02</v>
      </c>
      <c r="W64" s="265">
        <v>0.02</v>
      </c>
      <c r="X64" s="266"/>
      <c r="Y64" s="266"/>
      <c r="Z64" s="266"/>
    </row>
    <row r="65" spans="1:36">
      <c r="B65" s="182"/>
      <c r="H65" s="267"/>
      <c r="I65" s="267"/>
      <c r="J65" s="267"/>
      <c r="K65" s="267"/>
      <c r="L65" s="267"/>
      <c r="M65" s="267"/>
      <c r="N65" s="267"/>
      <c r="O65" s="267"/>
      <c r="P65" s="267"/>
      <c r="Q65" s="267"/>
      <c r="R65" s="267"/>
      <c r="S65" s="267"/>
      <c r="T65" s="267"/>
      <c r="U65" s="267"/>
      <c r="V65" s="267"/>
      <c r="W65" s="267"/>
    </row>
    <row r="66" spans="1:36">
      <c r="B66" s="182"/>
      <c r="C66" s="268" t="s">
        <v>520</v>
      </c>
      <c r="H66" s="269">
        <f t="shared" ref="H66:W66" si="36">IF(ISERROR(H$68+SUM(H77:H81)),0,H$68+SUM(H77:H81))</f>
        <v>0</v>
      </c>
      <c r="I66" s="269">
        <f t="shared" si="36"/>
        <v>0</v>
      </c>
      <c r="J66" s="269">
        <f t="shared" si="36"/>
        <v>0</v>
      </c>
      <c r="K66" s="269">
        <f t="shared" si="36"/>
        <v>0</v>
      </c>
      <c r="L66" s="269">
        <f t="shared" si="36"/>
        <v>1536.6569999999999</v>
      </c>
      <c r="M66" s="269">
        <f t="shared" si="36"/>
        <v>1798.422</v>
      </c>
      <c r="N66" s="269">
        <f t="shared" si="36"/>
        <v>2079.625</v>
      </c>
      <c r="O66" s="269">
        <f t="shared" si="36"/>
        <v>2301.29</v>
      </c>
      <c r="P66" s="269">
        <f t="shared" si="36"/>
        <v>2576.1899999999996</v>
      </c>
      <c r="Q66" s="269">
        <f t="shared" si="36"/>
        <v>2627.7138</v>
      </c>
      <c r="R66" s="269">
        <f t="shared" si="36"/>
        <v>2680.2680760000003</v>
      </c>
      <c r="S66" s="269">
        <f t="shared" si="36"/>
        <v>2733.8734375200002</v>
      </c>
      <c r="T66" s="269">
        <f t="shared" si="36"/>
        <v>2788.5509062704004</v>
      </c>
      <c r="U66" s="269">
        <f t="shared" si="36"/>
        <v>2844.3219243958083</v>
      </c>
      <c r="V66" s="269">
        <f t="shared" si="36"/>
        <v>2901.2083628837245</v>
      </c>
      <c r="W66" s="269">
        <f t="shared" si="36"/>
        <v>2959.2325301413989</v>
      </c>
    </row>
    <row r="67" spans="1:36">
      <c r="C67" s="270" t="s">
        <v>521</v>
      </c>
      <c r="D67" s="270"/>
      <c r="E67" s="270"/>
      <c r="F67" s="270"/>
      <c r="G67" s="270"/>
      <c r="H67" s="271"/>
      <c r="I67" s="247">
        <f t="shared" ref="I67:W67" si="37">IF(ISERROR(I66/H66-1),0,I66/H66-1)</f>
        <v>0</v>
      </c>
      <c r="J67" s="247">
        <f t="shared" si="37"/>
        <v>0</v>
      </c>
      <c r="K67" s="247">
        <f t="shared" si="37"/>
        <v>0</v>
      </c>
      <c r="L67" s="247">
        <f t="shared" si="37"/>
        <v>0</v>
      </c>
      <c r="M67" s="247">
        <f t="shared" si="37"/>
        <v>0.17034705858236432</v>
      </c>
      <c r="N67" s="247">
        <f t="shared" si="37"/>
        <v>0.15636096533516608</v>
      </c>
      <c r="O67" s="247">
        <f t="shared" si="37"/>
        <v>0.10658892829236044</v>
      </c>
      <c r="P67" s="247">
        <f t="shared" si="37"/>
        <v>0.11945474060201011</v>
      </c>
      <c r="Q67" s="247">
        <f t="shared" si="37"/>
        <v>2.000000000000024E-2</v>
      </c>
      <c r="R67" s="247">
        <f t="shared" si="37"/>
        <v>2.0000000000000018E-2</v>
      </c>
      <c r="S67" s="247">
        <f t="shared" si="37"/>
        <v>2.0000000000000018E-2</v>
      </c>
      <c r="T67" s="247">
        <f t="shared" si="37"/>
        <v>2.0000000000000018E-2</v>
      </c>
      <c r="U67" s="247">
        <f t="shared" si="37"/>
        <v>2.0000000000000018E-2</v>
      </c>
      <c r="V67" s="247">
        <f t="shared" si="37"/>
        <v>2.0000000000000018E-2</v>
      </c>
      <c r="W67" s="247">
        <f t="shared" si="37"/>
        <v>2.0000000000000018E-2</v>
      </c>
    </row>
    <row r="68" spans="1:36" s="136" customFormat="1" ht="12.75" customHeight="1">
      <c r="A68" s="130"/>
      <c r="B68" s="131"/>
      <c r="C68" s="132" t="s">
        <v>522</v>
      </c>
      <c r="D68" s="132"/>
      <c r="E68" s="132"/>
      <c r="F68" s="132"/>
      <c r="G68" s="132"/>
      <c r="H68" s="272" t="str">
        <f>_xll.ThomsonONEAddinShim.SpreadsheetFormulas.TF(SedolTicker,"ZAV(TF.FN.LeaseCommitmentsOver5Yrs(period=FY0,sdate=FY-8,edate=FY0,,curn=#1,scale=6))","dataDir=across",$J$3)</f>
        <v xml:space="preserve">               -     </v>
      </c>
      <c r="I68" s="272">
        <v>0</v>
      </c>
      <c r="J68" s="272">
        <v>0</v>
      </c>
      <c r="K68" s="272">
        <v>0</v>
      </c>
      <c r="L68" s="272">
        <v>552.88599999999997</v>
      </c>
      <c r="M68" s="272">
        <v>648.25099999999998</v>
      </c>
      <c r="N68" s="272">
        <v>808.77499999999998</v>
      </c>
      <c r="O68" s="272">
        <v>955.44600000000003</v>
      </c>
      <c r="P68" s="272">
        <v>1103.1790000000001</v>
      </c>
      <c r="Q68" s="169">
        <f t="shared" ref="Q68:W68" si="38">SUM(Q82:Q95)</f>
        <v>1125.2425800000001</v>
      </c>
      <c r="R68" s="169">
        <f t="shared" si="38"/>
        <v>1147.7474316000003</v>
      </c>
      <c r="S68" s="169">
        <f t="shared" si="38"/>
        <v>1170.7023802320002</v>
      </c>
      <c r="T68" s="169">
        <f t="shared" si="38"/>
        <v>1194.1164278366402</v>
      </c>
      <c r="U68" s="169">
        <f t="shared" si="38"/>
        <v>1217.998756393373</v>
      </c>
      <c r="V68" s="169">
        <f t="shared" si="38"/>
        <v>1242.3587315212403</v>
      </c>
      <c r="W68" s="169">
        <f t="shared" si="38"/>
        <v>1267.2059061516652</v>
      </c>
      <c r="AA68"/>
      <c r="AB68"/>
      <c r="AC68"/>
      <c r="AD68"/>
      <c r="AE68"/>
      <c r="AF68"/>
      <c r="AJ68" s="142"/>
    </row>
    <row r="69" spans="1:36">
      <c r="H69" s="273"/>
      <c r="I69" s="273"/>
      <c r="J69" s="273"/>
      <c r="K69" s="273"/>
      <c r="L69" s="273"/>
      <c r="M69" s="273"/>
      <c r="N69" s="274"/>
      <c r="O69" s="274"/>
      <c r="P69" s="274"/>
      <c r="Q69" s="274"/>
      <c r="R69" s="274"/>
      <c r="S69" s="274"/>
      <c r="T69" s="274"/>
      <c r="U69" s="274"/>
      <c r="V69" s="274"/>
      <c r="W69" s="274"/>
    </row>
    <row r="70" spans="1:36">
      <c r="C70" s="132" t="s">
        <v>523</v>
      </c>
      <c r="H70" s="275">
        <v>10</v>
      </c>
      <c r="I70" s="275">
        <v>10</v>
      </c>
      <c r="J70" s="275">
        <v>10</v>
      </c>
      <c r="K70" s="275">
        <v>10</v>
      </c>
      <c r="L70" s="275">
        <v>10</v>
      </c>
      <c r="M70" s="275">
        <v>10</v>
      </c>
      <c r="N70" s="275">
        <v>10</v>
      </c>
      <c r="O70" s="275">
        <v>10</v>
      </c>
      <c r="P70" s="275">
        <v>10</v>
      </c>
      <c r="Q70" s="132"/>
      <c r="R70" s="132"/>
      <c r="S70" s="132"/>
      <c r="T70" s="132"/>
      <c r="U70" s="132"/>
      <c r="V70" s="132"/>
      <c r="W70" s="132"/>
    </row>
    <row r="71" spans="1:36">
      <c r="C71" s="153" t="s">
        <v>524</v>
      </c>
      <c r="H71" s="275">
        <v>5</v>
      </c>
      <c r="I71" s="275">
        <v>5</v>
      </c>
      <c r="J71" s="275">
        <v>5</v>
      </c>
      <c r="K71" s="275">
        <v>5</v>
      </c>
      <c r="L71" s="275">
        <v>5</v>
      </c>
      <c r="M71" s="275">
        <v>5</v>
      </c>
      <c r="N71" s="275">
        <v>5</v>
      </c>
      <c r="O71" s="275">
        <v>5</v>
      </c>
      <c r="P71" s="275">
        <v>5</v>
      </c>
      <c r="Q71" s="132"/>
      <c r="R71" s="132"/>
      <c r="S71" s="132"/>
      <c r="T71" s="132"/>
      <c r="U71" s="132"/>
      <c r="V71" s="132"/>
      <c r="W71" s="132"/>
    </row>
    <row r="72" spans="1:36">
      <c r="C72" s="153" t="s">
        <v>525</v>
      </c>
      <c r="H72" s="276">
        <f t="shared" ref="H72:P72" si="39">1-H71/H70</f>
        <v>0.5</v>
      </c>
      <c r="I72" s="276">
        <f t="shared" si="39"/>
        <v>0.5</v>
      </c>
      <c r="J72" s="276">
        <f t="shared" si="39"/>
        <v>0.5</v>
      </c>
      <c r="K72" s="276">
        <f t="shared" si="39"/>
        <v>0.5</v>
      </c>
      <c r="L72" s="276">
        <f t="shared" si="39"/>
        <v>0.5</v>
      </c>
      <c r="M72" s="276">
        <f t="shared" si="39"/>
        <v>0.5</v>
      </c>
      <c r="N72" s="276">
        <f t="shared" si="39"/>
        <v>0.5</v>
      </c>
      <c r="O72" s="276">
        <f t="shared" si="39"/>
        <v>0.5</v>
      </c>
      <c r="P72" s="276">
        <f t="shared" si="39"/>
        <v>0.5</v>
      </c>
      <c r="Q72" s="277"/>
      <c r="R72" s="277"/>
      <c r="S72" s="277"/>
      <c r="T72" s="277"/>
      <c r="U72" s="277"/>
      <c r="V72" s="277"/>
      <c r="W72" s="277"/>
    </row>
    <row r="73" spans="1:36">
      <c r="H73" s="278"/>
      <c r="I73" s="278"/>
      <c r="J73" s="278"/>
      <c r="K73" s="266"/>
      <c r="L73" s="266"/>
      <c r="M73" s="266"/>
      <c r="N73" s="266"/>
      <c r="O73" s="277"/>
      <c r="P73" s="277"/>
      <c r="Q73" s="277"/>
      <c r="R73" s="277"/>
      <c r="S73" s="277"/>
      <c r="T73" s="277"/>
      <c r="U73" s="277"/>
      <c r="V73" s="277"/>
      <c r="W73" s="277"/>
    </row>
    <row r="74" spans="1:36" outlineLevel="1">
      <c r="B74" s="182"/>
      <c r="C74" s="221" t="s">
        <v>526</v>
      </c>
      <c r="D74" s="221"/>
      <c r="E74" s="221"/>
      <c r="F74" s="221"/>
      <c r="G74" s="221"/>
      <c r="H74" s="279" t="str">
        <f t="shared" ref="H74:W74" si="40">H9</f>
        <v>1/2009</v>
      </c>
      <c r="I74" s="279" t="str">
        <f t="shared" si="40"/>
        <v>1/2010</v>
      </c>
      <c r="J74" s="279" t="str">
        <f t="shared" si="40"/>
        <v>1/2011</v>
      </c>
      <c r="K74" s="279" t="str">
        <f t="shared" si="40"/>
        <v>1/2012</v>
      </c>
      <c r="L74" s="279" t="str">
        <f t="shared" si="40"/>
        <v>1/2013</v>
      </c>
      <c r="M74" s="279" t="str">
        <f t="shared" si="40"/>
        <v>1/2014</v>
      </c>
      <c r="N74" s="279" t="str">
        <f t="shared" si="40"/>
        <v>1/2015</v>
      </c>
      <c r="O74" s="279" t="str">
        <f t="shared" si="40"/>
        <v>1/2016</v>
      </c>
      <c r="P74" s="279" t="str">
        <f t="shared" si="40"/>
        <v>1/2017</v>
      </c>
      <c r="Q74" s="279" t="str">
        <f t="shared" si="40"/>
        <v>1/2018</v>
      </c>
      <c r="R74" s="279" t="str">
        <f t="shared" si="40"/>
        <v>1/2019</v>
      </c>
      <c r="S74" s="279" t="str">
        <f t="shared" si="40"/>
        <v>1/2020</v>
      </c>
      <c r="T74" s="279" t="str">
        <f t="shared" si="40"/>
        <v>1/2021</v>
      </c>
      <c r="U74" s="279" t="str">
        <f t="shared" si="40"/>
        <v>1/2022</v>
      </c>
      <c r="V74" s="279" t="str">
        <f t="shared" si="40"/>
        <v>1/2023</v>
      </c>
      <c r="W74" s="279" t="str">
        <f t="shared" si="40"/>
        <v>1/2024</v>
      </c>
    </row>
    <row r="75" spans="1:36" outlineLevel="1">
      <c r="B75" s="182"/>
      <c r="C75" s="280"/>
      <c r="D75" s="280"/>
      <c r="E75" s="280"/>
      <c r="F75" s="280"/>
      <c r="G75" s="280"/>
      <c r="H75" s="281"/>
      <c r="I75" s="281"/>
      <c r="J75" s="281"/>
      <c r="K75" s="281"/>
      <c r="L75" s="281"/>
      <c r="M75" s="281"/>
      <c r="N75" s="281"/>
      <c r="O75" s="281"/>
      <c r="P75" s="281"/>
      <c r="Q75" s="281"/>
      <c r="R75" s="281"/>
      <c r="S75" s="281"/>
      <c r="T75" s="281"/>
      <c r="U75" s="281"/>
      <c r="V75" s="281"/>
      <c r="W75" s="281"/>
    </row>
    <row r="76" spans="1:36" s="287" customFormat="1" ht="12" customHeight="1" outlineLevel="1">
      <c r="A76" s="282"/>
      <c r="B76" s="144"/>
      <c r="C76" s="171" t="s">
        <v>527</v>
      </c>
      <c r="D76" s="283"/>
      <c r="E76" s="283"/>
      <c r="F76" s="283"/>
      <c r="G76" s="283"/>
      <c r="H76" s="284" t="str">
        <f>_xll.ThomsonONEAddinShim.SpreadsheetFormulas.TF(SedolTicker,"ZAV(TF.FN.RentalAndOperLeaseExpense(period=FY0,sdate=FY-8,edate=FY0,curn=#1,Scale=6)@TF.RF.RentalExpenseSupplemental(period=FY0,sdate=FY-8,edate=FY0,curn=#1,Scale=6))","dataDir=across",$J$3)</f>
        <v>Manual Calculation</v>
      </c>
      <c r="I76" s="285">
        <v>0</v>
      </c>
      <c r="J76" s="285">
        <v>165.09700000000001</v>
      </c>
      <c r="K76" s="285">
        <v>175.14599999999999</v>
      </c>
      <c r="L76" s="285">
        <v>197.875</v>
      </c>
      <c r="M76" s="285">
        <v>0</v>
      </c>
      <c r="N76" s="285">
        <v>0</v>
      </c>
      <c r="O76" s="285">
        <v>267.89400000000001</v>
      </c>
      <c r="P76" s="286">
        <v>285.49599999999998</v>
      </c>
      <c r="Q76" s="169">
        <f t="shared" ref="Q76:W85" si="41">P76*(1+Q$64)</f>
        <v>291.20591999999999</v>
      </c>
      <c r="R76" s="169">
        <f t="shared" si="41"/>
        <v>297.03003840000002</v>
      </c>
      <c r="S76" s="169">
        <f t="shared" si="41"/>
        <v>302.97063916800005</v>
      </c>
      <c r="T76" s="169">
        <f t="shared" si="41"/>
        <v>309.03005195136006</v>
      </c>
      <c r="U76" s="169">
        <f t="shared" si="41"/>
        <v>315.21065299038725</v>
      </c>
      <c r="V76" s="169">
        <f t="shared" si="41"/>
        <v>321.514866050195</v>
      </c>
      <c r="W76" s="169">
        <f t="shared" si="41"/>
        <v>327.94516337119893</v>
      </c>
      <c r="AA76"/>
      <c r="AB76"/>
      <c r="AC76"/>
      <c r="AD76"/>
      <c r="AE76"/>
      <c r="AF76"/>
      <c r="AJ76" s="288"/>
    </row>
    <row r="77" spans="1:36" s="287" customFormat="1" ht="12" customHeight="1" outlineLevel="1">
      <c r="A77" s="282"/>
      <c r="B77" s="144"/>
      <c r="C77" s="171" t="s">
        <v>528</v>
      </c>
      <c r="D77" s="283"/>
      <c r="E77" s="283"/>
      <c r="F77" s="283"/>
      <c r="G77" s="283"/>
      <c r="H77" s="289" t="str">
        <f>_xll.ThomsonONEAddinShim.SpreadsheetFormulas.TF(SedolTicker,"ZAV(TF.FN.LeaseCommitmentsYr1(period=FY0,sdate=FY-8,edate=FY0,curn=#1,Scale=6))","dataDir=across",$J$3)</f>
        <v>Manual Calculation</v>
      </c>
      <c r="I77" s="259">
        <v>0</v>
      </c>
      <c r="J77" s="259">
        <v>0</v>
      </c>
      <c r="K77" s="259">
        <v>0</v>
      </c>
      <c r="L77" s="259">
        <v>219.89099999999999</v>
      </c>
      <c r="M77" s="259">
        <v>249.62</v>
      </c>
      <c r="N77" s="259">
        <v>278.04399999999998</v>
      </c>
      <c r="O77" s="259">
        <v>302.755</v>
      </c>
      <c r="P77" s="290">
        <v>320.02699999999999</v>
      </c>
      <c r="Q77" s="169">
        <f t="shared" si="41"/>
        <v>326.42753999999996</v>
      </c>
      <c r="R77" s="169">
        <f t="shared" si="41"/>
        <v>332.95609079999997</v>
      </c>
      <c r="S77" s="169">
        <f t="shared" si="41"/>
        <v>339.61521261599995</v>
      </c>
      <c r="T77" s="169">
        <f t="shared" si="41"/>
        <v>346.40751686831993</v>
      </c>
      <c r="U77" s="169">
        <f t="shared" si="41"/>
        <v>353.33566720568632</v>
      </c>
      <c r="V77" s="169">
        <f t="shared" si="41"/>
        <v>360.40238054980006</v>
      </c>
      <c r="W77" s="169">
        <f t="shared" si="41"/>
        <v>367.61042816079606</v>
      </c>
      <c r="AA77"/>
      <c r="AB77"/>
      <c r="AC77"/>
      <c r="AD77"/>
      <c r="AE77"/>
      <c r="AF77"/>
      <c r="AJ77" s="288"/>
    </row>
    <row r="78" spans="1:36" s="287" customFormat="1" ht="12" customHeight="1" outlineLevel="1">
      <c r="A78" s="282"/>
      <c r="B78" s="144"/>
      <c r="C78" s="171" t="s">
        <v>529</v>
      </c>
      <c r="D78" s="283"/>
      <c r="E78" s="283"/>
      <c r="F78" s="283"/>
      <c r="G78" s="283"/>
      <c r="H78" s="289" t="str">
        <f>_xll.ThomsonONEAddinShim.SpreadsheetFormulas.TF(SedolTicker,"ZAV(TF.FN.LeaseCommitmentsYr2(period=FY0,sdate=FY-8,edate=FY0,curn=#1,Scale=6))","dataDir=across",$J$3)</f>
        <v>Manual Calculation</v>
      </c>
      <c r="I78" s="259">
        <v>0</v>
      </c>
      <c r="J78" s="259">
        <v>0</v>
      </c>
      <c r="K78" s="259">
        <v>0</v>
      </c>
      <c r="L78" s="259">
        <v>222.00700000000001</v>
      </c>
      <c r="M78" s="259">
        <v>253.334</v>
      </c>
      <c r="N78" s="259">
        <v>287.61</v>
      </c>
      <c r="O78" s="259">
        <v>308.72399999999999</v>
      </c>
      <c r="P78" s="290">
        <v>332.54300000000001</v>
      </c>
      <c r="Q78" s="169">
        <f t="shared" si="41"/>
        <v>339.19386000000003</v>
      </c>
      <c r="R78" s="169">
        <f t="shared" si="41"/>
        <v>345.97773720000004</v>
      </c>
      <c r="S78" s="169">
        <f t="shared" si="41"/>
        <v>352.89729194400002</v>
      </c>
      <c r="T78" s="169">
        <f t="shared" si="41"/>
        <v>359.95523778288003</v>
      </c>
      <c r="U78" s="169">
        <f t="shared" si="41"/>
        <v>367.15434253853766</v>
      </c>
      <c r="V78" s="169">
        <f t="shared" si="41"/>
        <v>374.49742938930842</v>
      </c>
      <c r="W78" s="169">
        <f t="shared" si="41"/>
        <v>381.98737797709458</v>
      </c>
      <c r="AA78"/>
      <c r="AB78"/>
      <c r="AC78"/>
      <c r="AD78"/>
      <c r="AE78"/>
      <c r="AF78"/>
      <c r="AJ78" s="288"/>
    </row>
    <row r="79" spans="1:36" s="287" customFormat="1" ht="12" customHeight="1" outlineLevel="1">
      <c r="A79" s="282"/>
      <c r="B79" s="144"/>
      <c r="C79" s="171" t="s">
        <v>530</v>
      </c>
      <c r="D79" s="283"/>
      <c r="E79" s="283"/>
      <c r="F79" s="283"/>
      <c r="G79" s="283"/>
      <c r="H79" s="289" t="str">
        <f>_xll.ThomsonONEAddinShim.SpreadsheetFormulas.TF(SedolTicker,"ZAV(TF.FN.LeaseCommitmentsYr3(period=FY0,sdate=FY-8,edate=FY0,curn=#1,Scale=6))","dataDir=across",$J$3)</f>
        <v>Manual Calculation</v>
      </c>
      <c r="I79" s="259">
        <v>0</v>
      </c>
      <c r="J79" s="259">
        <v>0</v>
      </c>
      <c r="K79" s="259">
        <v>0</v>
      </c>
      <c r="L79" s="259">
        <v>199.363</v>
      </c>
      <c r="M79" s="259">
        <v>238.59100000000001</v>
      </c>
      <c r="N79" s="259">
        <v>270.20699999999999</v>
      </c>
      <c r="O79" s="259">
        <v>286.15199999999999</v>
      </c>
      <c r="P79" s="290">
        <v>300.733</v>
      </c>
      <c r="Q79" s="169">
        <f t="shared" si="41"/>
        <v>306.74766</v>
      </c>
      <c r="R79" s="169">
        <f t="shared" si="41"/>
        <v>312.88261319999998</v>
      </c>
      <c r="S79" s="169">
        <f t="shared" si="41"/>
        <v>319.14026546399998</v>
      </c>
      <c r="T79" s="169">
        <f t="shared" si="41"/>
        <v>325.52307077327998</v>
      </c>
      <c r="U79" s="169">
        <f t="shared" si="41"/>
        <v>332.0335321887456</v>
      </c>
      <c r="V79" s="169">
        <f t="shared" si="41"/>
        <v>338.67420283252051</v>
      </c>
      <c r="W79" s="169">
        <f t="shared" si="41"/>
        <v>345.44768688917094</v>
      </c>
      <c r="AA79"/>
      <c r="AB79"/>
      <c r="AC79"/>
      <c r="AD79"/>
      <c r="AE79"/>
      <c r="AF79"/>
      <c r="AJ79" s="288"/>
    </row>
    <row r="80" spans="1:36" s="287" customFormat="1" ht="12" customHeight="1" outlineLevel="1">
      <c r="A80" s="282"/>
      <c r="B80" s="144"/>
      <c r="C80" s="171" t="s">
        <v>531</v>
      </c>
      <c r="D80" s="283"/>
      <c r="E80" s="283"/>
      <c r="F80" s="283"/>
      <c r="G80" s="283"/>
      <c r="H80" s="289" t="str">
        <f>_xll.ThomsonONEAddinShim.SpreadsheetFormulas.TF(SedolTicker,"ZAV(TF.FN.LeaseCommitmentsYr4(period=FY0,sdate=FY-8,edate=FY0,curn=#1,Scale=6))","dataDir=across",$J$3)</f>
        <v>Manual Calculation</v>
      </c>
      <c r="I80" s="259">
        <v>0</v>
      </c>
      <c r="J80" s="259">
        <v>0</v>
      </c>
      <c r="K80" s="259">
        <v>0</v>
      </c>
      <c r="L80" s="259">
        <v>182.863</v>
      </c>
      <c r="M80" s="259">
        <v>218.149</v>
      </c>
      <c r="N80" s="259">
        <v>242.18899999999999</v>
      </c>
      <c r="O80" s="259">
        <v>241.048</v>
      </c>
      <c r="P80" s="290">
        <v>273.56</v>
      </c>
      <c r="Q80" s="169">
        <f t="shared" si="41"/>
        <v>279.03120000000001</v>
      </c>
      <c r="R80" s="169">
        <f t="shared" si="41"/>
        <v>284.61182400000001</v>
      </c>
      <c r="S80" s="169">
        <f t="shared" si="41"/>
        <v>290.30406048000003</v>
      </c>
      <c r="T80" s="169">
        <f t="shared" si="41"/>
        <v>296.11014168960003</v>
      </c>
      <c r="U80" s="169">
        <f t="shared" si="41"/>
        <v>302.03234452339206</v>
      </c>
      <c r="V80" s="169">
        <f t="shared" si="41"/>
        <v>308.07299141385988</v>
      </c>
      <c r="W80" s="169">
        <f t="shared" si="41"/>
        <v>314.23445124213708</v>
      </c>
      <c r="AA80"/>
      <c r="AB80"/>
      <c r="AC80"/>
      <c r="AD80"/>
      <c r="AE80"/>
      <c r="AF80"/>
      <c r="AJ80" s="288"/>
    </row>
    <row r="81" spans="1:36" s="287" customFormat="1" ht="12" customHeight="1" outlineLevel="1">
      <c r="A81" s="282"/>
      <c r="B81" s="144"/>
      <c r="C81" s="171" t="s">
        <v>532</v>
      </c>
      <c r="D81" s="283"/>
      <c r="E81" s="283"/>
      <c r="F81" s="283"/>
      <c r="G81" s="283"/>
      <c r="H81" s="291" t="str">
        <f>_xll.ThomsonONEAddinShim.SpreadsheetFormulas.TF(SedolTicker,"ZAV(TF.FN.LeaseCommitmentsYr5(period=FY0,sdate=FY-8,edate=FY0,curn=#1,Scale=6))","dataDir=across",$J$3)</f>
        <v>Manual Calculation</v>
      </c>
      <c r="I81" s="292">
        <v>0</v>
      </c>
      <c r="J81" s="292">
        <v>0</v>
      </c>
      <c r="K81" s="292">
        <v>0</v>
      </c>
      <c r="L81" s="292">
        <v>159.64699999999999</v>
      </c>
      <c r="M81" s="292">
        <v>190.477</v>
      </c>
      <c r="N81" s="292">
        <v>192.8</v>
      </c>
      <c r="O81" s="292">
        <v>207.16499999999999</v>
      </c>
      <c r="P81" s="293">
        <v>246.148</v>
      </c>
      <c r="Q81" s="169">
        <f t="shared" si="41"/>
        <v>251.07096000000001</v>
      </c>
      <c r="R81" s="169">
        <f t="shared" si="41"/>
        <v>256.09237920000004</v>
      </c>
      <c r="S81" s="169">
        <f t="shared" si="41"/>
        <v>261.21422678400006</v>
      </c>
      <c r="T81" s="169">
        <f t="shared" si="41"/>
        <v>266.43851131968006</v>
      </c>
      <c r="U81" s="169">
        <f t="shared" si="41"/>
        <v>271.76728154607366</v>
      </c>
      <c r="V81" s="169">
        <f t="shared" si="41"/>
        <v>277.20262717699512</v>
      </c>
      <c r="W81" s="169">
        <f t="shared" si="41"/>
        <v>282.74667972053504</v>
      </c>
      <c r="AA81"/>
      <c r="AB81"/>
      <c r="AC81"/>
      <c r="AD81"/>
      <c r="AE81"/>
      <c r="AF81"/>
      <c r="AJ81" s="288"/>
    </row>
    <row r="82" spans="1:36" s="287" customFormat="1" outlineLevel="1">
      <c r="A82" s="282"/>
      <c r="B82" s="144"/>
      <c r="C82" s="283" t="s">
        <v>533</v>
      </c>
      <c r="D82" s="283"/>
      <c r="E82" s="283"/>
      <c r="F82" s="283"/>
      <c r="G82" s="283"/>
      <c r="H82" s="170" t="str">
        <f t="shared" ref="H82:P82" si="42">IF(ISERROR(H68/H71),"NA",H68/H71)</f>
        <v>NA</v>
      </c>
      <c r="I82" s="170">
        <f t="shared" si="42"/>
        <v>0</v>
      </c>
      <c r="J82" s="170">
        <f t="shared" si="42"/>
        <v>0</v>
      </c>
      <c r="K82" s="170">
        <f t="shared" si="42"/>
        <v>0</v>
      </c>
      <c r="L82" s="170">
        <f t="shared" si="42"/>
        <v>110.57719999999999</v>
      </c>
      <c r="M82" s="170">
        <f t="shared" si="42"/>
        <v>129.65019999999998</v>
      </c>
      <c r="N82" s="170">
        <f t="shared" si="42"/>
        <v>161.755</v>
      </c>
      <c r="O82" s="170">
        <f t="shared" si="42"/>
        <v>191.08920000000001</v>
      </c>
      <c r="P82" s="170">
        <f t="shared" si="42"/>
        <v>220.63580000000002</v>
      </c>
      <c r="Q82" s="169">
        <f t="shared" si="41"/>
        <v>225.04851600000003</v>
      </c>
      <c r="R82" s="169">
        <f t="shared" si="41"/>
        <v>229.54948632000003</v>
      </c>
      <c r="S82" s="169">
        <f t="shared" si="41"/>
        <v>234.14047604640004</v>
      </c>
      <c r="T82" s="169">
        <f t="shared" si="41"/>
        <v>238.82328556732804</v>
      </c>
      <c r="U82" s="169">
        <f t="shared" si="41"/>
        <v>243.5997512786746</v>
      </c>
      <c r="V82" s="169">
        <f t="shared" si="41"/>
        <v>248.47174630424809</v>
      </c>
      <c r="W82" s="169">
        <f t="shared" si="41"/>
        <v>253.44118123033306</v>
      </c>
      <c r="AA82"/>
      <c r="AB82"/>
      <c r="AC82"/>
      <c r="AD82"/>
      <c r="AE82"/>
      <c r="AF82"/>
      <c r="AJ82" s="288"/>
    </row>
    <row r="83" spans="1:36" s="287" customFormat="1" outlineLevel="1">
      <c r="A83" s="282"/>
      <c r="B83" s="144"/>
      <c r="C83" s="283" t="s">
        <v>534</v>
      </c>
      <c r="D83" s="283"/>
      <c r="E83" s="283"/>
      <c r="F83" s="283"/>
      <c r="G83" s="283"/>
      <c r="H83" s="170" t="str">
        <f>IF(ISERROR(IF(ROUND(SUM(H$82:H82),3)&gt;=ROUND(H$68,3),0,H$68/H$71)),"NA",IF(ROUND(SUM(H$82:H82),3)&gt;=ROUND(H$68,3),0,H$68/H$71))</f>
        <v>NA</v>
      </c>
      <c r="I83" s="170">
        <f>IF(ISERROR(IF(ROUND(SUM(I$82:I82),3)&gt;=ROUND(I$68,3),0,I$68/I$71)),"NA",IF(ROUND(SUM(I$82:I82),3)&gt;=ROUND(I$68,3),0,I$68/I$71))</f>
        <v>0</v>
      </c>
      <c r="J83" s="170">
        <f>IF(ISERROR(IF(ROUND(SUM(J$82:J82),3)&gt;=ROUND(J$68,3),0,J$68/J$71)),"NA",IF(ROUND(SUM(J$82:J82),3)&gt;=ROUND(J$68,3),0,J$68/J$71))</f>
        <v>0</v>
      </c>
      <c r="K83" s="170">
        <f>IF(ISERROR(IF(ROUND(SUM(K$82:K82),3)&gt;=ROUND(K$68,3),0,K$68/K$71)),"NA",IF(ROUND(SUM(K$82:K82),3)&gt;=ROUND(K$68,3),0,K$68/K$71))</f>
        <v>0</v>
      </c>
      <c r="L83" s="170">
        <f>IF(ISERROR(IF(ROUND(SUM(L$82:L82),3)&gt;=ROUND(L$68,3),0,L$68/L$71)),"NA",IF(ROUND(SUM(L$82:L82),3)&gt;=ROUND(L$68,3),0,L$68/L$71))</f>
        <v>110.57719999999999</v>
      </c>
      <c r="M83" s="170">
        <f>IF(ISERROR(IF(ROUND(SUM(M$82:M82),3)&gt;=ROUND(M$68,3),0,M$68/M$71)),"NA",IF(ROUND(SUM(M$82:M82),3)&gt;=ROUND(M$68,3),0,M$68/M$71))</f>
        <v>129.65019999999998</v>
      </c>
      <c r="N83" s="170">
        <f>IF(ISERROR(IF(ROUND(SUM(N$82:N82),3)&gt;=ROUND(N$68,3),0,N$68/N$71)),"NA",IF(ROUND(SUM(N$82:N82),3)&gt;=ROUND(N$68,3),0,N$68/N$71))</f>
        <v>161.755</v>
      </c>
      <c r="O83" s="170">
        <f>IF(ISERROR(IF(ROUND(SUM(O$82:O82),3)&gt;=ROUND(O$68,3),0,O$68/O$71)),"NA",IF(ROUND(SUM(O$82:O82),3)&gt;=ROUND(O$68,3),0,O$68/O$71))</f>
        <v>191.08920000000001</v>
      </c>
      <c r="P83" s="170">
        <f>IF(ISERROR(IF(ROUND(SUM(P$82:P82),3)&gt;=ROUND(P$68,3),0,P$68/P$71)),"NA",IF(ROUND(SUM(P$82:P82),3)&gt;=ROUND(P$68,3),0,P$68/P$71))</f>
        <v>220.63580000000002</v>
      </c>
      <c r="Q83" s="169">
        <f t="shared" si="41"/>
        <v>225.04851600000003</v>
      </c>
      <c r="R83" s="169">
        <f t="shared" si="41"/>
        <v>229.54948632000003</v>
      </c>
      <c r="S83" s="169">
        <f t="shared" si="41"/>
        <v>234.14047604640004</v>
      </c>
      <c r="T83" s="169">
        <f t="shared" si="41"/>
        <v>238.82328556732804</v>
      </c>
      <c r="U83" s="169">
        <f t="shared" si="41"/>
        <v>243.5997512786746</v>
      </c>
      <c r="V83" s="169">
        <f t="shared" si="41"/>
        <v>248.47174630424809</v>
      </c>
      <c r="W83" s="169">
        <f t="shared" si="41"/>
        <v>253.44118123033306</v>
      </c>
      <c r="AA83"/>
      <c r="AB83"/>
      <c r="AC83"/>
      <c r="AD83"/>
      <c r="AE83"/>
      <c r="AF83"/>
      <c r="AJ83" s="288"/>
    </row>
    <row r="84" spans="1:36" s="287" customFormat="1" outlineLevel="1">
      <c r="A84" s="282"/>
      <c r="B84" s="144"/>
      <c r="C84" s="283" t="s">
        <v>535</v>
      </c>
      <c r="D84" s="283"/>
      <c r="E84" s="283"/>
      <c r="F84" s="283"/>
      <c r="G84" s="283"/>
      <c r="H84" s="170" t="str">
        <f>IF(ISERROR(IF(ROUND(SUM(H$82:H83),3)&gt;=ROUND(H$68,3),0,H$68/H$71)),"NA",IF(ROUND(SUM(H$82:H83),3)&gt;=ROUND(H$68,3),0,H$68/H$71))</f>
        <v>NA</v>
      </c>
      <c r="I84" s="170">
        <f>IF(ISERROR(IF(ROUND(SUM(I$82:I83),3)&gt;=ROUND(I$68,3),0,I$68/I$71)),"NA",IF(ROUND(SUM(I$82:I83),3)&gt;=ROUND(I$68,3),0,I$68/I$71))</f>
        <v>0</v>
      </c>
      <c r="J84" s="170">
        <f>IF(ISERROR(IF(ROUND(SUM(J$82:J83),3)&gt;=ROUND(J$68,3),0,J$68/J$71)),"NA",IF(ROUND(SUM(J$82:J83),3)&gt;=ROUND(J$68,3),0,J$68/J$71))</f>
        <v>0</v>
      </c>
      <c r="K84" s="170">
        <f>IF(ISERROR(IF(ROUND(SUM(K$82:K83),3)&gt;=ROUND(K$68,3),0,K$68/K$71)),"NA",IF(ROUND(SUM(K$82:K83),3)&gt;=ROUND(K$68,3),0,K$68/K$71))</f>
        <v>0</v>
      </c>
      <c r="L84" s="170">
        <f>IF(ISERROR(IF(ROUND(SUM(L$82:L83),3)&gt;=ROUND(L$68,3),0,L$68/L$71)),"NA",IF(ROUND(SUM(L$82:L83),3)&gt;=ROUND(L$68,3),0,L$68/L$71))</f>
        <v>110.57719999999999</v>
      </c>
      <c r="M84" s="170">
        <f>IF(ISERROR(IF(ROUND(SUM(M$82:M83),3)&gt;=ROUND(M$68,3),0,M$68/M$71)),"NA",IF(ROUND(SUM(M$82:M83),3)&gt;=ROUND(M$68,3),0,M$68/M$71))</f>
        <v>129.65019999999998</v>
      </c>
      <c r="N84" s="170">
        <f>IF(ISERROR(IF(ROUND(SUM(N$82:N83),3)&gt;=ROUND(N$68,3),0,N$68/N$71)),"NA",IF(ROUND(SUM(N$82:N83),3)&gt;=ROUND(N$68,3),0,N$68/N$71))</f>
        <v>161.755</v>
      </c>
      <c r="O84" s="170">
        <f>IF(ISERROR(IF(ROUND(SUM(O$82:O83),3)&gt;=ROUND(O$68,3),0,O$68/O$71)),"NA",IF(ROUND(SUM(O$82:O83),3)&gt;=ROUND(O$68,3),0,O$68/O$71))</f>
        <v>191.08920000000001</v>
      </c>
      <c r="P84" s="170">
        <f>IF(ISERROR(IF(ROUND(SUM(P$82:P83),3)&gt;=ROUND(P$68,3),0,P$68/P$71)),"NA",IF(ROUND(SUM(P$82:P83),3)&gt;=ROUND(P$68,3),0,P$68/P$71))</f>
        <v>220.63580000000002</v>
      </c>
      <c r="Q84" s="169">
        <f t="shared" si="41"/>
        <v>225.04851600000003</v>
      </c>
      <c r="R84" s="169">
        <f t="shared" si="41"/>
        <v>229.54948632000003</v>
      </c>
      <c r="S84" s="169">
        <f t="shared" si="41"/>
        <v>234.14047604640004</v>
      </c>
      <c r="T84" s="169">
        <f t="shared" si="41"/>
        <v>238.82328556732804</v>
      </c>
      <c r="U84" s="169">
        <f t="shared" si="41"/>
        <v>243.5997512786746</v>
      </c>
      <c r="V84" s="169">
        <f t="shared" si="41"/>
        <v>248.47174630424809</v>
      </c>
      <c r="W84" s="169">
        <f t="shared" si="41"/>
        <v>253.44118123033306</v>
      </c>
      <c r="AA84"/>
      <c r="AB84"/>
      <c r="AC84"/>
      <c r="AD84"/>
      <c r="AE84"/>
      <c r="AF84"/>
      <c r="AJ84" s="288"/>
    </row>
    <row r="85" spans="1:36" s="287" customFormat="1" outlineLevel="1">
      <c r="A85" s="282"/>
      <c r="B85" s="144"/>
      <c r="C85" s="283" t="s">
        <v>536</v>
      </c>
      <c r="D85" s="283"/>
      <c r="E85" s="283"/>
      <c r="F85" s="283"/>
      <c r="G85" s="283"/>
      <c r="H85" s="170" t="str">
        <f>IF(ISERROR(IF(ROUND(SUM(H$82:H84),3)&gt;=ROUND(H$68,3),0,H$68/H$71)),"NA",IF(ROUND(SUM(H$82:H84),3)&gt;=ROUND(H$68,3),0,H$68/H$71))</f>
        <v>NA</v>
      </c>
      <c r="I85" s="170">
        <f>IF(ISERROR(IF(ROUND(SUM(I$82:I84),3)&gt;=ROUND(I$68,3),0,I$68/I$71)),"NA",IF(ROUND(SUM(I$82:I84),3)&gt;=ROUND(I$68,3),0,I$68/I$71))</f>
        <v>0</v>
      </c>
      <c r="J85" s="170">
        <f>IF(ISERROR(IF(ROUND(SUM(J$82:J84),3)&gt;=ROUND(J$68,3),0,J$68/J$71)),"NA",IF(ROUND(SUM(J$82:J84),3)&gt;=ROUND(J$68,3),0,J$68/J$71))</f>
        <v>0</v>
      </c>
      <c r="K85" s="170">
        <f>IF(ISERROR(IF(ROUND(SUM(K$82:K84),3)&gt;=ROUND(K$68,3),0,K$68/K$71)),"NA",IF(ROUND(SUM(K$82:K84),3)&gt;=ROUND(K$68,3),0,K$68/K$71))</f>
        <v>0</v>
      </c>
      <c r="L85" s="170">
        <f>IF(ISERROR(IF(ROUND(SUM(L$82:L84),3)&gt;=ROUND(L$68,3),0,L$68/L$71)),"NA",IF(ROUND(SUM(L$82:L84),3)&gt;=ROUND(L$68,3),0,L$68/L$71))</f>
        <v>110.57719999999999</v>
      </c>
      <c r="M85" s="170">
        <f>IF(ISERROR(IF(ROUND(SUM(M$82:M84),3)&gt;=ROUND(M$68,3),0,M$68/M$71)),"NA",IF(ROUND(SUM(M$82:M84),3)&gt;=ROUND(M$68,3),0,M$68/M$71))</f>
        <v>129.65019999999998</v>
      </c>
      <c r="N85" s="170">
        <f>IF(ISERROR(IF(ROUND(SUM(N$82:N84),3)&gt;=ROUND(N$68,3),0,N$68/N$71)),"NA",IF(ROUND(SUM(N$82:N84),3)&gt;=ROUND(N$68,3),0,N$68/N$71))</f>
        <v>161.755</v>
      </c>
      <c r="O85" s="170">
        <f>IF(ISERROR(IF(ROUND(SUM(O$82:O84),3)&gt;=ROUND(O$68,3),0,O$68/O$71)),"NA",IF(ROUND(SUM(O$82:O84),3)&gt;=ROUND(O$68,3),0,O$68/O$71))</f>
        <v>191.08920000000001</v>
      </c>
      <c r="P85" s="170">
        <f>IF(ISERROR(IF(ROUND(SUM(P$82:P84),3)&gt;=ROUND(P$68,3),0,P$68/P$71)),"NA",IF(ROUND(SUM(P$82:P84),3)&gt;=ROUND(P$68,3),0,P$68/P$71))</f>
        <v>220.63580000000002</v>
      </c>
      <c r="Q85" s="169">
        <f t="shared" si="41"/>
        <v>225.04851600000003</v>
      </c>
      <c r="R85" s="169">
        <f t="shared" si="41"/>
        <v>229.54948632000003</v>
      </c>
      <c r="S85" s="169">
        <f t="shared" si="41"/>
        <v>234.14047604640004</v>
      </c>
      <c r="T85" s="169">
        <f t="shared" si="41"/>
        <v>238.82328556732804</v>
      </c>
      <c r="U85" s="169">
        <f t="shared" si="41"/>
        <v>243.5997512786746</v>
      </c>
      <c r="V85" s="169">
        <f t="shared" si="41"/>
        <v>248.47174630424809</v>
      </c>
      <c r="W85" s="169">
        <f t="shared" si="41"/>
        <v>253.44118123033306</v>
      </c>
      <c r="AA85"/>
      <c r="AB85"/>
      <c r="AC85"/>
      <c r="AD85"/>
      <c r="AE85"/>
      <c r="AF85"/>
      <c r="AJ85" s="288"/>
    </row>
    <row r="86" spans="1:36" s="287" customFormat="1" outlineLevel="1">
      <c r="A86" s="282"/>
      <c r="B86" s="144"/>
      <c r="C86" s="283" t="s">
        <v>537</v>
      </c>
      <c r="D86" s="283"/>
      <c r="E86" s="283"/>
      <c r="F86" s="283"/>
      <c r="G86" s="283"/>
      <c r="H86" s="170" t="str">
        <f>IF(ISERROR(IF(ROUND(SUM(H$82:H85),3)&gt;=ROUND(H$68,3),0,H$68/H$71)),"NA",IF(ROUND(SUM(H$82:H85),3)&gt;=ROUND(H$68,3),0,H$68/H$71))</f>
        <v>NA</v>
      </c>
      <c r="I86" s="170">
        <f>IF(ISERROR(IF(ROUND(SUM(I$82:I85),3)&gt;=ROUND(I$68,3),0,I$68/I$71)),"NA",IF(ROUND(SUM(I$82:I85),3)&gt;=ROUND(I$68,3),0,I$68/I$71))</f>
        <v>0</v>
      </c>
      <c r="J86" s="170">
        <f>IF(ISERROR(IF(ROUND(SUM(J$82:J85),3)&gt;=ROUND(J$68,3),0,J$68/J$71)),"NA",IF(ROUND(SUM(J$82:J85),3)&gt;=ROUND(J$68,3),0,J$68/J$71))</f>
        <v>0</v>
      </c>
      <c r="K86" s="170">
        <f>IF(ISERROR(IF(ROUND(SUM(K$82:K85),3)&gt;=ROUND(K$68,3),0,K$68/K$71)),"NA",IF(ROUND(SUM(K$82:K85),3)&gt;=ROUND(K$68,3),0,K$68/K$71))</f>
        <v>0</v>
      </c>
      <c r="L86" s="170">
        <f>IF(ISERROR(IF(ROUND(SUM(L$82:L85),3)&gt;=ROUND(L$68,3),0,L$68/L$71)),"NA",IF(ROUND(SUM(L$82:L85),3)&gt;=ROUND(L$68,3),0,L$68/L$71))</f>
        <v>110.57719999999999</v>
      </c>
      <c r="M86" s="170">
        <f>IF(ISERROR(IF(ROUND(SUM(M$82:M85),3)&gt;=ROUND(M$68,3),0,M$68/M$71)),"NA",IF(ROUND(SUM(M$82:M85),3)&gt;=ROUND(M$68,3),0,M$68/M$71))</f>
        <v>129.65019999999998</v>
      </c>
      <c r="N86" s="170">
        <f>IF(ISERROR(IF(ROUND(SUM(N$82:N85),3)&gt;=ROUND(N$68,3),0,N$68/N$71)),"NA",IF(ROUND(SUM(N$82:N85),3)&gt;=ROUND(N$68,3),0,N$68/N$71))</f>
        <v>161.755</v>
      </c>
      <c r="O86" s="170">
        <f>IF(ISERROR(IF(ROUND(SUM(O$82:O85),3)&gt;=ROUND(O$68,3),0,O$68/O$71)),"NA",IF(ROUND(SUM(O$82:O85),3)&gt;=ROUND(O$68,3),0,O$68/O$71))</f>
        <v>191.08920000000001</v>
      </c>
      <c r="P86" s="170">
        <f>IF(ISERROR(IF(ROUND(SUM(P$82:P85),3)&gt;=ROUND(P$68,3),0,P$68/P$71)),"NA",IF(ROUND(SUM(P$82:P85),3)&gt;=ROUND(P$68,3),0,P$68/P$71))</f>
        <v>220.63580000000002</v>
      </c>
      <c r="Q86" s="169">
        <f t="shared" ref="Q86:W95" si="43">P86*(1+Q$64)</f>
        <v>225.04851600000003</v>
      </c>
      <c r="R86" s="169">
        <f t="shared" si="43"/>
        <v>229.54948632000003</v>
      </c>
      <c r="S86" s="169">
        <f t="shared" si="43"/>
        <v>234.14047604640004</v>
      </c>
      <c r="T86" s="169">
        <f t="shared" si="43"/>
        <v>238.82328556732804</v>
      </c>
      <c r="U86" s="169">
        <f t="shared" si="43"/>
        <v>243.5997512786746</v>
      </c>
      <c r="V86" s="169">
        <f t="shared" si="43"/>
        <v>248.47174630424809</v>
      </c>
      <c r="W86" s="169">
        <f t="shared" si="43"/>
        <v>253.44118123033306</v>
      </c>
      <c r="AA86"/>
      <c r="AB86"/>
      <c r="AC86"/>
      <c r="AD86"/>
      <c r="AE86"/>
      <c r="AF86"/>
      <c r="AJ86" s="288"/>
    </row>
    <row r="87" spans="1:36" s="287" customFormat="1" outlineLevel="1">
      <c r="A87" s="282"/>
      <c r="B87" s="144"/>
      <c r="C87" s="283" t="s">
        <v>538</v>
      </c>
      <c r="D87" s="283"/>
      <c r="E87" s="283"/>
      <c r="F87" s="283"/>
      <c r="G87" s="283"/>
      <c r="H87" s="170" t="str">
        <f>IF(ISERROR(IF(ROUND(SUM(H$82:H86),3)&gt;=ROUND(H$68,3),0,H$68/H$71)),"NA",IF(ROUND(SUM(H$82:H86),3)&gt;=ROUND(H$68,3),0,H$68/H$71))</f>
        <v>NA</v>
      </c>
      <c r="I87" s="170">
        <f>IF(ISERROR(IF(ROUND(SUM(I$82:I86),3)&gt;=ROUND(I$68,3),0,I$68/I$71)),"NA",IF(ROUND(SUM(I$82:I86),3)&gt;=ROUND(I$68,3),0,I$68/I$71))</f>
        <v>0</v>
      </c>
      <c r="J87" s="170">
        <f>IF(ISERROR(IF(ROUND(SUM(J$82:J86),3)&gt;=ROUND(J$68,3),0,J$68/J$71)),"NA",IF(ROUND(SUM(J$82:J86),3)&gt;=ROUND(J$68,3),0,J$68/J$71))</f>
        <v>0</v>
      </c>
      <c r="K87" s="170">
        <f>IF(ISERROR(IF(ROUND(SUM(K$82:K86),3)&gt;=ROUND(K$68,3),0,K$68/K$71)),"NA",IF(ROUND(SUM(K$82:K86),3)&gt;=ROUND(K$68,3),0,K$68/K$71))</f>
        <v>0</v>
      </c>
      <c r="L87" s="170">
        <f>IF(ISERROR(IF(ROUND(SUM(L$82:L86),3)&gt;=ROUND(L$68,3),0,L$68/L$71)),"NA",IF(ROUND(SUM(L$82:L86),3)&gt;=ROUND(L$68,3),0,L$68/L$71))</f>
        <v>0</v>
      </c>
      <c r="M87" s="170">
        <f>IF(ISERROR(IF(ROUND(SUM(M$82:M86),3)&gt;=ROUND(M$68,3),0,M$68/M$71)),"NA",IF(ROUND(SUM(M$82:M86),3)&gt;=ROUND(M$68,3),0,M$68/M$71))</f>
        <v>0</v>
      </c>
      <c r="N87" s="170">
        <f>IF(ISERROR(IF(ROUND(SUM(N$82:N86),3)&gt;=ROUND(N$68,3),0,N$68/N$71)),"NA",IF(ROUND(SUM(N$82:N86),3)&gt;=ROUND(N$68,3),0,N$68/N$71))</f>
        <v>0</v>
      </c>
      <c r="O87" s="170">
        <f>IF(ISERROR(IF(ROUND(SUM(O$82:O86),3)&gt;=ROUND(O$68,3),0,O$68/O$71)),"NA",IF(ROUND(SUM(O$82:O86),3)&gt;=ROUND(O$68,3),0,O$68/O$71))</f>
        <v>0</v>
      </c>
      <c r="P87" s="170">
        <f>IF(ISERROR(IF(ROUND(SUM(P$82:P86),3)&gt;=ROUND(P$68,3),0,P$68/P$71)),"NA",IF(ROUND(SUM(P$82:P86),3)&gt;=ROUND(P$68,3),0,P$68/P$71))</f>
        <v>0</v>
      </c>
      <c r="Q87" s="169">
        <f t="shared" si="43"/>
        <v>0</v>
      </c>
      <c r="R87" s="169">
        <f t="shared" si="43"/>
        <v>0</v>
      </c>
      <c r="S87" s="169">
        <f t="shared" si="43"/>
        <v>0</v>
      </c>
      <c r="T87" s="169">
        <f t="shared" si="43"/>
        <v>0</v>
      </c>
      <c r="U87" s="169">
        <f t="shared" si="43"/>
        <v>0</v>
      </c>
      <c r="V87" s="169">
        <f t="shared" si="43"/>
        <v>0</v>
      </c>
      <c r="W87" s="169">
        <f t="shared" si="43"/>
        <v>0</v>
      </c>
      <c r="AA87"/>
      <c r="AB87"/>
      <c r="AC87"/>
      <c r="AD87"/>
      <c r="AE87"/>
      <c r="AF87"/>
      <c r="AJ87" s="288"/>
    </row>
    <row r="88" spans="1:36" s="287" customFormat="1" outlineLevel="1">
      <c r="A88" s="282"/>
      <c r="B88" s="144"/>
      <c r="C88" s="283" t="s">
        <v>539</v>
      </c>
      <c r="D88" s="283"/>
      <c r="E88" s="283"/>
      <c r="F88" s="283"/>
      <c r="G88" s="283"/>
      <c r="H88" s="170" t="str">
        <f>IF(ISERROR(IF(ROUND(SUM(H$82:H87),3)&gt;=ROUND(H$68,3),0,H$68/H$71)),"NA",IF(ROUND(SUM(H$82:H87),3)&gt;=ROUND(H$68,3),0,H$68/H$71))</f>
        <v>NA</v>
      </c>
      <c r="I88" s="170">
        <f>IF(ISERROR(IF(ROUND(SUM(I$82:I87),3)&gt;=ROUND(I$68,3),0,I$68/I$71)),"NA",IF(ROUND(SUM(I$82:I87),3)&gt;=ROUND(I$68,3),0,I$68/I$71))</f>
        <v>0</v>
      </c>
      <c r="J88" s="170">
        <f>IF(ISERROR(IF(ROUND(SUM(J$82:J87),3)&gt;=ROUND(J$68,3),0,J$68/J$71)),"NA",IF(ROUND(SUM(J$82:J87),3)&gt;=ROUND(J$68,3),0,J$68/J$71))</f>
        <v>0</v>
      </c>
      <c r="K88" s="170">
        <f>IF(ISERROR(IF(ROUND(SUM(K$82:K87),3)&gt;=ROUND(K$68,3),0,K$68/K$71)),"NA",IF(ROUND(SUM(K$82:K87),3)&gt;=ROUND(K$68,3),0,K$68/K$71))</f>
        <v>0</v>
      </c>
      <c r="L88" s="170">
        <f>IF(ISERROR(IF(ROUND(SUM(L$82:L87),3)&gt;=ROUND(L$68,3),0,L$68/L$71)),"NA",IF(ROUND(SUM(L$82:L87),3)&gt;=ROUND(L$68,3),0,L$68/L$71))</f>
        <v>0</v>
      </c>
      <c r="M88" s="170">
        <f>IF(ISERROR(IF(ROUND(SUM(M$82:M87),3)&gt;=ROUND(M$68,3),0,M$68/M$71)),"NA",IF(ROUND(SUM(M$82:M87),3)&gt;=ROUND(M$68,3),0,M$68/M$71))</f>
        <v>0</v>
      </c>
      <c r="N88" s="170">
        <f>IF(ISERROR(IF(ROUND(SUM(N$82:N87),3)&gt;=ROUND(N$68,3),0,N$68/N$71)),"NA",IF(ROUND(SUM(N$82:N87),3)&gt;=ROUND(N$68,3),0,N$68/N$71))</f>
        <v>0</v>
      </c>
      <c r="O88" s="170">
        <f>IF(ISERROR(IF(ROUND(SUM(O$82:O87),3)&gt;=ROUND(O$68,3),0,O$68/O$71)),"NA",IF(ROUND(SUM(O$82:O87),3)&gt;=ROUND(O$68,3),0,O$68/O$71))</f>
        <v>0</v>
      </c>
      <c r="P88" s="170">
        <f>IF(ISERROR(IF(ROUND(SUM(P$82:P87),3)&gt;=ROUND(P$68,3),0,P$68/P$71)),"NA",IF(ROUND(SUM(P$82:P87),3)&gt;=ROUND(P$68,3),0,P$68/P$71))</f>
        <v>0</v>
      </c>
      <c r="Q88" s="169">
        <f t="shared" si="43"/>
        <v>0</v>
      </c>
      <c r="R88" s="169">
        <f t="shared" si="43"/>
        <v>0</v>
      </c>
      <c r="S88" s="169">
        <f t="shared" si="43"/>
        <v>0</v>
      </c>
      <c r="T88" s="169">
        <f t="shared" si="43"/>
        <v>0</v>
      </c>
      <c r="U88" s="169">
        <f t="shared" si="43"/>
        <v>0</v>
      </c>
      <c r="V88" s="169">
        <f t="shared" si="43"/>
        <v>0</v>
      </c>
      <c r="W88" s="169">
        <f t="shared" si="43"/>
        <v>0</v>
      </c>
      <c r="AA88"/>
      <c r="AB88"/>
      <c r="AC88"/>
      <c r="AD88"/>
      <c r="AE88"/>
      <c r="AF88"/>
      <c r="AJ88" s="288"/>
    </row>
    <row r="89" spans="1:36" s="287" customFormat="1" outlineLevel="1">
      <c r="A89" s="282"/>
      <c r="B89" s="144"/>
      <c r="C89" s="283" t="s">
        <v>540</v>
      </c>
      <c r="D89" s="283"/>
      <c r="E89" s="283"/>
      <c r="F89" s="283"/>
      <c r="G89" s="283"/>
      <c r="H89" s="170" t="str">
        <f>IF(ISERROR(IF(ROUND(SUM(H$82:H88),3)&gt;=ROUND(H$68,3),0,H$68/H$71)),"NA",IF(ROUND(SUM(H$82:H88),3)&gt;=ROUND(H$68,3),0,H$68/H$71))</f>
        <v>NA</v>
      </c>
      <c r="I89" s="170">
        <f>IF(ISERROR(IF(ROUND(SUM(I$82:I88),3)&gt;=ROUND(I$68,3),0,I$68/I$71)),"NA",IF(ROUND(SUM(I$82:I88),3)&gt;=ROUND(I$68,3),0,I$68/I$71))</f>
        <v>0</v>
      </c>
      <c r="J89" s="170">
        <f>IF(ISERROR(IF(ROUND(SUM(J$82:J88),3)&gt;=ROUND(J$68,3),0,J$68/J$71)),"NA",IF(ROUND(SUM(J$82:J88),3)&gt;=ROUND(J$68,3),0,J$68/J$71))</f>
        <v>0</v>
      </c>
      <c r="K89" s="170">
        <f>IF(ISERROR(IF(ROUND(SUM(K$82:K88),3)&gt;=ROUND(K$68,3),0,K$68/K$71)),"NA",IF(ROUND(SUM(K$82:K88),3)&gt;=ROUND(K$68,3),0,K$68/K$71))</f>
        <v>0</v>
      </c>
      <c r="L89" s="170">
        <f>IF(ISERROR(IF(ROUND(SUM(L$82:L88),3)&gt;=ROUND(L$68,3),0,L$68/L$71)),"NA",IF(ROUND(SUM(L$82:L88),3)&gt;=ROUND(L$68,3),0,L$68/L$71))</f>
        <v>0</v>
      </c>
      <c r="M89" s="170">
        <f>IF(ISERROR(IF(ROUND(SUM(M$82:M88),3)&gt;=ROUND(M$68,3),0,M$68/M$71)),"NA",IF(ROUND(SUM(M$82:M88),3)&gt;=ROUND(M$68,3),0,M$68/M$71))</f>
        <v>0</v>
      </c>
      <c r="N89" s="170">
        <f>IF(ISERROR(IF(ROUND(SUM(N$82:N88),3)&gt;=ROUND(N$68,3),0,N$68/N$71)),"NA",IF(ROUND(SUM(N$82:N88),3)&gt;=ROUND(N$68,3),0,N$68/N$71))</f>
        <v>0</v>
      </c>
      <c r="O89" s="170">
        <f>IF(ISERROR(IF(ROUND(SUM(O$82:O88),3)&gt;=ROUND(O$68,3),0,O$68/O$71)),"NA",IF(ROUND(SUM(O$82:O88),3)&gt;=ROUND(O$68,3),0,O$68/O$71))</f>
        <v>0</v>
      </c>
      <c r="P89" s="170">
        <f>IF(ISERROR(IF(ROUND(SUM(P$82:P88),3)&gt;=ROUND(P$68,3),0,P$68/P$71)),"NA",IF(ROUND(SUM(P$82:P88),3)&gt;=ROUND(P$68,3),0,P$68/P$71))</f>
        <v>0</v>
      </c>
      <c r="Q89" s="169">
        <f t="shared" si="43"/>
        <v>0</v>
      </c>
      <c r="R89" s="169">
        <f t="shared" si="43"/>
        <v>0</v>
      </c>
      <c r="S89" s="169">
        <f t="shared" si="43"/>
        <v>0</v>
      </c>
      <c r="T89" s="169">
        <f t="shared" si="43"/>
        <v>0</v>
      </c>
      <c r="U89" s="169">
        <f t="shared" si="43"/>
        <v>0</v>
      </c>
      <c r="V89" s="169">
        <f t="shared" si="43"/>
        <v>0</v>
      </c>
      <c r="W89" s="169">
        <f t="shared" si="43"/>
        <v>0</v>
      </c>
      <c r="AA89"/>
      <c r="AB89"/>
      <c r="AC89"/>
      <c r="AD89"/>
      <c r="AE89"/>
      <c r="AF89"/>
      <c r="AJ89" s="288"/>
    </row>
    <row r="90" spans="1:36" s="287" customFormat="1" outlineLevel="1">
      <c r="A90" s="282"/>
      <c r="B90" s="144"/>
      <c r="C90" s="283" t="s">
        <v>541</v>
      </c>
      <c r="D90" s="283"/>
      <c r="E90" s="283"/>
      <c r="F90" s="283"/>
      <c r="G90" s="283"/>
      <c r="H90" s="170" t="str">
        <f>IF(ISERROR(IF(ROUND(SUM(H$82:H89),3)&gt;=ROUND(H$68,3),0,H$68/H$71)),"NA",IF(ROUND(SUM(H$82:H89),3)&gt;=ROUND(H$68,3),0,H$68/H$71))</f>
        <v>NA</v>
      </c>
      <c r="I90" s="170">
        <f>IF(ISERROR(IF(ROUND(SUM(I$82:I89),3)&gt;=ROUND(I$68,3),0,I$68/I$71)),"NA",IF(ROUND(SUM(I$82:I89),3)&gt;=ROUND(I$68,3),0,I$68/I$71))</f>
        <v>0</v>
      </c>
      <c r="J90" s="170">
        <f>IF(ISERROR(IF(ROUND(SUM(J$82:J89),3)&gt;=ROUND(J$68,3),0,J$68/J$71)),"NA",IF(ROUND(SUM(J$82:J89),3)&gt;=ROUND(J$68,3),0,J$68/J$71))</f>
        <v>0</v>
      </c>
      <c r="K90" s="170">
        <f>IF(ISERROR(IF(ROUND(SUM(K$82:K89),3)&gt;=ROUND(K$68,3),0,K$68/K$71)),"NA",IF(ROUND(SUM(K$82:K89),3)&gt;=ROUND(K$68,3),0,K$68/K$71))</f>
        <v>0</v>
      </c>
      <c r="L90" s="170">
        <f>IF(ISERROR(IF(ROUND(SUM(L$82:L89),3)&gt;=ROUND(L$68,3),0,L$68/L$71)),"NA",IF(ROUND(SUM(L$82:L89),3)&gt;=ROUND(L$68,3),0,L$68/L$71))</f>
        <v>0</v>
      </c>
      <c r="M90" s="170">
        <f>IF(ISERROR(IF(ROUND(SUM(M$82:M89),3)&gt;=ROUND(M$68,3),0,M$68/M$71)),"NA",IF(ROUND(SUM(M$82:M89),3)&gt;=ROUND(M$68,3),0,M$68/M$71))</f>
        <v>0</v>
      </c>
      <c r="N90" s="170">
        <f>IF(ISERROR(IF(ROUND(SUM(N$82:N89),3)&gt;=ROUND(N$68,3),0,N$68/N$71)),"NA",IF(ROUND(SUM(N$82:N89),3)&gt;=ROUND(N$68,3),0,N$68/N$71))</f>
        <v>0</v>
      </c>
      <c r="O90" s="170">
        <f>IF(ISERROR(IF(ROUND(SUM(O$82:O89),3)&gt;=ROUND(O$68,3),0,O$68/O$71)),"NA",IF(ROUND(SUM(O$82:O89),3)&gt;=ROUND(O$68,3),0,O$68/O$71))</f>
        <v>0</v>
      </c>
      <c r="P90" s="170">
        <f>IF(ISERROR(IF(ROUND(SUM(P$82:P89),3)&gt;=ROUND(P$68,3),0,P$68/P$71)),"NA",IF(ROUND(SUM(P$82:P89),3)&gt;=ROUND(P$68,3),0,P$68/P$71))</f>
        <v>0</v>
      </c>
      <c r="Q90" s="169">
        <f t="shared" si="43"/>
        <v>0</v>
      </c>
      <c r="R90" s="169">
        <f t="shared" si="43"/>
        <v>0</v>
      </c>
      <c r="S90" s="169">
        <f t="shared" si="43"/>
        <v>0</v>
      </c>
      <c r="T90" s="169">
        <f t="shared" si="43"/>
        <v>0</v>
      </c>
      <c r="U90" s="169">
        <f t="shared" si="43"/>
        <v>0</v>
      </c>
      <c r="V90" s="169">
        <f t="shared" si="43"/>
        <v>0</v>
      </c>
      <c r="W90" s="169">
        <f t="shared" si="43"/>
        <v>0</v>
      </c>
      <c r="AA90"/>
      <c r="AB90"/>
      <c r="AC90"/>
      <c r="AD90"/>
      <c r="AE90"/>
      <c r="AF90"/>
      <c r="AJ90" s="288"/>
    </row>
    <row r="91" spans="1:36" s="287" customFormat="1" outlineLevel="1">
      <c r="A91" s="282"/>
      <c r="B91" s="144"/>
      <c r="C91" s="283" t="s">
        <v>542</v>
      </c>
      <c r="D91" s="283"/>
      <c r="E91" s="283"/>
      <c r="F91" s="283"/>
      <c r="G91" s="283"/>
      <c r="H91" s="170" t="str">
        <f>IF(ISERROR(IF(ROUND(SUM(H$82:H90),3)&gt;=ROUND(H$68,3),0,H$68/H$71)),"NA",IF(ROUND(SUM(H$82:H90),3)&gt;=ROUND(H$68,3),0,H$68/H$71))</f>
        <v>NA</v>
      </c>
      <c r="I91" s="170">
        <f>IF(ISERROR(IF(ROUND(SUM(I$82:I90),3)&gt;=ROUND(I$68,3),0,I$68/I$71)),"NA",IF(ROUND(SUM(I$82:I90),3)&gt;=ROUND(I$68,3),0,I$68/I$71))</f>
        <v>0</v>
      </c>
      <c r="J91" s="170">
        <f>IF(ISERROR(IF(ROUND(SUM(J$82:J90),3)&gt;=ROUND(J$68,3),0,J$68/J$71)),"NA",IF(ROUND(SUM(J$82:J90),3)&gt;=ROUND(J$68,3),0,J$68/J$71))</f>
        <v>0</v>
      </c>
      <c r="K91" s="170">
        <f>IF(ISERROR(IF(ROUND(SUM(K$82:K90),3)&gt;=ROUND(K$68,3),0,K$68/K$71)),"NA",IF(ROUND(SUM(K$82:K90),3)&gt;=ROUND(K$68,3),0,K$68/K$71))</f>
        <v>0</v>
      </c>
      <c r="L91" s="170">
        <f>IF(ISERROR(IF(ROUND(SUM(L$82:L90),3)&gt;=ROUND(L$68,3),0,L$68/L$71)),"NA",IF(ROUND(SUM(L$82:L90),3)&gt;=ROUND(L$68,3),0,L$68/L$71))</f>
        <v>0</v>
      </c>
      <c r="M91" s="170">
        <f>IF(ISERROR(IF(ROUND(SUM(M$82:M90),3)&gt;=ROUND(M$68,3),0,M$68/M$71)),"NA",IF(ROUND(SUM(M$82:M90),3)&gt;=ROUND(M$68,3),0,M$68/M$71))</f>
        <v>0</v>
      </c>
      <c r="N91" s="170">
        <f>IF(ISERROR(IF(ROUND(SUM(N$82:N90),3)&gt;=ROUND(N$68,3),0,N$68/N$71)),"NA",IF(ROUND(SUM(N$82:N90),3)&gt;=ROUND(N$68,3),0,N$68/N$71))</f>
        <v>0</v>
      </c>
      <c r="O91" s="170">
        <f>IF(ISERROR(IF(ROUND(SUM(O$82:O90),3)&gt;=ROUND(O$68,3),0,O$68/O$71)),"NA",IF(ROUND(SUM(O$82:O90),3)&gt;=ROUND(O$68,3),0,O$68/O$71))</f>
        <v>0</v>
      </c>
      <c r="P91" s="170">
        <f>IF(ISERROR(IF(ROUND(SUM(P$82:P90),3)&gt;=ROUND(P$68,3),0,P$68/P$71)),"NA",IF(ROUND(SUM(P$82:P90),3)&gt;=ROUND(P$68,3),0,P$68/P$71))</f>
        <v>0</v>
      </c>
      <c r="Q91" s="169">
        <f t="shared" si="43"/>
        <v>0</v>
      </c>
      <c r="R91" s="169">
        <f t="shared" si="43"/>
        <v>0</v>
      </c>
      <c r="S91" s="169">
        <f t="shared" si="43"/>
        <v>0</v>
      </c>
      <c r="T91" s="169">
        <f t="shared" si="43"/>
        <v>0</v>
      </c>
      <c r="U91" s="169">
        <f t="shared" si="43"/>
        <v>0</v>
      </c>
      <c r="V91" s="169">
        <f t="shared" si="43"/>
        <v>0</v>
      </c>
      <c r="W91" s="169">
        <f t="shared" si="43"/>
        <v>0</v>
      </c>
      <c r="AA91"/>
      <c r="AB91"/>
      <c r="AC91"/>
      <c r="AD91"/>
      <c r="AE91"/>
      <c r="AF91"/>
      <c r="AJ91" s="288"/>
    </row>
    <row r="92" spans="1:36" s="287" customFormat="1" outlineLevel="1">
      <c r="A92" s="282"/>
      <c r="B92" s="144"/>
      <c r="C92" s="283" t="s">
        <v>543</v>
      </c>
      <c r="D92" s="283"/>
      <c r="E92" s="283"/>
      <c r="F92" s="283"/>
      <c r="G92" s="283"/>
      <c r="H92" s="170" t="str">
        <f>IF(ISERROR(IF(ROUND(SUM(H$82:H91),3)&gt;=ROUND(H$68,3),0,H$68/H$71)),"NA",IF(ROUND(SUM(H$82:H91),3)&gt;=ROUND(H$68,3),0,H$68/H$71))</f>
        <v>NA</v>
      </c>
      <c r="I92" s="170">
        <f>IF(ISERROR(IF(ROUND(SUM(I$82:I91),3)&gt;=ROUND(I$68,3),0,I$68/I$71)),"NA",IF(ROUND(SUM(I$82:I91),3)&gt;=ROUND(I$68,3),0,I$68/I$71))</f>
        <v>0</v>
      </c>
      <c r="J92" s="170">
        <f>IF(ISERROR(IF(ROUND(SUM(J$82:J91),3)&gt;=ROUND(J$68,3),0,J$68/J$71)),"NA",IF(ROUND(SUM(J$82:J91),3)&gt;=ROUND(J$68,3),0,J$68/J$71))</f>
        <v>0</v>
      </c>
      <c r="K92" s="170">
        <f>IF(ISERROR(IF(ROUND(SUM(K$82:K91),3)&gt;=ROUND(K$68,3),0,K$68/K$71)),"NA",IF(ROUND(SUM(K$82:K91),3)&gt;=ROUND(K$68,3),0,K$68/K$71))</f>
        <v>0</v>
      </c>
      <c r="L92" s="170">
        <f>IF(ISERROR(IF(ROUND(SUM(L$82:L91),3)&gt;=ROUND(L$68,3),0,L$68/L$71)),"NA",IF(ROUND(SUM(L$82:L91),3)&gt;=ROUND(L$68,3),0,L$68/L$71))</f>
        <v>0</v>
      </c>
      <c r="M92" s="170">
        <f>IF(ISERROR(IF(ROUND(SUM(M$82:M91),3)&gt;=ROUND(M$68,3),0,M$68/M$71)),"NA",IF(ROUND(SUM(M$82:M91),3)&gt;=ROUND(M$68,3),0,M$68/M$71))</f>
        <v>0</v>
      </c>
      <c r="N92" s="170">
        <f>IF(ISERROR(IF(ROUND(SUM(N$82:N91),3)&gt;=ROUND(N$68,3),0,N$68/N$71)),"NA",IF(ROUND(SUM(N$82:N91),3)&gt;=ROUND(N$68,3),0,N$68/N$71))</f>
        <v>0</v>
      </c>
      <c r="O92" s="170">
        <f>IF(ISERROR(IF(ROUND(SUM(O$82:O91),3)&gt;=ROUND(O$68,3),0,O$68/O$71)),"NA",IF(ROUND(SUM(O$82:O91),3)&gt;=ROUND(O$68,3),0,O$68/O$71))</f>
        <v>0</v>
      </c>
      <c r="P92" s="170">
        <f>IF(ISERROR(IF(ROUND(SUM(P$82:P91),3)&gt;=ROUND(P$68,3),0,P$68/P$71)),"NA",IF(ROUND(SUM(P$82:P91),3)&gt;=ROUND(P$68,3),0,P$68/P$71))</f>
        <v>0</v>
      </c>
      <c r="Q92" s="169">
        <f t="shared" si="43"/>
        <v>0</v>
      </c>
      <c r="R92" s="169">
        <f t="shared" si="43"/>
        <v>0</v>
      </c>
      <c r="S92" s="169">
        <f t="shared" si="43"/>
        <v>0</v>
      </c>
      <c r="T92" s="169">
        <f t="shared" si="43"/>
        <v>0</v>
      </c>
      <c r="U92" s="169">
        <f t="shared" si="43"/>
        <v>0</v>
      </c>
      <c r="V92" s="169">
        <f t="shared" si="43"/>
        <v>0</v>
      </c>
      <c r="W92" s="169">
        <f t="shared" si="43"/>
        <v>0</v>
      </c>
      <c r="AA92"/>
      <c r="AB92"/>
      <c r="AC92"/>
      <c r="AD92"/>
      <c r="AE92"/>
      <c r="AF92"/>
      <c r="AJ92" s="288"/>
    </row>
    <row r="93" spans="1:36" s="287" customFormat="1" outlineLevel="1">
      <c r="A93" s="282"/>
      <c r="B93" s="144"/>
      <c r="C93" s="283" t="s">
        <v>544</v>
      </c>
      <c r="D93" s="283"/>
      <c r="E93" s="283"/>
      <c r="F93" s="283"/>
      <c r="G93" s="283"/>
      <c r="H93" s="170" t="str">
        <f>IF(ISERROR(IF(ROUND(SUM(H$82:H92),3)&gt;=ROUND(H$68,3),0,H$68/H$71)),"NA",IF(ROUND(SUM(H$82:H92),3)&gt;=ROUND(H$68,3),0,H$68/H$71))</f>
        <v>NA</v>
      </c>
      <c r="I93" s="170">
        <f>IF(ISERROR(IF(ROUND(SUM(I$82:I92),3)&gt;=ROUND(I$68,3),0,I$68/I$71)),"NA",IF(ROUND(SUM(I$82:I92),3)&gt;=ROUND(I$68,3),0,I$68/I$71))</f>
        <v>0</v>
      </c>
      <c r="J93" s="170">
        <f>IF(ISERROR(IF(ROUND(SUM(J$82:J92),3)&gt;=ROUND(J$68,3),0,J$68/J$71)),"NA",IF(ROUND(SUM(J$82:J92),3)&gt;=ROUND(J$68,3),0,J$68/J$71))</f>
        <v>0</v>
      </c>
      <c r="K93" s="170">
        <f>IF(ISERROR(IF(ROUND(SUM(K$82:K92),3)&gt;=ROUND(K$68,3),0,K$68/K$71)),"NA",IF(ROUND(SUM(K$82:K92),3)&gt;=ROUND(K$68,3),0,K$68/K$71))</f>
        <v>0</v>
      </c>
      <c r="L93" s="170">
        <f>IF(ISERROR(IF(ROUND(SUM(L$82:L92),3)&gt;=ROUND(L$68,3),0,L$68/L$71)),"NA",IF(ROUND(SUM(L$82:L92),3)&gt;=ROUND(L$68,3),0,L$68/L$71))</f>
        <v>0</v>
      </c>
      <c r="M93" s="170">
        <f>IF(ISERROR(IF(ROUND(SUM(M$82:M92),3)&gt;=ROUND(M$68,3),0,M$68/M$71)),"NA",IF(ROUND(SUM(M$82:M92),3)&gt;=ROUND(M$68,3),0,M$68/M$71))</f>
        <v>0</v>
      </c>
      <c r="N93" s="170">
        <f>IF(ISERROR(IF(ROUND(SUM(N$82:N92),3)&gt;=ROUND(N$68,3),0,N$68/N$71)),"NA",IF(ROUND(SUM(N$82:N92),3)&gt;=ROUND(N$68,3),0,N$68/N$71))</f>
        <v>0</v>
      </c>
      <c r="O93" s="170">
        <f>IF(ISERROR(IF(ROUND(SUM(O$82:O92),3)&gt;=ROUND(O$68,3),0,O$68/O$71)),"NA",IF(ROUND(SUM(O$82:O92),3)&gt;=ROUND(O$68,3),0,O$68/O$71))</f>
        <v>0</v>
      </c>
      <c r="P93" s="170">
        <f>IF(ISERROR(IF(ROUND(SUM(P$82:P92),3)&gt;=ROUND(P$68,3),0,P$68/P$71)),"NA",IF(ROUND(SUM(P$82:P92),3)&gt;=ROUND(P$68,3),0,P$68/P$71))</f>
        <v>0</v>
      </c>
      <c r="Q93" s="169">
        <f t="shared" si="43"/>
        <v>0</v>
      </c>
      <c r="R93" s="169">
        <f t="shared" si="43"/>
        <v>0</v>
      </c>
      <c r="S93" s="169">
        <f t="shared" si="43"/>
        <v>0</v>
      </c>
      <c r="T93" s="169">
        <f t="shared" si="43"/>
        <v>0</v>
      </c>
      <c r="U93" s="169">
        <f t="shared" si="43"/>
        <v>0</v>
      </c>
      <c r="V93" s="169">
        <f t="shared" si="43"/>
        <v>0</v>
      </c>
      <c r="W93" s="169">
        <f t="shared" si="43"/>
        <v>0</v>
      </c>
      <c r="AA93"/>
      <c r="AB93"/>
      <c r="AC93"/>
      <c r="AD93"/>
      <c r="AE93"/>
      <c r="AF93"/>
      <c r="AJ93" s="288"/>
    </row>
    <row r="94" spans="1:36" s="287" customFormat="1" outlineLevel="1">
      <c r="A94" s="282"/>
      <c r="B94" s="144"/>
      <c r="C94" s="283" t="s">
        <v>545</v>
      </c>
      <c r="D94" s="283"/>
      <c r="E94" s="283"/>
      <c r="F94" s="283"/>
      <c r="G94" s="283"/>
      <c r="H94" s="170" t="str">
        <f>IF(ISERROR(IF(ROUND(SUM(H$82:H93),3)&gt;=ROUND(H$68,3),0,H$68/H$71)),"NA",IF(ROUND(SUM(H$82:H93),3)&gt;=ROUND(H$68,3),0,H$68/H$71))</f>
        <v>NA</v>
      </c>
      <c r="I94" s="170">
        <f>IF(ISERROR(IF(ROUND(SUM(I$82:I93),3)&gt;=ROUND(I$68,3),0,I$68/I$71)),"NA",IF(ROUND(SUM(I$82:I93),3)&gt;=ROUND(I$68,3),0,I$68/I$71))</f>
        <v>0</v>
      </c>
      <c r="J94" s="170">
        <f>IF(ISERROR(IF(ROUND(SUM(J$82:J93),3)&gt;=ROUND(J$68,3),0,J$68/J$71)),"NA",IF(ROUND(SUM(J$82:J93),3)&gt;=ROUND(J$68,3),0,J$68/J$71))</f>
        <v>0</v>
      </c>
      <c r="K94" s="170">
        <f>IF(ISERROR(IF(ROUND(SUM(K$82:K93),3)&gt;=ROUND(K$68,3),0,K$68/K$71)),"NA",IF(ROUND(SUM(K$82:K93),3)&gt;=ROUND(K$68,3),0,K$68/K$71))</f>
        <v>0</v>
      </c>
      <c r="L94" s="170">
        <f>IF(ISERROR(IF(ROUND(SUM(L$82:L93),3)&gt;=ROUND(L$68,3),0,L$68/L$71)),"NA",IF(ROUND(SUM(L$82:L93),3)&gt;=ROUND(L$68,3),0,L$68/L$71))</f>
        <v>0</v>
      </c>
      <c r="M94" s="170">
        <f>IF(ISERROR(IF(ROUND(SUM(M$82:M93),3)&gt;=ROUND(M$68,3),0,M$68/M$71)),"NA",IF(ROUND(SUM(M$82:M93),3)&gt;=ROUND(M$68,3),0,M$68/M$71))</f>
        <v>0</v>
      </c>
      <c r="N94" s="170">
        <f>IF(ISERROR(IF(ROUND(SUM(N$82:N93),3)&gt;=ROUND(N$68,3),0,N$68/N$71)),"NA",IF(ROUND(SUM(N$82:N93),3)&gt;=ROUND(N$68,3),0,N$68/N$71))</f>
        <v>0</v>
      </c>
      <c r="O94" s="170">
        <f>IF(ISERROR(IF(ROUND(SUM(O$82:O93),3)&gt;=ROUND(O$68,3),0,O$68/O$71)),"NA",IF(ROUND(SUM(O$82:O93),3)&gt;=ROUND(O$68,3),0,O$68/O$71))</f>
        <v>0</v>
      </c>
      <c r="P94" s="170">
        <f>IF(ISERROR(IF(ROUND(SUM(P$82:P93),3)&gt;=ROUND(P$68,3),0,P$68/P$71)),"NA",IF(ROUND(SUM(P$82:P93),3)&gt;=ROUND(P$68,3),0,P$68/P$71))</f>
        <v>0</v>
      </c>
      <c r="Q94" s="169">
        <f t="shared" si="43"/>
        <v>0</v>
      </c>
      <c r="R94" s="169">
        <f t="shared" si="43"/>
        <v>0</v>
      </c>
      <c r="S94" s="169">
        <f t="shared" si="43"/>
        <v>0</v>
      </c>
      <c r="T94" s="169">
        <f t="shared" si="43"/>
        <v>0</v>
      </c>
      <c r="U94" s="169">
        <f t="shared" si="43"/>
        <v>0</v>
      </c>
      <c r="V94" s="169">
        <f t="shared" si="43"/>
        <v>0</v>
      </c>
      <c r="W94" s="169">
        <f t="shared" si="43"/>
        <v>0</v>
      </c>
      <c r="AA94"/>
      <c r="AB94"/>
      <c r="AC94"/>
      <c r="AD94"/>
      <c r="AE94"/>
      <c r="AF94"/>
      <c r="AJ94" s="288"/>
    </row>
    <row r="95" spans="1:36" s="287" customFormat="1" outlineLevel="1">
      <c r="A95" s="282"/>
      <c r="B95" s="144"/>
      <c r="C95" s="283" t="s">
        <v>546</v>
      </c>
      <c r="D95" s="283"/>
      <c r="E95" s="283"/>
      <c r="F95" s="283"/>
      <c r="G95" s="283"/>
      <c r="H95" s="170" t="str">
        <f>IF(ISERROR(IF(ROUND(SUM(H$82:H94),3)&gt;=ROUND(H$68,3),0,H$68/H$71)),"NA",IF(ROUND(SUM(H$82:H94),3)&gt;=ROUND(H$68,3),0,H$68/H$71))</f>
        <v>NA</v>
      </c>
      <c r="I95" s="170">
        <f>IF(ISERROR(IF(ROUND(SUM(I$82:I94),3)&gt;=ROUND(I$68,3),0,I$68/I$71)),"NA",IF(ROUND(SUM(I$82:I94),3)&gt;=ROUND(I$68,3),0,I$68/I$71))</f>
        <v>0</v>
      </c>
      <c r="J95" s="170">
        <f>IF(ISERROR(IF(ROUND(SUM(J$82:J94),3)&gt;=ROUND(J$68,3),0,J$68/J$71)),"NA",IF(ROUND(SUM(J$82:J94),3)&gt;=ROUND(J$68,3),0,J$68/J$71))</f>
        <v>0</v>
      </c>
      <c r="K95" s="170">
        <f>IF(ISERROR(IF(ROUND(SUM(K$82:K94),3)&gt;=ROUND(K$68,3),0,K$68/K$71)),"NA",IF(ROUND(SUM(K$82:K94),3)&gt;=ROUND(K$68,3),0,K$68/K$71))</f>
        <v>0</v>
      </c>
      <c r="L95" s="170">
        <f>IF(ISERROR(IF(ROUND(SUM(L$82:L94),3)&gt;=ROUND(L$68,3),0,L$68/L$71)),"NA",IF(ROUND(SUM(L$82:L94),3)&gt;=ROUND(L$68,3),0,L$68/L$71))</f>
        <v>0</v>
      </c>
      <c r="M95" s="170">
        <f>IF(ISERROR(IF(ROUND(SUM(M$82:M94),3)&gt;=ROUND(M$68,3),0,M$68/M$71)),"NA",IF(ROUND(SUM(M$82:M94),3)&gt;=ROUND(M$68,3),0,M$68/M$71))</f>
        <v>0</v>
      </c>
      <c r="N95" s="170">
        <f>IF(ISERROR(IF(ROUND(SUM(N$82:N94),3)&gt;=ROUND(N$68,3),0,N$68/N$71)),"NA",IF(ROUND(SUM(N$82:N94),3)&gt;=ROUND(N$68,3),0,N$68/N$71))</f>
        <v>0</v>
      </c>
      <c r="O95" s="170">
        <f>IF(ISERROR(IF(ROUND(SUM(O$82:O94),3)&gt;=ROUND(O$68,3),0,O$68/O$71)),"NA",IF(ROUND(SUM(O$82:O94),3)&gt;=ROUND(O$68,3),0,O$68/O$71))</f>
        <v>0</v>
      </c>
      <c r="P95" s="170">
        <f>IF(ISERROR(IF(ROUND(SUM(P$82:P94),3)&gt;=ROUND(P$68,3),0,P$68/P$71)),"NA",IF(ROUND(SUM(P$82:P94),3)&gt;=ROUND(P$68,3),0,P$68/P$71))</f>
        <v>0</v>
      </c>
      <c r="Q95" s="169">
        <f t="shared" si="43"/>
        <v>0</v>
      </c>
      <c r="R95" s="169">
        <f t="shared" si="43"/>
        <v>0</v>
      </c>
      <c r="S95" s="169">
        <f t="shared" si="43"/>
        <v>0</v>
      </c>
      <c r="T95" s="169">
        <f t="shared" si="43"/>
        <v>0</v>
      </c>
      <c r="U95" s="169">
        <f t="shared" si="43"/>
        <v>0</v>
      </c>
      <c r="V95" s="169">
        <f t="shared" si="43"/>
        <v>0</v>
      </c>
      <c r="W95" s="169">
        <f t="shared" si="43"/>
        <v>0</v>
      </c>
      <c r="AA95"/>
      <c r="AB95"/>
      <c r="AC95"/>
      <c r="AD95"/>
      <c r="AE95"/>
      <c r="AF95"/>
      <c r="AJ95" s="288"/>
    </row>
    <row r="96" spans="1:36" s="287" customFormat="1" outlineLevel="1">
      <c r="A96" s="282"/>
      <c r="B96" s="144"/>
      <c r="C96" s="283" t="s">
        <v>547</v>
      </c>
      <c r="D96" s="283"/>
      <c r="E96" s="283"/>
      <c r="F96" s="283"/>
      <c r="G96" s="283"/>
      <c r="H96" s="170" t="str">
        <f>IF(ISERROR(IF(ROUND(SUM(H$82:H95),3)&gt;=ROUND(H$68,3),0,H$68/H$71)),"NA",IF(ROUND(SUM(H$82:H95),3)&gt;=ROUND(H$68,3),0,H$68/H$71))</f>
        <v>NA</v>
      </c>
      <c r="I96" s="170">
        <f>IF(ISERROR(IF(ROUND(SUM(I$82:I95),3)&gt;=ROUND(I$68,3),0,I$68/I$71)),"NA",IF(ROUND(SUM(I$82:I95),3)&gt;=ROUND(I$68,3),0,I$68/I$71))</f>
        <v>0</v>
      </c>
      <c r="J96" s="170">
        <f>IF(ISERROR(IF(ROUND(SUM(J$82:J95),3)&gt;=ROUND(J$68,3),0,J$68/J$71)),"NA",IF(ROUND(SUM(J$82:J95),3)&gt;=ROUND(J$68,3),0,J$68/J$71))</f>
        <v>0</v>
      </c>
      <c r="K96" s="170">
        <f>IF(ISERROR(IF(ROUND(SUM(K$82:K95),3)&gt;=ROUND(K$68,3),0,K$68/K$71)),"NA",IF(ROUND(SUM(K$82:K95),3)&gt;=ROUND(K$68,3),0,K$68/K$71))</f>
        <v>0</v>
      </c>
      <c r="L96" s="170">
        <f>IF(ISERROR(IF(ROUND(SUM(L$82:L95),3)&gt;=ROUND(L$68,3),0,L$68/L$71)),"NA",IF(ROUND(SUM(L$82:L95),3)&gt;=ROUND(L$68,3),0,L$68/L$71))</f>
        <v>0</v>
      </c>
      <c r="M96" s="170">
        <f>IF(ISERROR(IF(ROUND(SUM(M$82:M95),3)&gt;=ROUND(M$68,3),0,M$68/M$71)),"NA",IF(ROUND(SUM(M$82:M95),3)&gt;=ROUND(M$68,3),0,M$68/M$71))</f>
        <v>0</v>
      </c>
      <c r="N96" s="170">
        <f>IF(ISERROR(IF(ROUND(SUM(N$82:N95),3)&gt;=ROUND(N$68,3),0,N$68/N$71)),"NA",IF(ROUND(SUM(N$82:N95),3)&gt;=ROUND(N$68,3),0,N$68/N$71))</f>
        <v>0</v>
      </c>
      <c r="O96" s="170">
        <f>IF(ISERROR(IF(ROUND(SUM(O$82:O95),3)&gt;=ROUND(O$68,3),0,O$68/O$71)),"NA",IF(ROUND(SUM(O$82:O95),3)&gt;=ROUND(O$68,3),0,O$68/O$71))</f>
        <v>0</v>
      </c>
      <c r="P96" s="170">
        <f>IF(ISERROR(IF(ROUND(SUM(P$82:P95),3)&gt;=ROUND(P$68,3),0,P$68/P$71)),"NA",IF(ROUND(SUM(P$82:P95),3)&gt;=ROUND(P$68,3),0,P$68/P$71))</f>
        <v>0</v>
      </c>
      <c r="Q96" s="169">
        <f t="shared" ref="Q96:W105" si="44">P96*(1+Q$64)</f>
        <v>0</v>
      </c>
      <c r="R96" s="169">
        <f t="shared" si="44"/>
        <v>0</v>
      </c>
      <c r="S96" s="169">
        <f t="shared" si="44"/>
        <v>0</v>
      </c>
      <c r="T96" s="169">
        <f t="shared" si="44"/>
        <v>0</v>
      </c>
      <c r="U96" s="169">
        <f t="shared" si="44"/>
        <v>0</v>
      </c>
      <c r="V96" s="169">
        <f t="shared" si="44"/>
        <v>0</v>
      </c>
      <c r="W96" s="169">
        <f t="shared" si="44"/>
        <v>0</v>
      </c>
      <c r="AA96"/>
      <c r="AB96"/>
      <c r="AC96"/>
      <c r="AD96"/>
      <c r="AE96"/>
      <c r="AF96"/>
      <c r="AJ96" s="288"/>
    </row>
    <row r="97" spans="1:36" s="287" customFormat="1" outlineLevel="1">
      <c r="A97" s="282"/>
      <c r="B97" s="144"/>
      <c r="C97" s="283" t="s">
        <v>548</v>
      </c>
      <c r="D97" s="283"/>
      <c r="E97" s="283"/>
      <c r="F97" s="283"/>
      <c r="G97" s="283"/>
      <c r="H97" s="170" t="str">
        <f>IF(ISERROR(IF(ROUND(SUM(H$82:H96),3)&gt;=ROUND(H$68,3),0,H$68/H$71)),"NA",IF(ROUND(SUM(H$82:H96),3)&gt;=ROUND(H$68,3),0,H$68/H$71))</f>
        <v>NA</v>
      </c>
      <c r="I97" s="170">
        <f>IF(ISERROR(IF(ROUND(SUM(I$82:I96),3)&gt;=ROUND(I$68,3),0,I$68/I$71)),"NA",IF(ROUND(SUM(I$82:I96),3)&gt;=ROUND(I$68,3),0,I$68/I$71))</f>
        <v>0</v>
      </c>
      <c r="J97" s="170">
        <f>IF(ISERROR(IF(ROUND(SUM(J$82:J96),3)&gt;=ROUND(J$68,3),0,J$68/J$71)),"NA",IF(ROUND(SUM(J$82:J96),3)&gt;=ROUND(J$68,3),0,J$68/J$71))</f>
        <v>0</v>
      </c>
      <c r="K97" s="170">
        <f>IF(ISERROR(IF(ROUND(SUM(K$82:K96),3)&gt;=ROUND(K$68,3),0,K$68/K$71)),"NA",IF(ROUND(SUM(K$82:K96),3)&gt;=ROUND(K$68,3),0,K$68/K$71))</f>
        <v>0</v>
      </c>
      <c r="L97" s="170">
        <f>IF(ISERROR(IF(ROUND(SUM(L$82:L96),3)&gt;=ROUND(L$68,3),0,L$68/L$71)),"NA",IF(ROUND(SUM(L$82:L96),3)&gt;=ROUND(L$68,3),0,L$68/L$71))</f>
        <v>0</v>
      </c>
      <c r="M97" s="170">
        <f>IF(ISERROR(IF(ROUND(SUM(M$82:M96),3)&gt;=ROUND(M$68,3),0,M$68/M$71)),"NA",IF(ROUND(SUM(M$82:M96),3)&gt;=ROUND(M$68,3),0,M$68/M$71))</f>
        <v>0</v>
      </c>
      <c r="N97" s="170">
        <f>IF(ISERROR(IF(ROUND(SUM(N$82:N96),3)&gt;=ROUND(N$68,3),0,N$68/N$71)),"NA",IF(ROUND(SUM(N$82:N96),3)&gt;=ROUND(N$68,3),0,N$68/N$71))</f>
        <v>0</v>
      </c>
      <c r="O97" s="170">
        <f>IF(ISERROR(IF(ROUND(SUM(O$82:O96),3)&gt;=ROUND(O$68,3),0,O$68/O$71)),"NA",IF(ROUND(SUM(O$82:O96),3)&gt;=ROUND(O$68,3),0,O$68/O$71))</f>
        <v>0</v>
      </c>
      <c r="P97" s="170">
        <f>IF(ISERROR(IF(ROUND(SUM(P$82:P96),3)&gt;=ROUND(P$68,3),0,P$68/P$71)),"NA",IF(ROUND(SUM(P$82:P96),3)&gt;=ROUND(P$68,3),0,P$68/P$71))</f>
        <v>0</v>
      </c>
      <c r="Q97" s="169">
        <f t="shared" si="44"/>
        <v>0</v>
      </c>
      <c r="R97" s="169">
        <f t="shared" si="44"/>
        <v>0</v>
      </c>
      <c r="S97" s="169">
        <f t="shared" si="44"/>
        <v>0</v>
      </c>
      <c r="T97" s="169">
        <f t="shared" si="44"/>
        <v>0</v>
      </c>
      <c r="U97" s="169">
        <f t="shared" si="44"/>
        <v>0</v>
      </c>
      <c r="V97" s="169">
        <f t="shared" si="44"/>
        <v>0</v>
      </c>
      <c r="W97" s="169">
        <f t="shared" si="44"/>
        <v>0</v>
      </c>
      <c r="AA97"/>
      <c r="AB97"/>
      <c r="AC97"/>
      <c r="AD97"/>
      <c r="AE97"/>
      <c r="AF97"/>
      <c r="AJ97" s="288"/>
    </row>
    <row r="98" spans="1:36" s="287" customFormat="1" outlineLevel="1">
      <c r="A98" s="282"/>
      <c r="B98" s="144"/>
      <c r="C98" s="283" t="s">
        <v>549</v>
      </c>
      <c r="D98" s="283"/>
      <c r="E98" s="283"/>
      <c r="F98" s="283"/>
      <c r="G98" s="283"/>
      <c r="H98" s="170" t="str">
        <f>IF(ISERROR(IF(ROUND(SUM(H$82:H97),3)&gt;=ROUND(H$68,3),0,H$68/H$71)),"NA",IF(ROUND(SUM(H$82:H97),3)&gt;=ROUND(H$68,3),0,H$68/H$71))</f>
        <v>NA</v>
      </c>
      <c r="I98" s="170">
        <f>IF(ISERROR(IF(ROUND(SUM(I$82:I97),3)&gt;=ROUND(I$68,3),0,I$68/I$71)),"NA",IF(ROUND(SUM(I$82:I97),3)&gt;=ROUND(I$68,3),0,I$68/I$71))</f>
        <v>0</v>
      </c>
      <c r="J98" s="170">
        <f>IF(ISERROR(IF(ROUND(SUM(J$82:J97),3)&gt;=ROUND(J$68,3),0,J$68/J$71)),"NA",IF(ROUND(SUM(J$82:J97),3)&gt;=ROUND(J$68,3),0,J$68/J$71))</f>
        <v>0</v>
      </c>
      <c r="K98" s="170">
        <f>IF(ISERROR(IF(ROUND(SUM(K$82:K97),3)&gt;=ROUND(K$68,3),0,K$68/K$71)),"NA",IF(ROUND(SUM(K$82:K97),3)&gt;=ROUND(K$68,3),0,K$68/K$71))</f>
        <v>0</v>
      </c>
      <c r="L98" s="170">
        <f>IF(ISERROR(IF(ROUND(SUM(L$82:L97),3)&gt;=ROUND(L$68,3),0,L$68/L$71)),"NA",IF(ROUND(SUM(L$82:L97),3)&gt;=ROUND(L$68,3),0,L$68/L$71))</f>
        <v>0</v>
      </c>
      <c r="M98" s="170">
        <f>IF(ISERROR(IF(ROUND(SUM(M$82:M97),3)&gt;=ROUND(M$68,3),0,M$68/M$71)),"NA",IF(ROUND(SUM(M$82:M97),3)&gt;=ROUND(M$68,3),0,M$68/M$71))</f>
        <v>0</v>
      </c>
      <c r="N98" s="170">
        <f>IF(ISERROR(IF(ROUND(SUM(N$82:N97),3)&gt;=ROUND(N$68,3),0,N$68/N$71)),"NA",IF(ROUND(SUM(N$82:N97),3)&gt;=ROUND(N$68,3),0,N$68/N$71))</f>
        <v>0</v>
      </c>
      <c r="O98" s="170">
        <f>IF(ISERROR(IF(ROUND(SUM(O$82:O97),3)&gt;=ROUND(O$68,3),0,O$68/O$71)),"NA",IF(ROUND(SUM(O$82:O97),3)&gt;=ROUND(O$68,3),0,O$68/O$71))</f>
        <v>0</v>
      </c>
      <c r="P98" s="170">
        <f>IF(ISERROR(IF(ROUND(SUM(P$82:P97),3)&gt;=ROUND(P$68,3),0,P$68/P$71)),"NA",IF(ROUND(SUM(P$82:P97),3)&gt;=ROUND(P$68,3),0,P$68/P$71))</f>
        <v>0</v>
      </c>
      <c r="Q98" s="169">
        <f t="shared" si="44"/>
        <v>0</v>
      </c>
      <c r="R98" s="169">
        <f t="shared" si="44"/>
        <v>0</v>
      </c>
      <c r="S98" s="169">
        <f t="shared" si="44"/>
        <v>0</v>
      </c>
      <c r="T98" s="169">
        <f t="shared" si="44"/>
        <v>0</v>
      </c>
      <c r="U98" s="169">
        <f t="shared" si="44"/>
        <v>0</v>
      </c>
      <c r="V98" s="169">
        <f t="shared" si="44"/>
        <v>0</v>
      </c>
      <c r="W98" s="169">
        <f t="shared" si="44"/>
        <v>0</v>
      </c>
      <c r="AA98"/>
      <c r="AB98"/>
      <c r="AC98"/>
      <c r="AD98"/>
      <c r="AE98"/>
      <c r="AF98"/>
      <c r="AJ98" s="288"/>
    </row>
    <row r="99" spans="1:36" s="287" customFormat="1" outlineLevel="1">
      <c r="A99" s="282"/>
      <c r="B99" s="144"/>
      <c r="C99" s="283" t="s">
        <v>550</v>
      </c>
      <c r="D99" s="283"/>
      <c r="E99" s="283"/>
      <c r="F99" s="283"/>
      <c r="G99" s="283"/>
      <c r="H99" s="170" t="str">
        <f>IF(ISERROR(IF(ROUND(SUM(H$82:H98),3)&gt;=ROUND(H$68,3),0,H$68/H$71)),"NA",IF(ROUND(SUM(H$82:H98),3)&gt;=ROUND(H$68,3),0,H$68/H$71))</f>
        <v>NA</v>
      </c>
      <c r="I99" s="170">
        <f>IF(ISERROR(IF(ROUND(SUM(I$82:I98),3)&gt;=ROUND(I$68,3),0,I$68/I$71)),"NA",IF(ROUND(SUM(I$82:I98),3)&gt;=ROUND(I$68,3),0,I$68/I$71))</f>
        <v>0</v>
      </c>
      <c r="J99" s="170">
        <f>IF(ISERROR(IF(ROUND(SUM(J$82:J98),3)&gt;=ROUND(J$68,3),0,J$68/J$71)),"NA",IF(ROUND(SUM(J$82:J98),3)&gt;=ROUND(J$68,3),0,J$68/J$71))</f>
        <v>0</v>
      </c>
      <c r="K99" s="170">
        <f>IF(ISERROR(IF(ROUND(SUM(K$82:K98),3)&gt;=ROUND(K$68,3),0,K$68/K$71)),"NA",IF(ROUND(SUM(K$82:K98),3)&gt;=ROUND(K$68,3),0,K$68/K$71))</f>
        <v>0</v>
      </c>
      <c r="L99" s="170">
        <f>IF(ISERROR(IF(ROUND(SUM(L$82:L98),3)&gt;=ROUND(L$68,3),0,L$68/L$71)),"NA",IF(ROUND(SUM(L$82:L98),3)&gt;=ROUND(L$68,3),0,L$68/L$71))</f>
        <v>0</v>
      </c>
      <c r="M99" s="170">
        <f>IF(ISERROR(IF(ROUND(SUM(M$82:M98),3)&gt;=ROUND(M$68,3),0,M$68/M$71)),"NA",IF(ROUND(SUM(M$82:M98),3)&gt;=ROUND(M$68,3),0,M$68/M$71))</f>
        <v>0</v>
      </c>
      <c r="N99" s="170">
        <f>IF(ISERROR(IF(ROUND(SUM(N$82:N98),3)&gt;=ROUND(N$68,3),0,N$68/N$71)),"NA",IF(ROUND(SUM(N$82:N98),3)&gt;=ROUND(N$68,3),0,N$68/N$71))</f>
        <v>0</v>
      </c>
      <c r="O99" s="170">
        <f>IF(ISERROR(IF(ROUND(SUM(O$82:O98),3)&gt;=ROUND(O$68,3),0,O$68/O$71)),"NA",IF(ROUND(SUM(O$82:O98),3)&gt;=ROUND(O$68,3),0,O$68/O$71))</f>
        <v>0</v>
      </c>
      <c r="P99" s="170">
        <f>IF(ISERROR(IF(ROUND(SUM(P$82:P98),3)&gt;=ROUND(P$68,3),0,P$68/P$71)),"NA",IF(ROUND(SUM(P$82:P98),3)&gt;=ROUND(P$68,3),0,P$68/P$71))</f>
        <v>0</v>
      </c>
      <c r="Q99" s="169">
        <f t="shared" si="44"/>
        <v>0</v>
      </c>
      <c r="R99" s="169">
        <f t="shared" si="44"/>
        <v>0</v>
      </c>
      <c r="S99" s="169">
        <f t="shared" si="44"/>
        <v>0</v>
      </c>
      <c r="T99" s="169">
        <f t="shared" si="44"/>
        <v>0</v>
      </c>
      <c r="U99" s="169">
        <f t="shared" si="44"/>
        <v>0</v>
      </c>
      <c r="V99" s="169">
        <f t="shared" si="44"/>
        <v>0</v>
      </c>
      <c r="W99" s="169">
        <f t="shared" si="44"/>
        <v>0</v>
      </c>
      <c r="AA99"/>
      <c r="AB99"/>
      <c r="AC99"/>
      <c r="AD99"/>
      <c r="AE99"/>
      <c r="AF99"/>
      <c r="AJ99" s="288"/>
    </row>
    <row r="100" spans="1:36" s="287" customFormat="1" outlineLevel="1">
      <c r="A100" s="282"/>
      <c r="B100" s="144"/>
      <c r="C100" s="283" t="s">
        <v>551</v>
      </c>
      <c r="D100" s="283"/>
      <c r="E100" s="283"/>
      <c r="F100" s="283"/>
      <c r="G100" s="283"/>
      <c r="H100" s="170" t="str">
        <f>IF(ISERROR(IF(ROUND(SUM(H$82:H99),3)&gt;=ROUND(H$68,3),0,H$68/H$71)),"NA",IF(ROUND(SUM(H$82:H99),3)&gt;=ROUND(H$68,3),0,H$68/H$71))</f>
        <v>NA</v>
      </c>
      <c r="I100" s="170">
        <f>IF(ISERROR(IF(ROUND(SUM(I$82:I99),3)&gt;=ROUND(I$68,3),0,I$68/I$71)),"NA",IF(ROUND(SUM(I$82:I99),3)&gt;=ROUND(I$68,3),0,I$68/I$71))</f>
        <v>0</v>
      </c>
      <c r="J100" s="170">
        <f>IF(ISERROR(IF(ROUND(SUM(J$82:J99),3)&gt;=ROUND(J$68,3),0,J$68/J$71)),"NA",IF(ROUND(SUM(J$82:J99),3)&gt;=ROUND(J$68,3),0,J$68/J$71))</f>
        <v>0</v>
      </c>
      <c r="K100" s="170">
        <f>IF(ISERROR(IF(ROUND(SUM(K$82:K99),3)&gt;=ROUND(K$68,3),0,K$68/K$71)),"NA",IF(ROUND(SUM(K$82:K99),3)&gt;=ROUND(K$68,3),0,K$68/K$71))</f>
        <v>0</v>
      </c>
      <c r="L100" s="170">
        <f>IF(ISERROR(IF(ROUND(SUM(L$82:L99),3)&gt;=ROUND(L$68,3),0,L$68/L$71)),"NA",IF(ROUND(SUM(L$82:L99),3)&gt;=ROUND(L$68,3),0,L$68/L$71))</f>
        <v>0</v>
      </c>
      <c r="M100" s="170">
        <f>IF(ISERROR(IF(ROUND(SUM(M$82:M99),3)&gt;=ROUND(M$68,3),0,M$68/M$71)),"NA",IF(ROUND(SUM(M$82:M99),3)&gt;=ROUND(M$68,3),0,M$68/M$71))</f>
        <v>0</v>
      </c>
      <c r="N100" s="170">
        <f>IF(ISERROR(IF(ROUND(SUM(N$82:N99),3)&gt;=ROUND(N$68,3),0,N$68/N$71)),"NA",IF(ROUND(SUM(N$82:N99),3)&gt;=ROUND(N$68,3),0,N$68/N$71))</f>
        <v>0</v>
      </c>
      <c r="O100" s="170">
        <f>IF(ISERROR(IF(ROUND(SUM(O$82:O99),3)&gt;=ROUND(O$68,3),0,O$68/O$71)),"NA",IF(ROUND(SUM(O$82:O99),3)&gt;=ROUND(O$68,3),0,O$68/O$71))</f>
        <v>0</v>
      </c>
      <c r="P100" s="170">
        <f>IF(ISERROR(IF(ROUND(SUM(P$82:P99),3)&gt;=ROUND(P$68,3),0,P$68/P$71)),"NA",IF(ROUND(SUM(P$82:P99),3)&gt;=ROUND(P$68,3),0,P$68/P$71))</f>
        <v>0</v>
      </c>
      <c r="Q100" s="169">
        <f t="shared" si="44"/>
        <v>0</v>
      </c>
      <c r="R100" s="169">
        <f t="shared" si="44"/>
        <v>0</v>
      </c>
      <c r="S100" s="169">
        <f t="shared" si="44"/>
        <v>0</v>
      </c>
      <c r="T100" s="169">
        <f t="shared" si="44"/>
        <v>0</v>
      </c>
      <c r="U100" s="169">
        <f t="shared" si="44"/>
        <v>0</v>
      </c>
      <c r="V100" s="169">
        <f t="shared" si="44"/>
        <v>0</v>
      </c>
      <c r="W100" s="169">
        <f t="shared" si="44"/>
        <v>0</v>
      </c>
      <c r="AA100"/>
      <c r="AB100"/>
      <c r="AC100"/>
      <c r="AD100"/>
      <c r="AE100"/>
      <c r="AF100"/>
      <c r="AJ100" s="288"/>
    </row>
    <row r="101" spans="1:36" s="287" customFormat="1" outlineLevel="1">
      <c r="A101" s="282"/>
      <c r="B101" s="144"/>
      <c r="C101" s="283" t="s">
        <v>552</v>
      </c>
      <c r="D101" s="283"/>
      <c r="E101" s="283"/>
      <c r="F101" s="283"/>
      <c r="G101" s="283"/>
      <c r="H101" s="170" t="str">
        <f>IF(ISERROR(IF(ROUND(SUM(H$82:H100),3)&gt;=ROUND(H$68,3),0,H$68/H$71)),"NA",IF(ROUND(SUM(H$82:H100),3)&gt;=ROUND(H$68,3),0,H$68/H$71))</f>
        <v>NA</v>
      </c>
      <c r="I101" s="170">
        <f>IF(ISERROR(IF(ROUND(SUM(I$82:I100),3)&gt;=ROUND(I$68,3),0,I$68/I$71)),"NA",IF(ROUND(SUM(I$82:I100),3)&gt;=ROUND(I$68,3),0,I$68/I$71))</f>
        <v>0</v>
      </c>
      <c r="J101" s="170">
        <f>IF(ISERROR(IF(ROUND(SUM(J$82:J100),3)&gt;=ROUND(J$68,3),0,J$68/J$71)),"NA",IF(ROUND(SUM(J$82:J100),3)&gt;=ROUND(J$68,3),0,J$68/J$71))</f>
        <v>0</v>
      </c>
      <c r="K101" s="170">
        <f>IF(ISERROR(IF(ROUND(SUM(K$82:K100),3)&gt;=ROUND(K$68,3),0,K$68/K$71)),"NA",IF(ROUND(SUM(K$82:K100),3)&gt;=ROUND(K$68,3),0,K$68/K$71))</f>
        <v>0</v>
      </c>
      <c r="L101" s="170">
        <f>IF(ISERROR(IF(ROUND(SUM(L$82:L100),3)&gt;=ROUND(L$68,3),0,L$68/L$71)),"NA",IF(ROUND(SUM(L$82:L100),3)&gt;=ROUND(L$68,3),0,L$68/L$71))</f>
        <v>0</v>
      </c>
      <c r="M101" s="170">
        <f>IF(ISERROR(IF(ROUND(SUM(M$82:M100),3)&gt;=ROUND(M$68,3),0,M$68/M$71)),"NA",IF(ROUND(SUM(M$82:M100),3)&gt;=ROUND(M$68,3),0,M$68/M$71))</f>
        <v>0</v>
      </c>
      <c r="N101" s="170">
        <f>IF(ISERROR(IF(ROUND(SUM(N$82:N100),3)&gt;=ROUND(N$68,3),0,N$68/N$71)),"NA",IF(ROUND(SUM(N$82:N100),3)&gt;=ROUND(N$68,3),0,N$68/N$71))</f>
        <v>0</v>
      </c>
      <c r="O101" s="170">
        <f>IF(ISERROR(IF(ROUND(SUM(O$82:O100),3)&gt;=ROUND(O$68,3),0,O$68/O$71)),"NA",IF(ROUND(SUM(O$82:O100),3)&gt;=ROUND(O$68,3),0,O$68/O$71))</f>
        <v>0</v>
      </c>
      <c r="P101" s="170">
        <f>IF(ISERROR(IF(ROUND(SUM(P$82:P100),3)&gt;=ROUND(P$68,3),0,P$68/P$71)),"NA",IF(ROUND(SUM(P$82:P100),3)&gt;=ROUND(P$68,3),0,P$68/P$71))</f>
        <v>0</v>
      </c>
      <c r="Q101" s="169">
        <f t="shared" si="44"/>
        <v>0</v>
      </c>
      <c r="R101" s="169">
        <f t="shared" si="44"/>
        <v>0</v>
      </c>
      <c r="S101" s="169">
        <f t="shared" si="44"/>
        <v>0</v>
      </c>
      <c r="T101" s="169">
        <f t="shared" si="44"/>
        <v>0</v>
      </c>
      <c r="U101" s="169">
        <f t="shared" si="44"/>
        <v>0</v>
      </c>
      <c r="V101" s="169">
        <f t="shared" si="44"/>
        <v>0</v>
      </c>
      <c r="W101" s="169">
        <f t="shared" si="44"/>
        <v>0</v>
      </c>
      <c r="AA101"/>
      <c r="AB101"/>
      <c r="AC101"/>
      <c r="AD101"/>
      <c r="AE101"/>
      <c r="AF101"/>
      <c r="AJ101" s="288"/>
    </row>
    <row r="102" spans="1:36" s="287" customFormat="1" outlineLevel="1">
      <c r="A102" s="282"/>
      <c r="B102" s="144"/>
      <c r="C102" s="283" t="s">
        <v>553</v>
      </c>
      <c r="D102" s="283"/>
      <c r="E102" s="283"/>
      <c r="F102" s="283"/>
      <c r="G102" s="283"/>
      <c r="H102" s="170" t="str">
        <f>IF(ISERROR(IF(ROUND(SUM(H$82:H101),3)&gt;=ROUND(H$68,3),0,H$68/H$71)),"NA",IF(ROUND(SUM(H$82:H101),3)&gt;=ROUND(H$68,3),0,H$68/H$71))</f>
        <v>NA</v>
      </c>
      <c r="I102" s="170">
        <f>IF(ISERROR(IF(ROUND(SUM(I$82:I101),3)&gt;=ROUND(I$68,3),0,I$68/I$71)),"NA",IF(ROUND(SUM(I$82:I101),3)&gt;=ROUND(I$68,3),0,I$68/I$71))</f>
        <v>0</v>
      </c>
      <c r="J102" s="170">
        <f>IF(ISERROR(IF(ROUND(SUM(J$82:J101),3)&gt;=ROUND(J$68,3),0,J$68/J$71)),"NA",IF(ROUND(SUM(J$82:J101),3)&gt;=ROUND(J$68,3),0,J$68/J$71))</f>
        <v>0</v>
      </c>
      <c r="K102" s="170">
        <f>IF(ISERROR(IF(ROUND(SUM(K$82:K101),3)&gt;=ROUND(K$68,3),0,K$68/K$71)),"NA",IF(ROUND(SUM(K$82:K101),3)&gt;=ROUND(K$68,3),0,K$68/K$71))</f>
        <v>0</v>
      </c>
      <c r="L102" s="170">
        <f>IF(ISERROR(IF(ROUND(SUM(L$82:L101),3)&gt;=ROUND(L$68,3),0,L$68/L$71)),"NA",IF(ROUND(SUM(L$82:L101),3)&gt;=ROUND(L$68,3),0,L$68/L$71))</f>
        <v>0</v>
      </c>
      <c r="M102" s="170">
        <f>IF(ISERROR(IF(ROUND(SUM(M$82:M101),3)&gt;=ROUND(M$68,3),0,M$68/M$71)),"NA",IF(ROUND(SUM(M$82:M101),3)&gt;=ROUND(M$68,3),0,M$68/M$71))</f>
        <v>0</v>
      </c>
      <c r="N102" s="170">
        <f>IF(ISERROR(IF(ROUND(SUM(N$82:N101),3)&gt;=ROUND(N$68,3),0,N$68/N$71)),"NA",IF(ROUND(SUM(N$82:N101),3)&gt;=ROUND(N$68,3),0,N$68/N$71))</f>
        <v>0</v>
      </c>
      <c r="O102" s="170">
        <f>IF(ISERROR(IF(ROUND(SUM(O$82:O101),3)&gt;=ROUND(O$68,3),0,O$68/O$71)),"NA",IF(ROUND(SUM(O$82:O101),3)&gt;=ROUND(O$68,3),0,O$68/O$71))</f>
        <v>0</v>
      </c>
      <c r="P102" s="170">
        <f>IF(ISERROR(IF(ROUND(SUM(P$82:P101),3)&gt;=ROUND(P$68,3),0,P$68/P$71)),"NA",IF(ROUND(SUM(P$82:P101),3)&gt;=ROUND(P$68,3),0,P$68/P$71))</f>
        <v>0</v>
      </c>
      <c r="Q102" s="169">
        <f t="shared" si="44"/>
        <v>0</v>
      </c>
      <c r="R102" s="169">
        <f t="shared" si="44"/>
        <v>0</v>
      </c>
      <c r="S102" s="169">
        <f t="shared" si="44"/>
        <v>0</v>
      </c>
      <c r="T102" s="169">
        <f t="shared" si="44"/>
        <v>0</v>
      </c>
      <c r="U102" s="169">
        <f t="shared" si="44"/>
        <v>0</v>
      </c>
      <c r="V102" s="169">
        <f t="shared" si="44"/>
        <v>0</v>
      </c>
      <c r="W102" s="169">
        <f t="shared" si="44"/>
        <v>0</v>
      </c>
      <c r="AA102"/>
      <c r="AB102"/>
      <c r="AC102"/>
      <c r="AD102"/>
      <c r="AE102"/>
      <c r="AF102"/>
      <c r="AJ102" s="288"/>
    </row>
    <row r="103" spans="1:36" s="287" customFormat="1" outlineLevel="1">
      <c r="A103" s="282"/>
      <c r="B103" s="144"/>
      <c r="C103" s="283" t="s">
        <v>554</v>
      </c>
      <c r="D103" s="283"/>
      <c r="E103" s="283"/>
      <c r="F103" s="283"/>
      <c r="G103" s="283"/>
      <c r="H103" s="170" t="str">
        <f>IF(ISERROR(IF(ROUND(SUM(H$82:H102),3)&gt;=ROUND(H$68,3),0,H$68/H$71)),"NA",IF(ROUND(SUM(H$82:H102),3)&gt;=ROUND(H$68,3),0,H$68/H$71))</f>
        <v>NA</v>
      </c>
      <c r="I103" s="170">
        <f>IF(ISERROR(IF(ROUND(SUM(I$82:I102),3)&gt;=ROUND(I$68,3),0,I$68/I$71)),"NA",IF(ROUND(SUM(I$82:I102),3)&gt;=ROUND(I$68,3),0,I$68/I$71))</f>
        <v>0</v>
      </c>
      <c r="J103" s="170">
        <f>IF(ISERROR(IF(ROUND(SUM(J$82:J102),3)&gt;=ROUND(J$68,3),0,J$68/J$71)),"NA",IF(ROUND(SUM(J$82:J102),3)&gt;=ROUND(J$68,3),0,J$68/J$71))</f>
        <v>0</v>
      </c>
      <c r="K103" s="170">
        <f>IF(ISERROR(IF(ROUND(SUM(K$82:K102),3)&gt;=ROUND(K$68,3),0,K$68/K$71)),"NA",IF(ROUND(SUM(K$82:K102),3)&gt;=ROUND(K$68,3),0,K$68/K$71))</f>
        <v>0</v>
      </c>
      <c r="L103" s="170">
        <f>IF(ISERROR(IF(ROUND(SUM(L$82:L102),3)&gt;=ROUND(L$68,3),0,L$68/L$71)),"NA",IF(ROUND(SUM(L$82:L102),3)&gt;=ROUND(L$68,3),0,L$68/L$71))</f>
        <v>0</v>
      </c>
      <c r="M103" s="170">
        <f>IF(ISERROR(IF(ROUND(SUM(M$82:M102),3)&gt;=ROUND(M$68,3),0,M$68/M$71)),"NA",IF(ROUND(SUM(M$82:M102),3)&gt;=ROUND(M$68,3),0,M$68/M$71))</f>
        <v>0</v>
      </c>
      <c r="N103" s="170">
        <f>IF(ISERROR(IF(ROUND(SUM(N$82:N102),3)&gt;=ROUND(N$68,3),0,N$68/N$71)),"NA",IF(ROUND(SUM(N$82:N102),3)&gt;=ROUND(N$68,3),0,N$68/N$71))</f>
        <v>0</v>
      </c>
      <c r="O103" s="170">
        <f>IF(ISERROR(IF(ROUND(SUM(O$82:O102),3)&gt;=ROUND(O$68,3),0,O$68/O$71)),"NA",IF(ROUND(SUM(O$82:O102),3)&gt;=ROUND(O$68,3),0,O$68/O$71))</f>
        <v>0</v>
      </c>
      <c r="P103" s="170">
        <f>IF(ISERROR(IF(ROUND(SUM(P$82:P102),3)&gt;=ROUND(P$68,3),0,P$68/P$71)),"NA",IF(ROUND(SUM(P$82:P102),3)&gt;=ROUND(P$68,3),0,P$68/P$71))</f>
        <v>0</v>
      </c>
      <c r="Q103" s="169">
        <f t="shared" si="44"/>
        <v>0</v>
      </c>
      <c r="R103" s="169">
        <f t="shared" si="44"/>
        <v>0</v>
      </c>
      <c r="S103" s="169">
        <f t="shared" si="44"/>
        <v>0</v>
      </c>
      <c r="T103" s="169">
        <f t="shared" si="44"/>
        <v>0</v>
      </c>
      <c r="U103" s="169">
        <f t="shared" si="44"/>
        <v>0</v>
      </c>
      <c r="V103" s="169">
        <f t="shared" si="44"/>
        <v>0</v>
      </c>
      <c r="W103" s="169">
        <f t="shared" si="44"/>
        <v>0</v>
      </c>
      <c r="AA103"/>
      <c r="AB103"/>
      <c r="AC103"/>
      <c r="AD103"/>
      <c r="AE103"/>
      <c r="AF103"/>
      <c r="AJ103" s="288"/>
    </row>
    <row r="104" spans="1:36" s="287" customFormat="1" outlineLevel="1">
      <c r="A104" s="282"/>
      <c r="B104" s="144"/>
      <c r="C104" s="283" t="s">
        <v>555</v>
      </c>
      <c r="D104" s="283"/>
      <c r="E104" s="283"/>
      <c r="F104" s="283"/>
      <c r="G104" s="283"/>
      <c r="H104" s="170" t="str">
        <f>IF(ISERROR(IF(ROUND(SUM(H$82:H103),3)&gt;=ROUND(H$68,3),0,H$68/H$71)),"NA",IF(ROUND(SUM(H$82:H103),3)&gt;=ROUND(H$68,3),0,H$68/H$71))</f>
        <v>NA</v>
      </c>
      <c r="I104" s="170">
        <f>IF(ISERROR(IF(ROUND(SUM(I$82:I103),3)&gt;=ROUND(I$68,3),0,I$68/I$71)),"NA",IF(ROUND(SUM(I$82:I103),3)&gt;=ROUND(I$68,3),0,I$68/I$71))</f>
        <v>0</v>
      </c>
      <c r="J104" s="170">
        <f>IF(ISERROR(IF(ROUND(SUM(J$82:J103),3)&gt;=ROUND(J$68,3),0,J$68/J$71)),"NA",IF(ROUND(SUM(J$82:J103),3)&gt;=ROUND(J$68,3),0,J$68/J$71))</f>
        <v>0</v>
      </c>
      <c r="K104" s="170">
        <f>IF(ISERROR(IF(ROUND(SUM(K$82:K103),3)&gt;=ROUND(K$68,3),0,K$68/K$71)),"NA",IF(ROUND(SUM(K$82:K103),3)&gt;=ROUND(K$68,3),0,K$68/K$71))</f>
        <v>0</v>
      </c>
      <c r="L104" s="170">
        <f>IF(ISERROR(IF(ROUND(SUM(L$82:L103),3)&gt;=ROUND(L$68,3),0,L$68/L$71)),"NA",IF(ROUND(SUM(L$82:L103),3)&gt;=ROUND(L$68,3),0,L$68/L$71))</f>
        <v>0</v>
      </c>
      <c r="M104" s="170">
        <f>IF(ISERROR(IF(ROUND(SUM(M$82:M103),3)&gt;=ROUND(M$68,3),0,M$68/M$71)),"NA",IF(ROUND(SUM(M$82:M103),3)&gt;=ROUND(M$68,3),0,M$68/M$71))</f>
        <v>0</v>
      </c>
      <c r="N104" s="170">
        <f>IF(ISERROR(IF(ROUND(SUM(N$82:N103),3)&gt;=ROUND(N$68,3),0,N$68/N$71)),"NA",IF(ROUND(SUM(N$82:N103),3)&gt;=ROUND(N$68,3),0,N$68/N$71))</f>
        <v>0</v>
      </c>
      <c r="O104" s="170">
        <f>IF(ISERROR(IF(ROUND(SUM(O$82:O103),3)&gt;=ROUND(O$68,3),0,O$68/O$71)),"NA",IF(ROUND(SUM(O$82:O103),3)&gt;=ROUND(O$68,3),0,O$68/O$71))</f>
        <v>0</v>
      </c>
      <c r="P104" s="170">
        <f>IF(ISERROR(IF(ROUND(SUM(P$82:P103),3)&gt;=ROUND(P$68,3),0,P$68/P$71)),"NA",IF(ROUND(SUM(P$82:P103),3)&gt;=ROUND(P$68,3),0,P$68/P$71))</f>
        <v>0</v>
      </c>
      <c r="Q104" s="169">
        <f t="shared" si="44"/>
        <v>0</v>
      </c>
      <c r="R104" s="169">
        <f t="shared" si="44"/>
        <v>0</v>
      </c>
      <c r="S104" s="169">
        <f t="shared" si="44"/>
        <v>0</v>
      </c>
      <c r="T104" s="169">
        <f t="shared" si="44"/>
        <v>0</v>
      </c>
      <c r="U104" s="169">
        <f t="shared" si="44"/>
        <v>0</v>
      </c>
      <c r="V104" s="169">
        <f t="shared" si="44"/>
        <v>0</v>
      </c>
      <c r="W104" s="169">
        <f t="shared" si="44"/>
        <v>0</v>
      </c>
      <c r="AA104"/>
      <c r="AB104"/>
      <c r="AC104"/>
      <c r="AD104"/>
      <c r="AE104"/>
      <c r="AF104"/>
      <c r="AJ104" s="288"/>
    </row>
    <row r="105" spans="1:36" s="287" customFormat="1" outlineLevel="1">
      <c r="A105" s="282"/>
      <c r="B105" s="144"/>
      <c r="C105" s="283" t="s">
        <v>556</v>
      </c>
      <c r="D105" s="283"/>
      <c r="E105" s="283"/>
      <c r="F105" s="283"/>
      <c r="G105" s="283"/>
      <c r="H105" s="170" t="str">
        <f>IF(ISERROR(IF(ROUND(SUM(H$82:H104),3)&gt;=ROUND(H$68,3),0,H$68/H$71)),"NA",IF(ROUND(SUM(H$82:H104),3)&gt;=ROUND(H$68,3),0,H$68/H$71))</f>
        <v>NA</v>
      </c>
      <c r="I105" s="170">
        <f>IF(ISERROR(IF(ROUND(SUM(I$82:I104),3)&gt;=ROUND(I$68,3),0,I$68/I$71)),"NA",IF(ROUND(SUM(I$82:I104),3)&gt;=ROUND(I$68,3),0,I$68/I$71))</f>
        <v>0</v>
      </c>
      <c r="J105" s="170">
        <f>IF(ISERROR(IF(ROUND(SUM(J$82:J104),3)&gt;=ROUND(J$68,3),0,J$68/J$71)),"NA",IF(ROUND(SUM(J$82:J104),3)&gt;=ROUND(J$68,3),0,J$68/J$71))</f>
        <v>0</v>
      </c>
      <c r="K105" s="170">
        <f>IF(ISERROR(IF(ROUND(SUM(K$82:K104),3)&gt;=ROUND(K$68,3),0,K$68/K$71)),"NA",IF(ROUND(SUM(K$82:K104),3)&gt;=ROUND(K$68,3),0,K$68/K$71))</f>
        <v>0</v>
      </c>
      <c r="L105" s="170">
        <f>IF(ISERROR(IF(ROUND(SUM(L$82:L104),3)&gt;=ROUND(L$68,3),0,L$68/L$71)),"NA",IF(ROUND(SUM(L$82:L104),3)&gt;=ROUND(L$68,3),0,L$68/L$71))</f>
        <v>0</v>
      </c>
      <c r="M105" s="170">
        <f>IF(ISERROR(IF(ROUND(SUM(M$82:M104),3)&gt;=ROUND(M$68,3),0,M$68/M$71)),"NA",IF(ROUND(SUM(M$82:M104),3)&gt;=ROUND(M$68,3),0,M$68/M$71))</f>
        <v>0</v>
      </c>
      <c r="N105" s="170">
        <f>IF(ISERROR(IF(ROUND(SUM(N$82:N104),3)&gt;=ROUND(N$68,3),0,N$68/N$71)),"NA",IF(ROUND(SUM(N$82:N104),3)&gt;=ROUND(N$68,3),0,N$68/N$71))</f>
        <v>0</v>
      </c>
      <c r="O105" s="170">
        <f>IF(ISERROR(IF(ROUND(SUM(O$82:O104),3)&gt;=ROUND(O$68,3),0,O$68/O$71)),"NA",IF(ROUND(SUM(O$82:O104),3)&gt;=ROUND(O$68,3),0,O$68/O$71))</f>
        <v>0</v>
      </c>
      <c r="P105" s="170">
        <f>IF(ISERROR(IF(ROUND(SUM(P$82:P104),3)&gt;=ROUND(P$68,3),0,P$68/P$71)),"NA",IF(ROUND(SUM(P$82:P104),3)&gt;=ROUND(P$68,3),0,P$68/P$71))</f>
        <v>0</v>
      </c>
      <c r="Q105" s="169">
        <f t="shared" si="44"/>
        <v>0</v>
      </c>
      <c r="R105" s="169">
        <f t="shared" si="44"/>
        <v>0</v>
      </c>
      <c r="S105" s="169">
        <f t="shared" si="44"/>
        <v>0</v>
      </c>
      <c r="T105" s="169">
        <f t="shared" si="44"/>
        <v>0</v>
      </c>
      <c r="U105" s="169">
        <f t="shared" si="44"/>
        <v>0</v>
      </c>
      <c r="V105" s="169">
        <f t="shared" si="44"/>
        <v>0</v>
      </c>
      <c r="W105" s="169">
        <f t="shared" si="44"/>
        <v>0</v>
      </c>
      <c r="AA105"/>
      <c r="AB105"/>
      <c r="AC105"/>
      <c r="AD105"/>
      <c r="AE105"/>
      <c r="AF105"/>
      <c r="AJ105" s="288"/>
    </row>
    <row r="106" spans="1:36" s="287" customFormat="1" outlineLevel="1">
      <c r="A106" s="282"/>
      <c r="B106" s="144"/>
      <c r="C106" s="283" t="s">
        <v>557</v>
      </c>
      <c r="D106" s="283"/>
      <c r="E106" s="283"/>
      <c r="F106" s="283"/>
      <c r="G106" s="283"/>
      <c r="H106" s="170" t="str">
        <f>IF(ISERROR(IF(ROUND(SUM(H$82:H105),3)&gt;=ROUND(H$68,3),0,H$68/H$71)),"NA",IF(ROUND(SUM(H$82:H105),3)&gt;=ROUND(H$68,3),0,H$68/H$71))</f>
        <v>NA</v>
      </c>
      <c r="I106" s="170">
        <f>IF(ISERROR(IF(ROUND(SUM(I$82:I105),3)&gt;=ROUND(I$68,3),0,I$68/I$71)),"NA",IF(ROUND(SUM(I$82:I105),3)&gt;=ROUND(I$68,3),0,I$68/I$71))</f>
        <v>0</v>
      </c>
      <c r="J106" s="170">
        <f>IF(ISERROR(IF(ROUND(SUM(J$82:J105),3)&gt;=ROUND(J$68,3),0,J$68/J$71)),"NA",IF(ROUND(SUM(J$82:J105),3)&gt;=ROUND(J$68,3),0,J$68/J$71))</f>
        <v>0</v>
      </c>
      <c r="K106" s="170">
        <f>IF(ISERROR(IF(ROUND(SUM(K$82:K105),3)&gt;=ROUND(K$68,3),0,K$68/K$71)),"NA",IF(ROUND(SUM(K$82:K105),3)&gt;=ROUND(K$68,3),0,K$68/K$71))</f>
        <v>0</v>
      </c>
      <c r="L106" s="170">
        <f>IF(ISERROR(IF(ROUND(SUM(L$82:L105),3)&gt;=ROUND(L$68,3),0,L$68/L$71)),"NA",IF(ROUND(SUM(L$82:L105),3)&gt;=ROUND(L$68,3),0,L$68/L$71))</f>
        <v>0</v>
      </c>
      <c r="M106" s="170">
        <f>IF(ISERROR(IF(ROUND(SUM(M$82:M105),3)&gt;=ROUND(M$68,3),0,M$68/M$71)),"NA",IF(ROUND(SUM(M$82:M105),3)&gt;=ROUND(M$68,3),0,M$68/M$71))</f>
        <v>0</v>
      </c>
      <c r="N106" s="170">
        <f>IF(ISERROR(IF(ROUND(SUM(N$82:N105),3)&gt;=ROUND(N$68,3),0,N$68/N$71)),"NA",IF(ROUND(SUM(N$82:N105),3)&gt;=ROUND(N$68,3),0,N$68/N$71))</f>
        <v>0</v>
      </c>
      <c r="O106" s="170">
        <f>IF(ISERROR(IF(ROUND(SUM(O$82:O105),3)&gt;=ROUND(O$68,3),0,O$68/O$71)),"NA",IF(ROUND(SUM(O$82:O105),3)&gt;=ROUND(O$68,3),0,O$68/O$71))</f>
        <v>0</v>
      </c>
      <c r="P106" s="170">
        <f>IF(ISERROR(IF(ROUND(SUM(P$82:P105),3)&gt;=ROUND(P$68,3),0,P$68/P$71)),"NA",IF(ROUND(SUM(P$82:P105),3)&gt;=ROUND(P$68,3),0,P$68/P$71))</f>
        <v>0</v>
      </c>
      <c r="Q106" s="169">
        <f t="shared" ref="Q106:W106" si="45">P106*(1+Q$64)</f>
        <v>0</v>
      </c>
      <c r="R106" s="169">
        <f t="shared" si="45"/>
        <v>0</v>
      </c>
      <c r="S106" s="169">
        <f t="shared" si="45"/>
        <v>0</v>
      </c>
      <c r="T106" s="169">
        <f t="shared" si="45"/>
        <v>0</v>
      </c>
      <c r="U106" s="169">
        <f t="shared" si="45"/>
        <v>0</v>
      </c>
      <c r="V106" s="169">
        <f t="shared" si="45"/>
        <v>0</v>
      </c>
      <c r="W106" s="169">
        <f t="shared" si="45"/>
        <v>0</v>
      </c>
      <c r="AA106"/>
      <c r="AB106"/>
      <c r="AC106"/>
      <c r="AD106"/>
      <c r="AE106"/>
      <c r="AF106"/>
      <c r="AJ106" s="288"/>
    </row>
    <row r="107" spans="1:36" s="287" customFormat="1" ht="11.25" customHeight="1">
      <c r="A107" s="282"/>
      <c r="B107" s="294"/>
      <c r="C107" s="295" t="s">
        <v>558</v>
      </c>
      <c r="D107" s="295"/>
      <c r="E107" s="295"/>
      <c r="F107" s="295"/>
      <c r="G107" s="295"/>
      <c r="H107" s="296"/>
      <c r="I107" s="296"/>
      <c r="J107" s="296"/>
      <c r="K107" s="296"/>
      <c r="L107" s="296"/>
      <c r="M107" s="296"/>
      <c r="N107" s="296"/>
      <c r="O107" s="296"/>
      <c r="P107" s="296"/>
      <c r="AA107"/>
      <c r="AB107"/>
      <c r="AC107"/>
      <c r="AD107"/>
      <c r="AE107"/>
      <c r="AF107"/>
      <c r="AJ107" s="288"/>
    </row>
    <row r="108" spans="1:36" s="299" customFormat="1" ht="11.25" customHeight="1">
      <c r="A108" s="297"/>
      <c r="B108" s="298"/>
      <c r="C108" s="295"/>
      <c r="D108" s="295"/>
      <c r="E108" s="295"/>
      <c r="F108" s="295"/>
      <c r="G108" s="295"/>
      <c r="AA108"/>
      <c r="AB108"/>
      <c r="AC108"/>
      <c r="AD108"/>
      <c r="AE108"/>
      <c r="AF108"/>
      <c r="AJ108" s="288"/>
    </row>
    <row r="109" spans="1:36" s="287" customFormat="1" outlineLevel="1">
      <c r="A109" s="282"/>
      <c r="B109" s="294"/>
      <c r="C109" s="300"/>
      <c r="D109" s="300"/>
      <c r="E109" s="300"/>
      <c r="F109" s="300"/>
      <c r="G109" s="300"/>
      <c r="H109" s="301"/>
      <c r="I109" s="169"/>
      <c r="J109" s="169"/>
      <c r="K109" s="169"/>
      <c r="L109" s="169"/>
      <c r="M109" s="169"/>
      <c r="N109" s="169"/>
      <c r="O109" s="169"/>
      <c r="P109" s="169"/>
      <c r="Q109" s="169"/>
      <c r="R109" s="169"/>
      <c r="S109" s="169"/>
      <c r="T109" s="169"/>
      <c r="U109" s="169"/>
      <c r="V109" s="169"/>
      <c r="W109" s="169"/>
      <c r="AA109"/>
      <c r="AB109"/>
      <c r="AC109"/>
      <c r="AD109"/>
      <c r="AE109"/>
      <c r="AF109"/>
      <c r="AJ109" s="288"/>
    </row>
    <row r="110" spans="1:36" s="287" customFormat="1" ht="12.75" customHeight="1" outlineLevel="1">
      <c r="A110" s="282"/>
      <c r="B110" s="302" t="s">
        <v>559</v>
      </c>
      <c r="C110" s="179" t="s">
        <v>560</v>
      </c>
      <c r="D110" s="179"/>
      <c r="E110" s="179"/>
      <c r="F110" s="179"/>
      <c r="G110" s="179"/>
      <c r="H110" s="279" t="str">
        <f t="shared" ref="H110:W110" si="46">H74</f>
        <v>1/2009</v>
      </c>
      <c r="I110" s="279" t="str">
        <f t="shared" si="46"/>
        <v>1/2010</v>
      </c>
      <c r="J110" s="279" t="str">
        <f t="shared" si="46"/>
        <v>1/2011</v>
      </c>
      <c r="K110" s="279" t="str">
        <f t="shared" si="46"/>
        <v>1/2012</v>
      </c>
      <c r="L110" s="279" t="str">
        <f t="shared" si="46"/>
        <v>1/2013</v>
      </c>
      <c r="M110" s="279" t="str">
        <f t="shared" si="46"/>
        <v>1/2014</v>
      </c>
      <c r="N110" s="279" t="str">
        <f t="shared" si="46"/>
        <v>1/2015</v>
      </c>
      <c r="O110" s="279" t="str">
        <f t="shared" si="46"/>
        <v>1/2016</v>
      </c>
      <c r="P110" s="279" t="str">
        <f t="shared" si="46"/>
        <v>1/2017</v>
      </c>
      <c r="Q110" s="279" t="str">
        <f t="shared" si="46"/>
        <v>1/2018</v>
      </c>
      <c r="R110" s="279" t="str">
        <f t="shared" si="46"/>
        <v>1/2019</v>
      </c>
      <c r="S110" s="279" t="str">
        <f t="shared" si="46"/>
        <v>1/2020</v>
      </c>
      <c r="T110" s="279" t="str">
        <f t="shared" si="46"/>
        <v>1/2021</v>
      </c>
      <c r="U110" s="279" t="str">
        <f t="shared" si="46"/>
        <v>1/2022</v>
      </c>
      <c r="V110" s="279" t="str">
        <f t="shared" si="46"/>
        <v>1/2023</v>
      </c>
      <c r="W110" s="279" t="str">
        <f t="shared" si="46"/>
        <v>1/2024</v>
      </c>
      <c r="AA110"/>
      <c r="AB110"/>
      <c r="AC110"/>
      <c r="AD110"/>
      <c r="AE110"/>
      <c r="AF110"/>
      <c r="AJ110" s="288"/>
    </row>
    <row r="111" spans="1:36" s="287" customFormat="1" ht="12.75" customHeight="1" outlineLevel="1">
      <c r="A111" s="282"/>
      <c r="B111" s="302"/>
      <c r="C111" s="179"/>
      <c r="D111" s="179"/>
      <c r="E111" s="179"/>
      <c r="F111" s="179"/>
      <c r="G111" s="179"/>
      <c r="H111" s="303"/>
      <c r="I111" s="303"/>
      <c r="J111" s="303"/>
      <c r="K111" s="303"/>
      <c r="L111" s="303"/>
      <c r="M111" s="303"/>
      <c r="N111" s="303"/>
      <c r="O111" s="303"/>
      <c r="P111" s="304"/>
      <c r="Q111" s="304"/>
      <c r="R111" s="304"/>
      <c r="S111" s="304"/>
      <c r="T111" s="304"/>
      <c r="U111" s="304"/>
      <c r="V111" s="304"/>
      <c r="W111" s="304"/>
      <c r="AA111"/>
      <c r="AB111"/>
      <c r="AC111"/>
      <c r="AD111"/>
      <c r="AE111"/>
      <c r="AF111"/>
      <c r="AJ111" s="288"/>
    </row>
    <row r="112" spans="1:36" s="287" customFormat="1" ht="11.25" customHeight="1" outlineLevel="1">
      <c r="A112" s="282"/>
      <c r="B112" s="305">
        <v>1</v>
      </c>
      <c r="C112" s="153" t="s">
        <v>561</v>
      </c>
      <c r="D112" s="153"/>
      <c r="E112" s="153"/>
      <c r="F112" s="153"/>
      <c r="G112" s="153"/>
      <c r="H112" s="306" t="str">
        <f t="shared" ref="H112:H141" si="47">IF(ISERROR(H76/(POWER((1+$H$44),B112))),"NA",H76/(POWER((1+$H$44),B112)))</f>
        <v>NA</v>
      </c>
      <c r="I112" s="306" t="str">
        <f t="shared" ref="I112:W112" si="48">IF(ISERROR((I76-H77)/(POWER((1+I$45),$B112))),"NA",(I76-H77)/(POWER((1+I$45),$B112)))</f>
        <v>NA</v>
      </c>
      <c r="J112" s="306">
        <f t="shared" si="48"/>
        <v>165.09700000000001</v>
      </c>
      <c r="K112" s="306">
        <f t="shared" si="48"/>
        <v>162.16559847989146</v>
      </c>
      <c r="L112" s="306">
        <f t="shared" si="48"/>
        <v>182.33049806135938</v>
      </c>
      <c r="M112" s="306">
        <f t="shared" si="48"/>
        <v>-201.83828248359174</v>
      </c>
      <c r="N112" s="306">
        <f t="shared" si="48"/>
        <v>-233.95172319043493</v>
      </c>
      <c r="O112" s="306">
        <f t="shared" si="48"/>
        <v>-9.7109353405200611</v>
      </c>
      <c r="P112" s="306">
        <f t="shared" si="48"/>
        <v>-16.426738360536387</v>
      </c>
      <c r="Q112" s="306">
        <f>IF(ISERROR((Q76-P77)/(POWER((1+Q$45),$B112))),"NA",(Q76-P77)/(POWER((1+Q$45),$B112)))-16</f>
        <v>-43.431272983839591</v>
      </c>
      <c r="R112" s="306">
        <f>IF(ISERROR((R76-Q77)/(POWER((1+R$45),$B112))),"NA",(R76-Q77)/(POWER((1+R$45),$B112)))+15</f>
        <v>-12.979898443516337</v>
      </c>
      <c r="S112" s="306">
        <f t="shared" si="48"/>
        <v>-28.539496412386647</v>
      </c>
      <c r="T112" s="306">
        <f t="shared" si="48"/>
        <v>-29.110286340634346</v>
      </c>
      <c r="U112" s="306">
        <f t="shared" si="48"/>
        <v>-29.692492067447034</v>
      </c>
      <c r="V112" s="306">
        <f t="shared" si="48"/>
        <v>-30.286341908795961</v>
      </c>
      <c r="W112" s="306">
        <f t="shared" si="48"/>
        <v>-30.892068746971859</v>
      </c>
      <c r="AA112"/>
      <c r="AB112"/>
      <c r="AC112"/>
      <c r="AD112"/>
      <c r="AE112"/>
      <c r="AF112"/>
      <c r="AJ112" s="288"/>
    </row>
    <row r="113" spans="1:36" s="308" customFormat="1" ht="11.25" customHeight="1" outlineLevel="1">
      <c r="A113" s="307"/>
      <c r="B113" s="144">
        <v>2</v>
      </c>
      <c r="C113" s="153" t="str">
        <f t="shared" ref="C113:C141" si="49">"PV of Increase in forecast year "&amp;B112&amp;" lease commitments"</f>
        <v>PV of Increase in forecast year 1 lease commitments</v>
      </c>
      <c r="D113" s="153"/>
      <c r="E113" s="153"/>
      <c r="F113" s="153"/>
      <c r="G113" s="153"/>
      <c r="H113" s="306" t="str">
        <f t="shared" si="47"/>
        <v>NA</v>
      </c>
      <c r="I113" s="306" t="str">
        <f t="shared" ref="I113:W113" si="50">IF(ISERROR((I77-H78)/(POWER((1+I$45),$B113))),"NA",(I77-H78)/(POWER((1+I$45),$B113)))</f>
        <v>NA</v>
      </c>
      <c r="J113" s="306">
        <f t="shared" si="50"/>
        <v>0</v>
      </c>
      <c r="K113" s="306">
        <f t="shared" si="50"/>
        <v>0</v>
      </c>
      <c r="L113" s="306">
        <f t="shared" si="50"/>
        <v>186.69996442791401</v>
      </c>
      <c r="M113" s="306">
        <f t="shared" si="50"/>
        <v>23.265145243136775</v>
      </c>
      <c r="N113" s="306">
        <f t="shared" si="50"/>
        <v>21.705334565827961</v>
      </c>
      <c r="O113" s="306">
        <f t="shared" si="50"/>
        <v>13.86306686664226</v>
      </c>
      <c r="P113" s="306">
        <f t="shared" si="50"/>
        <v>10.239179343533364</v>
      </c>
      <c r="Q113" s="306">
        <f t="shared" si="50"/>
        <v>-5.5398824832526747</v>
      </c>
      <c r="R113" s="306">
        <f t="shared" si="50"/>
        <v>-5.6506801329177438</v>
      </c>
      <c r="S113" s="306">
        <f t="shared" si="50"/>
        <v>-5.76369373557612</v>
      </c>
      <c r="T113" s="306">
        <f t="shared" si="50"/>
        <v>-5.8789676102876429</v>
      </c>
      <c r="U113" s="306">
        <f t="shared" si="50"/>
        <v>-5.9965469624934187</v>
      </c>
      <c r="V113" s="306">
        <f t="shared" si="50"/>
        <v>-6.1164779017433029</v>
      </c>
      <c r="W113" s="306">
        <f t="shared" si="50"/>
        <v>-6.2388074597781724</v>
      </c>
      <c r="AA113"/>
      <c r="AB113"/>
      <c r="AC113"/>
      <c r="AD113"/>
      <c r="AE113"/>
      <c r="AF113"/>
      <c r="AJ113" s="309"/>
    </row>
    <row r="114" spans="1:36" s="308" customFormat="1" ht="11.25" customHeight="1" outlineLevel="1">
      <c r="A114" s="307"/>
      <c r="B114" s="144">
        <v>3</v>
      </c>
      <c r="C114" s="153" t="str">
        <f t="shared" si="49"/>
        <v>PV of Increase in forecast year 2 lease commitments</v>
      </c>
      <c r="D114" s="153"/>
      <c r="E114" s="153"/>
      <c r="F114" s="153"/>
      <c r="G114" s="153"/>
      <c r="H114" s="306" t="str">
        <f t="shared" si="47"/>
        <v>NA</v>
      </c>
      <c r="I114" s="306" t="str">
        <f t="shared" ref="I114:W114" si="51">IF(ISERROR((I78-H79)/(POWER((1+I$45),$B114))),"NA",(I78-H79)/(POWER((1+I$45),$B114)))</f>
        <v>NA</v>
      </c>
      <c r="J114" s="306">
        <f t="shared" si="51"/>
        <v>0</v>
      </c>
      <c r="K114" s="306">
        <f t="shared" si="51"/>
        <v>0</v>
      </c>
      <c r="L114" s="306">
        <f t="shared" si="51"/>
        <v>173.68880993630981</v>
      </c>
      <c r="M114" s="306">
        <f t="shared" si="51"/>
        <v>41.739642771247723</v>
      </c>
      <c r="N114" s="306">
        <f t="shared" si="51"/>
        <v>40.355715886686959</v>
      </c>
      <c r="O114" s="306">
        <f t="shared" si="51"/>
        <v>33.73164445803701</v>
      </c>
      <c r="P114" s="306">
        <f t="shared" si="51"/>
        <v>39.998238687758693</v>
      </c>
      <c r="Q114" s="306">
        <f t="shared" si="51"/>
        <v>33.160885913570979</v>
      </c>
      <c r="R114" s="306">
        <f t="shared" si="51"/>
        <v>33.824103631842412</v>
      </c>
      <c r="S114" s="306">
        <f t="shared" si="51"/>
        <v>34.500585704479256</v>
      </c>
      <c r="T114" s="306">
        <f t="shared" si="51"/>
        <v>35.190597418568849</v>
      </c>
      <c r="U114" s="306">
        <f t="shared" si="51"/>
        <v>35.894409366940252</v>
      </c>
      <c r="V114" s="306">
        <f t="shared" si="51"/>
        <v>36.612297554279053</v>
      </c>
      <c r="W114" s="306">
        <f t="shared" si="51"/>
        <v>37.344543505364626</v>
      </c>
      <c r="AA114"/>
      <c r="AB114"/>
      <c r="AC114"/>
      <c r="AD114"/>
      <c r="AE114"/>
      <c r="AF114"/>
      <c r="AJ114" s="309"/>
    </row>
    <row r="115" spans="1:36" s="308" customFormat="1" outlineLevel="1">
      <c r="A115" s="307"/>
      <c r="B115" s="144">
        <v>4</v>
      </c>
      <c r="C115" s="153" t="str">
        <f t="shared" si="49"/>
        <v>PV of Increase in forecast year 3 lease commitments</v>
      </c>
      <c r="D115" s="153"/>
      <c r="E115" s="153"/>
      <c r="F115" s="153"/>
      <c r="G115" s="153"/>
      <c r="H115" s="306" t="str">
        <f t="shared" si="47"/>
        <v>NA</v>
      </c>
      <c r="I115" s="306" t="str">
        <f t="shared" ref="I115:W115" si="52">IF(ISERROR((I79-H80)/(POWER((1+I$45),$B115))),"NA",(I79-H80)/(POWER((1+I$45),$B115)))</f>
        <v>NA</v>
      </c>
      <c r="J115" s="306">
        <f t="shared" si="52"/>
        <v>0</v>
      </c>
      <c r="K115" s="306">
        <f t="shared" si="52"/>
        <v>0</v>
      </c>
      <c r="L115" s="306">
        <f t="shared" si="52"/>
        <v>143.72030229680044</v>
      </c>
      <c r="M115" s="306">
        <f t="shared" si="52"/>
        <v>39.560138885691067</v>
      </c>
      <c r="N115" s="306">
        <f t="shared" si="52"/>
        <v>40.167514315841231</v>
      </c>
      <c r="O115" s="306">
        <f t="shared" si="52"/>
        <v>36.835570572641693</v>
      </c>
      <c r="P115" s="306">
        <f t="shared" si="52"/>
        <v>48.978788981496038</v>
      </c>
      <c r="Q115" s="306">
        <f t="shared" si="52"/>
        <v>27.234504413665686</v>
      </c>
      <c r="R115" s="306">
        <f t="shared" si="52"/>
        <v>27.779194501938978</v>
      </c>
      <c r="S115" s="306">
        <f t="shared" si="52"/>
        <v>28.33477839197776</v>
      </c>
      <c r="T115" s="306">
        <f t="shared" si="52"/>
        <v>28.901473959817299</v>
      </c>
      <c r="U115" s="306">
        <f t="shared" si="52"/>
        <v>29.479503439013662</v>
      </c>
      <c r="V115" s="306">
        <f t="shared" si="52"/>
        <v>30.069093507793912</v>
      </c>
      <c r="W115" s="306">
        <f t="shared" si="52"/>
        <v>30.67047537794982</v>
      </c>
      <c r="AA115"/>
      <c r="AB115"/>
      <c r="AC115"/>
      <c r="AD115"/>
      <c r="AE115"/>
      <c r="AF115"/>
      <c r="AJ115" s="309"/>
    </row>
    <row r="116" spans="1:36" s="287" customFormat="1" outlineLevel="1">
      <c r="A116" s="282"/>
      <c r="B116" s="144">
        <v>5</v>
      </c>
      <c r="C116" s="153" t="str">
        <f t="shared" si="49"/>
        <v>PV of Increase in forecast year 4 lease commitments</v>
      </c>
      <c r="D116" s="153"/>
      <c r="E116" s="153"/>
      <c r="F116" s="153"/>
      <c r="G116" s="153"/>
      <c r="H116" s="306" t="str">
        <f t="shared" si="47"/>
        <v>NA</v>
      </c>
      <c r="I116" s="306" t="str">
        <f t="shared" ref="I116:W116" si="53">IF(ISERROR((I80-H81)/(POWER((1+I$45),$B116))),"NA",(I80-H81)/(POWER((1+I$45),$B116)))</f>
        <v>NA</v>
      </c>
      <c r="J116" s="306">
        <f t="shared" si="53"/>
        <v>0</v>
      </c>
      <c r="K116" s="306">
        <f t="shared" si="53"/>
        <v>0</v>
      </c>
      <c r="L116" s="306">
        <f t="shared" si="53"/>
        <v>121.4696534895421</v>
      </c>
      <c r="M116" s="306">
        <f t="shared" si="53"/>
        <v>38.119847244251844</v>
      </c>
      <c r="N116" s="306">
        <f t="shared" si="53"/>
        <v>37.396045743608916</v>
      </c>
      <c r="O116" s="306">
        <f t="shared" si="53"/>
        <v>38.67714568376433</v>
      </c>
      <c r="P116" s="306">
        <f t="shared" si="53"/>
        <v>51.857781203214522</v>
      </c>
      <c r="Q116" s="306">
        <f t="shared" si="53"/>
        <v>25.683406745410714</v>
      </c>
      <c r="R116" s="306">
        <f t="shared" si="53"/>
        <v>26.197074880318915</v>
      </c>
      <c r="S116" s="306">
        <f t="shared" si="53"/>
        <v>26.721016377925288</v>
      </c>
      <c r="T116" s="306">
        <f t="shared" si="53"/>
        <v>27.255436705483774</v>
      </c>
      <c r="U116" s="306">
        <f t="shared" si="53"/>
        <v>27.800545439593474</v>
      </c>
      <c r="V116" s="306">
        <f t="shared" si="53"/>
        <v>28.356556348385329</v>
      </c>
      <c r="W116" s="306">
        <f t="shared" si="53"/>
        <v>28.923687475353052</v>
      </c>
      <c r="AA116"/>
      <c r="AB116"/>
      <c r="AC116"/>
      <c r="AD116"/>
      <c r="AE116"/>
      <c r="AF116"/>
      <c r="AJ116" s="288"/>
    </row>
    <row r="117" spans="1:36" s="287" customFormat="1" outlineLevel="1">
      <c r="A117" s="282"/>
      <c r="B117" s="144">
        <v>6</v>
      </c>
      <c r="C117" s="153" t="str">
        <f t="shared" si="49"/>
        <v>PV of Increase in forecast year 5 lease commitments</v>
      </c>
      <c r="D117" s="153"/>
      <c r="E117" s="153"/>
      <c r="F117" s="153"/>
      <c r="G117" s="153"/>
      <c r="H117" s="306" t="str">
        <f t="shared" si="47"/>
        <v>NA</v>
      </c>
      <c r="I117" s="306" t="str">
        <f t="shared" ref="I117:W117" si="54">IF(ISERROR((I81-H82)/(POWER((1+I$45),$B117))),"NA",(I81-H82)/(POWER((1+I$45),$B117)))</f>
        <v>NA</v>
      </c>
      <c r="J117" s="306">
        <f t="shared" si="54"/>
        <v>0</v>
      </c>
      <c r="K117" s="306">
        <f t="shared" si="54"/>
        <v>0</v>
      </c>
      <c r="L117" s="306">
        <f t="shared" si="54"/>
        <v>97.717220340751794</v>
      </c>
      <c r="M117" s="306">
        <f t="shared" si="54"/>
        <v>47.788370048442886</v>
      </c>
      <c r="N117" s="306">
        <f t="shared" si="54"/>
        <v>42.800929100636495</v>
      </c>
      <c r="O117" s="306">
        <f t="shared" si="54"/>
        <v>34.827445629960032</v>
      </c>
      <c r="P117" s="306">
        <f t="shared" si="54"/>
        <v>40.929930641757196</v>
      </c>
      <c r="Q117" s="306">
        <f t="shared" si="54"/>
        <v>22.625066072467668</v>
      </c>
      <c r="R117" s="306">
        <f t="shared" si="54"/>
        <v>23.077567393917029</v>
      </c>
      <c r="S117" s="306">
        <f t="shared" si="54"/>
        <v>23.539118741795392</v>
      </c>
      <c r="T117" s="306">
        <f t="shared" si="54"/>
        <v>24.009901116631291</v>
      </c>
      <c r="U117" s="306">
        <f t="shared" si="54"/>
        <v>24.490099138963913</v>
      </c>
      <c r="V117" s="306">
        <f t="shared" si="54"/>
        <v>24.979901121743183</v>
      </c>
      <c r="W117" s="306">
        <f t="shared" si="54"/>
        <v>25.479499144178064</v>
      </c>
      <c r="AA117"/>
      <c r="AB117"/>
      <c r="AC117"/>
      <c r="AD117"/>
      <c r="AE117"/>
      <c r="AF117"/>
      <c r="AJ117" s="288"/>
    </row>
    <row r="118" spans="1:36" s="287" customFormat="1" outlineLevel="1">
      <c r="A118" s="282"/>
      <c r="B118" s="144">
        <v>7</v>
      </c>
      <c r="C118" s="153" t="str">
        <f t="shared" si="49"/>
        <v>PV of Increase in forecast year 6 lease commitments</v>
      </c>
      <c r="D118" s="153"/>
      <c r="E118" s="153"/>
      <c r="F118" s="153"/>
      <c r="G118" s="153"/>
      <c r="H118" s="306" t="str">
        <f t="shared" si="47"/>
        <v>NA</v>
      </c>
      <c r="I118" s="306" t="str">
        <f t="shared" ref="I118:W118" si="55">IF(ISERROR((I82-H83)/(POWER((1+I$45),$B118))),"NA",(I82-H83)/(POWER((1+I$45),$B118)))</f>
        <v>NA</v>
      </c>
      <c r="J118" s="306">
        <f t="shared" si="55"/>
        <v>0</v>
      </c>
      <c r="K118" s="306">
        <f t="shared" si="55"/>
        <v>0</v>
      </c>
      <c r="L118" s="306">
        <f t="shared" si="55"/>
        <v>62.365487536279552</v>
      </c>
      <c r="M118" s="306">
        <f t="shared" si="55"/>
        <v>10.471083484446417</v>
      </c>
      <c r="N118" s="306">
        <f t="shared" si="55"/>
        <v>20.393795280705067</v>
      </c>
      <c r="O118" s="306">
        <f t="shared" si="55"/>
        <v>21.524813133782775</v>
      </c>
      <c r="P118" s="306">
        <f t="shared" si="55"/>
        <v>20.905352305643071</v>
      </c>
      <c r="Q118" s="306">
        <f t="shared" si="55"/>
        <v>3.1221657518884882</v>
      </c>
      <c r="R118" s="306">
        <f t="shared" si="55"/>
        <v>3.1846090669262406</v>
      </c>
      <c r="S118" s="306">
        <f t="shared" si="55"/>
        <v>3.2483012482647777</v>
      </c>
      <c r="T118" s="306">
        <f t="shared" si="55"/>
        <v>3.3132672732300681</v>
      </c>
      <c r="U118" s="306">
        <f t="shared" si="55"/>
        <v>3.3795326186946668</v>
      </c>
      <c r="V118" s="306">
        <f t="shared" si="55"/>
        <v>3.4471232710685542</v>
      </c>
      <c r="W118" s="306">
        <f t="shared" si="55"/>
        <v>3.516065736489939</v>
      </c>
      <c r="AA118"/>
      <c r="AB118"/>
      <c r="AC118"/>
      <c r="AD118"/>
      <c r="AE118"/>
      <c r="AF118"/>
      <c r="AJ118" s="288"/>
    </row>
    <row r="119" spans="1:36" s="287" customFormat="1" outlineLevel="1">
      <c r="A119" s="282"/>
      <c r="B119" s="144">
        <v>8</v>
      </c>
      <c r="C119" s="153" t="str">
        <f t="shared" si="49"/>
        <v>PV of Increase in forecast year 7 lease commitments</v>
      </c>
      <c r="D119" s="153"/>
      <c r="E119" s="153"/>
      <c r="F119" s="153"/>
      <c r="G119" s="153"/>
      <c r="H119" s="306" t="str">
        <f t="shared" si="47"/>
        <v>NA</v>
      </c>
      <c r="I119" s="306" t="str">
        <f t="shared" ref="I119:W119" si="56">IF(ISERROR((I83-H84)/(POWER((1+I$45),$B119))),"NA",(I83-H84)/(POWER((1+I$45),$B119)))</f>
        <v>NA</v>
      </c>
      <c r="J119" s="306">
        <f t="shared" si="56"/>
        <v>0</v>
      </c>
      <c r="K119" s="306">
        <f t="shared" si="56"/>
        <v>0</v>
      </c>
      <c r="L119" s="306">
        <f t="shared" si="56"/>
        <v>57.466230723079484</v>
      </c>
      <c r="M119" s="306">
        <f t="shared" si="56"/>
        <v>9.6114234154329576</v>
      </c>
      <c r="N119" s="306">
        <f t="shared" si="56"/>
        <v>19.113707027938101</v>
      </c>
      <c r="O119" s="306">
        <f t="shared" si="56"/>
        <v>20.593701335856348</v>
      </c>
      <c r="P119" s="306">
        <f t="shared" si="56"/>
        <v>19.897256657954379</v>
      </c>
      <c r="Q119" s="306">
        <f t="shared" si="56"/>
        <v>2.9716090112115143</v>
      </c>
      <c r="R119" s="306">
        <f t="shared" si="56"/>
        <v>3.0310411914357283</v>
      </c>
      <c r="S119" s="306">
        <f t="shared" si="56"/>
        <v>3.0916620152644545</v>
      </c>
      <c r="T119" s="306">
        <f t="shared" si="56"/>
        <v>3.1534952555697386</v>
      </c>
      <c r="U119" s="306">
        <f t="shared" si="56"/>
        <v>3.2165651606811312</v>
      </c>
      <c r="V119" s="306">
        <f t="shared" si="56"/>
        <v>3.2808964638947482</v>
      </c>
      <c r="W119" s="306">
        <f t="shared" si="56"/>
        <v>3.3465143931726562</v>
      </c>
      <c r="AA119"/>
      <c r="AB119"/>
      <c r="AC119"/>
      <c r="AD119"/>
      <c r="AE119"/>
      <c r="AF119"/>
      <c r="AJ119" s="288"/>
    </row>
    <row r="120" spans="1:36" s="287" customFormat="1" outlineLevel="1">
      <c r="A120" s="282"/>
      <c r="B120" s="144">
        <v>9</v>
      </c>
      <c r="C120" s="153" t="str">
        <f t="shared" si="49"/>
        <v>PV of Increase in forecast year 8 lease commitments</v>
      </c>
      <c r="D120" s="153"/>
      <c r="E120" s="153"/>
      <c r="F120" s="153"/>
      <c r="G120" s="153"/>
      <c r="H120" s="306" t="str">
        <f t="shared" si="47"/>
        <v>NA</v>
      </c>
      <c r="I120" s="306" t="str">
        <f t="shared" ref="I120:W120" si="57">IF(ISERROR((I84-H85)/(POWER((1+I$45),$B120))),"NA",(I84-H85)/(POWER((1+I$45),$B120)))</f>
        <v>NA</v>
      </c>
      <c r="J120" s="306">
        <f t="shared" si="57"/>
        <v>0</v>
      </c>
      <c r="K120" s="306">
        <f t="shared" si="57"/>
        <v>0</v>
      </c>
      <c r="L120" s="306">
        <f t="shared" si="57"/>
        <v>52.951845707886669</v>
      </c>
      <c r="M120" s="306">
        <f t="shared" si="57"/>
        <v>8.8223401339462075</v>
      </c>
      <c r="N120" s="306">
        <f t="shared" si="57"/>
        <v>17.913968014354801</v>
      </c>
      <c r="O120" s="306">
        <f t="shared" si="57"/>
        <v>19.702867201426901</v>
      </c>
      <c r="P120" s="306">
        <f t="shared" si="57"/>
        <v>18.937773290031693</v>
      </c>
      <c r="Q120" s="306">
        <f t="shared" si="57"/>
        <v>2.8283124014707539</v>
      </c>
      <c r="R120" s="306">
        <f t="shared" si="57"/>
        <v>2.8848786495001533</v>
      </c>
      <c r="S120" s="306">
        <f t="shared" si="57"/>
        <v>2.9425762224901679</v>
      </c>
      <c r="T120" s="306">
        <f t="shared" si="57"/>
        <v>3.0014277469399664</v>
      </c>
      <c r="U120" s="306">
        <f t="shared" si="57"/>
        <v>3.0614563018787635</v>
      </c>
      <c r="V120" s="306">
        <f t="shared" si="57"/>
        <v>3.1226854279163332</v>
      </c>
      <c r="W120" s="306">
        <f t="shared" si="57"/>
        <v>3.1851391364746724</v>
      </c>
      <c r="AA120"/>
      <c r="AB120"/>
      <c r="AC120"/>
      <c r="AD120"/>
      <c r="AE120"/>
      <c r="AF120"/>
      <c r="AJ120" s="288"/>
    </row>
    <row r="121" spans="1:36" s="287" customFormat="1" outlineLevel="1">
      <c r="A121" s="282"/>
      <c r="B121" s="144">
        <v>10</v>
      </c>
      <c r="C121" s="153" t="str">
        <f t="shared" si="49"/>
        <v>PV of Increase in forecast year 9 lease commitments</v>
      </c>
      <c r="D121" s="153"/>
      <c r="E121" s="153"/>
      <c r="F121" s="153"/>
      <c r="G121" s="153"/>
      <c r="H121" s="306" t="str">
        <f t="shared" si="47"/>
        <v>NA</v>
      </c>
      <c r="I121" s="306" t="str">
        <f t="shared" ref="I121:W121" si="58">IF(ISERROR((I85-H86)/(POWER((1+I$45),$B121))),"NA",(I85-H86)/(POWER((1+I$45),$B121)))</f>
        <v>NA</v>
      </c>
      <c r="J121" s="306">
        <f t="shared" si="58"/>
        <v>0</v>
      </c>
      <c r="K121" s="306">
        <f t="shared" si="58"/>
        <v>0</v>
      </c>
      <c r="L121" s="306">
        <f t="shared" si="58"/>
        <v>48.792098047692896</v>
      </c>
      <c r="M121" s="306">
        <f t="shared" si="58"/>
        <v>8.0980393927980838</v>
      </c>
      <c r="N121" s="306">
        <f t="shared" si="58"/>
        <v>16.789534837499556</v>
      </c>
      <c r="O121" s="306">
        <f t="shared" si="58"/>
        <v>18.850568415360645</v>
      </c>
      <c r="P121" s="306">
        <f t="shared" si="58"/>
        <v>18.024558025754953</v>
      </c>
      <c r="Q121" s="306">
        <f t="shared" si="58"/>
        <v>2.6919258254140095</v>
      </c>
      <c r="R121" s="306">
        <f t="shared" si="58"/>
        <v>2.7457643419222748</v>
      </c>
      <c r="S121" s="306">
        <f t="shared" si="58"/>
        <v>2.8006796287607312</v>
      </c>
      <c r="T121" s="306">
        <f t="shared" si="58"/>
        <v>2.8566932213359411</v>
      </c>
      <c r="U121" s="306">
        <f t="shared" si="58"/>
        <v>2.9138270857626578</v>
      </c>
      <c r="V121" s="306">
        <f t="shared" si="58"/>
        <v>2.9721036274779058</v>
      </c>
      <c r="W121" s="306">
        <f t="shared" si="58"/>
        <v>3.0315457000274759</v>
      </c>
      <c r="AA121"/>
      <c r="AB121"/>
      <c r="AC121"/>
      <c r="AD121"/>
      <c r="AE121"/>
      <c r="AF121"/>
      <c r="AJ121" s="288"/>
    </row>
    <row r="122" spans="1:36" s="287" customFormat="1" outlineLevel="1">
      <c r="A122" s="282"/>
      <c r="B122" s="144">
        <v>11</v>
      </c>
      <c r="C122" s="153" t="str">
        <f t="shared" si="49"/>
        <v>PV of Increase in forecast year 10 lease commitments</v>
      </c>
      <c r="D122" s="153"/>
      <c r="E122" s="153"/>
      <c r="F122" s="153"/>
      <c r="G122" s="153"/>
      <c r="H122" s="306" t="str">
        <f t="shared" si="47"/>
        <v>NA</v>
      </c>
      <c r="I122" s="306" t="str">
        <f t="shared" ref="I122:W122" si="59">IF(ISERROR((I86-H87)/(POWER((1+I$45),$B122))),"NA",(I86-H87)/(POWER((1+I$45),$B122)))</f>
        <v>NA</v>
      </c>
      <c r="J122" s="306">
        <f t="shared" si="59"/>
        <v>0</v>
      </c>
      <c r="K122" s="306">
        <f t="shared" si="59"/>
        <v>0</v>
      </c>
      <c r="L122" s="306">
        <f t="shared" si="59"/>
        <v>44.959128432063309</v>
      </c>
      <c r="M122" s="306">
        <f t="shared" si="59"/>
        <v>50.527772736162198</v>
      </c>
      <c r="N122" s="306">
        <f t="shared" si="59"/>
        <v>79.281759283648583</v>
      </c>
      <c r="O122" s="306">
        <f t="shared" si="59"/>
        <v>117.48471402710567</v>
      </c>
      <c r="P122" s="306">
        <f t="shared" si="59"/>
        <v>128.10580340705334</v>
      </c>
      <c r="Q122" s="306">
        <f t="shared" si="59"/>
        <v>130.66791947519442</v>
      </c>
      <c r="R122" s="306">
        <f t="shared" si="59"/>
        <v>133.28127786469832</v>
      </c>
      <c r="S122" s="306">
        <f t="shared" si="59"/>
        <v>135.94690342199229</v>
      </c>
      <c r="T122" s="306">
        <f t="shared" si="59"/>
        <v>138.66584149043214</v>
      </c>
      <c r="U122" s="306">
        <f t="shared" si="59"/>
        <v>141.43915832024078</v>
      </c>
      <c r="V122" s="306">
        <f t="shared" si="59"/>
        <v>144.26794148664558</v>
      </c>
      <c r="W122" s="306">
        <f t="shared" si="59"/>
        <v>147.15330031637851</v>
      </c>
      <c r="AA122"/>
      <c r="AB122"/>
      <c r="AC122"/>
      <c r="AD122"/>
      <c r="AE122"/>
      <c r="AF122"/>
      <c r="AJ122" s="288"/>
    </row>
    <row r="123" spans="1:36" s="287" customFormat="1" outlineLevel="1">
      <c r="A123" s="282"/>
      <c r="B123" s="144">
        <v>12</v>
      </c>
      <c r="C123" s="153" t="str">
        <f t="shared" si="49"/>
        <v>PV of Increase in forecast year 11 lease commitments</v>
      </c>
      <c r="D123" s="153"/>
      <c r="E123" s="153"/>
      <c r="F123" s="153"/>
      <c r="G123" s="153"/>
      <c r="H123" s="306" t="str">
        <f t="shared" si="47"/>
        <v>NA</v>
      </c>
      <c r="I123" s="306" t="str">
        <f t="shared" ref="I123:W123" si="60">IF(ISERROR((I87-H88)/(POWER((1+I$45),$B123))),"NA",(I87-H88)/(POWER((1+I$45),$B123)))</f>
        <v>NA</v>
      </c>
      <c r="J123" s="306">
        <f t="shared" si="60"/>
        <v>0</v>
      </c>
      <c r="K123" s="306">
        <f t="shared" si="60"/>
        <v>0</v>
      </c>
      <c r="L123" s="306">
        <f t="shared" si="60"/>
        <v>0</v>
      </c>
      <c r="M123" s="306">
        <f t="shared" si="60"/>
        <v>0</v>
      </c>
      <c r="N123" s="306">
        <f t="shared" si="60"/>
        <v>0</v>
      </c>
      <c r="O123" s="306">
        <f t="shared" si="60"/>
        <v>0</v>
      </c>
      <c r="P123" s="306">
        <f t="shared" si="60"/>
        <v>0</v>
      </c>
      <c r="Q123" s="306">
        <f t="shared" si="60"/>
        <v>0</v>
      </c>
      <c r="R123" s="306">
        <f t="shared" si="60"/>
        <v>0</v>
      </c>
      <c r="S123" s="306">
        <f t="shared" si="60"/>
        <v>0</v>
      </c>
      <c r="T123" s="306">
        <f t="shared" si="60"/>
        <v>0</v>
      </c>
      <c r="U123" s="306">
        <f t="shared" si="60"/>
        <v>0</v>
      </c>
      <c r="V123" s="306">
        <f t="shared" si="60"/>
        <v>0</v>
      </c>
      <c r="W123" s="306">
        <f t="shared" si="60"/>
        <v>0</v>
      </c>
      <c r="AA123"/>
      <c r="AB123"/>
      <c r="AC123"/>
      <c r="AD123"/>
      <c r="AE123"/>
      <c r="AF123"/>
      <c r="AJ123" s="288"/>
    </row>
    <row r="124" spans="1:36" s="287" customFormat="1" outlineLevel="1">
      <c r="A124" s="282"/>
      <c r="B124" s="144">
        <v>13</v>
      </c>
      <c r="C124" s="153" t="str">
        <f t="shared" si="49"/>
        <v>PV of Increase in forecast year 12 lease commitments</v>
      </c>
      <c r="D124" s="153"/>
      <c r="E124" s="153"/>
      <c r="F124" s="153"/>
      <c r="G124" s="153"/>
      <c r="H124" s="306" t="str">
        <f t="shared" si="47"/>
        <v>NA</v>
      </c>
      <c r="I124" s="306" t="str">
        <f t="shared" ref="I124:W124" si="61">IF(ISERROR((I88-H89)/(POWER((1+I$45),$B124))),"NA",(I88-H89)/(POWER((1+I$45),$B124)))</f>
        <v>NA</v>
      </c>
      <c r="J124" s="306">
        <f t="shared" si="61"/>
        <v>0</v>
      </c>
      <c r="K124" s="306">
        <f t="shared" si="61"/>
        <v>0</v>
      </c>
      <c r="L124" s="306">
        <f t="shared" si="61"/>
        <v>0</v>
      </c>
      <c r="M124" s="306">
        <f t="shared" si="61"/>
        <v>0</v>
      </c>
      <c r="N124" s="306">
        <f t="shared" si="61"/>
        <v>0</v>
      </c>
      <c r="O124" s="306">
        <f t="shared" si="61"/>
        <v>0</v>
      </c>
      <c r="P124" s="306">
        <f t="shared" si="61"/>
        <v>0</v>
      </c>
      <c r="Q124" s="306">
        <f t="shared" si="61"/>
        <v>0</v>
      </c>
      <c r="R124" s="306">
        <f t="shared" si="61"/>
        <v>0</v>
      </c>
      <c r="S124" s="306">
        <f t="shared" si="61"/>
        <v>0</v>
      </c>
      <c r="T124" s="306">
        <f t="shared" si="61"/>
        <v>0</v>
      </c>
      <c r="U124" s="306">
        <f t="shared" si="61"/>
        <v>0</v>
      </c>
      <c r="V124" s="306">
        <f t="shared" si="61"/>
        <v>0</v>
      </c>
      <c r="W124" s="306">
        <f t="shared" si="61"/>
        <v>0</v>
      </c>
      <c r="AA124"/>
      <c r="AB124"/>
      <c r="AC124"/>
      <c r="AD124"/>
      <c r="AE124"/>
      <c r="AF124"/>
      <c r="AJ124" s="288"/>
    </row>
    <row r="125" spans="1:36" s="287" customFormat="1" outlineLevel="1">
      <c r="A125" s="282"/>
      <c r="B125" s="144">
        <v>14</v>
      </c>
      <c r="C125" s="153" t="str">
        <f t="shared" si="49"/>
        <v>PV of Increase in forecast year 13 lease commitments</v>
      </c>
      <c r="D125" s="153"/>
      <c r="E125" s="153"/>
      <c r="F125" s="153"/>
      <c r="G125" s="153"/>
      <c r="H125" s="306" t="str">
        <f t="shared" si="47"/>
        <v>NA</v>
      </c>
      <c r="I125" s="306" t="str">
        <f t="shared" ref="I125:W125" si="62">IF(ISERROR((I89-H90)/(POWER((1+I$45),$B125))),"NA",(I89-H90)/(POWER((1+I$45),$B125)))</f>
        <v>NA</v>
      </c>
      <c r="J125" s="306">
        <f t="shared" si="62"/>
        <v>0</v>
      </c>
      <c r="K125" s="306">
        <f t="shared" si="62"/>
        <v>0</v>
      </c>
      <c r="L125" s="306">
        <f t="shared" si="62"/>
        <v>0</v>
      </c>
      <c r="M125" s="306">
        <f t="shared" si="62"/>
        <v>0</v>
      </c>
      <c r="N125" s="306">
        <f t="shared" si="62"/>
        <v>0</v>
      </c>
      <c r="O125" s="306">
        <f t="shared" si="62"/>
        <v>0</v>
      </c>
      <c r="P125" s="306">
        <f t="shared" si="62"/>
        <v>0</v>
      </c>
      <c r="Q125" s="306">
        <f t="shared" si="62"/>
        <v>0</v>
      </c>
      <c r="R125" s="306">
        <f t="shared" si="62"/>
        <v>0</v>
      </c>
      <c r="S125" s="306">
        <f t="shared" si="62"/>
        <v>0</v>
      </c>
      <c r="T125" s="306">
        <f t="shared" si="62"/>
        <v>0</v>
      </c>
      <c r="U125" s="306">
        <f t="shared" si="62"/>
        <v>0</v>
      </c>
      <c r="V125" s="306">
        <f t="shared" si="62"/>
        <v>0</v>
      </c>
      <c r="W125" s="306">
        <f t="shared" si="62"/>
        <v>0</v>
      </c>
      <c r="AA125"/>
      <c r="AB125"/>
      <c r="AC125"/>
      <c r="AD125"/>
      <c r="AE125"/>
      <c r="AF125"/>
      <c r="AJ125" s="288"/>
    </row>
    <row r="126" spans="1:36" s="287" customFormat="1" outlineLevel="1">
      <c r="A126" s="282"/>
      <c r="B126" s="144">
        <v>15</v>
      </c>
      <c r="C126" s="153" t="str">
        <f t="shared" si="49"/>
        <v>PV of Increase in forecast year 14 lease commitments</v>
      </c>
      <c r="D126" s="153"/>
      <c r="E126" s="153"/>
      <c r="F126" s="153"/>
      <c r="G126" s="153"/>
      <c r="H126" s="306" t="str">
        <f t="shared" si="47"/>
        <v>NA</v>
      </c>
      <c r="I126" s="306" t="str">
        <f t="shared" ref="I126:W126" si="63">IF(ISERROR((I90-H91)/(POWER((1+I$45),$B126))),"NA",(I90-H91)/(POWER((1+I$45),$B126)))</f>
        <v>NA</v>
      </c>
      <c r="J126" s="306">
        <f t="shared" si="63"/>
        <v>0</v>
      </c>
      <c r="K126" s="306">
        <f t="shared" si="63"/>
        <v>0</v>
      </c>
      <c r="L126" s="306">
        <f t="shared" si="63"/>
        <v>0</v>
      </c>
      <c r="M126" s="306">
        <f t="shared" si="63"/>
        <v>0</v>
      </c>
      <c r="N126" s="306">
        <f t="shared" si="63"/>
        <v>0</v>
      </c>
      <c r="O126" s="306">
        <f t="shared" si="63"/>
        <v>0</v>
      </c>
      <c r="P126" s="306">
        <f t="shared" si="63"/>
        <v>0</v>
      </c>
      <c r="Q126" s="306">
        <f t="shared" si="63"/>
        <v>0</v>
      </c>
      <c r="R126" s="306">
        <f t="shared" si="63"/>
        <v>0</v>
      </c>
      <c r="S126" s="306">
        <f t="shared" si="63"/>
        <v>0</v>
      </c>
      <c r="T126" s="306">
        <f t="shared" si="63"/>
        <v>0</v>
      </c>
      <c r="U126" s="306">
        <f t="shared" si="63"/>
        <v>0</v>
      </c>
      <c r="V126" s="306">
        <f t="shared" si="63"/>
        <v>0</v>
      </c>
      <c r="W126" s="306">
        <f t="shared" si="63"/>
        <v>0</v>
      </c>
      <c r="AA126"/>
      <c r="AB126"/>
      <c r="AC126"/>
      <c r="AD126"/>
      <c r="AE126"/>
      <c r="AF126"/>
      <c r="AJ126" s="288"/>
    </row>
    <row r="127" spans="1:36" s="287" customFormat="1" outlineLevel="1">
      <c r="A127" s="282"/>
      <c r="B127" s="144">
        <v>16</v>
      </c>
      <c r="C127" s="153" t="str">
        <f t="shared" si="49"/>
        <v>PV of Increase in forecast year 15 lease commitments</v>
      </c>
      <c r="D127" s="153"/>
      <c r="E127" s="153"/>
      <c r="F127" s="153"/>
      <c r="G127" s="153"/>
      <c r="H127" s="306" t="str">
        <f t="shared" si="47"/>
        <v>NA</v>
      </c>
      <c r="I127" s="306" t="str">
        <f t="shared" ref="I127:W127" si="64">IF(ISERROR((I91-H92)/(POWER((1+I$45),$B127))),"NA",(I91-H92)/(POWER((1+I$45),$B127)))</f>
        <v>NA</v>
      </c>
      <c r="J127" s="306">
        <f t="shared" si="64"/>
        <v>0</v>
      </c>
      <c r="K127" s="306">
        <f t="shared" si="64"/>
        <v>0</v>
      </c>
      <c r="L127" s="306">
        <f t="shared" si="64"/>
        <v>0</v>
      </c>
      <c r="M127" s="306">
        <f t="shared" si="64"/>
        <v>0</v>
      </c>
      <c r="N127" s="306">
        <f t="shared" si="64"/>
        <v>0</v>
      </c>
      <c r="O127" s="306">
        <f t="shared" si="64"/>
        <v>0</v>
      </c>
      <c r="P127" s="306">
        <f t="shared" si="64"/>
        <v>0</v>
      </c>
      <c r="Q127" s="306">
        <f t="shared" si="64"/>
        <v>0</v>
      </c>
      <c r="R127" s="306">
        <f t="shared" si="64"/>
        <v>0</v>
      </c>
      <c r="S127" s="306">
        <f t="shared" si="64"/>
        <v>0</v>
      </c>
      <c r="T127" s="306">
        <f t="shared" si="64"/>
        <v>0</v>
      </c>
      <c r="U127" s="306">
        <f t="shared" si="64"/>
        <v>0</v>
      </c>
      <c r="V127" s="306">
        <f t="shared" si="64"/>
        <v>0</v>
      </c>
      <c r="W127" s="306">
        <f t="shared" si="64"/>
        <v>0</v>
      </c>
      <c r="AA127"/>
      <c r="AB127"/>
      <c r="AC127"/>
      <c r="AD127"/>
      <c r="AE127"/>
      <c r="AF127"/>
      <c r="AJ127" s="288"/>
    </row>
    <row r="128" spans="1:36" s="287" customFormat="1" outlineLevel="1">
      <c r="A128" s="282"/>
      <c r="B128" s="144">
        <v>17</v>
      </c>
      <c r="C128" s="153" t="str">
        <f t="shared" si="49"/>
        <v>PV of Increase in forecast year 16 lease commitments</v>
      </c>
      <c r="D128" s="153"/>
      <c r="E128" s="153"/>
      <c r="F128" s="153"/>
      <c r="G128" s="153"/>
      <c r="H128" s="306" t="str">
        <f t="shared" si="47"/>
        <v>NA</v>
      </c>
      <c r="I128" s="306" t="str">
        <f t="shared" ref="I128:W128" si="65">IF(ISERROR((I92-H93)/(POWER((1+I$45),$B128))),"NA",(I92-H93)/(POWER((1+I$45),$B128)))</f>
        <v>NA</v>
      </c>
      <c r="J128" s="306">
        <f t="shared" si="65"/>
        <v>0</v>
      </c>
      <c r="K128" s="306">
        <f t="shared" si="65"/>
        <v>0</v>
      </c>
      <c r="L128" s="306">
        <f t="shared" si="65"/>
        <v>0</v>
      </c>
      <c r="M128" s="306">
        <f t="shared" si="65"/>
        <v>0</v>
      </c>
      <c r="N128" s="306">
        <f t="shared" si="65"/>
        <v>0</v>
      </c>
      <c r="O128" s="306">
        <f t="shared" si="65"/>
        <v>0</v>
      </c>
      <c r="P128" s="306">
        <f t="shared" si="65"/>
        <v>0</v>
      </c>
      <c r="Q128" s="306">
        <f t="shared" si="65"/>
        <v>0</v>
      </c>
      <c r="R128" s="306">
        <f t="shared" si="65"/>
        <v>0</v>
      </c>
      <c r="S128" s="306">
        <f t="shared" si="65"/>
        <v>0</v>
      </c>
      <c r="T128" s="306">
        <f t="shared" si="65"/>
        <v>0</v>
      </c>
      <c r="U128" s="306">
        <f t="shared" si="65"/>
        <v>0</v>
      </c>
      <c r="V128" s="306">
        <f t="shared" si="65"/>
        <v>0</v>
      </c>
      <c r="W128" s="306">
        <f t="shared" si="65"/>
        <v>0</v>
      </c>
      <c r="AA128"/>
      <c r="AB128"/>
      <c r="AC128"/>
      <c r="AD128"/>
      <c r="AE128"/>
      <c r="AF128"/>
      <c r="AJ128" s="288"/>
    </row>
    <row r="129" spans="1:36" s="287" customFormat="1" outlineLevel="1">
      <c r="A129" s="282"/>
      <c r="B129" s="144">
        <v>18</v>
      </c>
      <c r="C129" s="153" t="str">
        <f t="shared" si="49"/>
        <v>PV of Increase in forecast year 17 lease commitments</v>
      </c>
      <c r="D129" s="153"/>
      <c r="E129" s="153"/>
      <c r="F129" s="153"/>
      <c r="G129" s="153"/>
      <c r="H129" s="306" t="str">
        <f t="shared" si="47"/>
        <v>NA</v>
      </c>
      <c r="I129" s="306" t="str">
        <f t="shared" ref="I129:W129" si="66">IF(ISERROR((I93-H94)/(POWER((1+I$45),$B129))),"NA",(I93-H94)/(POWER((1+I$45),$B129)))</f>
        <v>NA</v>
      </c>
      <c r="J129" s="306">
        <f t="shared" si="66"/>
        <v>0</v>
      </c>
      <c r="K129" s="306">
        <f t="shared" si="66"/>
        <v>0</v>
      </c>
      <c r="L129" s="306">
        <f t="shared" si="66"/>
        <v>0</v>
      </c>
      <c r="M129" s="306">
        <f t="shared" si="66"/>
        <v>0</v>
      </c>
      <c r="N129" s="306">
        <f t="shared" si="66"/>
        <v>0</v>
      </c>
      <c r="O129" s="306">
        <f t="shared" si="66"/>
        <v>0</v>
      </c>
      <c r="P129" s="306">
        <f t="shared" si="66"/>
        <v>0</v>
      </c>
      <c r="Q129" s="306">
        <f t="shared" si="66"/>
        <v>0</v>
      </c>
      <c r="R129" s="306">
        <f t="shared" si="66"/>
        <v>0</v>
      </c>
      <c r="S129" s="306">
        <f t="shared" si="66"/>
        <v>0</v>
      </c>
      <c r="T129" s="306">
        <f t="shared" si="66"/>
        <v>0</v>
      </c>
      <c r="U129" s="306">
        <f t="shared" si="66"/>
        <v>0</v>
      </c>
      <c r="V129" s="306">
        <f t="shared" si="66"/>
        <v>0</v>
      </c>
      <c r="W129" s="306">
        <f t="shared" si="66"/>
        <v>0</v>
      </c>
      <c r="AA129"/>
      <c r="AB129"/>
      <c r="AC129"/>
      <c r="AD129"/>
      <c r="AE129"/>
      <c r="AF129"/>
      <c r="AJ129" s="288"/>
    </row>
    <row r="130" spans="1:36" s="287" customFormat="1" outlineLevel="1">
      <c r="A130" s="282"/>
      <c r="B130" s="144">
        <v>19</v>
      </c>
      <c r="C130" s="153" t="str">
        <f t="shared" si="49"/>
        <v>PV of Increase in forecast year 18 lease commitments</v>
      </c>
      <c r="D130" s="153"/>
      <c r="E130" s="153"/>
      <c r="F130" s="153"/>
      <c r="G130" s="153"/>
      <c r="H130" s="306" t="str">
        <f t="shared" si="47"/>
        <v>NA</v>
      </c>
      <c r="I130" s="306" t="str">
        <f t="shared" ref="I130:W130" si="67">IF(ISERROR((I94-H95)/(POWER((1+I$45),$B130))),"NA",(I94-H95)/(POWER((1+I$45),$B130)))</f>
        <v>NA</v>
      </c>
      <c r="J130" s="306">
        <f t="shared" si="67"/>
        <v>0</v>
      </c>
      <c r="K130" s="306">
        <f t="shared" si="67"/>
        <v>0</v>
      </c>
      <c r="L130" s="306">
        <f t="shared" si="67"/>
        <v>0</v>
      </c>
      <c r="M130" s="306">
        <f t="shared" si="67"/>
        <v>0</v>
      </c>
      <c r="N130" s="306">
        <f t="shared" si="67"/>
        <v>0</v>
      </c>
      <c r="O130" s="306">
        <f t="shared" si="67"/>
        <v>0</v>
      </c>
      <c r="P130" s="306">
        <f t="shared" si="67"/>
        <v>0</v>
      </c>
      <c r="Q130" s="306">
        <f t="shared" si="67"/>
        <v>0</v>
      </c>
      <c r="R130" s="306">
        <f t="shared" si="67"/>
        <v>0</v>
      </c>
      <c r="S130" s="306">
        <f t="shared" si="67"/>
        <v>0</v>
      </c>
      <c r="T130" s="306">
        <f t="shared" si="67"/>
        <v>0</v>
      </c>
      <c r="U130" s="306">
        <f t="shared" si="67"/>
        <v>0</v>
      </c>
      <c r="V130" s="306">
        <f t="shared" si="67"/>
        <v>0</v>
      </c>
      <c r="W130" s="306">
        <f t="shared" si="67"/>
        <v>0</v>
      </c>
      <c r="AA130"/>
      <c r="AB130"/>
      <c r="AC130"/>
      <c r="AD130"/>
      <c r="AE130"/>
      <c r="AF130"/>
      <c r="AJ130" s="288"/>
    </row>
    <row r="131" spans="1:36" s="287" customFormat="1" outlineLevel="1">
      <c r="A131" s="282"/>
      <c r="B131" s="144">
        <f t="shared" ref="B131:B141" si="68">B130+1</f>
        <v>20</v>
      </c>
      <c r="C131" s="153" t="str">
        <f t="shared" si="49"/>
        <v>PV of Increase in forecast year 19 lease commitments</v>
      </c>
      <c r="D131" s="153"/>
      <c r="E131" s="153"/>
      <c r="F131" s="153"/>
      <c r="G131" s="153"/>
      <c r="H131" s="306" t="str">
        <f t="shared" si="47"/>
        <v>NA</v>
      </c>
      <c r="I131" s="306" t="str">
        <f t="shared" ref="I131:W131" si="69">IF(ISERROR((I95-H96)/(POWER((1+I$45),$B131))),"NA",(I95-H96)/(POWER((1+I$45),$B131)))</f>
        <v>NA</v>
      </c>
      <c r="J131" s="306">
        <f t="shared" si="69"/>
        <v>0</v>
      </c>
      <c r="K131" s="306">
        <f t="shared" si="69"/>
        <v>0</v>
      </c>
      <c r="L131" s="306">
        <f t="shared" si="69"/>
        <v>0</v>
      </c>
      <c r="M131" s="306">
        <f t="shared" si="69"/>
        <v>0</v>
      </c>
      <c r="N131" s="306">
        <f t="shared" si="69"/>
        <v>0</v>
      </c>
      <c r="O131" s="306">
        <f t="shared" si="69"/>
        <v>0</v>
      </c>
      <c r="P131" s="306">
        <f t="shared" si="69"/>
        <v>0</v>
      </c>
      <c r="Q131" s="306">
        <f t="shared" si="69"/>
        <v>0</v>
      </c>
      <c r="R131" s="306">
        <f t="shared" si="69"/>
        <v>0</v>
      </c>
      <c r="S131" s="306">
        <f t="shared" si="69"/>
        <v>0</v>
      </c>
      <c r="T131" s="306">
        <f t="shared" si="69"/>
        <v>0</v>
      </c>
      <c r="U131" s="306">
        <f t="shared" si="69"/>
        <v>0</v>
      </c>
      <c r="V131" s="306">
        <f t="shared" si="69"/>
        <v>0</v>
      </c>
      <c r="W131" s="306">
        <f t="shared" si="69"/>
        <v>0</v>
      </c>
      <c r="AA131"/>
      <c r="AB131"/>
      <c r="AC131"/>
      <c r="AD131"/>
      <c r="AE131"/>
      <c r="AF131"/>
      <c r="AJ131" s="288"/>
    </row>
    <row r="132" spans="1:36" s="287" customFormat="1" outlineLevel="1">
      <c r="A132" s="282"/>
      <c r="B132" s="144">
        <f t="shared" si="68"/>
        <v>21</v>
      </c>
      <c r="C132" s="153" t="str">
        <f t="shared" si="49"/>
        <v>PV of Increase in forecast year 20 lease commitments</v>
      </c>
      <c r="D132" s="153"/>
      <c r="E132" s="153"/>
      <c r="F132" s="153"/>
      <c r="G132" s="153"/>
      <c r="H132" s="306" t="str">
        <f t="shared" si="47"/>
        <v>NA</v>
      </c>
      <c r="I132" s="306" t="str">
        <f t="shared" ref="I132:W132" si="70">IF(ISERROR((I96-H97)/(POWER((1+I$45),$B132))),"NA",(I96-H97)/(POWER((1+I$45),$B132)))</f>
        <v>NA</v>
      </c>
      <c r="J132" s="306">
        <f t="shared" si="70"/>
        <v>0</v>
      </c>
      <c r="K132" s="306">
        <f t="shared" si="70"/>
        <v>0</v>
      </c>
      <c r="L132" s="306">
        <f t="shared" si="70"/>
        <v>0</v>
      </c>
      <c r="M132" s="306">
        <f t="shared" si="70"/>
        <v>0</v>
      </c>
      <c r="N132" s="306">
        <f t="shared" si="70"/>
        <v>0</v>
      </c>
      <c r="O132" s="306">
        <f t="shared" si="70"/>
        <v>0</v>
      </c>
      <c r="P132" s="306">
        <f t="shared" si="70"/>
        <v>0</v>
      </c>
      <c r="Q132" s="306">
        <f t="shared" si="70"/>
        <v>0</v>
      </c>
      <c r="R132" s="306">
        <f t="shared" si="70"/>
        <v>0</v>
      </c>
      <c r="S132" s="306">
        <f t="shared" si="70"/>
        <v>0</v>
      </c>
      <c r="T132" s="306">
        <f t="shared" si="70"/>
        <v>0</v>
      </c>
      <c r="U132" s="306">
        <f t="shared" si="70"/>
        <v>0</v>
      </c>
      <c r="V132" s="306">
        <f t="shared" si="70"/>
        <v>0</v>
      </c>
      <c r="W132" s="306">
        <f t="shared" si="70"/>
        <v>0</v>
      </c>
      <c r="AA132"/>
      <c r="AB132"/>
      <c r="AC132"/>
      <c r="AD132"/>
      <c r="AE132"/>
      <c r="AF132"/>
      <c r="AJ132" s="288"/>
    </row>
    <row r="133" spans="1:36" s="287" customFormat="1" outlineLevel="1">
      <c r="A133" s="282"/>
      <c r="B133" s="144">
        <f t="shared" si="68"/>
        <v>22</v>
      </c>
      <c r="C133" s="153" t="str">
        <f t="shared" si="49"/>
        <v>PV of Increase in forecast year 21 lease commitments</v>
      </c>
      <c r="D133" s="153"/>
      <c r="E133" s="153"/>
      <c r="F133" s="153"/>
      <c r="G133" s="153"/>
      <c r="H133" s="306" t="str">
        <f t="shared" si="47"/>
        <v>NA</v>
      </c>
      <c r="I133" s="306" t="str">
        <f t="shared" ref="I133:W133" si="71">IF(ISERROR((I97-H98)/(POWER((1+I$45),$B133))),"NA",(I97-H98)/(POWER((1+I$45),$B133)))</f>
        <v>NA</v>
      </c>
      <c r="J133" s="306">
        <f t="shared" si="71"/>
        <v>0</v>
      </c>
      <c r="K133" s="306">
        <f t="shared" si="71"/>
        <v>0</v>
      </c>
      <c r="L133" s="306">
        <f t="shared" si="71"/>
        <v>0</v>
      </c>
      <c r="M133" s="306">
        <f t="shared" si="71"/>
        <v>0</v>
      </c>
      <c r="N133" s="306">
        <f t="shared" si="71"/>
        <v>0</v>
      </c>
      <c r="O133" s="306">
        <f t="shared" si="71"/>
        <v>0</v>
      </c>
      <c r="P133" s="306">
        <f t="shared" si="71"/>
        <v>0</v>
      </c>
      <c r="Q133" s="306">
        <f t="shared" si="71"/>
        <v>0</v>
      </c>
      <c r="R133" s="306">
        <f t="shared" si="71"/>
        <v>0</v>
      </c>
      <c r="S133" s="306">
        <f t="shared" si="71"/>
        <v>0</v>
      </c>
      <c r="T133" s="306">
        <f t="shared" si="71"/>
        <v>0</v>
      </c>
      <c r="U133" s="306">
        <f t="shared" si="71"/>
        <v>0</v>
      </c>
      <c r="V133" s="306">
        <f t="shared" si="71"/>
        <v>0</v>
      </c>
      <c r="W133" s="306">
        <f t="shared" si="71"/>
        <v>0</v>
      </c>
      <c r="AA133"/>
      <c r="AB133"/>
      <c r="AC133"/>
      <c r="AD133"/>
      <c r="AE133"/>
      <c r="AF133"/>
      <c r="AJ133" s="288"/>
    </row>
    <row r="134" spans="1:36" s="287" customFormat="1" outlineLevel="1">
      <c r="A134" s="282"/>
      <c r="B134" s="144">
        <f t="shared" si="68"/>
        <v>23</v>
      </c>
      <c r="C134" s="153" t="str">
        <f t="shared" si="49"/>
        <v>PV of Increase in forecast year 22 lease commitments</v>
      </c>
      <c r="D134" s="153"/>
      <c r="E134" s="153"/>
      <c r="F134" s="153"/>
      <c r="G134" s="153"/>
      <c r="H134" s="306" t="str">
        <f t="shared" si="47"/>
        <v>NA</v>
      </c>
      <c r="I134" s="306" t="str">
        <f t="shared" ref="I134:W134" si="72">IF(ISERROR((I98-H99)/(POWER((1+I$45),$B134))),"NA",(I98-H99)/(POWER((1+I$45),$B134)))</f>
        <v>NA</v>
      </c>
      <c r="J134" s="306">
        <f t="shared" si="72"/>
        <v>0</v>
      </c>
      <c r="K134" s="306">
        <f t="shared" si="72"/>
        <v>0</v>
      </c>
      <c r="L134" s="306">
        <f t="shared" si="72"/>
        <v>0</v>
      </c>
      <c r="M134" s="306">
        <f t="shared" si="72"/>
        <v>0</v>
      </c>
      <c r="N134" s="306">
        <f t="shared" si="72"/>
        <v>0</v>
      </c>
      <c r="O134" s="306">
        <f t="shared" si="72"/>
        <v>0</v>
      </c>
      <c r="P134" s="306">
        <f t="shared" si="72"/>
        <v>0</v>
      </c>
      <c r="Q134" s="306">
        <f t="shared" si="72"/>
        <v>0</v>
      </c>
      <c r="R134" s="306">
        <f t="shared" si="72"/>
        <v>0</v>
      </c>
      <c r="S134" s="306">
        <f t="shared" si="72"/>
        <v>0</v>
      </c>
      <c r="T134" s="306">
        <f t="shared" si="72"/>
        <v>0</v>
      </c>
      <c r="U134" s="306">
        <f t="shared" si="72"/>
        <v>0</v>
      </c>
      <c r="V134" s="306">
        <f t="shared" si="72"/>
        <v>0</v>
      </c>
      <c r="W134" s="306">
        <f t="shared" si="72"/>
        <v>0</v>
      </c>
      <c r="AA134"/>
      <c r="AB134"/>
      <c r="AC134"/>
      <c r="AD134"/>
      <c r="AE134"/>
      <c r="AF134"/>
      <c r="AJ134" s="288"/>
    </row>
    <row r="135" spans="1:36" s="287" customFormat="1" outlineLevel="1">
      <c r="A135" s="282"/>
      <c r="B135" s="144">
        <f t="shared" si="68"/>
        <v>24</v>
      </c>
      <c r="C135" s="153" t="str">
        <f t="shared" si="49"/>
        <v>PV of Increase in forecast year 23 lease commitments</v>
      </c>
      <c r="D135" s="153"/>
      <c r="E135" s="153"/>
      <c r="F135" s="153"/>
      <c r="G135" s="153"/>
      <c r="H135" s="306" t="str">
        <f t="shared" si="47"/>
        <v>NA</v>
      </c>
      <c r="I135" s="306" t="str">
        <f t="shared" ref="I135:W135" si="73">IF(ISERROR((I99-H100)/(POWER((1+I$45),$B135))),"NA",(I99-H100)/(POWER((1+I$45),$B135)))</f>
        <v>NA</v>
      </c>
      <c r="J135" s="306">
        <f t="shared" si="73"/>
        <v>0</v>
      </c>
      <c r="K135" s="306">
        <f t="shared" si="73"/>
        <v>0</v>
      </c>
      <c r="L135" s="306">
        <f t="shared" si="73"/>
        <v>0</v>
      </c>
      <c r="M135" s="306">
        <f t="shared" si="73"/>
        <v>0</v>
      </c>
      <c r="N135" s="306">
        <f t="shared" si="73"/>
        <v>0</v>
      </c>
      <c r="O135" s="306">
        <f t="shared" si="73"/>
        <v>0</v>
      </c>
      <c r="P135" s="306">
        <f t="shared" si="73"/>
        <v>0</v>
      </c>
      <c r="Q135" s="306">
        <f t="shared" si="73"/>
        <v>0</v>
      </c>
      <c r="R135" s="306">
        <f t="shared" si="73"/>
        <v>0</v>
      </c>
      <c r="S135" s="306">
        <f t="shared" si="73"/>
        <v>0</v>
      </c>
      <c r="T135" s="306">
        <f t="shared" si="73"/>
        <v>0</v>
      </c>
      <c r="U135" s="306">
        <f t="shared" si="73"/>
        <v>0</v>
      </c>
      <c r="V135" s="306">
        <f t="shared" si="73"/>
        <v>0</v>
      </c>
      <c r="W135" s="306">
        <f t="shared" si="73"/>
        <v>0</v>
      </c>
      <c r="AA135"/>
      <c r="AB135"/>
      <c r="AC135"/>
      <c r="AD135"/>
      <c r="AE135"/>
      <c r="AF135"/>
      <c r="AJ135" s="288"/>
    </row>
    <row r="136" spans="1:36" s="287" customFormat="1" outlineLevel="1">
      <c r="A136" s="282"/>
      <c r="B136" s="144">
        <f t="shared" si="68"/>
        <v>25</v>
      </c>
      <c r="C136" s="153" t="str">
        <f t="shared" si="49"/>
        <v>PV of Increase in forecast year 24 lease commitments</v>
      </c>
      <c r="D136" s="153"/>
      <c r="E136" s="153"/>
      <c r="F136" s="153"/>
      <c r="G136" s="153"/>
      <c r="H136" s="306" t="str">
        <f t="shared" si="47"/>
        <v>NA</v>
      </c>
      <c r="I136" s="306" t="str">
        <f t="shared" ref="I136:W136" si="74">IF(ISERROR((I100-H101)/(POWER((1+I$45),$B136))),"NA",(I100-H101)/(POWER((1+I$45),$B136)))</f>
        <v>NA</v>
      </c>
      <c r="J136" s="306">
        <f t="shared" si="74"/>
        <v>0</v>
      </c>
      <c r="K136" s="306">
        <f t="shared" si="74"/>
        <v>0</v>
      </c>
      <c r="L136" s="306">
        <f t="shared" si="74"/>
        <v>0</v>
      </c>
      <c r="M136" s="306">
        <f t="shared" si="74"/>
        <v>0</v>
      </c>
      <c r="N136" s="306">
        <f t="shared" si="74"/>
        <v>0</v>
      </c>
      <c r="O136" s="306">
        <f t="shared" si="74"/>
        <v>0</v>
      </c>
      <c r="P136" s="306">
        <f t="shared" si="74"/>
        <v>0</v>
      </c>
      <c r="Q136" s="306">
        <f t="shared" si="74"/>
        <v>0</v>
      </c>
      <c r="R136" s="306">
        <f t="shared" si="74"/>
        <v>0</v>
      </c>
      <c r="S136" s="306">
        <f t="shared" si="74"/>
        <v>0</v>
      </c>
      <c r="T136" s="306">
        <f t="shared" si="74"/>
        <v>0</v>
      </c>
      <c r="U136" s="306">
        <f t="shared" si="74"/>
        <v>0</v>
      </c>
      <c r="V136" s="306">
        <f t="shared" si="74"/>
        <v>0</v>
      </c>
      <c r="W136" s="306">
        <f t="shared" si="74"/>
        <v>0</v>
      </c>
      <c r="AA136"/>
      <c r="AB136"/>
      <c r="AC136"/>
      <c r="AD136"/>
      <c r="AE136"/>
      <c r="AF136"/>
      <c r="AJ136" s="288"/>
    </row>
    <row r="137" spans="1:36" s="287" customFormat="1" outlineLevel="1">
      <c r="A137" s="282"/>
      <c r="B137" s="144">
        <f t="shared" si="68"/>
        <v>26</v>
      </c>
      <c r="C137" s="153" t="str">
        <f t="shared" si="49"/>
        <v>PV of Increase in forecast year 25 lease commitments</v>
      </c>
      <c r="D137" s="153"/>
      <c r="E137" s="153"/>
      <c r="F137" s="153"/>
      <c r="G137" s="153"/>
      <c r="H137" s="306" t="str">
        <f t="shared" si="47"/>
        <v>NA</v>
      </c>
      <c r="I137" s="306" t="str">
        <f t="shared" ref="I137:W137" si="75">IF(ISERROR((I101-H102)/(POWER((1+I$45),$B137))),"NA",(I101-H102)/(POWER((1+I$45),$B137)))</f>
        <v>NA</v>
      </c>
      <c r="J137" s="306">
        <f t="shared" si="75"/>
        <v>0</v>
      </c>
      <c r="K137" s="306">
        <f t="shared" si="75"/>
        <v>0</v>
      </c>
      <c r="L137" s="306">
        <f t="shared" si="75"/>
        <v>0</v>
      </c>
      <c r="M137" s="306">
        <f t="shared" si="75"/>
        <v>0</v>
      </c>
      <c r="N137" s="306">
        <f t="shared" si="75"/>
        <v>0</v>
      </c>
      <c r="O137" s="306">
        <f t="shared" si="75"/>
        <v>0</v>
      </c>
      <c r="P137" s="306">
        <f t="shared" si="75"/>
        <v>0</v>
      </c>
      <c r="Q137" s="306">
        <f t="shared" si="75"/>
        <v>0</v>
      </c>
      <c r="R137" s="306">
        <f t="shared" si="75"/>
        <v>0</v>
      </c>
      <c r="S137" s="306">
        <f t="shared" si="75"/>
        <v>0</v>
      </c>
      <c r="T137" s="306">
        <f t="shared" si="75"/>
        <v>0</v>
      </c>
      <c r="U137" s="306">
        <f t="shared" si="75"/>
        <v>0</v>
      </c>
      <c r="V137" s="306">
        <f t="shared" si="75"/>
        <v>0</v>
      </c>
      <c r="W137" s="306">
        <f t="shared" si="75"/>
        <v>0</v>
      </c>
      <c r="AA137"/>
      <c r="AB137"/>
      <c r="AC137"/>
      <c r="AD137"/>
      <c r="AE137"/>
      <c r="AF137"/>
      <c r="AJ137" s="288"/>
    </row>
    <row r="138" spans="1:36" s="287" customFormat="1" outlineLevel="1">
      <c r="A138" s="282"/>
      <c r="B138" s="144">
        <f t="shared" si="68"/>
        <v>27</v>
      </c>
      <c r="C138" s="153" t="str">
        <f t="shared" si="49"/>
        <v>PV of Increase in forecast year 26 lease commitments</v>
      </c>
      <c r="D138" s="153"/>
      <c r="E138" s="153"/>
      <c r="F138" s="153"/>
      <c r="G138" s="153"/>
      <c r="H138" s="306" t="str">
        <f t="shared" si="47"/>
        <v>NA</v>
      </c>
      <c r="I138" s="306" t="str">
        <f t="shared" ref="I138:W138" si="76">IF(ISERROR((I102-H103)/(POWER((1+I$45),$B138))),"NA",(I102-H103)/(POWER((1+I$45),$B138)))</f>
        <v>NA</v>
      </c>
      <c r="J138" s="306">
        <f t="shared" si="76"/>
        <v>0</v>
      </c>
      <c r="K138" s="306">
        <f t="shared" si="76"/>
        <v>0</v>
      </c>
      <c r="L138" s="306">
        <f t="shared" si="76"/>
        <v>0</v>
      </c>
      <c r="M138" s="306">
        <f t="shared" si="76"/>
        <v>0</v>
      </c>
      <c r="N138" s="306">
        <f t="shared" si="76"/>
        <v>0</v>
      </c>
      <c r="O138" s="306">
        <f t="shared" si="76"/>
        <v>0</v>
      </c>
      <c r="P138" s="306">
        <f t="shared" si="76"/>
        <v>0</v>
      </c>
      <c r="Q138" s="306">
        <f t="shared" si="76"/>
        <v>0</v>
      </c>
      <c r="R138" s="306">
        <f t="shared" si="76"/>
        <v>0</v>
      </c>
      <c r="S138" s="306">
        <f t="shared" si="76"/>
        <v>0</v>
      </c>
      <c r="T138" s="306">
        <f t="shared" si="76"/>
        <v>0</v>
      </c>
      <c r="U138" s="306">
        <f t="shared" si="76"/>
        <v>0</v>
      </c>
      <c r="V138" s="306">
        <f t="shared" si="76"/>
        <v>0</v>
      </c>
      <c r="W138" s="306">
        <f t="shared" si="76"/>
        <v>0</v>
      </c>
      <c r="AA138"/>
      <c r="AB138"/>
      <c r="AC138"/>
      <c r="AD138"/>
      <c r="AE138"/>
      <c r="AF138"/>
      <c r="AJ138" s="288"/>
    </row>
    <row r="139" spans="1:36" s="287" customFormat="1" outlineLevel="1">
      <c r="A139" s="282"/>
      <c r="B139" s="144">
        <f t="shared" si="68"/>
        <v>28</v>
      </c>
      <c r="C139" s="153" t="str">
        <f t="shared" si="49"/>
        <v>PV of Increase in forecast year 27 lease commitments</v>
      </c>
      <c r="D139" s="153"/>
      <c r="E139" s="153"/>
      <c r="F139" s="153"/>
      <c r="G139" s="153"/>
      <c r="H139" s="306" t="str">
        <f t="shared" si="47"/>
        <v>NA</v>
      </c>
      <c r="I139" s="306" t="str">
        <f t="shared" ref="I139:W139" si="77">IF(ISERROR((I103-H104)/(POWER((1+I$45),$B139))),"NA",(I103-H104)/(POWER((1+I$45),$B139)))</f>
        <v>NA</v>
      </c>
      <c r="J139" s="306">
        <f t="shared" si="77"/>
        <v>0</v>
      </c>
      <c r="K139" s="306">
        <f t="shared" si="77"/>
        <v>0</v>
      </c>
      <c r="L139" s="306">
        <f t="shared" si="77"/>
        <v>0</v>
      </c>
      <c r="M139" s="306">
        <f t="shared" si="77"/>
        <v>0</v>
      </c>
      <c r="N139" s="306">
        <f t="shared" si="77"/>
        <v>0</v>
      </c>
      <c r="O139" s="306">
        <f t="shared" si="77"/>
        <v>0</v>
      </c>
      <c r="P139" s="306">
        <f t="shared" si="77"/>
        <v>0</v>
      </c>
      <c r="Q139" s="306">
        <f t="shared" si="77"/>
        <v>0</v>
      </c>
      <c r="R139" s="306">
        <f t="shared" si="77"/>
        <v>0</v>
      </c>
      <c r="S139" s="306">
        <f t="shared" si="77"/>
        <v>0</v>
      </c>
      <c r="T139" s="306">
        <f t="shared" si="77"/>
        <v>0</v>
      </c>
      <c r="U139" s="306">
        <f t="shared" si="77"/>
        <v>0</v>
      </c>
      <c r="V139" s="306">
        <f t="shared" si="77"/>
        <v>0</v>
      </c>
      <c r="W139" s="306">
        <f t="shared" si="77"/>
        <v>0</v>
      </c>
      <c r="AA139"/>
      <c r="AB139"/>
      <c r="AC139"/>
      <c r="AD139"/>
      <c r="AE139"/>
      <c r="AF139"/>
      <c r="AJ139" s="288"/>
    </row>
    <row r="140" spans="1:36" s="287" customFormat="1" outlineLevel="1">
      <c r="A140" s="282"/>
      <c r="B140" s="144">
        <f t="shared" si="68"/>
        <v>29</v>
      </c>
      <c r="C140" s="153" t="str">
        <f t="shared" si="49"/>
        <v>PV of Increase in forecast year 28 lease commitments</v>
      </c>
      <c r="D140" s="153"/>
      <c r="E140" s="153"/>
      <c r="F140" s="153"/>
      <c r="G140" s="153"/>
      <c r="H140" s="306" t="str">
        <f t="shared" si="47"/>
        <v>NA</v>
      </c>
      <c r="I140" s="306" t="str">
        <f t="shared" ref="I140:W140" si="78">IF(ISERROR((I104-H105)/(POWER((1+I$45),$B140))),"NA",(I104-H105)/(POWER((1+I$45),$B140)))</f>
        <v>NA</v>
      </c>
      <c r="J140" s="306">
        <f t="shared" si="78"/>
        <v>0</v>
      </c>
      <c r="K140" s="306">
        <f t="shared" si="78"/>
        <v>0</v>
      </c>
      <c r="L140" s="306">
        <f t="shared" si="78"/>
        <v>0</v>
      </c>
      <c r="M140" s="306">
        <f t="shared" si="78"/>
        <v>0</v>
      </c>
      <c r="N140" s="306">
        <f t="shared" si="78"/>
        <v>0</v>
      </c>
      <c r="O140" s="306">
        <f t="shared" si="78"/>
        <v>0</v>
      </c>
      <c r="P140" s="306">
        <f t="shared" si="78"/>
        <v>0</v>
      </c>
      <c r="Q140" s="306">
        <f t="shared" si="78"/>
        <v>0</v>
      </c>
      <c r="R140" s="306">
        <f t="shared" si="78"/>
        <v>0</v>
      </c>
      <c r="S140" s="306">
        <f t="shared" si="78"/>
        <v>0</v>
      </c>
      <c r="T140" s="306">
        <f t="shared" si="78"/>
        <v>0</v>
      </c>
      <c r="U140" s="306">
        <f t="shared" si="78"/>
        <v>0</v>
      </c>
      <c r="V140" s="306">
        <f t="shared" si="78"/>
        <v>0</v>
      </c>
      <c r="W140" s="306">
        <f t="shared" si="78"/>
        <v>0</v>
      </c>
      <c r="AA140"/>
      <c r="AB140"/>
      <c r="AC140"/>
      <c r="AD140"/>
      <c r="AE140"/>
      <c r="AF140"/>
      <c r="AJ140" s="288"/>
    </row>
    <row r="141" spans="1:36" s="287" customFormat="1" outlineLevel="1">
      <c r="A141" s="282"/>
      <c r="B141" s="144">
        <f t="shared" si="68"/>
        <v>30</v>
      </c>
      <c r="C141" s="153" t="str">
        <f t="shared" si="49"/>
        <v>PV of Increase in forecast year 29 lease commitments</v>
      </c>
      <c r="D141" s="153"/>
      <c r="E141" s="153"/>
      <c r="F141" s="153"/>
      <c r="G141" s="153"/>
      <c r="H141" s="306" t="str">
        <f t="shared" si="47"/>
        <v>NA</v>
      </c>
      <c r="I141" s="306" t="str">
        <f t="shared" ref="I141:W141" si="79">IF(ISERROR((I105-H106)/(POWER((1+I$45),$B141))),"NA",(I105-H106)/(POWER((1+I$45),$B141)))</f>
        <v>NA</v>
      </c>
      <c r="J141" s="306">
        <f t="shared" si="79"/>
        <v>0</v>
      </c>
      <c r="K141" s="306">
        <f t="shared" si="79"/>
        <v>0</v>
      </c>
      <c r="L141" s="306">
        <f t="shared" si="79"/>
        <v>0</v>
      </c>
      <c r="M141" s="306">
        <f t="shared" si="79"/>
        <v>0</v>
      </c>
      <c r="N141" s="306">
        <f t="shared" si="79"/>
        <v>0</v>
      </c>
      <c r="O141" s="306">
        <f t="shared" si="79"/>
        <v>0</v>
      </c>
      <c r="P141" s="306">
        <f t="shared" si="79"/>
        <v>0</v>
      </c>
      <c r="Q141" s="306">
        <f t="shared" si="79"/>
        <v>0</v>
      </c>
      <c r="R141" s="306">
        <f t="shared" si="79"/>
        <v>0</v>
      </c>
      <c r="S141" s="306">
        <f t="shared" si="79"/>
        <v>0</v>
      </c>
      <c r="T141" s="306">
        <f t="shared" si="79"/>
        <v>0</v>
      </c>
      <c r="U141" s="306">
        <f t="shared" si="79"/>
        <v>0</v>
      </c>
      <c r="V141" s="306">
        <f t="shared" si="79"/>
        <v>0</v>
      </c>
      <c r="W141" s="306">
        <f t="shared" si="79"/>
        <v>0</v>
      </c>
      <c r="AA141"/>
      <c r="AB141"/>
      <c r="AC141"/>
      <c r="AD141"/>
      <c r="AE141"/>
      <c r="AF141"/>
      <c r="AJ141" s="288"/>
    </row>
    <row r="142" spans="1:36" s="287" customFormat="1" outlineLevel="1">
      <c r="A142" s="282"/>
      <c r="B142" s="310"/>
      <c r="C142" s="153"/>
      <c r="D142" s="153"/>
      <c r="E142" s="153"/>
      <c r="F142" s="153"/>
      <c r="G142" s="153"/>
      <c r="H142" s="169"/>
      <c r="I142" s="169"/>
      <c r="J142" s="311"/>
      <c r="K142" s="311"/>
      <c r="L142" s="311"/>
      <c r="M142" s="311"/>
      <c r="N142" s="311"/>
      <c r="O142" s="311"/>
      <c r="P142" s="311"/>
      <c r="Q142" s="311"/>
      <c r="R142" s="311"/>
      <c r="S142" s="311"/>
      <c r="T142" s="311"/>
      <c r="U142" s="311"/>
      <c r="V142" s="311"/>
      <c r="W142" s="311"/>
      <c r="AA142"/>
      <c r="AB142"/>
      <c r="AC142"/>
      <c r="AD142"/>
      <c r="AE142"/>
      <c r="AF142"/>
      <c r="AJ142" s="288"/>
    </row>
    <row r="143" spans="1:36" s="299" customFormat="1" outlineLevel="1">
      <c r="A143" s="297"/>
      <c r="B143" s="182"/>
      <c r="C143" s="153" t="s">
        <v>562</v>
      </c>
      <c r="D143" s="153"/>
      <c r="E143" s="153"/>
      <c r="F143" s="153"/>
      <c r="G143" s="153"/>
      <c r="H143" s="169">
        <f t="shared" ref="H143:W143" si="80">SUM(H112:H142)</f>
        <v>0</v>
      </c>
      <c r="I143" s="169">
        <f t="shared" si="80"/>
        <v>0</v>
      </c>
      <c r="J143" s="311">
        <f t="shared" si="80"/>
        <v>165.09700000000001</v>
      </c>
      <c r="K143" s="311">
        <f t="shared" si="80"/>
        <v>162.16559847989146</v>
      </c>
      <c r="L143" s="311">
        <f t="shared" si="80"/>
        <v>1172.1612389996797</v>
      </c>
      <c r="M143" s="311">
        <f t="shared" si="80"/>
        <v>76.165520871964418</v>
      </c>
      <c r="N143" s="311">
        <f t="shared" si="80"/>
        <v>101.96658086631274</v>
      </c>
      <c r="O143" s="311">
        <f t="shared" si="80"/>
        <v>346.38060198405759</v>
      </c>
      <c r="P143" s="311">
        <f t="shared" si="80"/>
        <v>381.44792418366086</v>
      </c>
      <c r="Q143" s="311">
        <f t="shared" si="80"/>
        <v>202.01464014320197</v>
      </c>
      <c r="R143" s="311">
        <f t="shared" si="80"/>
        <v>237.37493294606597</v>
      </c>
      <c r="S143" s="311">
        <f t="shared" si="80"/>
        <v>226.82243160498737</v>
      </c>
      <c r="T143" s="311">
        <f t="shared" si="80"/>
        <v>231.35888023708708</v>
      </c>
      <c r="U143" s="311">
        <f t="shared" si="80"/>
        <v>235.98605784182885</v>
      </c>
      <c r="V143" s="311">
        <f t="shared" si="80"/>
        <v>240.70577899866532</v>
      </c>
      <c r="W143" s="311">
        <f t="shared" si="80"/>
        <v>245.5198945786388</v>
      </c>
      <c r="AA143"/>
      <c r="AB143"/>
      <c r="AC143"/>
      <c r="AD143"/>
      <c r="AE143"/>
      <c r="AF143"/>
      <c r="AJ143" s="288"/>
    </row>
    <row r="144" spans="1:36">
      <c r="C144" s="312"/>
      <c r="D144" s="312"/>
      <c r="E144" s="312"/>
      <c r="F144" s="312"/>
      <c r="G144" s="312"/>
      <c r="H144" s="218"/>
      <c r="I144" s="218"/>
      <c r="J144" s="218"/>
      <c r="K144" s="218"/>
      <c r="L144" s="218"/>
      <c r="M144" s="218"/>
      <c r="N144" s="218"/>
      <c r="O144" s="218"/>
      <c r="P144" s="218"/>
      <c r="Q144" s="218"/>
      <c r="R144" s="218"/>
      <c r="S144" s="218"/>
      <c r="T144" s="218"/>
      <c r="U144" s="218"/>
      <c r="V144" s="218"/>
      <c r="W144" s="218"/>
    </row>
    <row r="145" spans="1:36">
      <c r="H145" s="218"/>
      <c r="I145" s="218"/>
      <c r="J145" s="313"/>
      <c r="K145" s="218"/>
      <c r="L145" s="218"/>
      <c r="M145" s="218"/>
      <c r="N145" s="218"/>
      <c r="O145" s="218"/>
      <c r="P145" s="218"/>
      <c r="Q145" s="218"/>
      <c r="R145" s="218"/>
      <c r="S145" s="218"/>
      <c r="T145" s="218"/>
      <c r="U145" s="218"/>
      <c r="V145" s="218"/>
      <c r="W145" s="218"/>
    </row>
    <row r="146" spans="1:36">
      <c r="H146" s="218"/>
      <c r="I146" s="218"/>
      <c r="J146" s="218"/>
      <c r="K146" s="218"/>
      <c r="L146" s="218"/>
      <c r="M146" s="218"/>
      <c r="N146" s="218"/>
      <c r="O146" s="218"/>
      <c r="P146" s="218"/>
      <c r="Q146" s="218"/>
      <c r="R146" s="218"/>
      <c r="T146" s="150"/>
      <c r="U146" s="150"/>
      <c r="V146" s="150"/>
      <c r="W146" s="150"/>
    </row>
    <row r="147" spans="1:36" ht="12.75" customHeight="1" outlineLevel="1">
      <c r="C147" s="221" t="s">
        <v>563</v>
      </c>
      <c r="D147" s="221"/>
      <c r="E147" s="221"/>
      <c r="F147" s="221"/>
      <c r="G147" s="221"/>
      <c r="H147" s="279" t="str">
        <f t="shared" ref="H147:W147" si="81">H110</f>
        <v>1/2009</v>
      </c>
      <c r="I147" s="279" t="str">
        <f t="shared" si="81"/>
        <v>1/2010</v>
      </c>
      <c r="J147" s="279" t="str">
        <f t="shared" si="81"/>
        <v>1/2011</v>
      </c>
      <c r="K147" s="279" t="str">
        <f t="shared" si="81"/>
        <v>1/2012</v>
      </c>
      <c r="L147" s="279" t="str">
        <f t="shared" si="81"/>
        <v>1/2013</v>
      </c>
      <c r="M147" s="279" t="str">
        <f t="shared" si="81"/>
        <v>1/2014</v>
      </c>
      <c r="N147" s="279" t="str">
        <f t="shared" si="81"/>
        <v>1/2015</v>
      </c>
      <c r="O147" s="279" t="str">
        <f t="shared" si="81"/>
        <v>1/2016</v>
      </c>
      <c r="P147" s="279" t="str">
        <f t="shared" si="81"/>
        <v>1/2017</v>
      </c>
      <c r="Q147" s="279" t="str">
        <f t="shared" si="81"/>
        <v>1/2018</v>
      </c>
      <c r="R147" s="279" t="str">
        <f t="shared" si="81"/>
        <v>1/2019</v>
      </c>
      <c r="S147" s="279" t="str">
        <f t="shared" si="81"/>
        <v>1/2020</v>
      </c>
      <c r="T147" s="279" t="str">
        <f t="shared" si="81"/>
        <v>1/2021</v>
      </c>
      <c r="U147" s="279" t="str">
        <f t="shared" si="81"/>
        <v>1/2022</v>
      </c>
      <c r="V147" s="279" t="str">
        <f t="shared" si="81"/>
        <v>1/2023</v>
      </c>
      <c r="W147" s="279" t="str">
        <f t="shared" si="81"/>
        <v>1/2024</v>
      </c>
    </row>
    <row r="148" spans="1:36" ht="11.25" customHeight="1" outlineLevel="1">
      <c r="H148" s="190"/>
      <c r="I148" s="190"/>
      <c r="J148" s="190"/>
      <c r="K148" s="190"/>
      <c r="L148" s="190"/>
      <c r="M148" s="190"/>
      <c r="N148" s="190"/>
      <c r="O148" s="191"/>
      <c r="P148" s="191"/>
      <c r="Q148" s="191"/>
      <c r="R148" s="191"/>
      <c r="S148" s="191"/>
      <c r="T148" s="191"/>
      <c r="U148" s="191"/>
      <c r="V148" s="191"/>
      <c r="W148" s="191"/>
    </row>
    <row r="149" spans="1:36" s="315" customFormat="1" ht="11.25" customHeight="1" outlineLevel="1">
      <c r="A149" s="314"/>
      <c r="C149" s="238" t="s">
        <v>564</v>
      </c>
      <c r="D149" s="238"/>
      <c r="E149" s="238"/>
      <c r="F149" s="238"/>
      <c r="G149" s="238"/>
      <c r="H149" s="316">
        <f t="shared" ref="H149:N149" si="82">H70</f>
        <v>10</v>
      </c>
      <c r="I149" s="317">
        <f t="shared" si="82"/>
        <v>10</v>
      </c>
      <c r="J149" s="317">
        <f t="shared" si="82"/>
        <v>10</v>
      </c>
      <c r="K149" s="317">
        <f t="shared" si="82"/>
        <v>10</v>
      </c>
      <c r="L149" s="317">
        <f t="shared" si="82"/>
        <v>10</v>
      </c>
      <c r="M149" s="317">
        <f t="shared" si="82"/>
        <v>10</v>
      </c>
      <c r="N149" s="317">
        <f t="shared" si="82"/>
        <v>10</v>
      </c>
      <c r="O149" s="317">
        <f t="shared" ref="O149:W149" si="83">N149</f>
        <v>10</v>
      </c>
      <c r="P149" s="317">
        <f t="shared" si="83"/>
        <v>10</v>
      </c>
      <c r="Q149" s="317">
        <f t="shared" si="83"/>
        <v>10</v>
      </c>
      <c r="R149" s="317">
        <f t="shared" si="83"/>
        <v>10</v>
      </c>
      <c r="S149" s="317">
        <f t="shared" si="83"/>
        <v>10</v>
      </c>
      <c r="T149" s="317">
        <f t="shared" si="83"/>
        <v>10</v>
      </c>
      <c r="U149" s="317">
        <f t="shared" si="83"/>
        <v>10</v>
      </c>
      <c r="V149" s="317">
        <f t="shared" si="83"/>
        <v>10</v>
      </c>
      <c r="W149" s="317">
        <f t="shared" si="83"/>
        <v>10</v>
      </c>
      <c r="AA149"/>
      <c r="AB149"/>
      <c r="AC149"/>
      <c r="AD149"/>
      <c r="AE149"/>
      <c r="AF149"/>
      <c r="AJ149" s="142"/>
    </row>
    <row r="150" spans="1:36" s="136" customFormat="1" ht="11.25" customHeight="1" outlineLevel="1">
      <c r="A150" s="130"/>
      <c r="C150" s="238" t="s">
        <v>565</v>
      </c>
      <c r="D150" s="179"/>
      <c r="E150" s="179"/>
      <c r="F150" s="179"/>
      <c r="G150" s="179"/>
      <c r="H150" s="205">
        <v>0</v>
      </c>
      <c r="I150" s="318"/>
      <c r="J150" s="318"/>
      <c r="K150" s="319"/>
      <c r="L150" s="319"/>
      <c r="M150" s="319"/>
      <c r="N150" s="319"/>
      <c r="O150" s="319"/>
      <c r="P150" s="319"/>
      <c r="Q150" s="319"/>
      <c r="R150" s="319"/>
      <c r="S150" s="319"/>
      <c r="T150" s="319"/>
      <c r="U150" s="319"/>
      <c r="V150" s="319"/>
      <c r="W150" s="319"/>
      <c r="AA150"/>
      <c r="AB150"/>
      <c r="AC150"/>
      <c r="AD150"/>
      <c r="AE150"/>
      <c r="AF150"/>
      <c r="AJ150" s="142"/>
    </row>
    <row r="151" spans="1:36" s="136" customFormat="1" ht="11.25" customHeight="1" outlineLevel="1">
      <c r="A151" s="130"/>
      <c r="C151" s="238" t="s">
        <v>566</v>
      </c>
      <c r="D151" s="179"/>
      <c r="E151" s="179"/>
      <c r="F151" s="179"/>
      <c r="G151" s="179"/>
      <c r="H151" s="320">
        <v>0.98</v>
      </c>
      <c r="AA151"/>
      <c r="AB151"/>
      <c r="AC151"/>
      <c r="AD151"/>
      <c r="AE151"/>
      <c r="AF151"/>
      <c r="AJ151" s="142"/>
    </row>
    <row r="152" spans="1:36" s="238" customFormat="1" ht="11.25" customHeight="1" outlineLevel="1">
      <c r="A152" s="321"/>
      <c r="C152" s="238" t="s">
        <v>567</v>
      </c>
      <c r="H152" s="322">
        <v>2</v>
      </c>
      <c r="AA152"/>
      <c r="AB152"/>
      <c r="AC152"/>
      <c r="AD152"/>
      <c r="AE152"/>
      <c r="AF152"/>
      <c r="AJ152" s="142"/>
    </row>
    <row r="153" spans="1:36" s="238" customFormat="1" ht="11.25" customHeight="1" outlineLevel="1">
      <c r="A153" s="321"/>
      <c r="C153" s="238" t="s">
        <v>568</v>
      </c>
      <c r="H153" s="323">
        <f>H24*(1-H150)</f>
        <v>0</v>
      </c>
      <c r="I153" s="323">
        <f t="shared" ref="I153:W153" si="84">I143*(1-$H$150)</f>
        <v>0</v>
      </c>
      <c r="J153" s="323">
        <f t="shared" si="84"/>
        <v>165.09700000000001</v>
      </c>
      <c r="K153" s="323">
        <f t="shared" si="84"/>
        <v>162.16559847989146</v>
      </c>
      <c r="L153" s="323">
        <f t="shared" si="84"/>
        <v>1172.1612389996797</v>
      </c>
      <c r="M153" s="323">
        <f t="shared" si="84"/>
        <v>76.165520871964418</v>
      </c>
      <c r="N153" s="323">
        <f t="shared" si="84"/>
        <v>101.96658086631274</v>
      </c>
      <c r="O153" s="323">
        <f t="shared" si="84"/>
        <v>346.38060198405759</v>
      </c>
      <c r="P153" s="323">
        <f t="shared" si="84"/>
        <v>381.44792418366086</v>
      </c>
      <c r="Q153" s="323">
        <f t="shared" si="84"/>
        <v>202.01464014320197</v>
      </c>
      <c r="R153" s="323">
        <f t="shared" si="84"/>
        <v>237.37493294606597</v>
      </c>
      <c r="S153" s="323">
        <f t="shared" si="84"/>
        <v>226.82243160498737</v>
      </c>
      <c r="T153" s="323">
        <f t="shared" si="84"/>
        <v>231.35888023708708</v>
      </c>
      <c r="U153" s="323">
        <f t="shared" si="84"/>
        <v>235.98605784182885</v>
      </c>
      <c r="V153" s="323">
        <f t="shared" si="84"/>
        <v>240.70577899866532</v>
      </c>
      <c r="W153" s="323">
        <f t="shared" si="84"/>
        <v>245.5198945786388</v>
      </c>
      <c r="AA153"/>
      <c r="AB153"/>
      <c r="AC153"/>
      <c r="AD153"/>
      <c r="AE153"/>
      <c r="AF153"/>
      <c r="AJ153" s="142"/>
    </row>
    <row r="154" spans="1:36" s="238" customFormat="1" ht="11.25" customHeight="1" outlineLevel="1">
      <c r="A154" s="321"/>
      <c r="B154" s="323"/>
      <c r="C154" s="238" t="s">
        <v>569</v>
      </c>
      <c r="H154" s="324">
        <f>$H$24/$H$149*H152*(1-H150)</f>
        <v>0</v>
      </c>
      <c r="I154" s="325">
        <f>IF(SUM($H154:H154)+H154*$H$151&lt;$H$153,H154*$H$151,$H$153-SUM($H154:H154))</f>
        <v>0</v>
      </c>
      <c r="J154" s="325">
        <f>IF(SUM($H154:I154)+I154*$H$151&lt;$H$153,I154*$H$151,$H$153-SUM($H154:I154))</f>
        <v>0</v>
      </c>
      <c r="K154" s="325">
        <f>IF(SUM($H154:J154)+J154*$H$151&lt;$H$153,J154*$H$151,$H$153-SUM($H154:J154))</f>
        <v>0</v>
      </c>
      <c r="L154" s="325">
        <f>IF(SUM($H154:K154)+K154*$H$151&lt;$H$153,K154*$H$151,$H$153-SUM($H154:K154))</f>
        <v>0</v>
      </c>
      <c r="M154" s="325">
        <f>IF(SUM($H154:L154)+L154*$H$151&lt;$H$153,L154*$H$151,$H$153-SUM($H154:L154))</f>
        <v>0</v>
      </c>
      <c r="N154" s="325">
        <f>IF(SUM($H154:M154)+M154*$H$151&lt;$H$153,M154*$H$151,$H$153-SUM($H154:M154))</f>
        <v>0</v>
      </c>
      <c r="O154" s="325">
        <f>IF(SUM($H154:N154)+N154*$H$151&lt;$H$153,N154*$H$151,$H$153-SUM($H154:N154))</f>
        <v>0</v>
      </c>
      <c r="P154" s="325">
        <f>IF(SUM($H154:O154)+O154*$H$151&lt;$H$153,O154*$H$151,$H$153-SUM($H154:O154))</f>
        <v>0</v>
      </c>
      <c r="Q154" s="325">
        <f>IF(SUM($H154:P154)+P154*$H$151&lt;$H$153,P154*$H$151,$H$153-SUM($H154:P154))</f>
        <v>0</v>
      </c>
      <c r="R154" s="325">
        <f>IF(SUM($H154:Q154)+Q154*$H$151&lt;$H$153,Q154*$H$151,$H$153-SUM($H154:Q154))</f>
        <v>0</v>
      </c>
      <c r="S154" s="325">
        <f>IF(SUM($H154:R154)+R154*$H$151&lt;$H$153,R154*$H$151,$H$153-SUM($H154:R154))</f>
        <v>0</v>
      </c>
      <c r="T154" s="325">
        <f>IF(SUM($H154:S154)+S154*$H$151&lt;$H$153,S154*$H$151,$H$153-SUM($H154:S154))</f>
        <v>0</v>
      </c>
      <c r="U154" s="325">
        <f>IF(SUM($H154:T154)+T154*$H$151&lt;$H$153,T154*$H$151,$H$153-SUM($H154:T154))</f>
        <v>0</v>
      </c>
      <c r="V154" s="325">
        <f>IF(SUM($H154:U154)+U154*$H$151&lt;$H$153,U154*$H$151,$H$153-SUM($H154:U154))</f>
        <v>0</v>
      </c>
      <c r="W154" s="325">
        <f>IF(SUM($H154:V154)+V154*$H$151&lt;$H$153,V154*$H$151,$H$153-SUM($H154:V154))</f>
        <v>0</v>
      </c>
      <c r="AA154"/>
      <c r="AB154"/>
      <c r="AC154"/>
      <c r="AD154"/>
      <c r="AE154"/>
      <c r="AF154"/>
      <c r="AJ154" s="142"/>
    </row>
    <row r="155" spans="1:36" s="136" customFormat="1" ht="11.25" customHeight="1" outlineLevel="1">
      <c r="A155" s="130"/>
      <c r="B155" s="319"/>
      <c r="C155" s="326" t="str">
        <f t="array" ref="C155:C169">TRANSPOSE(H147:W147)</f>
        <v>1/2009</v>
      </c>
      <c r="D155" s="171"/>
      <c r="E155" s="171"/>
      <c r="F155" s="171"/>
      <c r="G155" s="171"/>
      <c r="H155" s="327"/>
      <c r="I155" s="327">
        <f>I$22/I$149*(1-$H$150)</f>
        <v>0</v>
      </c>
      <c r="J155" s="327">
        <f>(IF(COUNT($I155:I155)&lt;$I$149,I155,0))</f>
        <v>0</v>
      </c>
      <c r="K155" s="327">
        <f>(IF(COUNT($I155:J155)&lt;$I$149,J155,0))</f>
        <v>0</v>
      </c>
      <c r="L155" s="327">
        <f>(IF(COUNT($I155:K155)&lt;$I$149,K155,0))</f>
        <v>0</v>
      </c>
      <c r="M155" s="327">
        <f>(IF(COUNT($I155:L155)&lt;$I$149,L155,0))</f>
        <v>0</v>
      </c>
      <c r="N155" s="327">
        <f>(IF(COUNT($I155:M155)&lt;$I$149,M155,0))</f>
        <v>0</v>
      </c>
      <c r="O155" s="327">
        <f>(IF(COUNT($I155:N155)&lt;$I$149,N155,0))</f>
        <v>0</v>
      </c>
      <c r="P155" s="327">
        <f>(IF(COUNT($I155:O155)&lt;$I$149,O155,0))</f>
        <v>0</v>
      </c>
      <c r="Q155" s="327">
        <f>(IF(COUNT($I155:P155)&lt;$I$149,P155,0))</f>
        <v>0</v>
      </c>
      <c r="R155" s="327">
        <f>(IF(COUNT($I155:Q155)&lt;$I$149,Q155,0))</f>
        <v>0</v>
      </c>
      <c r="S155" s="327">
        <f>(IF(COUNT($I155:R155)&lt;$I$149,R155,0))</f>
        <v>0</v>
      </c>
      <c r="T155" s="327">
        <f>(IF(COUNT($I155:S155)&lt;$I$149,S155,0))</f>
        <v>0</v>
      </c>
      <c r="U155" s="327">
        <f>(IF(COUNT($I155:T155)&lt;$I$149,T155,0))</f>
        <v>0</v>
      </c>
      <c r="V155" s="327">
        <f>(IF(COUNT($I155:U155)&lt;$I$149,U155,0))</f>
        <v>0</v>
      </c>
      <c r="W155" s="327">
        <f>(IF(COUNT($I155:V155)&lt;$I$149,V155,0))</f>
        <v>0</v>
      </c>
      <c r="X155" s="327"/>
      <c r="Y155" s="327"/>
      <c r="Z155" s="327"/>
      <c r="AA155"/>
      <c r="AB155"/>
      <c r="AC155"/>
      <c r="AD155"/>
      <c r="AE155"/>
      <c r="AF155"/>
      <c r="AJ155" s="142"/>
    </row>
    <row r="156" spans="1:36" s="136" customFormat="1" ht="11.25" customHeight="1" outlineLevel="1">
      <c r="A156" s="130"/>
      <c r="B156" s="319"/>
      <c r="C156" s="326" t="str">
        <v>1/2010</v>
      </c>
      <c r="D156" s="171"/>
      <c r="E156" s="171"/>
      <c r="F156" s="171"/>
      <c r="G156" s="171"/>
      <c r="H156" s="327"/>
      <c r="I156" s="327"/>
      <c r="J156" s="327">
        <f>J$22/J$149*(1-$H$150)</f>
        <v>16.509700000000002</v>
      </c>
      <c r="K156" s="327">
        <f>(IF(COUNT($J156:J156)&lt;$J$149,J156,0))</f>
        <v>16.509700000000002</v>
      </c>
      <c r="L156" s="327">
        <f>(IF(COUNT($J156:K156)&lt;$J$149,K156,0))</f>
        <v>16.509700000000002</v>
      </c>
      <c r="M156" s="327">
        <f>(IF(COUNT($J156:L156)&lt;$J$149,L156,0))</f>
        <v>16.509700000000002</v>
      </c>
      <c r="N156" s="327">
        <f>(IF(COUNT($J156:M156)&lt;$J$149,M156,0))</f>
        <v>16.509700000000002</v>
      </c>
      <c r="O156" s="327">
        <f>(IF(COUNT($J156:N156)&lt;$J$149,N156,0))</f>
        <v>16.509700000000002</v>
      </c>
      <c r="P156" s="327">
        <f>(IF(COUNT($J156:O156)&lt;$J$149,O156,0))</f>
        <v>16.509700000000002</v>
      </c>
      <c r="Q156" s="327">
        <f>(IF(COUNT($J156:P156)&lt;$J$149,P156,0))</f>
        <v>16.509700000000002</v>
      </c>
      <c r="R156" s="327">
        <f>(IF(COUNT($J156:Q156)&lt;$J$149,Q156,0))</f>
        <v>16.509700000000002</v>
      </c>
      <c r="S156" s="327">
        <f>(IF(COUNT($J156:R156)&lt;$J$149,R156,0))</f>
        <v>16.509700000000002</v>
      </c>
      <c r="T156" s="327">
        <f>(IF(COUNT($J156:S156)&lt;$J$149,S156,0))</f>
        <v>0</v>
      </c>
      <c r="U156" s="327">
        <f>(IF(COUNT($J156:T156)&lt;$J$149,T156,0))</f>
        <v>0</v>
      </c>
      <c r="V156" s="327">
        <f>(IF(COUNT($J156:U156)&lt;$J$149,U156,0))</f>
        <v>0</v>
      </c>
      <c r="W156" s="327">
        <f>(IF(COUNT($J156:V156)&lt;$J$149,V156,0))</f>
        <v>0</v>
      </c>
      <c r="X156" s="327"/>
      <c r="Y156" s="327"/>
      <c r="Z156" s="327"/>
      <c r="AA156"/>
      <c r="AB156"/>
      <c r="AC156"/>
      <c r="AD156"/>
      <c r="AE156"/>
      <c r="AF156"/>
      <c r="AJ156" s="142"/>
    </row>
    <row r="157" spans="1:36" s="136" customFormat="1" ht="11.25" customHeight="1" outlineLevel="1">
      <c r="A157" s="130"/>
      <c r="B157" s="319"/>
      <c r="C157" s="326" t="str">
        <v>1/2011</v>
      </c>
      <c r="D157" s="171"/>
      <c r="E157" s="171"/>
      <c r="F157" s="171"/>
      <c r="G157" s="171"/>
      <c r="H157" s="327"/>
      <c r="I157" s="327"/>
      <c r="J157" s="327"/>
      <c r="K157" s="327">
        <f>K$22/K$149*(1-$H$150)</f>
        <v>16.216559847989146</v>
      </c>
      <c r="L157" s="327">
        <f>(IF(COUNT($J157:K157)&lt;$K$149,K157,0))</f>
        <v>16.216559847989146</v>
      </c>
      <c r="M157" s="327">
        <f>(IF(COUNT($J157:L157)&lt;$K$149,L157,0))</f>
        <v>16.216559847989146</v>
      </c>
      <c r="N157" s="327">
        <f>(IF(COUNT($J157:M157)&lt;$K$149,M157,0))</f>
        <v>16.216559847989146</v>
      </c>
      <c r="O157" s="327">
        <f>(IF(COUNT($J157:N157)&lt;$K$149,N157,0))</f>
        <v>16.216559847989146</v>
      </c>
      <c r="P157" s="327">
        <f>(IF(COUNT($J157:O157)&lt;$K$149,O157,0))</f>
        <v>16.216559847989146</v>
      </c>
      <c r="Q157" s="327">
        <f>(IF(COUNT($J157:P157)&lt;$K$149,P157,0))</f>
        <v>16.216559847989146</v>
      </c>
      <c r="R157" s="327">
        <f>(IF(COUNT($J157:Q157)&lt;$K$149,Q157,0))</f>
        <v>16.216559847989146</v>
      </c>
      <c r="S157" s="327">
        <f>(IF(COUNT($J157:R157)&lt;$K$149,R157,0))</f>
        <v>16.216559847989146</v>
      </c>
      <c r="T157" s="327">
        <f>(IF(COUNT($J157:S157)&lt;$K$149,S157,0))</f>
        <v>16.216559847989146</v>
      </c>
      <c r="U157" s="327">
        <f>(IF(COUNT($J157:T157)&lt;$K$149,T157,0))</f>
        <v>0</v>
      </c>
      <c r="V157" s="327">
        <f>(IF(COUNT($J157:U157)&lt;$K$149,U157,0))</f>
        <v>0</v>
      </c>
      <c r="W157" s="327">
        <f>(IF(COUNT($J157:V157)&lt;$K$149,V157,0))</f>
        <v>0</v>
      </c>
      <c r="AA157"/>
      <c r="AB157"/>
      <c r="AC157"/>
      <c r="AD157"/>
      <c r="AE157"/>
      <c r="AF157"/>
      <c r="AJ157" s="142"/>
    </row>
    <row r="158" spans="1:36" s="136" customFormat="1" ht="11.25" customHeight="1" outlineLevel="1">
      <c r="A158" s="130"/>
      <c r="B158" s="319"/>
      <c r="C158" s="326" t="str">
        <v>1/2012</v>
      </c>
      <c r="D158" s="171"/>
      <c r="E158" s="171"/>
      <c r="F158" s="171"/>
      <c r="G158" s="171"/>
      <c r="H158" s="327"/>
      <c r="I158" s="327"/>
      <c r="J158" s="327"/>
      <c r="K158" s="327"/>
      <c r="L158" s="327">
        <f>L$22/L$149*(1-$H$150)</f>
        <v>117.21612389996797</v>
      </c>
      <c r="M158" s="327">
        <f>(IF(COUNT($L158:L158)&lt;$L$149,L158,0))</f>
        <v>117.21612389996797</v>
      </c>
      <c r="N158" s="327">
        <f>(IF(COUNT($L158:M158)&lt;$L$149,M158,0))</f>
        <v>117.21612389996797</v>
      </c>
      <c r="O158" s="327">
        <f>(IF(COUNT($L158:N158)&lt;$L$149,N158,0))</f>
        <v>117.21612389996797</v>
      </c>
      <c r="P158" s="327">
        <f>(IF(COUNT($L158:O158)&lt;$L$149,O158,0))</f>
        <v>117.21612389996797</v>
      </c>
      <c r="Q158" s="327">
        <f>(IF(COUNT($L158:P158)&lt;$L$149,P158,0))</f>
        <v>117.21612389996797</v>
      </c>
      <c r="R158" s="327">
        <f>(IF(COUNT($L158:Q158)&lt;$L$149,Q158,0))</f>
        <v>117.21612389996797</v>
      </c>
      <c r="S158" s="327">
        <f>(IF(COUNT($L158:R158)&lt;$L$149,R158,0))</f>
        <v>117.21612389996797</v>
      </c>
      <c r="T158" s="327">
        <f>(IF(COUNT($L158:S158)&lt;$L$149,S158,0))</f>
        <v>117.21612389996797</v>
      </c>
      <c r="U158" s="327">
        <f>(IF(COUNT($L158:T158)&lt;$L$149,T158,0))</f>
        <v>117.21612389996797</v>
      </c>
      <c r="V158" s="327">
        <f>(IF(COUNT($L158:U158)&lt;$L$149,U158,0))</f>
        <v>0</v>
      </c>
      <c r="W158" s="327">
        <f>(IF(COUNT($L158:V158)&lt;$L$149,V158,0))</f>
        <v>0</v>
      </c>
      <c r="X158" s="327"/>
      <c r="Y158" s="327"/>
      <c r="Z158" s="327"/>
      <c r="AA158"/>
      <c r="AB158"/>
      <c r="AC158"/>
      <c r="AD158"/>
      <c r="AE158"/>
      <c r="AF158"/>
      <c r="AJ158" s="142"/>
    </row>
    <row r="159" spans="1:36" s="136" customFormat="1" ht="11.25" customHeight="1" outlineLevel="1">
      <c r="A159" s="130"/>
      <c r="B159" s="319"/>
      <c r="C159" s="326" t="str">
        <v>1/2013</v>
      </c>
      <c r="D159" s="171"/>
      <c r="E159" s="171"/>
      <c r="F159" s="171"/>
      <c r="G159" s="171"/>
      <c r="H159" s="327"/>
      <c r="I159" s="327"/>
      <c r="J159" s="327"/>
      <c r="K159" s="327"/>
      <c r="L159" s="327"/>
      <c r="M159" s="327">
        <f>M$22/M$149*(1-$H$150)</f>
        <v>7.6165520871964416</v>
      </c>
      <c r="N159" s="327">
        <f>(IF(COUNT($M159:M159)&lt;$M$149,M159,0))</f>
        <v>7.6165520871964416</v>
      </c>
      <c r="O159" s="327">
        <f>(IF(COUNT($M159:N159)&lt;$M$149,N159,0))</f>
        <v>7.6165520871964416</v>
      </c>
      <c r="P159" s="327">
        <f>(IF(COUNT($M159:O159)&lt;$M$149,O159,0))</f>
        <v>7.6165520871964416</v>
      </c>
      <c r="Q159" s="327">
        <f>(IF(COUNT($M159:P159)&lt;$M$149,P159,0))</f>
        <v>7.6165520871964416</v>
      </c>
      <c r="R159" s="327">
        <f>(IF(COUNT($M159:Q159)&lt;$M$149,Q159,0))</f>
        <v>7.6165520871964416</v>
      </c>
      <c r="S159" s="327">
        <f>(IF(COUNT($M159:R159)&lt;$M$149,R159,0))</f>
        <v>7.6165520871964416</v>
      </c>
      <c r="T159" s="327">
        <f>(IF(COUNT($M159:S159)&lt;$M$149,S159,0))</f>
        <v>7.6165520871964416</v>
      </c>
      <c r="U159" s="327">
        <f>(IF(COUNT($M159:T159)&lt;$M$149,T159,0))</f>
        <v>7.6165520871964416</v>
      </c>
      <c r="V159" s="327">
        <f>(IF(COUNT($M159:U159)&lt;$M$149,U159,0))</f>
        <v>7.6165520871964416</v>
      </c>
      <c r="W159" s="327">
        <f>(IF(COUNT($M159:V159)&lt;$M$149,V159,0))</f>
        <v>0</v>
      </c>
      <c r="AA159"/>
      <c r="AB159"/>
      <c r="AC159"/>
      <c r="AD159"/>
      <c r="AE159"/>
      <c r="AF159"/>
      <c r="AJ159" s="142"/>
    </row>
    <row r="160" spans="1:36" s="136" customFormat="1" ht="11.25" customHeight="1" outlineLevel="1">
      <c r="A160" s="130"/>
      <c r="B160" s="319"/>
      <c r="C160" s="326" t="str">
        <v>1/2014</v>
      </c>
      <c r="D160" s="171"/>
      <c r="E160" s="171"/>
      <c r="F160" s="171"/>
      <c r="G160" s="171"/>
      <c r="H160" s="327"/>
      <c r="I160" s="327"/>
      <c r="J160" s="327"/>
      <c r="K160" s="327"/>
      <c r="L160" s="327"/>
      <c r="M160" s="327"/>
      <c r="N160" s="327">
        <f>N$22/N$149*(1-$H$150)</f>
        <v>10.196658086631274</v>
      </c>
      <c r="O160" s="327">
        <f>(IF(COUNT($N160:N160)&lt;$N$149,N160,0))</f>
        <v>10.196658086631274</v>
      </c>
      <c r="P160" s="327">
        <f>(IF(COUNT($N160:O160)&lt;$N$149,O160,0))</f>
        <v>10.196658086631274</v>
      </c>
      <c r="Q160" s="327">
        <f>(IF(COUNT($N160:P160)&lt;$N$149,P160,0))</f>
        <v>10.196658086631274</v>
      </c>
      <c r="R160" s="327">
        <f>(IF(COUNT($N160:Q160)&lt;$N$149,Q160,0))</f>
        <v>10.196658086631274</v>
      </c>
      <c r="S160" s="327">
        <f>(IF(COUNT($N160:R160)&lt;$N$149,R160,0))</f>
        <v>10.196658086631274</v>
      </c>
      <c r="T160" s="327">
        <f>(IF(COUNT($N160:S160)&lt;$N$149,S160,0))</f>
        <v>10.196658086631274</v>
      </c>
      <c r="U160" s="327">
        <f>(IF(COUNT($N160:T160)&lt;$N$149,T160,0))</f>
        <v>10.196658086631274</v>
      </c>
      <c r="V160" s="327">
        <f>(IF(COUNT($N160:U160)&lt;$N$149,U160,0))</f>
        <v>10.196658086631274</v>
      </c>
      <c r="W160" s="327">
        <f>(IF(COUNT($N160:V160)&lt;$N$149,V160,0))</f>
        <v>10.196658086631274</v>
      </c>
      <c r="X160" s="327"/>
      <c r="Y160" s="327"/>
      <c r="Z160" s="327"/>
      <c r="AA160"/>
      <c r="AB160"/>
      <c r="AC160"/>
      <c r="AD160"/>
      <c r="AE160"/>
      <c r="AF160"/>
      <c r="AJ160" s="142"/>
    </row>
    <row r="161" spans="1:36" s="136" customFormat="1" ht="11.25" customHeight="1" outlineLevel="1">
      <c r="A161" s="130"/>
      <c r="B161" s="319"/>
      <c r="C161" s="326" t="str">
        <v>1/2015</v>
      </c>
      <c r="D161" s="171"/>
      <c r="E161" s="171"/>
      <c r="F161" s="171"/>
      <c r="G161" s="171"/>
      <c r="H161" s="327"/>
      <c r="I161" s="327"/>
      <c r="J161" s="327"/>
      <c r="K161" s="327"/>
      <c r="L161" s="327"/>
      <c r="M161" s="327"/>
      <c r="N161" s="327"/>
      <c r="O161" s="327">
        <f>O$22/O$149*(1-$H$150)</f>
        <v>34.638060198405761</v>
      </c>
      <c r="P161" s="327">
        <f>(IF(COUNT($O161:O161)&lt;$O$149,O161,0))</f>
        <v>34.638060198405761</v>
      </c>
      <c r="Q161" s="327">
        <f>(IF(COUNT($O161:P161)&lt;$O$149,P161,0))</f>
        <v>34.638060198405761</v>
      </c>
      <c r="R161" s="327">
        <f>(IF(COUNT($O161:Q161)&lt;$O$149,Q161,0))</f>
        <v>34.638060198405761</v>
      </c>
      <c r="S161" s="327">
        <f>(IF(COUNT($O161:R161)&lt;$O$149,R161,0))</f>
        <v>34.638060198405761</v>
      </c>
      <c r="T161" s="327">
        <f>(IF(COUNT($O161:S161)&lt;$O$149,S161,0))</f>
        <v>34.638060198405761</v>
      </c>
      <c r="U161" s="327">
        <f>(IF(COUNT($O161:T161)&lt;$O$149,T161,0))</f>
        <v>34.638060198405761</v>
      </c>
      <c r="V161" s="327">
        <f>(IF(COUNT($O161:U161)&lt;$O$149,U161,0))</f>
        <v>34.638060198405761</v>
      </c>
      <c r="W161" s="327">
        <f>(IF(COUNT($O161:V161)&lt;$O$149,V161,0))</f>
        <v>34.638060198405761</v>
      </c>
      <c r="AA161"/>
      <c r="AB161"/>
      <c r="AC161"/>
      <c r="AD161"/>
      <c r="AE161"/>
      <c r="AF161"/>
      <c r="AJ161" s="142"/>
    </row>
    <row r="162" spans="1:36" s="136" customFormat="1" ht="11.25" customHeight="1" outlineLevel="1">
      <c r="A162" s="130"/>
      <c r="B162" s="319"/>
      <c r="C162" s="326" t="str">
        <v>1/2016</v>
      </c>
      <c r="D162" s="171"/>
      <c r="E162" s="171"/>
      <c r="F162" s="171"/>
      <c r="G162" s="171"/>
      <c r="H162" s="327"/>
      <c r="I162" s="327"/>
      <c r="J162" s="327"/>
      <c r="K162" s="327"/>
      <c r="L162" s="327"/>
      <c r="M162" s="327"/>
      <c r="N162" s="327"/>
      <c r="O162" s="327"/>
      <c r="P162" s="327">
        <f>P$22/P$149*(1-$H$150)</f>
        <v>38.144792418366087</v>
      </c>
      <c r="Q162" s="327">
        <f>(IF(COUNT($P162:P162)&lt;$P$149,P162,0))</f>
        <v>38.144792418366087</v>
      </c>
      <c r="R162" s="327">
        <f>(IF(COUNT($P162:Q162)&lt;$P$149,Q162,0))</f>
        <v>38.144792418366087</v>
      </c>
      <c r="S162" s="327">
        <f>(IF(COUNT($P162:R162)&lt;$P$149,R162,0))</f>
        <v>38.144792418366087</v>
      </c>
      <c r="T162" s="327">
        <f>(IF(COUNT($P162:S162)&lt;$P$149,S162,0))</f>
        <v>38.144792418366087</v>
      </c>
      <c r="U162" s="327">
        <f>(IF(COUNT($P162:T162)&lt;$P$149,T162,0))</f>
        <v>38.144792418366087</v>
      </c>
      <c r="V162" s="327">
        <f>(IF(COUNT($P162:U162)&lt;$P$149,U162,0))</f>
        <v>38.144792418366087</v>
      </c>
      <c r="W162" s="327">
        <f>(IF(COUNT($P162:V162)&lt;$P$149,V162,0))</f>
        <v>38.144792418366087</v>
      </c>
      <c r="AA162"/>
      <c r="AB162"/>
      <c r="AC162"/>
      <c r="AD162"/>
      <c r="AE162"/>
      <c r="AF162"/>
      <c r="AJ162" s="142"/>
    </row>
    <row r="163" spans="1:36" s="136" customFormat="1" ht="11.25" customHeight="1" outlineLevel="1">
      <c r="A163" s="130"/>
      <c r="B163" s="319"/>
      <c r="C163" s="326" t="str">
        <v>1/2017</v>
      </c>
      <c r="D163" s="171"/>
      <c r="E163" s="171"/>
      <c r="F163" s="171"/>
      <c r="G163" s="171"/>
      <c r="H163" s="327"/>
      <c r="I163" s="327"/>
      <c r="J163" s="327"/>
      <c r="K163" s="327"/>
      <c r="L163" s="327"/>
      <c r="M163" s="327"/>
      <c r="N163" s="327"/>
      <c r="O163" s="327"/>
      <c r="P163" s="327"/>
      <c r="Q163" s="327">
        <f>Q$22/Q$149*(1-$H$150)</f>
        <v>20.201464014320198</v>
      </c>
      <c r="R163" s="327">
        <f>(IF(COUNT($Q163:Q163)&lt;$Q$149,Q163,0))</f>
        <v>20.201464014320198</v>
      </c>
      <c r="S163" s="327">
        <f>(IF(COUNT($Q163:R163)&lt;$Q$149,R163,0))</f>
        <v>20.201464014320198</v>
      </c>
      <c r="T163" s="327">
        <f>(IF(COUNT($Q163:S163)&lt;$Q$149,S163,0))</f>
        <v>20.201464014320198</v>
      </c>
      <c r="U163" s="327">
        <f>(IF(COUNT($Q163:T163)&lt;$Q$149,T163,0))</f>
        <v>20.201464014320198</v>
      </c>
      <c r="V163" s="327">
        <f>(IF(COUNT($Q163:U163)&lt;$Q$149,U163,0))</f>
        <v>20.201464014320198</v>
      </c>
      <c r="W163" s="327">
        <f>(IF(COUNT($Q163:V163)&lt;$Q$149,V163,0))</f>
        <v>20.201464014320198</v>
      </c>
      <c r="AA163"/>
      <c r="AB163"/>
      <c r="AC163"/>
      <c r="AD163"/>
      <c r="AE163"/>
      <c r="AF163"/>
      <c r="AJ163" s="142"/>
    </row>
    <row r="164" spans="1:36" s="136" customFormat="1" ht="11.25" customHeight="1" outlineLevel="1">
      <c r="A164" s="130"/>
      <c r="B164" s="319"/>
      <c r="C164" s="326" t="str">
        <v>1/2018</v>
      </c>
      <c r="D164" s="171"/>
      <c r="E164" s="171"/>
      <c r="F164" s="171"/>
      <c r="G164" s="171"/>
      <c r="H164" s="327"/>
      <c r="I164" s="327"/>
      <c r="J164" s="327"/>
      <c r="K164" s="327"/>
      <c r="L164" s="327"/>
      <c r="M164" s="327"/>
      <c r="N164" s="327"/>
      <c r="O164" s="327"/>
      <c r="P164" s="327"/>
      <c r="Q164" s="327"/>
      <c r="R164" s="327">
        <f>R$22/R$149*(1-$H$150)</f>
        <v>23.737493294606598</v>
      </c>
      <c r="S164" s="327">
        <f>(IF(COUNT($R164:R164)&lt;$R$149,R164,0))</f>
        <v>23.737493294606598</v>
      </c>
      <c r="T164" s="327">
        <f>(IF(COUNT($R164:S164)&lt;$R$149,S164,0))</f>
        <v>23.737493294606598</v>
      </c>
      <c r="U164" s="327">
        <f>(IF(COUNT($R164:T164)&lt;$R$149,T164,0))</f>
        <v>23.737493294606598</v>
      </c>
      <c r="V164" s="327">
        <f>(IF(COUNT($R164:U164)&lt;$R$149,U164,0))</f>
        <v>23.737493294606598</v>
      </c>
      <c r="W164" s="327">
        <f>(IF(COUNT($R164:V164)&lt;$R$149,V164,0))</f>
        <v>23.737493294606598</v>
      </c>
      <c r="AA164"/>
      <c r="AB164"/>
      <c r="AC164"/>
      <c r="AD164"/>
      <c r="AE164"/>
      <c r="AF164"/>
      <c r="AJ164" s="142"/>
    </row>
    <row r="165" spans="1:36" s="136" customFormat="1" ht="11.25" customHeight="1" outlineLevel="1">
      <c r="A165" s="130"/>
      <c r="B165" s="319"/>
      <c r="C165" s="326" t="str">
        <v>1/2019</v>
      </c>
      <c r="D165" s="171"/>
      <c r="E165" s="171"/>
      <c r="F165" s="171"/>
      <c r="G165" s="171"/>
      <c r="H165" s="327"/>
      <c r="I165" s="327"/>
      <c r="J165" s="327"/>
      <c r="K165" s="327"/>
      <c r="L165" s="327"/>
      <c r="M165" s="327"/>
      <c r="N165" s="327"/>
      <c r="O165" s="327"/>
      <c r="P165" s="327"/>
      <c r="Q165" s="327"/>
      <c r="R165" s="327"/>
      <c r="S165" s="327">
        <f>S$22/S$149*(1-$H$150)</f>
        <v>22.682243160498736</v>
      </c>
      <c r="T165" s="327">
        <f>(IF(COUNT($R165:S165)&lt;$R$149,S165,0))</f>
        <v>22.682243160498736</v>
      </c>
      <c r="U165" s="327">
        <f>(IF(COUNT($R165:T165)&lt;$R$149,T165,0))</f>
        <v>22.682243160498736</v>
      </c>
      <c r="V165" s="327">
        <f>(IF(COUNT($R165:U165)&lt;$R$149,U165,0))</f>
        <v>22.682243160498736</v>
      </c>
      <c r="W165" s="327">
        <f>(IF(COUNT($R165:V165)&lt;$R$149,V165,0))</f>
        <v>22.682243160498736</v>
      </c>
      <c r="AA165"/>
      <c r="AB165"/>
      <c r="AC165"/>
      <c r="AD165"/>
      <c r="AE165"/>
      <c r="AF165"/>
      <c r="AJ165" s="142"/>
    </row>
    <row r="166" spans="1:36" s="136" customFormat="1" ht="11.25" customHeight="1" outlineLevel="1">
      <c r="A166" s="130"/>
      <c r="B166" s="319"/>
      <c r="C166" s="326" t="str">
        <v>1/2020</v>
      </c>
      <c r="D166" s="171"/>
      <c r="E166" s="171"/>
      <c r="F166" s="171"/>
      <c r="G166" s="171"/>
      <c r="H166" s="327"/>
      <c r="I166" s="327"/>
      <c r="J166" s="327"/>
      <c r="K166" s="327"/>
      <c r="L166" s="327"/>
      <c r="M166" s="327"/>
      <c r="N166" s="327"/>
      <c r="O166" s="327"/>
      <c r="P166" s="327"/>
      <c r="Q166" s="327"/>
      <c r="R166" s="327"/>
      <c r="S166" s="327"/>
      <c r="T166" s="327">
        <f>T$22/T$149*(1-$H$150)</f>
        <v>23.135888023708709</v>
      </c>
      <c r="U166" s="327">
        <f>(IF(COUNT($R166:T166)&lt;$R$149,T166,0))</f>
        <v>23.135888023708709</v>
      </c>
      <c r="V166" s="327">
        <f>(IF(COUNT($R166:U166)&lt;$R$149,U166,0))</f>
        <v>23.135888023708709</v>
      </c>
      <c r="W166" s="327">
        <f>(IF(COUNT($R166:V166)&lt;$R$149,V166,0))</f>
        <v>23.135888023708709</v>
      </c>
      <c r="AA166"/>
      <c r="AB166"/>
      <c r="AC166"/>
      <c r="AD166"/>
      <c r="AE166"/>
      <c r="AF166"/>
      <c r="AJ166" s="142"/>
    </row>
    <row r="167" spans="1:36" s="136" customFormat="1" ht="11.25" customHeight="1" outlineLevel="1">
      <c r="A167" s="130"/>
      <c r="B167" s="319"/>
      <c r="C167" s="326" t="str">
        <v>1/2021</v>
      </c>
      <c r="D167" s="171"/>
      <c r="E167" s="171"/>
      <c r="F167" s="171"/>
      <c r="G167" s="171"/>
      <c r="H167" s="327"/>
      <c r="I167" s="327"/>
      <c r="J167" s="327"/>
      <c r="K167" s="327"/>
      <c r="L167" s="327"/>
      <c r="M167" s="327"/>
      <c r="N167" s="327"/>
      <c r="O167" s="327"/>
      <c r="P167" s="327"/>
      <c r="Q167" s="327"/>
      <c r="R167" s="327"/>
      <c r="S167" s="327"/>
      <c r="T167" s="328"/>
      <c r="U167" s="327">
        <f>U$22/U$149*(1-$H$150)</f>
        <v>23.598605784182887</v>
      </c>
      <c r="V167" s="327">
        <f>(IF(COUNT($R167:U167)&lt;$R$149,U167,0))</f>
        <v>23.598605784182887</v>
      </c>
      <c r="W167" s="327">
        <f>(IF(COUNT($R167:V167)&lt;$R$149,V167,0))</f>
        <v>23.598605784182887</v>
      </c>
      <c r="AA167"/>
      <c r="AB167"/>
      <c r="AC167"/>
      <c r="AD167"/>
      <c r="AE167"/>
      <c r="AF167"/>
      <c r="AJ167" s="142"/>
    </row>
    <row r="168" spans="1:36" s="136" customFormat="1" ht="11.25" customHeight="1" outlineLevel="1">
      <c r="A168" s="130"/>
      <c r="B168" s="319"/>
      <c r="C168" s="326" t="str">
        <v>1/2022</v>
      </c>
      <c r="D168" s="171"/>
      <c r="E168" s="171"/>
      <c r="F168" s="171"/>
      <c r="G168" s="171"/>
      <c r="H168" s="327"/>
      <c r="I168" s="327"/>
      <c r="J168" s="327"/>
      <c r="K168" s="327"/>
      <c r="L168" s="327"/>
      <c r="M168" s="327"/>
      <c r="N168" s="327"/>
      <c r="O168" s="327"/>
      <c r="P168" s="327"/>
      <c r="Q168" s="327"/>
      <c r="R168" s="327"/>
      <c r="S168" s="327"/>
      <c r="T168" s="328"/>
      <c r="V168" s="327">
        <f>V$22/V$149*(1-$H$150)</f>
        <v>24.070577899866532</v>
      </c>
      <c r="W168" s="327">
        <f>(IF(COUNT($R168:V168)&lt;$R$149,V168,0))</f>
        <v>24.070577899866532</v>
      </c>
      <c r="AA168"/>
      <c r="AB168"/>
      <c r="AC168"/>
      <c r="AD168"/>
      <c r="AE168"/>
      <c r="AF168"/>
      <c r="AJ168" s="142"/>
    </row>
    <row r="169" spans="1:36" s="136" customFormat="1" ht="11.25" customHeight="1" outlineLevel="1">
      <c r="A169" s="130"/>
      <c r="B169" s="319"/>
      <c r="C169" s="326" t="str">
        <v>1/2023</v>
      </c>
      <c r="D169" s="171"/>
      <c r="E169" s="171"/>
      <c r="F169" s="171"/>
      <c r="G169" s="171"/>
      <c r="H169" s="327"/>
      <c r="I169" s="327"/>
      <c r="J169" s="327"/>
      <c r="K169" s="327"/>
      <c r="L169" s="327"/>
      <c r="M169" s="327"/>
      <c r="N169" s="327"/>
      <c r="O169" s="327"/>
      <c r="P169" s="327"/>
      <c r="Q169" s="327"/>
      <c r="R169" s="327"/>
      <c r="S169" s="327"/>
      <c r="T169" s="328"/>
      <c r="W169" s="327">
        <f>W$22/W$149*(1-$H$150)</f>
        <v>24.551989457863879</v>
      </c>
      <c r="AA169"/>
      <c r="AB169"/>
      <c r="AC169"/>
      <c r="AD169"/>
      <c r="AE169"/>
      <c r="AF169"/>
      <c r="AJ169" s="142"/>
    </row>
    <row r="170" spans="1:36" s="136" customFormat="1" ht="11.25" customHeight="1" outlineLevel="1">
      <c r="A170" s="130"/>
      <c r="B170" s="329"/>
      <c r="C170" s="171"/>
      <c r="D170" s="171"/>
      <c r="E170" s="171"/>
      <c r="F170" s="171"/>
      <c r="G170" s="171"/>
      <c r="H170" s="328"/>
      <c r="I170" s="328"/>
      <c r="J170" s="328"/>
      <c r="K170" s="328"/>
      <c r="L170" s="328"/>
      <c r="M170" s="328"/>
      <c r="N170" s="328"/>
      <c r="O170" s="328"/>
      <c r="P170" s="328"/>
      <c r="Q170" s="328"/>
      <c r="R170" s="328"/>
      <c r="S170" s="132"/>
      <c r="T170" s="132"/>
      <c r="U170" s="132"/>
      <c r="V170" s="132"/>
      <c r="W170" s="132"/>
      <c r="AA170"/>
      <c r="AB170"/>
      <c r="AC170"/>
      <c r="AD170"/>
      <c r="AE170"/>
      <c r="AF170"/>
      <c r="AJ170" s="142"/>
    </row>
    <row r="171" spans="1:36" s="132" customFormat="1" ht="11.25" customHeight="1" outlineLevel="1">
      <c r="A171" s="330"/>
      <c r="B171" s="331"/>
      <c r="C171" s="171"/>
      <c r="D171" s="171"/>
      <c r="E171" s="171"/>
      <c r="F171" s="171"/>
      <c r="G171" s="171"/>
      <c r="H171" s="332">
        <f t="shared" ref="H171:W171" si="85">SUM(H154:H169)</f>
        <v>0</v>
      </c>
      <c r="I171" s="332">
        <f t="shared" si="85"/>
        <v>0</v>
      </c>
      <c r="J171" s="332">
        <f t="shared" si="85"/>
        <v>16.509700000000002</v>
      </c>
      <c r="K171" s="332">
        <f t="shared" si="85"/>
        <v>32.726259847989148</v>
      </c>
      <c r="L171" s="332">
        <f t="shared" si="85"/>
        <v>149.94238374795711</v>
      </c>
      <c r="M171" s="332">
        <f t="shared" si="85"/>
        <v>157.55893583515356</v>
      </c>
      <c r="N171" s="332">
        <f t="shared" si="85"/>
        <v>167.75559392178485</v>
      </c>
      <c r="O171" s="332">
        <f t="shared" si="85"/>
        <v>202.3936541201906</v>
      </c>
      <c r="P171" s="332">
        <f t="shared" si="85"/>
        <v>240.53844653855668</v>
      </c>
      <c r="Q171" s="332">
        <f t="shared" si="85"/>
        <v>260.73991055287689</v>
      </c>
      <c r="R171" s="332">
        <f t="shared" si="85"/>
        <v>284.47740384748352</v>
      </c>
      <c r="S171" s="332">
        <f t="shared" si="85"/>
        <v>307.15964700798224</v>
      </c>
      <c r="T171" s="332">
        <f t="shared" si="85"/>
        <v>313.78583503169097</v>
      </c>
      <c r="U171" s="332">
        <f t="shared" si="85"/>
        <v>321.16788096788468</v>
      </c>
      <c r="V171" s="332">
        <f t="shared" si="85"/>
        <v>228.02233496778322</v>
      </c>
      <c r="W171" s="332">
        <f t="shared" si="85"/>
        <v>244.95777233845064</v>
      </c>
      <c r="AA171"/>
      <c r="AB171"/>
      <c r="AC171"/>
      <c r="AD171"/>
      <c r="AE171"/>
      <c r="AF171"/>
      <c r="AJ171" s="142"/>
    </row>
    <row r="172" spans="1:36" s="136" customFormat="1">
      <c r="A172" s="130"/>
      <c r="B172" s="131"/>
      <c r="C172" s="333"/>
      <c r="D172" s="333"/>
      <c r="E172" s="333"/>
      <c r="F172" s="333"/>
      <c r="G172" s="333"/>
      <c r="H172" s="133"/>
      <c r="I172" s="133"/>
      <c r="J172" s="133"/>
      <c r="K172" s="133"/>
      <c r="L172" s="133"/>
      <c r="M172" s="133"/>
      <c r="N172" s="133"/>
      <c r="O172" s="133"/>
      <c r="P172" s="133"/>
      <c r="Q172" s="133"/>
      <c r="R172" s="133"/>
      <c r="S172" s="133"/>
      <c r="T172" s="334"/>
      <c r="AA172"/>
      <c r="AB172"/>
      <c r="AC172"/>
      <c r="AD172"/>
      <c r="AE172"/>
      <c r="AF172"/>
      <c r="AJ172" s="142"/>
    </row>
    <row r="173" spans="1:36" s="136" customFormat="1">
      <c r="A173" s="130"/>
      <c r="B173" s="131"/>
      <c r="C173" s="335"/>
      <c r="D173" s="335"/>
      <c r="E173" s="335"/>
      <c r="F173" s="335"/>
      <c r="G173" s="335"/>
      <c r="H173" s="133"/>
      <c r="I173" s="133"/>
      <c r="J173" s="133"/>
      <c r="K173" s="133"/>
      <c r="L173" s="133"/>
      <c r="M173" s="133"/>
      <c r="N173" s="133"/>
      <c r="O173" s="133"/>
      <c r="P173" s="133"/>
      <c r="Q173" s="133"/>
      <c r="R173" s="133"/>
      <c r="S173" s="133"/>
      <c r="T173" s="336"/>
      <c r="AA173"/>
      <c r="AB173"/>
      <c r="AC173"/>
      <c r="AD173"/>
      <c r="AE173"/>
      <c r="AF173"/>
      <c r="AJ173" s="142"/>
    </row>
    <row r="174" spans="1:36" s="136" customFormat="1">
      <c r="A174" s="130"/>
      <c r="B174" s="131"/>
      <c r="C174" s="171"/>
      <c r="D174" s="171"/>
      <c r="E174" s="171"/>
      <c r="F174" s="171"/>
      <c r="G174" s="171"/>
      <c r="H174" s="133"/>
      <c r="I174" s="133"/>
      <c r="J174" s="133"/>
      <c r="K174" s="133"/>
      <c r="L174" s="133"/>
      <c r="M174" s="133"/>
      <c r="N174" s="133"/>
      <c r="O174" s="133"/>
      <c r="P174" s="133"/>
      <c r="Q174" s="133"/>
      <c r="R174" s="133"/>
      <c r="S174" s="133"/>
      <c r="T174" s="132"/>
      <c r="AA174"/>
      <c r="AB174"/>
      <c r="AC174"/>
      <c r="AD174"/>
      <c r="AE174"/>
      <c r="AF174"/>
      <c r="AJ174" s="142"/>
    </row>
    <row r="175" spans="1:36" s="136" customFormat="1" hidden="1" outlineLevel="1">
      <c r="A175" s="130"/>
      <c r="B175" s="131"/>
      <c r="C175" s="171"/>
      <c r="D175" s="171"/>
      <c r="E175" s="171"/>
      <c r="F175" s="171"/>
      <c r="G175" s="171"/>
      <c r="H175" s="133"/>
      <c r="I175" s="133"/>
      <c r="J175" s="133"/>
      <c r="K175" s="133"/>
      <c r="L175" s="133"/>
      <c r="M175" s="133"/>
      <c r="N175" s="133"/>
      <c r="O175" s="133"/>
      <c r="P175" s="133"/>
      <c r="Q175" s="133"/>
      <c r="R175" s="133"/>
      <c r="S175" s="133"/>
      <c r="T175" s="132"/>
      <c r="AA175"/>
      <c r="AB175"/>
      <c r="AC175"/>
      <c r="AD175"/>
      <c r="AE175"/>
      <c r="AF175"/>
      <c r="AJ175" s="142"/>
    </row>
    <row r="176" spans="1:36" s="136" customFormat="1" hidden="1" outlineLevel="1">
      <c r="A176" s="130"/>
      <c r="B176" s="131"/>
      <c r="C176" s="171"/>
      <c r="D176" s="171"/>
      <c r="E176" s="171"/>
      <c r="F176" s="171"/>
      <c r="G176" s="171"/>
      <c r="H176" s="133"/>
      <c r="I176" s="133"/>
      <c r="J176" s="133"/>
      <c r="K176" s="133"/>
      <c r="L176" s="133"/>
      <c r="M176" s="133"/>
      <c r="N176" s="133"/>
      <c r="O176" s="133"/>
      <c r="P176" s="133"/>
      <c r="Q176" s="133"/>
      <c r="R176" s="133"/>
      <c r="S176" s="133"/>
      <c r="T176" s="132"/>
      <c r="AA176"/>
      <c r="AB176"/>
      <c r="AC176"/>
      <c r="AD176"/>
      <c r="AE176"/>
      <c r="AF176"/>
      <c r="AJ176" s="142"/>
    </row>
    <row r="177" spans="1:36" s="136" customFormat="1" hidden="1" outlineLevel="1">
      <c r="A177" s="130"/>
      <c r="B177" s="131"/>
      <c r="C177" s="132"/>
      <c r="D177" s="132"/>
      <c r="E177" s="132"/>
      <c r="F177" s="132"/>
      <c r="G177" s="132"/>
      <c r="H177" s="133"/>
      <c r="I177" s="133"/>
      <c r="J177" s="133"/>
      <c r="K177" s="133"/>
      <c r="L177" s="133"/>
      <c r="M177" s="133"/>
      <c r="N177" s="133"/>
      <c r="O177" s="133"/>
      <c r="P177" s="133"/>
      <c r="Q177" s="133"/>
      <c r="R177" s="133"/>
      <c r="S177" s="133"/>
      <c r="AA177"/>
      <c r="AB177"/>
      <c r="AC177"/>
      <c r="AD177"/>
      <c r="AE177"/>
      <c r="AF177"/>
      <c r="AJ177" s="142"/>
    </row>
    <row r="178" spans="1:36" hidden="1" outlineLevel="1"/>
    <row r="179" spans="1:36" s="136" customFormat="1" hidden="1" outlineLevel="1">
      <c r="A179" s="130"/>
      <c r="B179" s="131"/>
      <c r="C179" s="132"/>
      <c r="D179" s="132"/>
      <c r="E179" s="132"/>
      <c r="F179" s="132"/>
      <c r="G179" s="132"/>
      <c r="H179" s="133"/>
      <c r="I179" s="133"/>
      <c r="J179" s="133"/>
      <c r="K179" s="133"/>
      <c r="L179" s="133"/>
      <c r="M179" s="133"/>
      <c r="N179" s="133"/>
      <c r="O179" s="133"/>
      <c r="P179" s="133"/>
      <c r="Q179" s="133"/>
      <c r="R179" s="133"/>
      <c r="S179" s="133"/>
      <c r="AA179"/>
      <c r="AB179"/>
      <c r="AC179"/>
      <c r="AD179"/>
      <c r="AE179"/>
      <c r="AF179"/>
      <c r="AJ179" s="142"/>
    </row>
    <row r="180" spans="1:36" s="136" customFormat="1" hidden="1" outlineLevel="1">
      <c r="A180" s="130"/>
      <c r="B180" s="131"/>
      <c r="C180" s="132"/>
      <c r="D180" s="132"/>
      <c r="E180" s="132"/>
      <c r="F180" s="132"/>
      <c r="G180" s="132"/>
      <c r="H180" s="133"/>
      <c r="I180" s="133"/>
      <c r="J180" s="133"/>
      <c r="K180" s="133"/>
      <c r="L180" s="133"/>
      <c r="M180" s="133"/>
      <c r="N180" s="133"/>
      <c r="O180" s="133"/>
      <c r="P180" s="133"/>
      <c r="Q180" s="133"/>
      <c r="R180" s="133"/>
      <c r="S180" s="133"/>
      <c r="AA180"/>
      <c r="AB180"/>
      <c r="AC180"/>
      <c r="AD180"/>
      <c r="AE180"/>
      <c r="AF180"/>
      <c r="AJ180" s="142"/>
    </row>
    <row r="181" spans="1:36" s="136" customFormat="1" hidden="1" outlineLevel="1">
      <c r="A181" s="130"/>
      <c r="B181" s="131"/>
      <c r="C181" s="132"/>
      <c r="D181" s="132"/>
      <c r="E181" s="132"/>
      <c r="F181" s="132"/>
      <c r="G181" s="132"/>
      <c r="H181" s="133"/>
      <c r="I181" s="133"/>
      <c r="J181" s="133"/>
      <c r="K181" s="133"/>
      <c r="L181" s="133"/>
      <c r="M181" s="133"/>
      <c r="N181" s="133"/>
      <c r="O181" s="133"/>
      <c r="P181" s="133"/>
      <c r="Q181" s="133"/>
      <c r="R181" s="133"/>
      <c r="S181" s="133"/>
      <c r="AA181"/>
      <c r="AB181"/>
      <c r="AC181"/>
      <c r="AD181"/>
      <c r="AE181"/>
      <c r="AF181"/>
      <c r="AJ181" s="142"/>
    </row>
    <row r="182" spans="1:36" s="136" customFormat="1" hidden="1" outlineLevel="1">
      <c r="A182" s="130"/>
      <c r="B182" s="131"/>
      <c r="C182" s="132"/>
      <c r="D182" s="132"/>
      <c r="E182" s="132"/>
      <c r="F182" s="132"/>
      <c r="G182" s="132"/>
      <c r="H182" s="133"/>
      <c r="I182" s="133"/>
      <c r="J182" s="133"/>
      <c r="K182" s="133"/>
      <c r="L182" s="133"/>
      <c r="M182" s="133"/>
      <c r="N182" s="133"/>
      <c r="O182" s="133"/>
      <c r="P182" s="133"/>
      <c r="Q182" s="133"/>
      <c r="R182" s="133"/>
      <c r="S182" s="133"/>
      <c r="AA182"/>
      <c r="AB182"/>
      <c r="AC182"/>
      <c r="AD182"/>
      <c r="AE182"/>
      <c r="AF182"/>
      <c r="AJ182" s="142"/>
    </row>
    <row r="183" spans="1:36" s="136" customFormat="1" hidden="1" outlineLevel="1">
      <c r="A183" s="130"/>
      <c r="B183" s="131"/>
      <c r="C183" s="132"/>
      <c r="D183" s="132"/>
      <c r="E183" s="132"/>
      <c r="F183" s="132"/>
      <c r="G183" s="132"/>
      <c r="H183" s="133"/>
      <c r="I183" s="133"/>
      <c r="J183" s="133"/>
      <c r="K183" s="133"/>
      <c r="L183" s="133"/>
      <c r="M183" s="133"/>
      <c r="N183" s="133"/>
      <c r="O183" s="133"/>
      <c r="P183" s="133"/>
      <c r="Q183" s="133"/>
      <c r="R183" s="133"/>
      <c r="S183" s="133"/>
      <c r="AA183"/>
      <c r="AB183"/>
      <c r="AC183"/>
      <c r="AD183"/>
      <c r="AE183"/>
      <c r="AF183"/>
      <c r="AJ183" s="142"/>
    </row>
    <row r="184" spans="1:36" s="340" customFormat="1" hidden="1" outlineLevel="1">
      <c r="A184" s="337">
        <v>1</v>
      </c>
      <c r="B184" s="338"/>
      <c r="C184" s="339"/>
      <c r="D184" s="339"/>
      <c r="E184" s="339"/>
      <c r="F184" s="339"/>
      <c r="G184" s="339"/>
      <c r="H184" s="339"/>
      <c r="I184" s="339"/>
      <c r="J184" s="339"/>
      <c r="K184" s="339"/>
      <c r="L184" s="339"/>
      <c r="M184" s="339"/>
      <c r="N184" s="339"/>
      <c r="O184" s="339"/>
      <c r="P184" s="339"/>
      <c r="AA184"/>
      <c r="AB184"/>
      <c r="AC184"/>
      <c r="AD184"/>
      <c r="AE184"/>
      <c r="AF184"/>
      <c r="AJ184" s="341"/>
    </row>
    <row r="185" spans="1:36" s="136" customFormat="1" collapsed="1">
      <c r="A185" s="130"/>
      <c r="B185" s="131"/>
      <c r="C185" s="132"/>
      <c r="D185" s="132"/>
      <c r="E185" s="132"/>
      <c r="F185" s="132"/>
      <c r="G185" s="132"/>
      <c r="H185" s="133"/>
      <c r="I185" s="133"/>
      <c r="J185" s="133"/>
      <c r="K185" s="133"/>
      <c r="L185" s="133"/>
      <c r="M185" s="133"/>
      <c r="N185" s="133"/>
      <c r="O185" s="133"/>
      <c r="P185" s="133"/>
      <c r="Q185" s="133"/>
      <c r="R185" s="133"/>
      <c r="S185" s="133"/>
      <c r="AA185"/>
      <c r="AB185"/>
      <c r="AC185"/>
      <c r="AD185"/>
      <c r="AE185"/>
      <c r="AF185"/>
      <c r="AJ185" s="142"/>
    </row>
    <row r="186" spans="1:36" s="136" customFormat="1">
      <c r="A186" s="130"/>
      <c r="B186" s="131"/>
      <c r="C186" s="132"/>
      <c r="D186" s="132"/>
      <c r="E186" s="132"/>
      <c r="F186" s="132"/>
      <c r="G186" s="132"/>
      <c r="H186" s="133"/>
      <c r="I186" s="133"/>
      <c r="J186" s="133"/>
      <c r="K186" s="133"/>
      <c r="L186" s="133"/>
      <c r="M186" s="133"/>
      <c r="N186" s="133"/>
      <c r="O186" s="133"/>
      <c r="P186" s="133"/>
      <c r="Q186" s="133"/>
      <c r="R186" s="133"/>
      <c r="S186" s="133"/>
      <c r="AA186"/>
      <c r="AB186"/>
      <c r="AC186"/>
      <c r="AD186"/>
      <c r="AE186"/>
      <c r="AF186"/>
      <c r="AJ186" s="142"/>
    </row>
    <row r="187" spans="1:36" s="136" customFormat="1" outlineLevel="1">
      <c r="A187" s="130"/>
      <c r="B187" s="131"/>
      <c r="C187" s="342" t="s">
        <v>570</v>
      </c>
      <c r="D187" s="132"/>
      <c r="E187" s="132"/>
      <c r="F187" s="132"/>
      <c r="G187" s="132"/>
      <c r="H187" s="343" t="str">
        <f t="shared" ref="H187:P187" si="86">H9</f>
        <v>1/2009</v>
      </c>
      <c r="I187" s="343" t="str">
        <f t="shared" si="86"/>
        <v>1/2010</v>
      </c>
      <c r="J187" s="343" t="str">
        <f t="shared" si="86"/>
        <v>1/2011</v>
      </c>
      <c r="K187" s="343" t="str">
        <f t="shared" si="86"/>
        <v>1/2012</v>
      </c>
      <c r="L187" s="343" t="str">
        <f t="shared" si="86"/>
        <v>1/2013</v>
      </c>
      <c r="M187" s="343" t="str">
        <f t="shared" si="86"/>
        <v>1/2014</v>
      </c>
      <c r="N187" s="343" t="str">
        <f t="shared" si="86"/>
        <v>1/2015</v>
      </c>
      <c r="O187" s="343" t="str">
        <f t="shared" si="86"/>
        <v>1/2016</v>
      </c>
      <c r="P187" s="343" t="str">
        <f t="shared" si="86"/>
        <v>1/2017</v>
      </c>
      <c r="Q187" s="344"/>
      <c r="R187" s="344"/>
      <c r="S187" s="344"/>
      <c r="T187" s="345"/>
      <c r="U187" s="345"/>
      <c r="V187" s="345"/>
      <c r="W187" s="345"/>
      <c r="X187" s="345"/>
      <c r="AA187"/>
      <c r="AB187"/>
      <c r="AC187"/>
      <c r="AD187"/>
      <c r="AE187"/>
      <c r="AF187"/>
      <c r="AJ187" s="142"/>
    </row>
    <row r="188" spans="1:36" s="136" customFormat="1" outlineLevel="1">
      <c r="A188" s="130"/>
      <c r="B188" s="131"/>
      <c r="C188" s="346" t="s">
        <v>571</v>
      </c>
      <c r="D188" s="132"/>
      <c r="E188" s="132"/>
      <c r="F188" s="132"/>
      <c r="G188" s="132"/>
      <c r="H188" s="133"/>
      <c r="I188" s="133"/>
      <c r="J188" s="133"/>
      <c r="K188" s="133"/>
      <c r="L188" s="133"/>
      <c r="M188" s="133"/>
      <c r="N188" s="133"/>
      <c r="O188" s="133"/>
      <c r="P188" s="133"/>
      <c r="Q188" s="133"/>
      <c r="R188" s="133"/>
      <c r="S188" s="133"/>
      <c r="AA188"/>
      <c r="AB188"/>
      <c r="AC188"/>
      <c r="AD188"/>
      <c r="AE188"/>
      <c r="AF188"/>
      <c r="AJ188" s="142"/>
    </row>
    <row r="189" spans="1:36" s="136" customFormat="1" outlineLevel="1">
      <c r="A189" s="130"/>
      <c r="B189" s="131"/>
      <c r="C189" s="132"/>
      <c r="D189" s="132"/>
      <c r="E189" s="132"/>
      <c r="F189" s="132"/>
      <c r="G189" s="132"/>
      <c r="H189" s="347"/>
      <c r="I189" s="347"/>
      <c r="J189" s="347"/>
      <c r="K189" s="347"/>
      <c r="L189" s="347"/>
      <c r="M189" s="347"/>
      <c r="N189" s="347"/>
      <c r="O189" s="347"/>
      <c r="P189" s="347"/>
      <c r="AA189"/>
      <c r="AB189"/>
      <c r="AC189"/>
      <c r="AD189"/>
      <c r="AE189"/>
      <c r="AF189"/>
    </row>
    <row r="190" spans="1:36" s="136" customFormat="1" outlineLevel="1">
      <c r="A190" s="130"/>
      <c r="B190" s="131"/>
      <c r="C190" s="348" t="s">
        <v>572</v>
      </c>
      <c r="D190" s="348"/>
      <c r="E190" s="349"/>
      <c r="F190" s="132"/>
      <c r="G190" s="132"/>
      <c r="H190" s="350">
        <f>_xll.ThomsonONEAddinShim.SpreadsheetFormulas.TF(SedolTicker,$AJ$190,,H$5,$J$3)</f>
        <v>0</v>
      </c>
      <c r="I190" s="350">
        <f>_xll.ThomsonONEAddinShim.SpreadsheetFormulas.TF(SedolTicker,$AJ$190,,I$5,$J$3)</f>
        <v>0</v>
      </c>
      <c r="J190" s="350">
        <f>_xll.ThomsonONEAddinShim.SpreadsheetFormulas.TF(SedolTicker,$AJ$190,,J$5,$J$3)</f>
        <v>0</v>
      </c>
      <c r="K190" s="350">
        <f>_xll.ThomsonONEAddinShim.SpreadsheetFormulas.TF(SedolTicker,$AJ$190,,K$5,$J$3)</f>
        <v>0</v>
      </c>
      <c r="L190" s="350">
        <f>_xll.ThomsonONEAddinShim.SpreadsheetFormulas.TF(SedolTicker,$AJ$190,,L$5,$J$3)</f>
        <v>0</v>
      </c>
      <c r="M190" s="350">
        <f>_xll.ThomsonONEAddinShim.SpreadsheetFormulas.TF(SedolTicker,$AJ$190,,M$5,$J$3)</f>
        <v>0</v>
      </c>
      <c r="N190" s="350">
        <f>_xll.ThomsonONEAddinShim.SpreadsheetFormulas.TF(SedolTicker,$AJ$190,,N$5,$J$3)</f>
        <v>0</v>
      </c>
      <c r="O190" s="350">
        <f>_xll.ThomsonONEAddinShim.SpreadsheetFormulas.TF(SedolTicker,$AJ$190,,O$5,$J$3)</f>
        <v>7.2999999999999995E-2</v>
      </c>
      <c r="P190" s="350">
        <f>_xll.ThomsonONEAddinShim.SpreadsheetFormulas.TF(SedolTicker,$AJ$190,,P$5,$J$3)</f>
        <v>6.8000000000000005E-2</v>
      </c>
      <c r="Q190" s="351"/>
      <c r="R190" s="351"/>
      <c r="S190" s="351"/>
      <c r="T190" s="351"/>
      <c r="U190" s="351"/>
      <c r="W190" s="351"/>
      <c r="X190" s="351"/>
      <c r="Y190" s="351"/>
      <c r="Z190" s="351"/>
      <c r="AA190"/>
      <c r="AB190"/>
      <c r="AC190"/>
      <c r="AD190"/>
      <c r="AE190"/>
      <c r="AF190"/>
      <c r="AJ190" s="352" t="s">
        <v>505</v>
      </c>
    </row>
    <row r="191" spans="1:36" s="136" customFormat="1" outlineLevel="1">
      <c r="A191" s="130"/>
      <c r="B191" s="131"/>
      <c r="C191" s="348" t="s">
        <v>573</v>
      </c>
      <c r="D191" s="348"/>
      <c r="E191" s="349"/>
      <c r="F191" s="132"/>
      <c r="G191" s="132"/>
      <c r="H191" s="133"/>
      <c r="I191" s="350">
        <f>_xll.ThomsonONEAddinShim.SpreadsheetFormulas.TF(SedolTicker,$AJ$191,"dataDir=across",$I$5,$P$5,$J$3)</f>
        <v>0</v>
      </c>
      <c r="J191" s="350">
        <v>0</v>
      </c>
      <c r="K191" s="350">
        <v>8.0044113189136845E-2</v>
      </c>
      <c r="L191" s="350">
        <v>8.5254535603854181E-2</v>
      </c>
      <c r="M191" s="350">
        <v>8.9441493924106469E-2</v>
      </c>
      <c r="N191" s="350">
        <v>6.6972265029273628E-2</v>
      </c>
      <c r="O191" s="350">
        <v>4.5213426316192809E-2</v>
      </c>
      <c r="P191" s="350">
        <v>5.0665057249773562E-2</v>
      </c>
      <c r="Q191" s="351"/>
      <c r="R191" s="351"/>
      <c r="S191" s="351"/>
      <c r="T191" s="351"/>
      <c r="U191" s="351"/>
      <c r="W191" s="351"/>
      <c r="X191" s="351"/>
      <c r="Y191" s="351"/>
      <c r="Z191" s="351"/>
      <c r="AA191"/>
      <c r="AB191"/>
      <c r="AC191"/>
      <c r="AD191"/>
      <c r="AE191"/>
      <c r="AF191"/>
      <c r="AJ191" s="352" t="s">
        <v>507</v>
      </c>
    </row>
    <row r="192" spans="1:36" s="136" customFormat="1" outlineLevel="1">
      <c r="A192" s="130"/>
      <c r="B192" s="131"/>
      <c r="C192" s="353"/>
      <c r="D192" s="353"/>
      <c r="E192" s="354"/>
      <c r="F192" s="132"/>
      <c r="G192" s="132"/>
      <c r="H192" s="355"/>
      <c r="I192" s="355"/>
      <c r="J192" s="355"/>
      <c r="K192" s="355"/>
      <c r="L192" s="355"/>
      <c r="M192" s="355"/>
      <c r="N192" s="355"/>
      <c r="O192" s="355"/>
      <c r="P192" s="355"/>
      <c r="Q192" s="356"/>
      <c r="R192" s="356"/>
      <c r="S192" s="356"/>
      <c r="T192" s="356"/>
      <c r="U192" s="356"/>
      <c r="W192" s="356"/>
      <c r="X192" s="356"/>
      <c r="Y192" s="356"/>
      <c r="Z192" s="356"/>
      <c r="AA192"/>
      <c r="AB192"/>
      <c r="AC192"/>
      <c r="AD192"/>
      <c r="AE192"/>
      <c r="AF192"/>
      <c r="AJ192" s="356"/>
    </row>
    <row r="193" spans="1:39" s="136" customFormat="1" outlineLevel="1">
      <c r="A193" s="130"/>
      <c r="B193" s="131"/>
      <c r="C193" s="353"/>
      <c r="D193" s="353"/>
      <c r="E193" s="354"/>
      <c r="F193" s="132"/>
      <c r="G193" s="132"/>
      <c r="H193" s="355"/>
      <c r="I193" s="355"/>
      <c r="J193" s="355"/>
      <c r="K193" s="355"/>
      <c r="L193" s="355"/>
      <c r="M193" s="355"/>
      <c r="N193" s="355"/>
      <c r="O193" s="355"/>
      <c r="P193" s="355"/>
      <c r="Q193" s="356"/>
      <c r="R193" s="356"/>
      <c r="S193" s="356"/>
      <c r="T193" s="356"/>
      <c r="U193" s="356"/>
      <c r="W193" s="356"/>
      <c r="X193" s="356"/>
      <c r="Y193" s="356"/>
      <c r="Z193" s="356"/>
      <c r="AA193"/>
      <c r="AB193"/>
      <c r="AC193"/>
      <c r="AD193"/>
      <c r="AE193"/>
      <c r="AF193"/>
      <c r="AJ193" s="356"/>
    </row>
    <row r="194" spans="1:39" s="136" customFormat="1" outlineLevel="1">
      <c r="A194" s="130"/>
      <c r="B194" s="131"/>
      <c r="C194" s="348" t="s">
        <v>240</v>
      </c>
      <c r="D194" s="348"/>
      <c r="E194" s="349"/>
      <c r="F194" s="132"/>
      <c r="G194" s="132"/>
      <c r="H194" s="357" t="str">
        <f>_xll.ThomsonONEAddinShim.SpreadsheetFormulas.TF(SedolTicker,$AJ194,"dataDir=across",$J$3)</f>
        <v xml:space="preserve">               -     </v>
      </c>
      <c r="I194" s="357">
        <v>0</v>
      </c>
      <c r="J194" s="357">
        <v>99.308999999999997</v>
      </c>
      <c r="K194" s="357">
        <v>129.12100000000001</v>
      </c>
      <c r="L194" s="357">
        <v>113.92700000000001</v>
      </c>
      <c r="M194" s="357">
        <v>127.739</v>
      </c>
      <c r="N194" s="357">
        <v>83.745000000000005</v>
      </c>
      <c r="O194" s="357">
        <v>58.999000000000002</v>
      </c>
      <c r="P194" s="357">
        <v>56.161000000000001</v>
      </c>
      <c r="Q194" s="356"/>
      <c r="R194" s="356"/>
      <c r="S194" s="356"/>
      <c r="T194" s="356"/>
      <c r="U194" s="356"/>
      <c r="W194" s="356"/>
      <c r="X194" s="356"/>
      <c r="Y194" s="356"/>
      <c r="Z194" s="356"/>
      <c r="AA194"/>
      <c r="AB194"/>
      <c r="AC194"/>
      <c r="AD194"/>
      <c r="AE194"/>
      <c r="AF194"/>
      <c r="AJ194" s="358" t="s">
        <v>574</v>
      </c>
    </row>
    <row r="195" spans="1:39" outlineLevel="1">
      <c r="C195" s="348" t="s">
        <v>575</v>
      </c>
      <c r="D195" s="348"/>
      <c r="E195" s="349"/>
      <c r="F195" s="132"/>
      <c r="G195" s="132"/>
      <c r="H195" s="357" t="str">
        <f>_xll.ThomsonONEAddinShim.SpreadsheetFormulas.TF(SedolTicker,$AJ195,"dataDir=across",$J$3)</f>
        <v xml:space="preserve">               -     </v>
      </c>
      <c r="I195" s="357">
        <v>0</v>
      </c>
      <c r="J195" s="357">
        <v>0</v>
      </c>
      <c r="K195" s="357">
        <v>7.6589999999999998</v>
      </c>
      <c r="L195" s="357">
        <v>0.78400000000000003</v>
      </c>
      <c r="M195" s="357">
        <v>59.026000000000003</v>
      </c>
      <c r="N195" s="357">
        <v>1.167</v>
      </c>
      <c r="O195" s="357">
        <v>1.403</v>
      </c>
      <c r="P195" s="357">
        <v>1.6379999999999999</v>
      </c>
      <c r="Q195" s="356"/>
      <c r="R195" s="356"/>
      <c r="S195" s="356"/>
      <c r="T195" s="356"/>
      <c r="U195" s="356"/>
      <c r="V195" s="136"/>
      <c r="W195" s="356"/>
      <c r="X195" s="356"/>
      <c r="Y195" s="356"/>
      <c r="Z195" s="356"/>
      <c r="AG195" s="136"/>
      <c r="AH195" s="136"/>
      <c r="AI195" s="136"/>
      <c r="AJ195" s="358" t="s">
        <v>576</v>
      </c>
      <c r="AK195" s="136"/>
      <c r="AL195" s="136"/>
      <c r="AM195" s="136"/>
    </row>
    <row r="196" spans="1:39" outlineLevel="1">
      <c r="C196" s="348" t="s">
        <v>577</v>
      </c>
      <c r="D196" s="348"/>
      <c r="E196" s="349"/>
      <c r="H196" s="357" t="str">
        <f>_xll.ThomsonONEAddinShim.SpreadsheetFormulas.TF(SedolTicker,$AJ196,"dataDir=across",$J$3)</f>
        <v xml:space="preserve">               -     </v>
      </c>
      <c r="I196" s="357">
        <v>0</v>
      </c>
      <c r="J196" s="357">
        <v>0</v>
      </c>
      <c r="K196" s="357">
        <v>1605.4639999999999</v>
      </c>
      <c r="L196" s="357">
        <v>1335.5319999999999</v>
      </c>
      <c r="M196" s="357">
        <v>1369.1590000000001</v>
      </c>
      <c r="N196" s="357">
        <v>1249.2760000000001</v>
      </c>
      <c r="O196" s="357">
        <v>1303.4970000000001</v>
      </c>
      <c r="P196" s="357">
        <v>1106.838</v>
      </c>
      <c r="Q196" s="356"/>
      <c r="R196" s="356"/>
      <c r="S196" s="356"/>
      <c r="T196" s="356"/>
      <c r="U196" s="356"/>
      <c r="W196" s="356"/>
      <c r="X196" s="356"/>
      <c r="Y196" s="356"/>
      <c r="Z196" s="356"/>
      <c r="AJ196" s="358" t="s">
        <v>578</v>
      </c>
    </row>
    <row r="197" spans="1:39" outlineLevel="1">
      <c r="C197" s="348"/>
      <c r="D197" s="348"/>
      <c r="E197" s="349"/>
      <c r="H197" s="350"/>
      <c r="I197" s="359"/>
      <c r="J197" s="359"/>
      <c r="K197" s="359"/>
      <c r="L197" s="359"/>
      <c r="M197" s="359"/>
      <c r="N197" s="359"/>
      <c r="O197" s="359"/>
      <c r="P197" s="359"/>
      <c r="Q197" s="356"/>
      <c r="R197" s="356"/>
      <c r="S197" s="356"/>
      <c r="T197" s="356"/>
      <c r="U197" s="356"/>
      <c r="W197" s="356"/>
      <c r="X197" s="356"/>
      <c r="Y197" s="356"/>
      <c r="Z197" s="356"/>
      <c r="AJ197" s="358"/>
    </row>
    <row r="198" spans="1:39" s="208" customFormat="1">
      <c r="A198" s="201"/>
      <c r="B198" s="202"/>
      <c r="C198" s="348"/>
      <c r="D198" s="348"/>
      <c r="E198" s="349"/>
      <c r="F198" s="203"/>
      <c r="G198" s="203"/>
      <c r="H198" s="360"/>
      <c r="I198" s="361"/>
      <c r="J198" s="361"/>
      <c r="K198" s="361"/>
      <c r="L198" s="362"/>
      <c r="M198" s="362"/>
      <c r="N198" s="362"/>
      <c r="O198" s="362"/>
      <c r="P198" s="362"/>
      <c r="Q198" s="356"/>
      <c r="R198" s="356"/>
      <c r="S198" s="356"/>
      <c r="T198" s="356"/>
      <c r="U198" s="356"/>
      <c r="W198" s="356"/>
      <c r="X198" s="356"/>
      <c r="Y198" s="356"/>
      <c r="Z198" s="356"/>
      <c r="AA198"/>
      <c r="AB198"/>
      <c r="AC198"/>
      <c r="AD198"/>
      <c r="AE198"/>
      <c r="AF198"/>
      <c r="AJ198" s="356"/>
    </row>
    <row r="199" spans="1:39">
      <c r="C199" s="348"/>
      <c r="D199" s="348"/>
      <c r="E199" s="349"/>
      <c r="H199" s="363"/>
      <c r="I199" s="363"/>
      <c r="J199" s="363"/>
      <c r="K199" s="363"/>
      <c r="L199" s="363"/>
      <c r="M199" s="363"/>
      <c r="N199" s="363"/>
      <c r="O199" s="363"/>
      <c r="P199" s="363"/>
      <c r="Q199" s="356"/>
      <c r="R199" s="356"/>
      <c r="S199" s="356"/>
      <c r="T199" s="356"/>
      <c r="U199" s="356"/>
      <c r="W199" s="356"/>
      <c r="X199" s="356"/>
      <c r="Y199" s="356"/>
      <c r="Z199" s="356"/>
      <c r="AJ199" s="356"/>
    </row>
    <row r="200" spans="1:39">
      <c r="C200" s="348"/>
      <c r="D200" s="348"/>
      <c r="E200" s="349"/>
      <c r="H200" s="363"/>
      <c r="I200" s="363"/>
      <c r="J200" s="363"/>
      <c r="K200" s="363"/>
      <c r="L200" s="363"/>
      <c r="M200" s="363"/>
      <c r="N200" s="363"/>
      <c r="O200" s="363"/>
      <c r="P200" s="363"/>
      <c r="Q200" s="356"/>
      <c r="R200" s="356"/>
      <c r="S200" s="356"/>
      <c r="T200" s="356"/>
      <c r="U200" s="356"/>
      <c r="W200" s="356"/>
      <c r="X200" s="356"/>
      <c r="Y200" s="356"/>
      <c r="Z200" s="356"/>
      <c r="AJ200" s="356"/>
    </row>
    <row r="201" spans="1:39">
      <c r="C201" s="348"/>
      <c r="D201" s="348"/>
      <c r="E201" s="349"/>
      <c r="H201" s="363"/>
      <c r="I201" s="363"/>
      <c r="J201" s="363"/>
      <c r="K201" s="363"/>
      <c r="L201" s="363"/>
      <c r="M201" s="363"/>
      <c r="N201" s="363"/>
      <c r="O201" s="363"/>
      <c r="P201" s="363"/>
      <c r="Q201" s="356"/>
      <c r="R201" s="356"/>
      <c r="S201" s="356"/>
      <c r="T201" s="356"/>
      <c r="U201" s="356"/>
      <c r="W201" s="356"/>
      <c r="X201" s="356"/>
      <c r="Y201" s="356"/>
      <c r="Z201" s="356"/>
      <c r="AJ201" s="356"/>
    </row>
    <row r="202" spans="1:39" s="208" customFormat="1">
      <c r="A202" s="201"/>
      <c r="B202" s="202"/>
      <c r="C202" s="348"/>
      <c r="D202" s="348"/>
      <c r="E202" s="349"/>
      <c r="F202" s="203"/>
      <c r="G202" s="203"/>
      <c r="H202" s="360"/>
      <c r="I202" s="360"/>
      <c r="J202" s="360"/>
      <c r="K202" s="360"/>
      <c r="L202" s="360"/>
      <c r="M202" s="360"/>
      <c r="N202" s="360"/>
      <c r="O202" s="360"/>
      <c r="P202" s="360"/>
      <c r="Q202" s="356"/>
      <c r="R202" s="356"/>
      <c r="S202" s="356"/>
      <c r="T202" s="356"/>
      <c r="U202" s="356"/>
      <c r="V202" s="356"/>
      <c r="W202" s="356"/>
      <c r="X202" s="356"/>
      <c r="Y202" s="356"/>
      <c r="Z202" s="356"/>
      <c r="AA202"/>
      <c r="AB202"/>
      <c r="AC202"/>
      <c r="AD202"/>
      <c r="AE202"/>
      <c r="AF202"/>
      <c r="AJ202" s="209"/>
    </row>
    <row r="203" spans="1:39" s="208" customFormat="1">
      <c r="A203" s="201"/>
      <c r="B203" s="202"/>
      <c r="C203" s="348"/>
      <c r="D203" s="348"/>
      <c r="E203" s="349"/>
      <c r="F203" s="203"/>
      <c r="G203" s="203"/>
      <c r="H203" s="360"/>
      <c r="I203" s="360"/>
      <c r="J203" s="360"/>
      <c r="K203" s="360"/>
      <c r="L203" s="360"/>
      <c r="M203" s="360"/>
      <c r="N203" s="360"/>
      <c r="O203" s="360"/>
      <c r="P203" s="360"/>
      <c r="Q203" s="356"/>
      <c r="R203" s="356"/>
      <c r="S203" s="356"/>
      <c r="T203" s="356"/>
      <c r="U203" s="356"/>
      <c r="V203" s="356"/>
      <c r="W203" s="356"/>
      <c r="X203" s="356"/>
      <c r="Y203" s="356"/>
      <c r="Z203" s="356"/>
      <c r="AA203"/>
      <c r="AB203"/>
      <c r="AC203"/>
      <c r="AD203"/>
      <c r="AE203"/>
      <c r="AF203"/>
      <c r="AJ203" s="209"/>
    </row>
  </sheetData>
  <phoneticPr fontId="11" type="noConversion"/>
  <conditionalFormatting sqref="A44 C46">
    <cfRule type="cellIs" dxfId="7" priority="1" stopIfTrue="1" operator="equal">
      <formula>"A44=0"</formula>
    </cfRule>
  </conditionalFormatting>
  <conditionalFormatting sqref="H44:P44 I44:P45">
    <cfRule type="cellIs" dxfId="6"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53270" r:id="rId4" name="CommandButton2">
          <controlPr defaultSize="0" autoLine="0" r:id="rId5">
            <anchor moveWithCells="1">
              <from>
                <xdr:col>14</xdr:col>
                <xdr:colOff>485775</xdr:colOff>
                <xdr:row>1</xdr:row>
                <xdr:rowOff>57150</xdr:rowOff>
              </from>
              <to>
                <xdr:col>17</xdr:col>
                <xdr:colOff>600075</xdr:colOff>
                <xdr:row>3</xdr:row>
                <xdr:rowOff>19050</xdr:rowOff>
              </to>
            </anchor>
          </controlPr>
        </control>
      </mc:Choice>
      <mc:Fallback>
        <control shapeId="53270" r:id="rId4" name="CommandButton2"/>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pageSetUpPr fitToPage="1"/>
  </sheetPr>
  <dimension ref="A1:BB75"/>
  <sheetViews>
    <sheetView topLeftCell="A4" zoomScale="85" zoomScaleNormal="85" workbookViewId="0">
      <pane xSplit="2" ySplit="4" topLeftCell="C23" activePane="bottomRight" state="frozen"/>
      <selection activeCell="M45" sqref="M45"/>
      <selection pane="topRight" activeCell="M45" sqref="M45"/>
      <selection pane="bottomLeft" activeCell="M45" sqref="M45"/>
      <selection pane="bottomRight" activeCell="U65" sqref="U65"/>
    </sheetView>
  </sheetViews>
  <sheetFormatPr defaultRowHeight="12.75" outlineLevelRow="1" outlineLevelCol="1"/>
  <cols>
    <col min="1" max="1" width="2.28515625" customWidth="1"/>
    <col min="2" max="2" width="21.140625" customWidth="1"/>
    <col min="3" max="3" width="13.5703125" customWidth="1"/>
    <col min="4" max="4" width="12" customWidth="1" outlineLevel="1"/>
    <col min="5" max="5" width="10.140625" customWidth="1" outlineLevel="1"/>
    <col min="6" max="7" width="9.7109375" customWidth="1" outlineLevel="1"/>
    <col min="8" max="8" width="9.7109375" bestFit="1" customWidth="1"/>
    <col min="9" max="9" width="12" customWidth="1" outlineLevel="1"/>
    <col min="10" max="10" width="10.140625" customWidth="1" outlineLevel="1"/>
    <col min="11" max="12" width="9.7109375" customWidth="1" outlineLevel="1"/>
    <col min="13" max="13" width="9.7109375" bestFit="1" customWidth="1"/>
    <col min="14" max="17" width="9.7109375" customWidth="1" outlineLevel="1"/>
    <col min="18" max="21" width="9.7109375" bestFit="1" customWidth="1"/>
  </cols>
  <sheetData>
    <row r="1" spans="1:54" s="6" customFormat="1">
      <c r="A1" s="1" t="s">
        <v>441</v>
      </c>
      <c r="B1" s="1"/>
      <c r="Y1" s="9"/>
      <c r="AW1" s="31" t="s">
        <v>220</v>
      </c>
      <c r="AX1" s="31" t="s">
        <v>221</v>
      </c>
      <c r="AY1" s="31" t="s">
        <v>222</v>
      </c>
      <c r="AZ1" s="31" t="s">
        <v>223</v>
      </c>
      <c r="BA1" s="31" t="s">
        <v>224</v>
      </c>
      <c r="BB1" s="31" t="s">
        <v>225</v>
      </c>
    </row>
    <row r="2" spans="1:54" s="7" customFormat="1">
      <c r="A2" s="2" t="s">
        <v>323</v>
      </c>
      <c r="B2" s="2"/>
      <c r="Y2" s="76"/>
    </row>
    <row r="3" spans="1:54" s="14" customFormat="1">
      <c r="A3" s="95"/>
      <c r="B3" s="95"/>
      <c r="Y3" s="32"/>
    </row>
    <row r="4" spans="1:54" s="14" customFormat="1" ht="24.75" customHeight="1">
      <c r="A4" s="95"/>
      <c r="B4" s="2270" t="s">
        <v>337</v>
      </c>
      <c r="C4" s="2270"/>
      <c r="D4" s="2270"/>
      <c r="E4" s="2270"/>
      <c r="F4" s="2270"/>
      <c r="G4" s="2270"/>
      <c r="H4" s="2270"/>
      <c r="I4" s="2270"/>
      <c r="J4" s="2270"/>
      <c r="K4" s="2270"/>
      <c r="L4" s="2270"/>
      <c r="M4" s="2270"/>
      <c r="N4" s="2270"/>
      <c r="O4" s="2270"/>
      <c r="P4" s="2270"/>
      <c r="Q4" s="2270"/>
      <c r="R4" s="2270"/>
      <c r="S4" s="2270"/>
      <c r="T4" s="2270"/>
      <c r="U4" s="2270"/>
      <c r="Y4" s="32"/>
    </row>
    <row r="6" spans="1:54">
      <c r="C6" s="68" t="s">
        <v>310</v>
      </c>
      <c r="D6" s="68"/>
      <c r="E6" s="68"/>
      <c r="F6" s="68"/>
      <c r="G6" s="68"/>
      <c r="H6" s="68"/>
      <c r="I6" s="68"/>
      <c r="J6" s="68"/>
      <c r="K6" s="68"/>
      <c r="L6" s="68"/>
      <c r="M6" s="69"/>
      <c r="N6" s="69"/>
      <c r="O6" s="69"/>
      <c r="P6" s="69"/>
      <c r="Q6" s="69"/>
      <c r="R6" s="69"/>
      <c r="S6" s="69"/>
      <c r="T6" s="69"/>
      <c r="U6" s="69"/>
    </row>
    <row r="7" spans="1:54" s="63" customFormat="1">
      <c r="C7" s="83" t="s">
        <v>247</v>
      </c>
      <c r="D7" s="83" t="s">
        <v>247</v>
      </c>
      <c r="E7" s="83" t="s">
        <v>247</v>
      </c>
      <c r="F7" s="83" t="s">
        <v>247</v>
      </c>
      <c r="G7" s="83" t="s">
        <v>247</v>
      </c>
      <c r="H7" s="83" t="s">
        <v>611</v>
      </c>
      <c r="I7" s="83" t="s">
        <v>629</v>
      </c>
      <c r="J7" s="83" t="s">
        <v>632</v>
      </c>
      <c r="K7" s="83" t="s">
        <v>633</v>
      </c>
      <c r="L7" s="83" t="s">
        <v>625</v>
      </c>
      <c r="M7" s="83" t="s">
        <v>37</v>
      </c>
      <c r="N7" s="83" t="s">
        <v>630</v>
      </c>
      <c r="O7" s="83" t="s">
        <v>634</v>
      </c>
      <c r="P7" s="83" t="s">
        <v>635</v>
      </c>
      <c r="Q7" s="83" t="s">
        <v>636</v>
      </c>
      <c r="R7" s="83" t="s">
        <v>38</v>
      </c>
      <c r="S7" s="83" t="s">
        <v>244</v>
      </c>
      <c r="T7" s="83" t="s">
        <v>245</v>
      </c>
      <c r="U7" s="83" t="s">
        <v>341</v>
      </c>
    </row>
    <row r="8" spans="1:54" s="63" customFormat="1">
      <c r="C8" s="83"/>
      <c r="D8" s="83"/>
      <c r="E8" s="83"/>
      <c r="F8" s="83"/>
      <c r="G8" s="83"/>
      <c r="H8" s="83"/>
      <c r="I8" s="83"/>
      <c r="J8" s="83"/>
      <c r="K8" s="83"/>
      <c r="L8" s="83"/>
      <c r="M8" s="83"/>
      <c r="N8" s="83"/>
      <c r="O8" s="83"/>
      <c r="P8" s="83"/>
      <c r="Q8" s="83"/>
      <c r="R8" s="83"/>
      <c r="S8" s="83"/>
      <c r="T8" s="83"/>
      <c r="U8" s="83"/>
    </row>
    <row r="9" spans="1:54" s="63" customFormat="1">
      <c r="C9" s="83"/>
      <c r="D9" s="83"/>
      <c r="E9" s="83"/>
      <c r="F9" s="83"/>
      <c r="G9" s="83"/>
      <c r="H9" s="83"/>
      <c r="I9" s="83"/>
      <c r="J9" s="83"/>
      <c r="K9" s="83"/>
      <c r="L9" s="83"/>
      <c r="M9" s="83"/>
      <c r="N9" s="83"/>
      <c r="O9" s="83"/>
      <c r="P9" s="83"/>
      <c r="Q9" s="83"/>
      <c r="R9" s="83"/>
      <c r="S9" s="83"/>
      <c r="T9" s="83"/>
      <c r="U9" s="83"/>
    </row>
    <row r="10" spans="1:54">
      <c r="B10" s="1" t="s">
        <v>326</v>
      </c>
      <c r="C10" s="82"/>
      <c r="D10" s="82"/>
      <c r="I10" s="82"/>
    </row>
    <row r="11" spans="1:54">
      <c r="B11" s="17" t="s">
        <v>327</v>
      </c>
      <c r="C11" s="82"/>
      <c r="D11" s="82"/>
      <c r="H11" s="89">
        <v>42789</v>
      </c>
      <c r="I11" s="82"/>
      <c r="M11" s="89">
        <v>44421</v>
      </c>
      <c r="N11" s="89"/>
      <c r="O11" s="89"/>
      <c r="P11" s="89"/>
      <c r="Q11" s="89"/>
    </row>
    <row r="12" spans="1:54">
      <c r="B12" s="17" t="s">
        <v>331</v>
      </c>
      <c r="C12" s="82"/>
      <c r="D12" s="82"/>
      <c r="H12" s="84">
        <v>1000000</v>
      </c>
      <c r="I12" s="82"/>
      <c r="M12" s="84">
        <v>1200000</v>
      </c>
      <c r="N12" s="84"/>
      <c r="O12" s="84"/>
      <c r="P12" s="84"/>
      <c r="Q12" s="84"/>
      <c r="W12" s="17"/>
    </row>
    <row r="13" spans="1:54" ht="3" customHeight="1">
      <c r="B13" s="17"/>
      <c r="C13" s="82"/>
      <c r="D13" s="82"/>
      <c r="H13" s="77"/>
      <c r="I13" s="82"/>
    </row>
    <row r="14" spans="1:54">
      <c r="B14" t="s">
        <v>325</v>
      </c>
      <c r="C14" s="82"/>
      <c r="D14" s="91">
        <f>C16</f>
        <v>863084</v>
      </c>
      <c r="E14" s="81">
        <f>D16</f>
        <v>863600</v>
      </c>
      <c r="F14" s="81">
        <f>E16</f>
        <v>862000</v>
      </c>
      <c r="G14" s="81">
        <f>F16</f>
        <v>860400</v>
      </c>
      <c r="H14" s="81">
        <f>C16</f>
        <v>863084</v>
      </c>
      <c r="I14" s="91">
        <f>H16</f>
        <v>828839</v>
      </c>
      <c r="J14" s="81">
        <f>I16</f>
        <v>825369</v>
      </c>
      <c r="K14" s="81">
        <f>J16</f>
        <v>825828</v>
      </c>
      <c r="L14" s="81">
        <f>K16</f>
        <v>1191194</v>
      </c>
      <c r="M14" s="81">
        <f>H16</f>
        <v>828839</v>
      </c>
      <c r="N14" s="81">
        <f t="shared" ref="N14:U14" si="0">M16</f>
        <v>1161541</v>
      </c>
      <c r="O14" s="81">
        <f t="shared" si="0"/>
        <v>1111977</v>
      </c>
      <c r="P14" s="81">
        <f t="shared" si="0"/>
        <v>1111977</v>
      </c>
      <c r="Q14" s="81">
        <f t="shared" si="0"/>
        <v>1111977</v>
      </c>
      <c r="R14" s="81">
        <f t="shared" si="0"/>
        <v>1111977</v>
      </c>
      <c r="S14" s="81">
        <f t="shared" si="0"/>
        <v>1111977</v>
      </c>
      <c r="T14" s="81">
        <f t="shared" si="0"/>
        <v>1111977</v>
      </c>
      <c r="U14" s="81">
        <f t="shared" si="0"/>
        <v>1011977</v>
      </c>
    </row>
    <row r="15" spans="1:54">
      <c r="B15" s="414" t="s">
        <v>617</v>
      </c>
      <c r="D15" s="92">
        <f>D16-D14</f>
        <v>516</v>
      </c>
      <c r="E15" s="84">
        <v>-1600</v>
      </c>
      <c r="F15" s="84">
        <f>E15</f>
        <v>-1600</v>
      </c>
      <c r="G15" s="84">
        <v>-31561</v>
      </c>
      <c r="H15" s="413">
        <f>SUM(D15:G15)</f>
        <v>-34245</v>
      </c>
      <c r="I15" s="84">
        <v>-3470</v>
      </c>
      <c r="J15" s="84">
        <v>459</v>
      </c>
      <c r="K15" s="81">
        <f>K16-K14</f>
        <v>365366</v>
      </c>
      <c r="L15" s="84">
        <v>-29653</v>
      </c>
      <c r="M15" s="92">
        <f>SUM(I15:L15)</f>
        <v>332702</v>
      </c>
      <c r="N15" s="92">
        <v>-49564</v>
      </c>
      <c r="O15" s="92">
        <v>0</v>
      </c>
      <c r="P15" s="92">
        <v>0</v>
      </c>
      <c r="Q15" s="92">
        <v>0</v>
      </c>
      <c r="R15" s="84">
        <v>0</v>
      </c>
      <c r="S15" s="84">
        <v>0</v>
      </c>
      <c r="T15" s="84">
        <v>-100000</v>
      </c>
      <c r="U15" s="84">
        <v>-150000</v>
      </c>
      <c r="V15" s="94"/>
    </row>
    <row r="16" spans="1:54">
      <c r="B16" t="s">
        <v>324</v>
      </c>
      <c r="C16" s="84">
        <v>863084</v>
      </c>
      <c r="D16" s="84">
        <v>863600</v>
      </c>
      <c r="E16" s="81">
        <f t="shared" ref="E16:U16" si="1">SUM(E14:E15)</f>
        <v>862000</v>
      </c>
      <c r="F16" s="81">
        <f t="shared" si="1"/>
        <v>860400</v>
      </c>
      <c r="G16" s="81">
        <f>SUM(G14:G15)</f>
        <v>828839</v>
      </c>
      <c r="H16" s="81">
        <f t="shared" si="1"/>
        <v>828839</v>
      </c>
      <c r="I16" s="81">
        <f t="shared" si="1"/>
        <v>825369</v>
      </c>
      <c r="J16" s="81">
        <f>SUM(J14:J15)</f>
        <v>825828</v>
      </c>
      <c r="K16" s="84">
        <v>1191194</v>
      </c>
      <c r="L16" s="81">
        <f>SUM(L14:L15)</f>
        <v>1161541</v>
      </c>
      <c r="M16" s="81">
        <f t="shared" si="1"/>
        <v>1161541</v>
      </c>
      <c r="N16" s="81">
        <f>SUM(N14:N15)</f>
        <v>1111977</v>
      </c>
      <c r="O16" s="81">
        <f>SUM(O14:O15)</f>
        <v>1111977</v>
      </c>
      <c r="P16" s="81">
        <f>SUM(P14:P15)</f>
        <v>1111977</v>
      </c>
      <c r="Q16" s="81">
        <f>SUM(Q14:Q15)</f>
        <v>1111977</v>
      </c>
      <c r="R16" s="81">
        <f t="shared" si="1"/>
        <v>1111977</v>
      </c>
      <c r="S16" s="81">
        <f t="shared" si="1"/>
        <v>1111977</v>
      </c>
      <c r="T16" s="81">
        <f t="shared" si="1"/>
        <v>1011977</v>
      </c>
      <c r="U16" s="81">
        <f t="shared" si="1"/>
        <v>861977</v>
      </c>
    </row>
    <row r="17" spans="2:21" ht="3" customHeight="1">
      <c r="B17" s="17"/>
      <c r="H17" s="77"/>
      <c r="R17" s="88"/>
      <c r="S17" s="88"/>
      <c r="T17" s="88"/>
      <c r="U17" s="88"/>
    </row>
    <row r="18" spans="2:21">
      <c r="B18" s="85" t="s">
        <v>328</v>
      </c>
      <c r="D18" s="86">
        <v>5.5E-2</v>
      </c>
      <c r="E18" s="88">
        <f>D18</f>
        <v>5.5E-2</v>
      </c>
      <c r="F18" s="88">
        <f>E18</f>
        <v>5.5E-2</v>
      </c>
      <c r="G18" s="88">
        <f>F18</f>
        <v>5.5E-2</v>
      </c>
      <c r="H18" s="86">
        <v>4.2999999999999997E-2</v>
      </c>
      <c r="I18" s="88">
        <f>H18</f>
        <v>4.2999999999999997E-2</v>
      </c>
      <c r="J18" s="88">
        <v>4.2500000000000003E-2</v>
      </c>
      <c r="K18" s="86">
        <v>4.2500000000000003E-2</v>
      </c>
      <c r="L18" s="88">
        <f>K18</f>
        <v>4.2500000000000003E-2</v>
      </c>
      <c r="M18" s="86">
        <v>4.2500000000000003E-2</v>
      </c>
      <c r="N18" s="86">
        <v>4.2999999999999997E-2</v>
      </c>
      <c r="O18" s="86">
        <v>4.2999999999999997E-2</v>
      </c>
      <c r="P18" s="86">
        <v>4.2999999999999997E-2</v>
      </c>
      <c r="Q18" s="86">
        <v>4.2999999999999997E-2</v>
      </c>
      <c r="R18" s="88">
        <f>M18</f>
        <v>4.2500000000000003E-2</v>
      </c>
      <c r="S18" s="88">
        <f>R18</f>
        <v>4.2500000000000003E-2</v>
      </c>
      <c r="T18" s="88">
        <f>R18</f>
        <v>4.2500000000000003E-2</v>
      </c>
      <c r="U18" s="88">
        <f>S18</f>
        <v>4.2500000000000003E-2</v>
      </c>
    </row>
    <row r="19" spans="2:21">
      <c r="B19" s="79" t="s">
        <v>240</v>
      </c>
      <c r="C19" s="87"/>
      <c r="D19" s="87">
        <f>D18*D16/4</f>
        <v>11874.5</v>
      </c>
      <c r="E19" s="87">
        <f>E18*E16/4</f>
        <v>11852.5</v>
      </c>
      <c r="F19" s="87">
        <f>F18*F16/4</f>
        <v>11830.5</v>
      </c>
      <c r="G19" s="87">
        <f>G18*G16/4</f>
        <v>11396.536249999999</v>
      </c>
      <c r="H19" s="87">
        <f>SUM(D19:G19)</f>
        <v>46954.036249999997</v>
      </c>
      <c r="I19" s="87">
        <f>I18/4*AVERAGE(I16,I14)</f>
        <v>8891.3679999999986</v>
      </c>
      <c r="J19" s="87">
        <f>J18/4*AVERAGE(J16,J14)</f>
        <v>8771.9840625000015</v>
      </c>
      <c r="K19" s="87">
        <f>K18/4*AVERAGE(K16,K14)</f>
        <v>10715.429375000002</v>
      </c>
      <c r="L19" s="87">
        <f>L18*L16/4</f>
        <v>12341.373125</v>
      </c>
      <c r="M19" s="87">
        <f>SUM(I19:L19)</f>
        <v>40720.1545625</v>
      </c>
      <c r="N19" s="87">
        <f>N18/4*AVERAGE(N16,N14)</f>
        <v>12220.159249999999</v>
      </c>
      <c r="O19" s="87">
        <f>O18/4*AVERAGE(O16,O14)</f>
        <v>11953.75275</v>
      </c>
      <c r="P19" s="87">
        <f>P18/4*AVERAGE(P16,P14)</f>
        <v>11953.75275</v>
      </c>
      <c r="Q19" s="87">
        <f>Q18/4*AVERAGE(Q16,Q14)</f>
        <v>11953.75275</v>
      </c>
      <c r="R19" s="87">
        <f>SUM(N19:Q19)</f>
        <v>48081.417499999996</v>
      </c>
      <c r="S19" s="87">
        <f>S18*S16</f>
        <v>47259.022500000006</v>
      </c>
      <c r="T19" s="87">
        <f>T18*T16</f>
        <v>43009.022500000006</v>
      </c>
      <c r="U19" s="87">
        <f>U18*U16</f>
        <v>36634.022499999999</v>
      </c>
    </row>
    <row r="20" spans="2:21">
      <c r="G20" s="81"/>
      <c r="H20" s="81"/>
    </row>
    <row r="21" spans="2:21">
      <c r="B21" s="1" t="s">
        <v>612</v>
      </c>
      <c r="C21" s="82"/>
      <c r="D21" s="82"/>
      <c r="I21" s="82"/>
    </row>
    <row r="22" spans="2:21">
      <c r="B22" s="17" t="s">
        <v>327</v>
      </c>
      <c r="C22" s="82"/>
      <c r="D22" s="82"/>
      <c r="H22" s="89">
        <v>43511</v>
      </c>
      <c r="I22" s="82"/>
    </row>
    <row r="23" spans="2:21" ht="3" customHeight="1">
      <c r="B23" s="17"/>
      <c r="C23" s="82"/>
      <c r="D23" s="82"/>
      <c r="H23" s="77"/>
      <c r="I23" s="82"/>
    </row>
    <row r="24" spans="2:21">
      <c r="B24" t="s">
        <v>325</v>
      </c>
      <c r="C24" s="82"/>
      <c r="D24" s="91">
        <f>C26</f>
        <v>450000</v>
      </c>
      <c r="E24" s="81">
        <f>D26</f>
        <v>450000</v>
      </c>
      <c r="F24" s="81">
        <f>E26</f>
        <v>450000</v>
      </c>
      <c r="G24" s="81">
        <f>F26</f>
        <v>450000</v>
      </c>
      <c r="H24" s="81">
        <f>C26</f>
        <v>450000</v>
      </c>
      <c r="I24" s="91">
        <f>H26</f>
        <v>450000</v>
      </c>
      <c r="J24" s="81">
        <f>I26</f>
        <v>450000</v>
      </c>
      <c r="K24" s="81">
        <f>J26</f>
        <v>450000</v>
      </c>
      <c r="L24" s="81">
        <f>K26</f>
        <v>0</v>
      </c>
      <c r="M24" s="81">
        <f>H26</f>
        <v>450000</v>
      </c>
      <c r="N24" s="81">
        <f t="shared" ref="N24:U24" si="2">M26</f>
        <v>0</v>
      </c>
      <c r="O24" s="81">
        <f t="shared" si="2"/>
        <v>0</v>
      </c>
      <c r="P24" s="81">
        <f t="shared" si="2"/>
        <v>0</v>
      </c>
      <c r="Q24" s="81">
        <f t="shared" si="2"/>
        <v>0</v>
      </c>
      <c r="R24" s="81">
        <f t="shared" si="2"/>
        <v>0</v>
      </c>
      <c r="S24" s="81">
        <f t="shared" si="2"/>
        <v>0</v>
      </c>
      <c r="T24" s="81">
        <f t="shared" si="2"/>
        <v>0</v>
      </c>
      <c r="U24" s="81">
        <f t="shared" si="2"/>
        <v>0</v>
      </c>
    </row>
    <row r="25" spans="2:21">
      <c r="B25" s="85" t="s">
        <v>329</v>
      </c>
      <c r="D25" s="84">
        <v>0</v>
      </c>
      <c r="E25" s="84">
        <v>0</v>
      </c>
      <c r="F25" s="84">
        <v>0</v>
      </c>
      <c r="G25" s="84">
        <v>0</v>
      </c>
      <c r="H25" s="413">
        <f>SUM(D25:G25)</f>
        <v>0</v>
      </c>
      <c r="I25" s="84">
        <v>0</v>
      </c>
      <c r="J25" s="84">
        <v>0</v>
      </c>
      <c r="K25" s="84">
        <v>-450000</v>
      </c>
      <c r="L25" s="84">
        <v>0</v>
      </c>
      <c r="M25" s="84">
        <f>SUM(I25:L25)</f>
        <v>-450000</v>
      </c>
      <c r="N25" s="84">
        <v>0</v>
      </c>
      <c r="O25" s="84">
        <v>0</v>
      </c>
      <c r="P25" s="84">
        <v>0</v>
      </c>
      <c r="Q25" s="84">
        <v>0</v>
      </c>
      <c r="R25" s="84">
        <v>0</v>
      </c>
      <c r="S25" s="84">
        <v>0</v>
      </c>
      <c r="T25" s="84">
        <v>0</v>
      </c>
      <c r="U25" s="84">
        <v>0</v>
      </c>
    </row>
    <row r="26" spans="2:21">
      <c r="B26" t="s">
        <v>324</v>
      </c>
      <c r="C26" s="84">
        <v>450000</v>
      </c>
      <c r="D26" s="81">
        <f t="shared" ref="D26:S26" si="3">SUM(D24:D25)</f>
        <v>450000</v>
      </c>
      <c r="E26" s="81">
        <f t="shared" si="3"/>
        <v>450000</v>
      </c>
      <c r="F26" s="81">
        <f t="shared" si="3"/>
        <v>450000</v>
      </c>
      <c r="G26" s="81">
        <f t="shared" si="3"/>
        <v>450000</v>
      </c>
      <c r="H26" s="81">
        <f t="shared" si="3"/>
        <v>450000</v>
      </c>
      <c r="I26" s="81">
        <f>SUM(I24:I25)</f>
        <v>450000</v>
      </c>
      <c r="J26" s="81">
        <f>SUM(J24:J25)</f>
        <v>450000</v>
      </c>
      <c r="K26" s="81">
        <f>SUM(K24:K25)</f>
        <v>0</v>
      </c>
      <c r="L26" s="81">
        <f>SUM(L24:L25)</f>
        <v>0</v>
      </c>
      <c r="M26" s="81">
        <f t="shared" si="3"/>
        <v>0</v>
      </c>
      <c r="N26" s="81">
        <v>0</v>
      </c>
      <c r="O26" s="81">
        <v>0</v>
      </c>
      <c r="P26" s="81">
        <v>0</v>
      </c>
      <c r="Q26" s="81">
        <v>0</v>
      </c>
      <c r="R26" s="81">
        <f t="shared" si="3"/>
        <v>0</v>
      </c>
      <c r="S26" s="81">
        <f t="shared" si="3"/>
        <v>0</v>
      </c>
      <c r="T26" s="81">
        <f>SUM(T24:T25)</f>
        <v>0</v>
      </c>
      <c r="U26" s="81">
        <f>SUM(U24:U25)</f>
        <v>0</v>
      </c>
    </row>
    <row r="27" spans="2:21" ht="3" customHeight="1">
      <c r="B27" s="17"/>
      <c r="C27" s="82"/>
      <c r="D27" s="82"/>
      <c r="H27" s="77"/>
      <c r="I27" s="82"/>
      <c r="N27">
        <v>0</v>
      </c>
      <c r="O27">
        <v>0</v>
      </c>
      <c r="P27">
        <v>0</v>
      </c>
      <c r="Q27">
        <v>0</v>
      </c>
    </row>
    <row r="28" spans="2:21">
      <c r="B28" s="85" t="s">
        <v>328</v>
      </c>
      <c r="C28" s="86">
        <v>0.1</v>
      </c>
      <c r="D28" s="88">
        <f>H28</f>
        <v>0.1</v>
      </c>
      <c r="E28" s="50">
        <v>0</v>
      </c>
      <c r="F28" s="88">
        <f>R28</f>
        <v>0.1</v>
      </c>
      <c r="G28" s="88">
        <v>0</v>
      </c>
      <c r="H28" s="88">
        <f>C28</f>
        <v>0.1</v>
      </c>
      <c r="I28" s="88">
        <f>M28</f>
        <v>0.1</v>
      </c>
      <c r="J28" s="50">
        <v>0</v>
      </c>
      <c r="K28" s="88">
        <f>W28</f>
        <v>0</v>
      </c>
      <c r="L28" s="88">
        <v>0</v>
      </c>
      <c r="M28" s="88">
        <f>H28</f>
        <v>0.1</v>
      </c>
      <c r="N28" s="88">
        <v>0</v>
      </c>
      <c r="O28" s="88">
        <v>0</v>
      </c>
      <c r="P28" s="88">
        <v>0</v>
      </c>
      <c r="Q28" s="88">
        <v>0</v>
      </c>
      <c r="R28" s="88">
        <f>M28</f>
        <v>0.1</v>
      </c>
      <c r="S28" s="88">
        <f>R28</f>
        <v>0.1</v>
      </c>
      <c r="T28" s="88">
        <f>S28</f>
        <v>0.1</v>
      </c>
      <c r="U28" s="88">
        <f>T28</f>
        <v>0.1</v>
      </c>
    </row>
    <row r="29" spans="2:21">
      <c r="B29" s="79" t="s">
        <v>240</v>
      </c>
      <c r="C29" s="87"/>
      <c r="D29" s="96">
        <f>D28*D26/2</f>
        <v>22500</v>
      </c>
      <c r="E29" s="87">
        <f>E28*E26/2</f>
        <v>0</v>
      </c>
      <c r="F29" s="87">
        <f>F28*F26/2</f>
        <v>22500</v>
      </c>
      <c r="G29" s="87">
        <f>G28*G26/2</f>
        <v>0</v>
      </c>
      <c r="H29" s="87">
        <f>AVERAGE(H24,H26)*H28</f>
        <v>45000</v>
      </c>
      <c r="I29" s="87">
        <f>AVERAGE(I24,I26)*I28</f>
        <v>45000</v>
      </c>
      <c r="J29" s="87">
        <f>J28*J26/2</f>
        <v>0</v>
      </c>
      <c r="K29" s="87">
        <f>AVERAGE(K24,K26)*K28</f>
        <v>0</v>
      </c>
      <c r="L29" s="87">
        <f>L28*L26/2</f>
        <v>0</v>
      </c>
      <c r="M29" s="87">
        <f>AVERAGE(M24,M26)*M28</f>
        <v>22500</v>
      </c>
      <c r="N29" s="87">
        <f>AVERAGE(N24,N26)*N28</f>
        <v>0</v>
      </c>
      <c r="O29" s="87">
        <f>AVERAGE(O24,O26)*O28</f>
        <v>0</v>
      </c>
      <c r="P29" s="87">
        <f>AVERAGE(P24,P26)*P28</f>
        <v>0</v>
      </c>
      <c r="Q29" s="87">
        <f>AVERAGE(Q24,Q26)*Q28</f>
        <v>0</v>
      </c>
      <c r="R29" s="87">
        <f>R28*R26</f>
        <v>0</v>
      </c>
      <c r="S29" s="87">
        <f>S28*S26</f>
        <v>0</v>
      </c>
      <c r="T29" s="87">
        <f>T28*T26</f>
        <v>0</v>
      </c>
      <c r="U29" s="87">
        <f>U28*U26</f>
        <v>0</v>
      </c>
    </row>
    <row r="31" spans="2:21">
      <c r="B31" s="1" t="s">
        <v>330</v>
      </c>
      <c r="C31" s="82"/>
      <c r="D31" s="82"/>
      <c r="I31" s="82"/>
    </row>
    <row r="32" spans="2:21">
      <c r="B32" s="17" t="s">
        <v>327</v>
      </c>
      <c r="C32" s="82"/>
      <c r="D32" s="82"/>
      <c r="H32" s="89">
        <v>42615</v>
      </c>
      <c r="I32" s="82"/>
    </row>
    <row r="33" spans="2:23">
      <c r="B33" s="17" t="s">
        <v>331</v>
      </c>
      <c r="C33" s="82"/>
      <c r="D33" s="82"/>
      <c r="H33" s="84">
        <v>600000</v>
      </c>
      <c r="I33" s="82"/>
      <c r="M33" s="84"/>
      <c r="N33" s="84"/>
      <c r="O33" s="84"/>
      <c r="P33" s="84"/>
      <c r="Q33" s="84"/>
    </row>
    <row r="34" spans="2:23" ht="3" customHeight="1">
      <c r="B34" s="17"/>
      <c r="C34" s="82"/>
      <c r="D34" s="82"/>
      <c r="H34" s="77"/>
      <c r="I34" s="82"/>
    </row>
    <row r="35" spans="2:23">
      <c r="B35" t="s">
        <v>325</v>
      </c>
      <c r="C35" s="82"/>
      <c r="D35" s="91">
        <f>C37</f>
        <v>0</v>
      </c>
      <c r="E35" s="81">
        <f>D37</f>
        <v>0</v>
      </c>
      <c r="F35" s="81">
        <f>E37</f>
        <v>15000</v>
      </c>
      <c r="G35" s="81">
        <f>F37</f>
        <v>114900</v>
      </c>
      <c r="H35" s="81">
        <f>C37</f>
        <v>0</v>
      </c>
      <c r="I35" s="91">
        <f>H37</f>
        <v>0</v>
      </c>
      <c r="J35" s="81">
        <f>I37</f>
        <v>0</v>
      </c>
      <c r="K35" s="81">
        <f>J37</f>
        <v>0</v>
      </c>
      <c r="L35" s="81">
        <f>K37</f>
        <v>205200</v>
      </c>
      <c r="M35" s="81">
        <f>H37</f>
        <v>0</v>
      </c>
      <c r="N35" s="81">
        <f t="shared" ref="N35:T35" si="4">M37</f>
        <v>63300</v>
      </c>
      <c r="O35" s="81">
        <f t="shared" si="4"/>
        <v>180000</v>
      </c>
      <c r="P35" s="81">
        <f t="shared" si="4"/>
        <v>180000</v>
      </c>
      <c r="Q35" s="81">
        <f t="shared" si="4"/>
        <v>180000</v>
      </c>
      <c r="R35" s="81">
        <f t="shared" si="4"/>
        <v>180000</v>
      </c>
      <c r="S35" s="81">
        <f t="shared" si="4"/>
        <v>50000</v>
      </c>
      <c r="T35" s="81">
        <f t="shared" si="4"/>
        <v>-25000</v>
      </c>
      <c r="U35" s="81">
        <v>0</v>
      </c>
    </row>
    <row r="36" spans="2:23">
      <c r="B36" s="85" t="s">
        <v>329</v>
      </c>
      <c r="D36" s="84">
        <v>0</v>
      </c>
      <c r="E36" s="84">
        <v>15000</v>
      </c>
      <c r="F36" s="84">
        <v>99900</v>
      </c>
      <c r="G36" s="84">
        <v>-114900</v>
      </c>
      <c r="H36" s="84">
        <v>0</v>
      </c>
      <c r="I36" s="84">
        <v>0</v>
      </c>
      <c r="J36" s="84">
        <v>0</v>
      </c>
      <c r="K36" s="84">
        <v>205200</v>
      </c>
      <c r="L36" s="84">
        <v>-141900</v>
      </c>
      <c r="M36" s="92">
        <f>SUM(I36:L36)</f>
        <v>63300</v>
      </c>
      <c r="N36" s="92">
        <v>116700</v>
      </c>
      <c r="O36" s="92">
        <v>0</v>
      </c>
      <c r="P36" s="92">
        <v>0</v>
      </c>
      <c r="Q36" s="92">
        <v>0</v>
      </c>
      <c r="R36" s="84">
        <v>-130000</v>
      </c>
      <c r="S36" s="84">
        <v>-75000</v>
      </c>
      <c r="T36" s="84">
        <v>0</v>
      </c>
      <c r="U36" s="84">
        <v>0</v>
      </c>
    </row>
    <row r="37" spans="2:23">
      <c r="B37" t="s">
        <v>324</v>
      </c>
      <c r="C37" s="84">
        <v>0</v>
      </c>
      <c r="D37" s="81">
        <f t="shared" ref="D37:S37" si="5">SUM(D35:D36)</f>
        <v>0</v>
      </c>
      <c r="E37" s="81">
        <f t="shared" si="5"/>
        <v>15000</v>
      </c>
      <c r="F37" s="81">
        <f t="shared" si="5"/>
        <v>114900</v>
      </c>
      <c r="G37" s="81">
        <f t="shared" si="5"/>
        <v>0</v>
      </c>
      <c r="H37" s="81">
        <f t="shared" si="5"/>
        <v>0</v>
      </c>
      <c r="I37" s="81">
        <f>SUM(I35:I36)</f>
        <v>0</v>
      </c>
      <c r="J37" s="81">
        <f>SUM(J35:J36)</f>
        <v>0</v>
      </c>
      <c r="K37" s="81">
        <f>SUM(K35:K36)</f>
        <v>205200</v>
      </c>
      <c r="L37" s="81">
        <f>SUM(L35:L36)</f>
        <v>63300</v>
      </c>
      <c r="M37" s="81">
        <f t="shared" si="5"/>
        <v>63300</v>
      </c>
      <c r="N37" s="81">
        <f>SUM(N35:N36)</f>
        <v>180000</v>
      </c>
      <c r="O37" s="81">
        <f>SUM(O35:O36)</f>
        <v>180000</v>
      </c>
      <c r="P37" s="81">
        <f>SUM(P35:P36)</f>
        <v>180000</v>
      </c>
      <c r="Q37" s="81">
        <f>SUM(Q35:Q36)</f>
        <v>180000</v>
      </c>
      <c r="R37" s="81">
        <f t="shared" si="5"/>
        <v>50000</v>
      </c>
      <c r="S37" s="81">
        <f t="shared" si="5"/>
        <v>-25000</v>
      </c>
      <c r="T37" s="81">
        <v>0</v>
      </c>
      <c r="U37" s="81">
        <v>0</v>
      </c>
    </row>
    <row r="38" spans="2:23" ht="3" customHeight="1">
      <c r="B38" s="17"/>
      <c r="C38" s="82"/>
      <c r="D38" s="82"/>
      <c r="H38" s="77"/>
      <c r="I38" s="82"/>
    </row>
    <row r="39" spans="2:23">
      <c r="B39" s="85" t="s">
        <v>328</v>
      </c>
      <c r="C39" s="86">
        <v>2.1999999999999999E-2</v>
      </c>
      <c r="D39" s="86">
        <v>2.1999999999999999E-2</v>
      </c>
      <c r="E39" s="78">
        <f>F39</f>
        <v>2.1000000000000001E-2</v>
      </c>
      <c r="F39" s="78">
        <f>G39</f>
        <v>2.1000000000000001E-2</v>
      </c>
      <c r="G39" s="78">
        <f>H39</f>
        <v>2.1000000000000001E-2</v>
      </c>
      <c r="H39" s="88">
        <v>2.1000000000000001E-2</v>
      </c>
      <c r="I39" s="86">
        <v>1.9E-2</v>
      </c>
      <c r="J39" s="78">
        <f>I39</f>
        <v>1.9E-2</v>
      </c>
      <c r="K39" s="415">
        <v>1.7000000000000001E-2</v>
      </c>
      <c r="L39" s="78">
        <f>M39</f>
        <v>2.1000000000000001E-2</v>
      </c>
      <c r="M39" s="88">
        <f>H39</f>
        <v>2.1000000000000001E-2</v>
      </c>
      <c r="N39" s="88">
        <v>1.6E-2</v>
      </c>
      <c r="O39" s="88">
        <f>N39</f>
        <v>1.6E-2</v>
      </c>
      <c r="P39" s="88">
        <f>O39</f>
        <v>1.6E-2</v>
      </c>
      <c r="Q39" s="88">
        <f>P39</f>
        <v>1.6E-2</v>
      </c>
      <c r="R39" s="88">
        <f>M39</f>
        <v>2.1000000000000001E-2</v>
      </c>
      <c r="S39" s="88">
        <f>R39</f>
        <v>2.1000000000000001E-2</v>
      </c>
      <c r="T39" s="88">
        <f>S39</f>
        <v>2.1000000000000001E-2</v>
      </c>
      <c r="U39" s="88">
        <f>T39</f>
        <v>2.1000000000000001E-2</v>
      </c>
    </row>
    <row r="40" spans="2:23">
      <c r="B40" s="79" t="s">
        <v>240</v>
      </c>
      <c r="C40" s="87"/>
      <c r="D40" s="87">
        <f>D39*D37/4</f>
        <v>0</v>
      </c>
      <c r="E40" s="87">
        <f>E39*E37/4</f>
        <v>78.75</v>
      </c>
      <c r="F40" s="87">
        <f>F39*F37/4</f>
        <v>603.22500000000002</v>
      </c>
      <c r="G40" s="87">
        <f>G39*G37/4</f>
        <v>0</v>
      </c>
      <c r="H40" s="87">
        <f>SUM(D40:G40)</f>
        <v>681.97500000000002</v>
      </c>
      <c r="I40" s="87">
        <f>I39*I37/4</f>
        <v>0</v>
      </c>
      <c r="J40" s="87">
        <f>J39*J37/4</f>
        <v>0</v>
      </c>
      <c r="K40" s="87">
        <f>AVERAGE(K35,K37)*K39</f>
        <v>1744.2</v>
      </c>
      <c r="L40" s="87">
        <f>L39*L37/4</f>
        <v>332.32500000000005</v>
      </c>
      <c r="M40" s="87">
        <f>SUM(I40:L40)</f>
        <v>2076.5250000000001</v>
      </c>
      <c r="N40" s="87">
        <f>AVERAGE(N35,N37)*N39/4</f>
        <v>486.6</v>
      </c>
      <c r="O40" s="87">
        <f>AVERAGE(O35,O37)*O39/4</f>
        <v>720</v>
      </c>
      <c r="P40" s="87">
        <f>AVERAGE(P35,P37)*P39/4</f>
        <v>720</v>
      </c>
      <c r="Q40" s="87">
        <f>AVERAGE(Q35,Q37)*Q39/4</f>
        <v>720</v>
      </c>
      <c r="R40" s="87">
        <f>AVERAGE(R35,R37)*R39</f>
        <v>2415</v>
      </c>
      <c r="S40" s="87">
        <f>AVERAGE(S35,S37)*S39</f>
        <v>262.5</v>
      </c>
      <c r="T40" s="87">
        <f>AVERAGE(T35,T37)*T39</f>
        <v>-262.5</v>
      </c>
      <c r="U40" s="87">
        <f>AVERAGE(U35,U37)*U39</f>
        <v>0</v>
      </c>
    </row>
    <row r="41" spans="2:23">
      <c r="B41" t="s">
        <v>335</v>
      </c>
      <c r="D41" s="81">
        <f t="shared" ref="D41:N41" si="6">$H33-AVERAGE(D37,D35)</f>
        <v>600000</v>
      </c>
      <c r="E41" s="81">
        <f t="shared" si="6"/>
        <v>592500</v>
      </c>
      <c r="F41" s="81">
        <f t="shared" si="6"/>
        <v>535050</v>
      </c>
      <c r="G41" s="81">
        <f t="shared" si="6"/>
        <v>542550</v>
      </c>
      <c r="H41" s="81">
        <f t="shared" ref="H41:U41" si="7">$H33-AVERAGE(H37,H35)</f>
        <v>600000</v>
      </c>
      <c r="I41" s="81">
        <f t="shared" si="6"/>
        <v>600000</v>
      </c>
      <c r="J41" s="81">
        <f t="shared" si="6"/>
        <v>600000</v>
      </c>
      <c r="K41" s="81">
        <f t="shared" si="6"/>
        <v>497400</v>
      </c>
      <c r="L41" s="81">
        <f t="shared" si="6"/>
        <v>465750</v>
      </c>
      <c r="M41" s="81">
        <f t="shared" si="7"/>
        <v>568350</v>
      </c>
      <c r="N41" s="81">
        <f t="shared" si="6"/>
        <v>478350</v>
      </c>
      <c r="O41" s="81">
        <f t="shared" si="7"/>
        <v>420000</v>
      </c>
      <c r="P41" s="81">
        <f t="shared" si="7"/>
        <v>420000</v>
      </c>
      <c r="Q41" s="81">
        <f t="shared" si="7"/>
        <v>420000</v>
      </c>
      <c r="R41" s="81">
        <f t="shared" si="7"/>
        <v>485000</v>
      </c>
      <c r="S41" s="81">
        <f t="shared" si="7"/>
        <v>587500</v>
      </c>
      <c r="T41" s="81">
        <f t="shared" si="7"/>
        <v>612500</v>
      </c>
      <c r="U41" s="81">
        <f t="shared" si="7"/>
        <v>600000</v>
      </c>
    </row>
    <row r="42" spans="2:23">
      <c r="B42" t="s">
        <v>333</v>
      </c>
      <c r="C42" s="86">
        <v>3.7499999999999999E-3</v>
      </c>
      <c r="D42" s="88">
        <f>E42</f>
        <v>3.7499999999999999E-3</v>
      </c>
      <c r="E42" s="88">
        <f>F42</f>
        <v>3.7499999999999999E-3</v>
      </c>
      <c r="F42" s="88">
        <f>G42</f>
        <v>3.7499999999999999E-3</v>
      </c>
      <c r="G42" s="88">
        <f>H42</f>
        <v>3.7499999999999999E-3</v>
      </c>
      <c r="H42" s="88">
        <f>C42</f>
        <v>3.7499999999999999E-3</v>
      </c>
      <c r="I42" s="88">
        <f>J42</f>
        <v>3.7499999999999999E-3</v>
      </c>
      <c r="J42" s="88">
        <f>K42</f>
        <v>3.7499999999999999E-3</v>
      </c>
      <c r="K42" s="88">
        <f>L42</f>
        <v>3.7499999999999999E-3</v>
      </c>
      <c r="L42" s="88">
        <f>M42</f>
        <v>3.7499999999999999E-3</v>
      </c>
      <c r="M42" s="88">
        <f>H42</f>
        <v>3.7499999999999999E-3</v>
      </c>
      <c r="N42" s="88">
        <f>M42</f>
        <v>3.7499999999999999E-3</v>
      </c>
      <c r="O42" s="88">
        <f>N42</f>
        <v>3.7499999999999999E-3</v>
      </c>
      <c r="P42" s="88">
        <f>O42</f>
        <v>3.7499999999999999E-3</v>
      </c>
      <c r="Q42" s="88">
        <f>P42</f>
        <v>3.7499999999999999E-3</v>
      </c>
      <c r="R42" s="88">
        <f>M42</f>
        <v>3.7499999999999999E-3</v>
      </c>
      <c r="S42" s="88">
        <f>R42</f>
        <v>3.7499999999999999E-3</v>
      </c>
      <c r="T42" s="88">
        <f>S42</f>
        <v>3.7499999999999999E-3</v>
      </c>
      <c r="U42" s="88">
        <f>T42</f>
        <v>3.7499999999999999E-3</v>
      </c>
    </row>
    <row r="43" spans="2:23">
      <c r="B43" s="79" t="s">
        <v>334</v>
      </c>
      <c r="C43" s="87"/>
      <c r="D43" s="87">
        <f>D42*D41/4</f>
        <v>562.5</v>
      </c>
      <c r="E43" s="87">
        <f>E42*E41/4</f>
        <v>555.46875</v>
      </c>
      <c r="F43" s="87">
        <f>F42*F41/4</f>
        <v>501.609375</v>
      </c>
      <c r="G43" s="87">
        <f>G42*G41/4</f>
        <v>508.640625</v>
      </c>
      <c r="H43" s="87">
        <f>SUM(D43:G43)</f>
        <v>2128.21875</v>
      </c>
      <c r="I43" s="87">
        <f>I42*I41/4</f>
        <v>562.5</v>
      </c>
      <c r="J43" s="87">
        <f>J42*J41/4</f>
        <v>562.5</v>
      </c>
      <c r="K43" s="87">
        <f>K42*K41/4</f>
        <v>466.3125</v>
      </c>
      <c r="L43" s="87">
        <f>L42*L41/4</f>
        <v>436.640625</v>
      </c>
      <c r="M43" s="87">
        <f>M42*M41</f>
        <v>2131.3125</v>
      </c>
      <c r="N43" s="87">
        <f>N42*N41/4</f>
        <v>448.453125</v>
      </c>
      <c r="O43" s="87">
        <f>O42*O41/4</f>
        <v>393.75</v>
      </c>
      <c r="P43" s="87">
        <f>P42*P41/4</f>
        <v>393.75</v>
      </c>
      <c r="Q43" s="87">
        <f>Q42*Q41/4</f>
        <v>393.75</v>
      </c>
      <c r="R43" s="87">
        <f>R42*R41</f>
        <v>1818.75</v>
      </c>
      <c r="S43" s="87">
        <f>S42*S41</f>
        <v>2203.125</v>
      </c>
      <c r="T43" s="87">
        <f>T42*T41</f>
        <v>2296.875</v>
      </c>
      <c r="U43" s="87">
        <f>U42*U41</f>
        <v>2250</v>
      </c>
    </row>
    <row r="45" spans="2:23">
      <c r="B45" s="1" t="s">
        <v>332</v>
      </c>
      <c r="C45" s="82"/>
      <c r="D45" s="82"/>
      <c r="I45" s="82"/>
    </row>
    <row r="46" spans="2:23" ht="3" customHeight="1">
      <c r="B46" s="17"/>
      <c r="C46" s="82"/>
      <c r="D46" s="82"/>
      <c r="H46" s="77"/>
      <c r="I46" s="82"/>
    </row>
    <row r="47" spans="2:23">
      <c r="B47" t="s">
        <v>325</v>
      </c>
      <c r="C47" s="82"/>
      <c r="D47" s="81">
        <f>C49</f>
        <v>23232</v>
      </c>
      <c r="E47" s="81">
        <f>D49</f>
        <v>24500</v>
      </c>
      <c r="F47" s="81">
        <f>E49</f>
        <v>23600</v>
      </c>
      <c r="G47" s="81">
        <f>F49</f>
        <v>23800</v>
      </c>
      <c r="H47" s="81">
        <f>C49</f>
        <v>23232</v>
      </c>
      <c r="I47" s="81">
        <f>H49</f>
        <v>23199</v>
      </c>
      <c r="J47" s="81">
        <f>I49</f>
        <v>22959</v>
      </c>
      <c r="K47" s="81">
        <f>J49</f>
        <v>28015</v>
      </c>
      <c r="L47" s="81">
        <f>K49</f>
        <v>27719</v>
      </c>
      <c r="M47" s="81">
        <f>I47</f>
        <v>23199</v>
      </c>
      <c r="N47" s="81">
        <f t="shared" ref="N47:U47" si="8">M49</f>
        <v>25602</v>
      </c>
      <c r="O47" s="81">
        <f t="shared" si="8"/>
        <v>25255</v>
      </c>
      <c r="P47" s="81">
        <f t="shared" si="8"/>
        <v>24908</v>
      </c>
      <c r="Q47" s="81">
        <f t="shared" si="8"/>
        <v>24561</v>
      </c>
      <c r="R47" s="81">
        <f t="shared" si="8"/>
        <v>24214</v>
      </c>
      <c r="S47" s="81">
        <f t="shared" si="8"/>
        <v>22664</v>
      </c>
      <c r="T47" s="81">
        <f t="shared" si="8"/>
        <v>20794</v>
      </c>
      <c r="U47" s="81">
        <f t="shared" si="8"/>
        <v>18924</v>
      </c>
      <c r="W47" s="81"/>
    </row>
    <row r="48" spans="2:23">
      <c r="B48" s="85" t="s">
        <v>329</v>
      </c>
      <c r="D48" s="81">
        <f>D49-D47</f>
        <v>1268</v>
      </c>
      <c r="E48" s="84">
        <v>-900</v>
      </c>
      <c r="F48" s="84">
        <v>200</v>
      </c>
      <c r="G48" s="84">
        <v>-601</v>
      </c>
      <c r="H48" s="92">
        <f>+SUM(D48:G48)</f>
        <v>-33</v>
      </c>
      <c r="I48" s="84">
        <v>-240</v>
      </c>
      <c r="J48" s="84">
        <v>5056</v>
      </c>
      <c r="K48" s="84">
        <v>-296</v>
      </c>
      <c r="L48" s="416">
        <f>-2117</f>
        <v>-2117</v>
      </c>
      <c r="M48" s="413">
        <f>SUM(I48:L48)</f>
        <v>2403</v>
      </c>
      <c r="N48" s="413">
        <v>-347</v>
      </c>
      <c r="O48" s="413">
        <f>N48</f>
        <v>-347</v>
      </c>
      <c r="P48" s="413">
        <f>O48</f>
        <v>-347</v>
      </c>
      <c r="Q48" s="413">
        <f>P48</f>
        <v>-347</v>
      </c>
      <c r="R48" s="84">
        <v>-1550</v>
      </c>
      <c r="S48" s="84">
        <v>-1870</v>
      </c>
      <c r="T48" s="84">
        <v>-1870</v>
      </c>
      <c r="U48" s="84">
        <f>+T48</f>
        <v>-1870</v>
      </c>
    </row>
    <row r="49" spans="1:21">
      <c r="B49" t="s">
        <v>324</v>
      </c>
      <c r="C49" s="84">
        <v>23232</v>
      </c>
      <c r="D49" s="84">
        <v>24500</v>
      </c>
      <c r="E49" s="81">
        <f>SUM(E47:E48)</f>
        <v>23600</v>
      </c>
      <c r="F49" s="81">
        <f>SUM(F47:F48)</f>
        <v>23800</v>
      </c>
      <c r="G49" s="81">
        <f>SUM(G47:G48)</f>
        <v>23199</v>
      </c>
      <c r="H49" s="413">
        <f>SUM(H47:H48)</f>
        <v>23199</v>
      </c>
      <c r="I49" s="81">
        <f t="shared" ref="I49:U49" si="9">SUM(I47:I48)</f>
        <v>22959</v>
      </c>
      <c r="J49" s="81">
        <f t="shared" si="9"/>
        <v>28015</v>
      </c>
      <c r="K49" s="81">
        <f t="shared" si="9"/>
        <v>27719</v>
      </c>
      <c r="L49" s="81">
        <f>SUM(L47:L48)</f>
        <v>25602</v>
      </c>
      <c r="M49" s="81">
        <f t="shared" si="9"/>
        <v>25602</v>
      </c>
      <c r="N49" s="81">
        <f>SUM(N47:N48)</f>
        <v>25255</v>
      </c>
      <c r="O49" s="81">
        <f>SUM(O47:O48)</f>
        <v>24908</v>
      </c>
      <c r="P49" s="81">
        <f>SUM(P47:P48)</f>
        <v>24561</v>
      </c>
      <c r="Q49" s="81">
        <f>SUM(Q47:Q48)</f>
        <v>24214</v>
      </c>
      <c r="R49" s="81">
        <f t="shared" si="9"/>
        <v>22664</v>
      </c>
      <c r="S49" s="81">
        <f t="shared" si="9"/>
        <v>20794</v>
      </c>
      <c r="T49" s="81">
        <f t="shared" si="9"/>
        <v>18924</v>
      </c>
      <c r="U49" s="81">
        <f t="shared" si="9"/>
        <v>17054</v>
      </c>
    </row>
    <row r="50" spans="1:21" ht="3" customHeight="1">
      <c r="B50" s="17"/>
      <c r="C50" s="82"/>
      <c r="D50" s="82"/>
      <c r="H50" s="77"/>
      <c r="I50" s="82"/>
    </row>
    <row r="51" spans="1:21">
      <c r="B51" s="79" t="s">
        <v>240</v>
      </c>
      <c r="C51" s="87"/>
      <c r="D51" s="87">
        <f>H51/4</f>
        <v>500</v>
      </c>
      <c r="E51" s="87">
        <f>D51</f>
        <v>500</v>
      </c>
      <c r="F51" s="87">
        <f>E51</f>
        <v>500</v>
      </c>
      <c r="G51" s="87">
        <f>F51</f>
        <v>500</v>
      </c>
      <c r="H51" s="93">
        <v>2000</v>
      </c>
      <c r="I51" s="87">
        <f>M51/4</f>
        <v>450</v>
      </c>
      <c r="J51" s="87">
        <f>I51</f>
        <v>450</v>
      </c>
      <c r="K51" s="87">
        <f>J51</f>
        <v>450</v>
      </c>
      <c r="L51" s="87">
        <f>K51</f>
        <v>450</v>
      </c>
      <c r="M51" s="93">
        <v>1800</v>
      </c>
      <c r="N51" s="87">
        <f>L51</f>
        <v>450</v>
      </c>
      <c r="O51" s="833">
        <f>N51</f>
        <v>450</v>
      </c>
      <c r="P51" s="833">
        <f>O51</f>
        <v>450</v>
      </c>
      <c r="Q51" s="833">
        <f>P51</f>
        <v>450</v>
      </c>
      <c r="R51" s="93">
        <v>1800</v>
      </c>
      <c r="S51" s="93">
        <v>1700</v>
      </c>
      <c r="T51" s="93">
        <v>1800</v>
      </c>
      <c r="U51" s="93">
        <v>1500</v>
      </c>
    </row>
    <row r="52" spans="1:21">
      <c r="H52" s="81">
        <f>23199-H49</f>
        <v>0</v>
      </c>
    </row>
    <row r="53" spans="1:21">
      <c r="B53" s="1" t="s">
        <v>342</v>
      </c>
    </row>
    <row r="54" spans="1:21">
      <c r="B54" s="17" t="s">
        <v>327</v>
      </c>
      <c r="C54" s="82"/>
      <c r="D54" s="82"/>
      <c r="H54" s="89">
        <v>43146</v>
      </c>
    </row>
    <row r="55" spans="1:21">
      <c r="B55" s="17" t="s">
        <v>331</v>
      </c>
      <c r="C55" s="82"/>
      <c r="D55" s="82"/>
      <c r="H55" s="84">
        <v>350000</v>
      </c>
    </row>
    <row r="56" spans="1:21">
      <c r="B56" t="s">
        <v>325</v>
      </c>
      <c r="D56">
        <v>0</v>
      </c>
      <c r="E56" s="81">
        <f>D58</f>
        <v>350000</v>
      </c>
      <c r="F56" s="81">
        <f>E58</f>
        <v>343700</v>
      </c>
      <c r="G56" s="81">
        <f>F58</f>
        <v>173100</v>
      </c>
      <c r="H56" s="81">
        <f>D56</f>
        <v>0</v>
      </c>
      <c r="I56" s="81">
        <f>H58</f>
        <v>126147</v>
      </c>
      <c r="J56" s="81">
        <f>I58</f>
        <v>69156</v>
      </c>
      <c r="K56" s="81">
        <f>J58</f>
        <v>69226</v>
      </c>
      <c r="L56" s="81">
        <f>K58</f>
        <v>0</v>
      </c>
      <c r="M56" s="81">
        <f>H58</f>
        <v>126147</v>
      </c>
      <c r="N56" s="81">
        <f>M58</f>
        <v>0</v>
      </c>
      <c r="O56" s="81">
        <v>0</v>
      </c>
      <c r="P56" s="81">
        <v>0</v>
      </c>
      <c r="Q56" s="81">
        <v>0</v>
      </c>
      <c r="R56" s="81">
        <f>M58</f>
        <v>0</v>
      </c>
      <c r="S56" s="81">
        <f>R58</f>
        <v>0</v>
      </c>
      <c r="T56" s="81">
        <f>S58</f>
        <v>0</v>
      </c>
      <c r="U56" s="81">
        <f>T58</f>
        <v>0</v>
      </c>
    </row>
    <row r="57" spans="1:21">
      <c r="B57" s="85" t="s">
        <v>329</v>
      </c>
      <c r="D57" s="84">
        <v>350000</v>
      </c>
      <c r="E57" s="84">
        <v>-6300</v>
      </c>
      <c r="F57" s="84">
        <v>-170600</v>
      </c>
      <c r="G57" s="84">
        <f>-46000-953</f>
        <v>-46953</v>
      </c>
      <c r="H57" s="92">
        <f>+SUM(D57:G57)</f>
        <v>126147</v>
      </c>
      <c r="I57" s="84">
        <v>-56991</v>
      </c>
      <c r="J57" s="84">
        <v>70</v>
      </c>
      <c r="K57" s="84">
        <v>-69226</v>
      </c>
      <c r="L57" s="84">
        <v>0</v>
      </c>
      <c r="M57" s="92">
        <f>+SUM(I57:L57)</f>
        <v>-126147</v>
      </c>
      <c r="N57" s="92">
        <v>0</v>
      </c>
      <c r="O57" s="92">
        <v>0</v>
      </c>
      <c r="P57" s="92">
        <v>0</v>
      </c>
      <c r="Q57" s="92">
        <v>0</v>
      </c>
      <c r="R57" s="84">
        <v>0</v>
      </c>
      <c r="S57" s="84">
        <v>0</v>
      </c>
      <c r="T57" s="84">
        <v>0</v>
      </c>
      <c r="U57" s="84">
        <v>0</v>
      </c>
    </row>
    <row r="58" spans="1:21">
      <c r="B58" t="s">
        <v>324</v>
      </c>
      <c r="D58" s="92">
        <f t="shared" ref="D58:S58" si="10">SUM(D56:D57)</f>
        <v>350000</v>
      </c>
      <c r="E58" s="92">
        <f t="shared" si="10"/>
        <v>343700</v>
      </c>
      <c r="F58" s="92">
        <f t="shared" si="10"/>
        <v>173100</v>
      </c>
      <c r="G58" s="92">
        <f t="shared" si="10"/>
        <v>126147</v>
      </c>
      <c r="H58" s="92">
        <f t="shared" si="10"/>
        <v>126147</v>
      </c>
      <c r="I58" s="92">
        <f>SUM(I56:I57)</f>
        <v>69156</v>
      </c>
      <c r="J58" s="92">
        <f>SUM(J56:J57)</f>
        <v>69226</v>
      </c>
      <c r="K58" s="92">
        <f>SUM(K56:K57)</f>
        <v>0</v>
      </c>
      <c r="L58" s="92">
        <f>SUM(L56:L57)</f>
        <v>0</v>
      </c>
      <c r="M58" s="81">
        <f t="shared" si="10"/>
        <v>0</v>
      </c>
      <c r="N58" s="81">
        <f>SUM(N56:N57)</f>
        <v>0</v>
      </c>
      <c r="O58" s="81">
        <f>SUM(O56:O57)</f>
        <v>0</v>
      </c>
      <c r="P58" s="81">
        <f>SUM(P56:P57)</f>
        <v>0</v>
      </c>
      <c r="Q58" s="81">
        <f>SUM(Q56:Q57)</f>
        <v>0</v>
      </c>
      <c r="R58" s="81">
        <f t="shared" si="10"/>
        <v>0</v>
      </c>
      <c r="S58" s="81">
        <f t="shared" si="10"/>
        <v>0</v>
      </c>
      <c r="T58" s="81">
        <f>SUM(T56:T57)</f>
        <v>0</v>
      </c>
      <c r="U58" s="81">
        <f>SUM(U56:U57)</f>
        <v>0</v>
      </c>
    </row>
    <row r="59" spans="1:21">
      <c r="B59" t="s">
        <v>338</v>
      </c>
      <c r="D59" s="86">
        <v>0.09</v>
      </c>
      <c r="E59" s="86">
        <v>0</v>
      </c>
      <c r="F59" s="86">
        <v>0.09</v>
      </c>
      <c r="G59" s="86">
        <v>0</v>
      </c>
      <c r="H59" s="86">
        <v>0.09</v>
      </c>
      <c r="I59" s="86">
        <v>0.09</v>
      </c>
      <c r="J59" s="86">
        <v>0</v>
      </c>
      <c r="K59" s="86">
        <v>0.09</v>
      </c>
      <c r="L59" s="86">
        <v>0</v>
      </c>
      <c r="M59" s="86">
        <v>0.09</v>
      </c>
      <c r="N59" s="86">
        <v>0</v>
      </c>
      <c r="O59" s="86">
        <v>0</v>
      </c>
      <c r="P59" s="86">
        <v>0</v>
      </c>
      <c r="Q59" s="86">
        <v>0</v>
      </c>
      <c r="R59" s="86">
        <v>0.09</v>
      </c>
      <c r="S59" s="86">
        <v>0.09</v>
      </c>
      <c r="T59" s="86">
        <v>0.09</v>
      </c>
      <c r="U59" s="86">
        <v>0.09</v>
      </c>
    </row>
    <row r="60" spans="1:21">
      <c r="B60" s="79" t="s">
        <v>240</v>
      </c>
      <c r="C60" s="87"/>
      <c r="D60" s="87">
        <f>D59*D58/2</f>
        <v>15750</v>
      </c>
      <c r="E60" s="93">
        <v>0</v>
      </c>
      <c r="F60" s="87">
        <f>F59*F58/2</f>
        <v>7789.5</v>
      </c>
      <c r="G60" s="93">
        <v>0</v>
      </c>
      <c r="H60" s="87">
        <f>SUM(D60:G60)</f>
        <v>23539.5</v>
      </c>
      <c r="I60" s="87">
        <f>I59/2*AVERAGE(I56,I58)</f>
        <v>4394.3175000000001</v>
      </c>
      <c r="J60" s="93">
        <v>0</v>
      </c>
      <c r="K60" s="87">
        <f>K59/2*AVERAGE(K56,K58)</f>
        <v>1557.585</v>
      </c>
      <c r="L60" s="93">
        <v>0</v>
      </c>
      <c r="M60" s="87">
        <f>SUM(I60:L60)</f>
        <v>5951.9025000000001</v>
      </c>
      <c r="N60" s="87">
        <v>0</v>
      </c>
      <c r="O60" s="87">
        <v>0</v>
      </c>
      <c r="P60" s="87">
        <v>0</v>
      </c>
      <c r="Q60" s="87">
        <v>0</v>
      </c>
      <c r="R60" s="87">
        <f>R56*R59*0.5</f>
        <v>0</v>
      </c>
      <c r="S60" s="87">
        <f>S59*S58</f>
        <v>0</v>
      </c>
      <c r="T60" s="87">
        <f>T59*T58</f>
        <v>0</v>
      </c>
      <c r="U60" s="87">
        <f>U59*U58</f>
        <v>0</v>
      </c>
    </row>
    <row r="61" spans="1:21">
      <c r="G61" s="81"/>
    </row>
    <row r="63" spans="1:21">
      <c r="A63" s="90" t="s">
        <v>336</v>
      </c>
      <c r="B63" s="72"/>
      <c r="C63" s="72"/>
      <c r="D63" s="87">
        <f t="shared" ref="D63:Q63" si="11">D51+D43+D40+D29+D19+D60</f>
        <v>51187</v>
      </c>
      <c r="E63" s="87">
        <f t="shared" si="11"/>
        <v>12986.71875</v>
      </c>
      <c r="F63" s="87">
        <f t="shared" si="11"/>
        <v>43724.834374999999</v>
      </c>
      <c r="G63" s="87">
        <f t="shared" si="11"/>
        <v>12405.176874999999</v>
      </c>
      <c r="H63" s="87">
        <f t="shared" si="11"/>
        <v>120303.73</v>
      </c>
      <c r="I63" s="87">
        <f t="shared" si="11"/>
        <v>59298.1855</v>
      </c>
      <c r="J63" s="87">
        <f t="shared" si="11"/>
        <v>9784.4840625000015</v>
      </c>
      <c r="K63" s="87">
        <f t="shared" si="11"/>
        <v>14933.526875</v>
      </c>
      <c r="L63" s="87">
        <f t="shared" si="11"/>
        <v>13560.338750000001</v>
      </c>
      <c r="M63" s="87">
        <f t="shared" si="11"/>
        <v>75179.894562500005</v>
      </c>
      <c r="N63" s="87">
        <f t="shared" si="11"/>
        <v>13605.212374999999</v>
      </c>
      <c r="O63" s="87">
        <f t="shared" si="11"/>
        <v>13517.50275</v>
      </c>
      <c r="P63" s="87">
        <f t="shared" si="11"/>
        <v>13517.50275</v>
      </c>
      <c r="Q63" s="87">
        <f t="shared" si="11"/>
        <v>13517.50275</v>
      </c>
      <c r="R63" s="87">
        <f>R51+R43+R40+R29+R19+R60</f>
        <v>54115.167499999996</v>
      </c>
      <c r="S63" s="87">
        <f>S51+S43+S40+S29+S19+S60</f>
        <v>51424.647500000006</v>
      </c>
      <c r="T63" s="87">
        <f>T51+T43+T40+T29+T19+T60</f>
        <v>46843.397500000006</v>
      </c>
      <c r="U63" s="87">
        <f>U51+U43+U40+U29+U19+U60</f>
        <v>40384.022499999999</v>
      </c>
    </row>
    <row r="64" spans="1:21">
      <c r="M64" s="81"/>
      <c r="N64" s="81"/>
      <c r="O64" s="81"/>
      <c r="P64" s="81"/>
      <c r="Q64" s="81"/>
    </row>
    <row r="65" spans="1:21">
      <c r="A65" s="1" t="s">
        <v>115</v>
      </c>
      <c r="C65" s="81">
        <f>C26+C16+C37+C58+C49</f>
        <v>1336316</v>
      </c>
      <c r="D65" s="81">
        <f>D26+D16+D37+D58+D49</f>
        <v>1688100</v>
      </c>
      <c r="E65" s="81">
        <f t="shared" ref="E65:M65" si="12">E26+E16+E37+E58+E49</f>
        <v>1694300</v>
      </c>
      <c r="F65" s="81">
        <f t="shared" si="12"/>
        <v>1622200</v>
      </c>
      <c r="G65" s="81">
        <f t="shared" si="12"/>
        <v>1428185</v>
      </c>
      <c r="H65" s="81">
        <f t="shared" si="12"/>
        <v>1428185</v>
      </c>
      <c r="I65" s="81">
        <f>I26+I16+I37+I58+I49</f>
        <v>1367484</v>
      </c>
      <c r="J65" s="81">
        <f>J26+J16+J37+J58+J49</f>
        <v>1373069</v>
      </c>
      <c r="K65" s="81">
        <f>K26+K16+K37+K58+K49</f>
        <v>1424113</v>
      </c>
      <c r="L65" s="81">
        <f>L26+L16+L37+L58+L49</f>
        <v>1250443</v>
      </c>
      <c r="M65" s="81">
        <f t="shared" si="12"/>
        <v>1250443</v>
      </c>
      <c r="N65" s="81">
        <f t="shared" ref="N65:U65" si="13">N26+N16+N37+N58+N49</f>
        <v>1317232</v>
      </c>
      <c r="O65" s="81">
        <f t="shared" si="13"/>
        <v>1316885</v>
      </c>
      <c r="P65" s="81">
        <f t="shared" si="13"/>
        <v>1316538</v>
      </c>
      <c r="Q65" s="81">
        <f t="shared" si="13"/>
        <v>1316191</v>
      </c>
      <c r="R65" s="81">
        <f t="shared" si="13"/>
        <v>1184641</v>
      </c>
      <c r="S65" s="81">
        <f t="shared" si="13"/>
        <v>1107771</v>
      </c>
      <c r="T65" s="81">
        <f>T26+T16+T37+T58+T49</f>
        <v>1030901</v>
      </c>
      <c r="U65" s="81">
        <f t="shared" si="13"/>
        <v>879031</v>
      </c>
    </row>
    <row r="66" spans="1:21">
      <c r="B66" t="s">
        <v>350</v>
      </c>
      <c r="H66" s="81">
        <f>H15+H25+H48+H57</f>
        <v>91869</v>
      </c>
      <c r="M66" s="81">
        <f>M15+M25+M48+M57</f>
        <v>-241042</v>
      </c>
      <c r="N66" s="81"/>
      <c r="O66" s="81"/>
      <c r="P66" s="81"/>
      <c r="Q66" s="81"/>
      <c r="R66" s="81">
        <f>R15+R25+R48+R57</f>
        <v>-1550</v>
      </c>
      <c r="S66" s="81">
        <f>S15+S25+S48+S57</f>
        <v>-1870</v>
      </c>
      <c r="T66" s="81">
        <f>T15+T25+T48+T57</f>
        <v>-101870</v>
      </c>
      <c r="U66" s="81">
        <f>U15+U25+U48+U57</f>
        <v>-151870</v>
      </c>
    </row>
    <row r="67" spans="1:21">
      <c r="B67" t="s">
        <v>414</v>
      </c>
      <c r="H67" s="81">
        <f>H15+H25+H36+H48+H57</f>
        <v>91869</v>
      </c>
      <c r="M67" s="81">
        <f>M15+M25+M36+M48+M57</f>
        <v>-177742</v>
      </c>
      <c r="N67" s="81"/>
      <c r="O67" s="81"/>
      <c r="P67" s="81"/>
      <c r="Q67" s="81"/>
      <c r="R67" s="81">
        <f>R15+R25+R36+R48+R57</f>
        <v>-131550</v>
      </c>
      <c r="S67" s="81">
        <f>S15+S25+S36+S48+S57</f>
        <v>-76870</v>
      </c>
      <c r="T67" s="81">
        <f>T15+T25+T36+T48+T57</f>
        <v>-101870</v>
      </c>
      <c r="U67" s="81">
        <f>U15+U25+U36+U48+U57</f>
        <v>-151870</v>
      </c>
    </row>
    <row r="68" spans="1:21" hidden="1" outlineLevel="1">
      <c r="C68" t="s">
        <v>346</v>
      </c>
      <c r="D68" s="87">
        <v>51140.171875</v>
      </c>
      <c r="E68" s="87">
        <v>12784.509375</v>
      </c>
      <c r="F68" s="87">
        <v>50004.800000000003</v>
      </c>
      <c r="G68" s="87">
        <v>12758.387500000001</v>
      </c>
      <c r="H68" s="87">
        <v>128685.86874999999</v>
      </c>
      <c r="I68" s="87">
        <v>51140.171875</v>
      </c>
      <c r="J68" s="87">
        <v>12784.509375</v>
      </c>
      <c r="K68" s="87">
        <v>50004.800000000003</v>
      </c>
      <c r="L68" s="87">
        <v>12758.387500000001</v>
      </c>
      <c r="M68" s="87">
        <v>110208.9875</v>
      </c>
      <c r="N68" s="87"/>
      <c r="O68" s="87"/>
      <c r="P68" s="87"/>
      <c r="Q68" s="87"/>
      <c r="R68" s="87">
        <v>105909.3</v>
      </c>
      <c r="S68" s="87">
        <v>97954.55</v>
      </c>
      <c r="T68" s="87">
        <v>95447.7</v>
      </c>
      <c r="U68" s="87">
        <v>95526.45</v>
      </c>
    </row>
    <row r="69" spans="1:21" hidden="1" outlineLevel="1"/>
    <row r="70" spans="1:21" hidden="1" outlineLevel="1">
      <c r="C70" t="s">
        <v>347</v>
      </c>
      <c r="D70" s="81">
        <v>1688100</v>
      </c>
      <c r="E70" s="81">
        <v>1659270</v>
      </c>
      <c r="F70" s="81">
        <v>1632340</v>
      </c>
      <c r="G70" s="81">
        <v>1464310</v>
      </c>
      <c r="H70" s="81">
        <v>1588210</v>
      </c>
      <c r="I70" s="81">
        <v>1688100</v>
      </c>
      <c r="J70" s="81">
        <v>1659270</v>
      </c>
      <c r="K70" s="81">
        <v>1632340</v>
      </c>
      <c r="L70" s="81">
        <v>1464310</v>
      </c>
      <c r="M70" s="81">
        <v>1579675</v>
      </c>
      <c r="N70" s="81"/>
      <c r="O70" s="81"/>
      <c r="P70" s="81"/>
      <c r="Q70" s="81"/>
      <c r="R70" s="81">
        <v>1431550</v>
      </c>
      <c r="S70" s="81">
        <v>1282955</v>
      </c>
      <c r="T70" s="81">
        <v>1104040</v>
      </c>
      <c r="U70" s="81">
        <v>1103045</v>
      </c>
    </row>
    <row r="71" spans="1:21" hidden="1" outlineLevel="1"/>
    <row r="72" spans="1:21" hidden="1" outlineLevel="1">
      <c r="C72" t="s">
        <v>348</v>
      </c>
      <c r="H72" s="81">
        <f>H63-H68</f>
        <v>-8382.1387499999983</v>
      </c>
      <c r="M72" s="81">
        <f>M63-M68</f>
        <v>-35029.092937499998</v>
      </c>
      <c r="N72" s="81"/>
      <c r="O72" s="81"/>
      <c r="P72" s="81"/>
      <c r="Q72" s="81"/>
      <c r="R72" s="81">
        <f>R63-R68</f>
        <v>-51794.132500000007</v>
      </c>
      <c r="S72" s="81">
        <f>S63-S68</f>
        <v>-46529.902499999997</v>
      </c>
      <c r="T72" s="81">
        <f>T63-T68</f>
        <v>-48604.302499999991</v>
      </c>
      <c r="U72" s="81">
        <f>U63-U68</f>
        <v>-55142.427499999998</v>
      </c>
    </row>
    <row r="73" spans="1:21" hidden="1" outlineLevel="1"/>
    <row r="74" spans="1:21" hidden="1" outlineLevel="1">
      <c r="H74" s="81">
        <f>H65-H70</f>
        <v>-160025</v>
      </c>
      <c r="M74" s="81">
        <f>M65-M70</f>
        <v>-329232</v>
      </c>
      <c r="N74" s="81"/>
      <c r="O74" s="81"/>
      <c r="P74" s="81"/>
      <c r="Q74" s="81"/>
      <c r="R74" s="81">
        <f>R65-R70</f>
        <v>-246909</v>
      </c>
      <c r="S74" s="81">
        <f>S65-S70</f>
        <v>-175184</v>
      </c>
      <c r="T74" s="81">
        <f>T65-T70</f>
        <v>-73139</v>
      </c>
      <c r="U74" s="81">
        <f>U65-U70</f>
        <v>-224014</v>
      </c>
    </row>
    <row r="75" spans="1:21" collapsed="1"/>
  </sheetData>
  <mergeCells count="1">
    <mergeCell ref="B4:U4"/>
  </mergeCells>
  <phoneticPr fontId="11" type="noConversion"/>
  <printOptions horizontalCentered="1" verticalCentered="1"/>
  <pageMargins left="0.5" right="0.5" top="0.5" bottom="0.5" header="0.5" footer="0.5"/>
  <pageSetup scale="5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aluationXla"/>
  <dimension ref="A1:IV367"/>
  <sheetViews>
    <sheetView showGridLines="0" zoomScale="85" zoomScaleNormal="100" workbookViewId="0"/>
  </sheetViews>
  <sheetFormatPr defaultColWidth="10.7109375" defaultRowHeight="11.25" outlineLevelRow="1"/>
  <cols>
    <col min="1" max="1" width="2.28515625" style="845" customWidth="1"/>
    <col min="2" max="2" width="46" style="845" customWidth="1"/>
    <col min="3" max="3" width="10.7109375" style="845" customWidth="1"/>
    <col min="4" max="4" width="12.7109375" style="845" customWidth="1"/>
    <col min="5" max="5" width="10.7109375" style="846" customWidth="1"/>
    <col min="6" max="9" width="11.28515625" style="845" customWidth="1"/>
    <col min="10" max="12" width="10.7109375" style="845" customWidth="1"/>
    <col min="13" max="13" width="14.85546875" style="845" customWidth="1"/>
    <col min="14" max="22" width="10.7109375" style="845" customWidth="1"/>
    <col min="23" max="23" width="10.7109375" style="848" customWidth="1"/>
    <col min="24" max="24" width="10.7109375" style="849" customWidth="1"/>
    <col min="25" max="16384" width="10.7109375" style="845"/>
  </cols>
  <sheetData>
    <row r="1" spans="1:254" s="838" customFormat="1" ht="20.100000000000001" customHeight="1">
      <c r="A1" s="834"/>
      <c r="B1" s="835" t="s">
        <v>833</v>
      </c>
      <c r="C1" s="836"/>
      <c r="D1" s="837"/>
      <c r="F1" s="839"/>
      <c r="H1" s="1190"/>
      <c r="I1" s="2271"/>
      <c r="J1" s="2272"/>
      <c r="K1" s="837"/>
      <c r="L1" s="840">
        <f ca="1">IRR(90:90,I19)</f>
        <v>4.901996446968937E-2</v>
      </c>
      <c r="M1" s="841" t="s">
        <v>637</v>
      </c>
      <c r="N1" s="841"/>
      <c r="O1" s="837"/>
      <c r="P1" s="837"/>
      <c r="Q1" s="837"/>
      <c r="R1" s="837"/>
      <c r="S1" s="837"/>
      <c r="T1" s="837"/>
      <c r="U1" s="837"/>
      <c r="V1" s="842"/>
      <c r="W1" s="843"/>
      <c r="X1" s="842"/>
      <c r="Y1" s="842"/>
      <c r="Z1" s="842"/>
      <c r="AA1" s="842"/>
      <c r="AB1" s="842"/>
      <c r="AC1" s="842"/>
      <c r="AD1" s="842"/>
      <c r="AE1" s="842"/>
      <c r="AF1" s="842"/>
      <c r="AG1" s="842"/>
      <c r="AH1" s="842"/>
      <c r="AI1" s="842"/>
      <c r="AJ1" s="842"/>
      <c r="AK1" s="842"/>
      <c r="AL1" s="842"/>
      <c r="AM1" s="842"/>
      <c r="AN1" s="842"/>
      <c r="AO1" s="842"/>
      <c r="AP1" s="842"/>
      <c r="AQ1" s="842"/>
      <c r="AR1" s="842"/>
      <c r="AS1" s="842"/>
      <c r="AT1" s="842"/>
      <c r="AU1" s="842"/>
      <c r="AV1" s="842"/>
      <c r="AW1" s="842"/>
      <c r="AX1" s="842"/>
      <c r="AY1" s="842"/>
      <c r="AZ1" s="842"/>
      <c r="BA1" s="842"/>
      <c r="BB1" s="842"/>
      <c r="BC1" s="842"/>
      <c r="BD1" s="842"/>
      <c r="BE1" s="842"/>
      <c r="BF1" s="842"/>
      <c r="BG1" s="842"/>
      <c r="BH1" s="842"/>
      <c r="BI1" s="842"/>
      <c r="BJ1" s="842"/>
      <c r="BK1" s="842"/>
      <c r="BL1" s="842"/>
      <c r="BM1" s="842"/>
      <c r="BN1" s="842"/>
      <c r="BO1" s="842"/>
      <c r="BP1" s="842"/>
      <c r="BQ1" s="842"/>
      <c r="BR1" s="842"/>
      <c r="BS1" s="842"/>
      <c r="BT1" s="842"/>
      <c r="BU1" s="842"/>
      <c r="BV1" s="842"/>
      <c r="BW1" s="842"/>
      <c r="BX1" s="842"/>
      <c r="BY1" s="842"/>
      <c r="BZ1" s="842"/>
      <c r="CA1" s="842"/>
      <c r="CB1" s="842"/>
      <c r="CC1" s="842"/>
      <c r="CD1" s="842"/>
      <c r="CE1" s="842"/>
      <c r="CF1" s="842"/>
      <c r="CG1" s="842"/>
      <c r="CH1" s="842"/>
      <c r="CI1" s="842"/>
      <c r="CJ1" s="842"/>
      <c r="CK1" s="842"/>
      <c r="CL1" s="842"/>
      <c r="CM1" s="842"/>
      <c r="CN1" s="842"/>
      <c r="CO1" s="842"/>
      <c r="CP1" s="842"/>
      <c r="CQ1" s="842"/>
      <c r="CR1" s="842"/>
      <c r="CS1" s="842"/>
      <c r="CT1" s="842"/>
      <c r="CU1" s="842"/>
      <c r="CV1" s="842"/>
      <c r="CW1" s="842"/>
      <c r="CX1" s="842"/>
      <c r="CY1" s="842"/>
      <c r="CZ1" s="842"/>
      <c r="DA1" s="842"/>
      <c r="DB1" s="842"/>
      <c r="DC1" s="842"/>
      <c r="DD1" s="842"/>
      <c r="DE1" s="842"/>
      <c r="DF1" s="842"/>
      <c r="DG1" s="842"/>
      <c r="DH1" s="842"/>
      <c r="DI1" s="842"/>
      <c r="DJ1" s="842"/>
      <c r="DK1" s="842"/>
      <c r="DL1" s="842"/>
      <c r="DM1" s="842"/>
      <c r="DN1" s="842"/>
      <c r="DO1" s="842"/>
      <c r="DP1" s="842"/>
      <c r="DQ1" s="842"/>
      <c r="DR1" s="842"/>
      <c r="DS1" s="842"/>
      <c r="DT1" s="842"/>
      <c r="DU1" s="842"/>
      <c r="DV1" s="842"/>
      <c r="DW1" s="842"/>
      <c r="DX1" s="842"/>
      <c r="DY1" s="842"/>
      <c r="DZ1" s="842"/>
      <c r="EA1" s="842"/>
      <c r="EB1" s="842"/>
      <c r="EC1" s="842"/>
      <c r="ED1" s="842"/>
      <c r="EE1" s="842"/>
      <c r="EF1" s="842"/>
      <c r="EG1" s="842"/>
      <c r="EH1" s="842"/>
      <c r="EI1" s="842"/>
      <c r="EJ1" s="842"/>
      <c r="EK1" s="842"/>
      <c r="EL1" s="842"/>
      <c r="EM1" s="842"/>
      <c r="EN1" s="842"/>
      <c r="EO1" s="842"/>
      <c r="EP1" s="842"/>
      <c r="EQ1" s="842"/>
      <c r="ER1" s="842"/>
      <c r="ES1" s="842"/>
      <c r="ET1" s="842"/>
      <c r="EU1" s="842"/>
      <c r="EV1" s="842"/>
      <c r="EW1" s="842"/>
      <c r="EX1" s="842"/>
      <c r="EY1" s="842"/>
      <c r="EZ1" s="842"/>
      <c r="FA1" s="842"/>
      <c r="FB1" s="842"/>
      <c r="FC1" s="842"/>
      <c r="FD1" s="842"/>
      <c r="FE1" s="842"/>
      <c r="FF1" s="842"/>
      <c r="FG1" s="842"/>
      <c r="FH1" s="842"/>
      <c r="FI1" s="842"/>
      <c r="FJ1" s="842"/>
      <c r="FK1" s="842"/>
      <c r="FL1" s="842"/>
      <c r="FM1" s="842"/>
      <c r="FN1" s="842"/>
      <c r="FO1" s="842"/>
      <c r="FP1" s="842"/>
      <c r="FQ1" s="842"/>
      <c r="FR1" s="842"/>
      <c r="FS1" s="842"/>
      <c r="FT1" s="842"/>
      <c r="FU1" s="842"/>
      <c r="FV1" s="842"/>
      <c r="FW1" s="842"/>
      <c r="FX1" s="842"/>
      <c r="FY1" s="842"/>
      <c r="FZ1" s="842"/>
      <c r="GA1" s="842"/>
      <c r="GB1" s="842"/>
      <c r="GC1" s="842"/>
      <c r="GD1" s="842"/>
      <c r="GE1" s="842"/>
      <c r="GF1" s="842"/>
      <c r="GG1" s="842"/>
      <c r="GH1" s="842"/>
      <c r="GI1" s="842"/>
      <c r="GJ1" s="842"/>
      <c r="GK1" s="842"/>
      <c r="GL1" s="842"/>
      <c r="GM1" s="842"/>
      <c r="GN1" s="842"/>
      <c r="GO1" s="842"/>
      <c r="GP1" s="842"/>
      <c r="GQ1" s="842"/>
      <c r="GR1" s="842"/>
      <c r="GS1" s="842"/>
      <c r="GT1" s="842"/>
      <c r="GU1" s="842"/>
      <c r="GV1" s="842"/>
      <c r="GW1" s="842"/>
      <c r="GX1" s="842"/>
      <c r="GY1" s="842"/>
      <c r="GZ1" s="842"/>
      <c r="HA1" s="842"/>
      <c r="HB1" s="842"/>
      <c r="HC1" s="842"/>
      <c r="HD1" s="842"/>
      <c r="HE1" s="842"/>
      <c r="HF1" s="842"/>
      <c r="HG1" s="842"/>
      <c r="HH1" s="842"/>
      <c r="HI1" s="842"/>
      <c r="HJ1" s="842"/>
      <c r="HK1" s="842"/>
      <c r="HL1" s="842"/>
      <c r="HM1" s="842"/>
      <c r="HN1" s="842"/>
      <c r="HO1" s="842"/>
      <c r="HP1" s="842"/>
      <c r="HQ1" s="842"/>
      <c r="HR1" s="842"/>
      <c r="HS1" s="842"/>
      <c r="HT1" s="842"/>
      <c r="HU1" s="842"/>
      <c r="HV1" s="842"/>
      <c r="HW1" s="842"/>
      <c r="HX1" s="842"/>
      <c r="HY1" s="842"/>
      <c r="HZ1" s="842"/>
      <c r="IA1" s="842"/>
      <c r="IB1" s="842"/>
      <c r="IC1" s="842"/>
      <c r="ID1" s="842"/>
      <c r="IE1" s="842"/>
      <c r="IF1" s="842"/>
      <c r="IG1" s="842"/>
      <c r="IH1" s="842"/>
      <c r="II1" s="842"/>
      <c r="IJ1" s="842"/>
      <c r="IK1" s="842"/>
      <c r="IL1" s="842"/>
      <c r="IM1" s="842"/>
      <c r="IN1" s="842"/>
      <c r="IO1" s="842"/>
      <c r="IP1" s="842"/>
      <c r="IQ1" s="842"/>
      <c r="IR1" s="842"/>
      <c r="IS1" s="842"/>
      <c r="IT1" s="842"/>
    </row>
    <row r="2" spans="1:254" s="850" customFormat="1" ht="2.1" customHeight="1">
      <c r="A2" s="844"/>
      <c r="B2" s="845"/>
      <c r="C2" s="845"/>
      <c r="D2" s="845"/>
      <c r="E2" s="846"/>
      <c r="F2" s="845"/>
      <c r="G2" s="845"/>
      <c r="H2" s="845"/>
      <c r="I2" s="845"/>
      <c r="J2" s="845"/>
      <c r="K2" s="845"/>
      <c r="L2" s="847">
        <f ca="1">IRR(106:106,I19)</f>
        <v>6.175930464967494E-2</v>
      </c>
      <c r="M2" s="845"/>
      <c r="N2" s="845"/>
      <c r="O2" s="845"/>
      <c r="P2" s="845"/>
      <c r="Q2" s="845"/>
      <c r="R2" s="845"/>
      <c r="S2" s="845"/>
      <c r="T2" s="845"/>
      <c r="U2" s="845"/>
      <c r="V2" s="845"/>
      <c r="W2" s="848"/>
      <c r="X2" s="849"/>
      <c r="Y2" s="845"/>
      <c r="Z2" s="845"/>
      <c r="AA2" s="845"/>
      <c r="AB2" s="845"/>
      <c r="AC2" s="845"/>
      <c r="AD2" s="845"/>
      <c r="AE2" s="845"/>
      <c r="AF2" s="845"/>
      <c r="AG2" s="845"/>
      <c r="AH2" s="845"/>
      <c r="AI2" s="845"/>
      <c r="AJ2" s="845"/>
      <c r="AK2" s="845"/>
      <c r="AL2" s="845"/>
      <c r="AM2" s="845"/>
      <c r="AN2" s="845"/>
      <c r="AO2" s="845"/>
      <c r="AP2" s="845"/>
      <c r="AQ2" s="845"/>
      <c r="AR2" s="845"/>
      <c r="AS2" s="845"/>
      <c r="AT2" s="845"/>
      <c r="AU2" s="845"/>
      <c r="AV2" s="845"/>
      <c r="AW2" s="845"/>
      <c r="AX2" s="845"/>
      <c r="AY2" s="845"/>
      <c r="AZ2" s="845"/>
      <c r="BA2" s="845"/>
      <c r="BB2" s="845"/>
      <c r="BC2" s="845"/>
      <c r="BD2" s="845"/>
      <c r="BE2" s="845"/>
      <c r="BF2" s="845"/>
      <c r="BG2" s="845"/>
      <c r="BH2" s="845"/>
      <c r="BI2" s="845"/>
      <c r="BJ2" s="845"/>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5"/>
      <c r="EE2" s="845"/>
      <c r="EF2" s="845"/>
      <c r="EG2" s="845"/>
      <c r="EH2" s="845"/>
      <c r="EI2" s="845"/>
      <c r="EJ2" s="845"/>
      <c r="EK2" s="845"/>
      <c r="EL2" s="845"/>
      <c r="EM2" s="845"/>
      <c r="EN2" s="845"/>
      <c r="EO2" s="845"/>
      <c r="EP2" s="845"/>
      <c r="EQ2" s="845"/>
      <c r="ER2" s="845"/>
      <c r="ES2" s="845"/>
      <c r="ET2" s="845"/>
      <c r="EU2" s="845"/>
      <c r="EV2" s="845"/>
      <c r="EW2" s="845"/>
      <c r="EX2" s="845"/>
      <c r="EY2" s="845"/>
      <c r="EZ2" s="845"/>
      <c r="FA2" s="845"/>
      <c r="FB2" s="845"/>
      <c r="FC2" s="845"/>
      <c r="FD2" s="845"/>
      <c r="FE2" s="845"/>
      <c r="FF2" s="845"/>
      <c r="FG2" s="845"/>
      <c r="FH2" s="845"/>
      <c r="FI2" s="845"/>
      <c r="FJ2" s="845"/>
      <c r="FK2" s="845"/>
      <c r="FL2" s="845"/>
      <c r="FM2" s="845"/>
      <c r="FN2" s="845"/>
      <c r="FO2" s="845"/>
      <c r="FP2" s="845"/>
      <c r="FQ2" s="845"/>
      <c r="FR2" s="845"/>
      <c r="FS2" s="845"/>
      <c r="FT2" s="845"/>
      <c r="FU2" s="845"/>
      <c r="FV2" s="845"/>
      <c r="FW2" s="845"/>
      <c r="FX2" s="845"/>
      <c r="FY2" s="845"/>
      <c r="FZ2" s="845"/>
      <c r="GA2" s="845"/>
      <c r="GB2" s="845"/>
      <c r="GC2" s="845"/>
      <c r="GD2" s="845"/>
      <c r="GE2" s="845"/>
      <c r="GF2" s="845"/>
      <c r="GG2" s="845"/>
      <c r="GH2" s="845"/>
      <c r="GI2" s="845"/>
      <c r="GJ2" s="845"/>
      <c r="GK2" s="845"/>
      <c r="GL2" s="845"/>
      <c r="GM2" s="845"/>
      <c r="GN2" s="845"/>
      <c r="GO2" s="845"/>
      <c r="GP2" s="845"/>
      <c r="GQ2" s="845"/>
      <c r="GR2" s="845"/>
      <c r="GS2" s="845"/>
      <c r="GT2" s="845"/>
      <c r="GU2" s="845"/>
      <c r="GV2" s="845"/>
      <c r="GW2" s="845"/>
      <c r="GX2" s="845"/>
      <c r="GY2" s="845"/>
      <c r="GZ2" s="845"/>
      <c r="HA2" s="845"/>
      <c r="HB2" s="845"/>
      <c r="HC2" s="845"/>
      <c r="HD2" s="845"/>
      <c r="HE2" s="845"/>
      <c r="HF2" s="845"/>
      <c r="HG2" s="845"/>
      <c r="HH2" s="845"/>
      <c r="HI2" s="845"/>
      <c r="HJ2" s="845"/>
      <c r="HK2" s="845"/>
      <c r="HL2" s="845"/>
      <c r="HM2" s="845"/>
      <c r="HN2" s="845"/>
      <c r="HO2" s="845"/>
      <c r="HP2" s="845"/>
      <c r="HQ2" s="845"/>
      <c r="HR2" s="845"/>
      <c r="HS2" s="845"/>
      <c r="HT2" s="845"/>
      <c r="HU2" s="845"/>
      <c r="HV2" s="845"/>
      <c r="HW2" s="845"/>
      <c r="HX2" s="845"/>
      <c r="HY2" s="845"/>
      <c r="HZ2" s="845"/>
      <c r="IA2" s="845"/>
      <c r="IB2" s="845"/>
      <c r="IC2" s="845"/>
      <c r="ID2" s="845"/>
      <c r="IE2" s="845"/>
      <c r="IF2" s="845"/>
      <c r="IG2" s="845"/>
      <c r="IH2" s="845"/>
      <c r="II2" s="845"/>
      <c r="IJ2" s="845"/>
      <c r="IK2" s="845"/>
      <c r="IL2" s="845"/>
      <c r="IM2" s="845"/>
      <c r="IN2" s="845"/>
      <c r="IO2" s="845"/>
      <c r="IP2" s="845"/>
      <c r="IQ2" s="845"/>
      <c r="IR2" s="845"/>
    </row>
    <row r="3" spans="1:254" s="850" customFormat="1" ht="2.1" customHeight="1">
      <c r="A3" s="844"/>
      <c r="B3" s="845"/>
      <c r="C3" s="845"/>
      <c r="D3" s="845"/>
      <c r="E3" s="846"/>
      <c r="F3" s="845"/>
      <c r="G3" s="845"/>
      <c r="H3" s="845"/>
      <c r="I3" s="845"/>
      <c r="J3" s="845"/>
      <c r="K3" s="845"/>
      <c r="L3" s="847">
        <f ca="1">IRR(109:109,I19)</f>
        <v>5.7195832160804816E-2</v>
      </c>
      <c r="M3" s="845"/>
      <c r="N3" s="845"/>
      <c r="O3" s="845"/>
      <c r="P3" s="845"/>
      <c r="Q3" s="845"/>
      <c r="R3" s="845"/>
      <c r="S3" s="845"/>
      <c r="T3" s="845"/>
      <c r="U3" s="845"/>
      <c r="V3" s="845"/>
      <c r="W3" s="848"/>
      <c r="X3" s="849"/>
      <c r="Y3" s="845"/>
      <c r="Z3" s="845"/>
      <c r="AA3" s="845"/>
      <c r="AB3" s="845"/>
      <c r="AC3" s="845"/>
      <c r="AD3" s="845"/>
      <c r="AE3" s="845"/>
      <c r="AF3" s="845"/>
      <c r="AG3" s="845"/>
      <c r="AH3" s="845"/>
      <c r="AI3" s="845"/>
      <c r="AJ3" s="845"/>
      <c r="AK3" s="845"/>
      <c r="AL3" s="845"/>
      <c r="AM3" s="845"/>
      <c r="AN3" s="845"/>
      <c r="AO3" s="845"/>
      <c r="AP3" s="845"/>
      <c r="AQ3" s="845"/>
      <c r="AR3" s="845"/>
      <c r="AS3" s="845"/>
      <c r="AT3" s="845"/>
      <c r="AU3" s="845"/>
      <c r="AV3" s="845"/>
      <c r="AW3" s="845"/>
      <c r="AX3" s="845"/>
      <c r="AY3" s="845"/>
      <c r="AZ3" s="845"/>
      <c r="BA3" s="845"/>
      <c r="BB3" s="845"/>
      <c r="BC3" s="845"/>
      <c r="BD3" s="845"/>
      <c r="BE3" s="845"/>
      <c r="BF3" s="845"/>
      <c r="BG3" s="845"/>
      <c r="BH3" s="845"/>
      <c r="BI3" s="845"/>
      <c r="BJ3" s="845"/>
      <c r="BK3" s="845"/>
      <c r="BL3" s="845"/>
      <c r="BM3" s="845"/>
      <c r="BN3" s="845"/>
      <c r="BO3" s="845"/>
      <c r="BP3" s="845"/>
      <c r="BQ3" s="845"/>
      <c r="BR3" s="845"/>
      <c r="BS3" s="845"/>
      <c r="BT3" s="845"/>
      <c r="BU3" s="845"/>
      <c r="BV3" s="845"/>
      <c r="BW3" s="845"/>
      <c r="BX3" s="845"/>
      <c r="BY3" s="845"/>
      <c r="BZ3" s="845"/>
      <c r="CA3" s="845"/>
      <c r="CB3" s="845"/>
      <c r="CC3" s="845"/>
      <c r="CD3" s="845"/>
      <c r="CE3" s="845"/>
      <c r="CF3" s="845"/>
      <c r="CG3" s="845"/>
      <c r="CH3" s="845"/>
      <c r="CI3" s="845"/>
      <c r="CJ3" s="845"/>
      <c r="CK3" s="845"/>
      <c r="CL3" s="845"/>
      <c r="CM3" s="845"/>
      <c r="CN3" s="845"/>
      <c r="CO3" s="845"/>
      <c r="CP3" s="845"/>
      <c r="CQ3" s="845"/>
      <c r="CR3" s="845"/>
      <c r="CS3" s="845"/>
      <c r="CT3" s="845"/>
      <c r="CU3" s="845"/>
      <c r="CV3" s="845"/>
      <c r="CW3" s="845"/>
      <c r="CX3" s="845"/>
      <c r="CY3" s="845"/>
      <c r="CZ3" s="845"/>
      <c r="DA3" s="845"/>
      <c r="DB3" s="845"/>
      <c r="DC3" s="845"/>
      <c r="DD3" s="845"/>
      <c r="DE3" s="845"/>
      <c r="DF3" s="845"/>
      <c r="DG3" s="845"/>
      <c r="DH3" s="845"/>
      <c r="DI3" s="845"/>
      <c r="DJ3" s="845"/>
      <c r="DK3" s="845"/>
      <c r="DL3" s="845"/>
      <c r="DM3" s="845"/>
      <c r="DN3" s="845"/>
      <c r="DO3" s="845"/>
      <c r="DP3" s="845"/>
      <c r="DQ3" s="845"/>
      <c r="DR3" s="845"/>
      <c r="DS3" s="845"/>
      <c r="DT3" s="845"/>
      <c r="DU3" s="845"/>
      <c r="DV3" s="845"/>
      <c r="DW3" s="845"/>
      <c r="DX3" s="845"/>
      <c r="DY3" s="845"/>
      <c r="DZ3" s="845"/>
      <c r="EA3" s="845"/>
      <c r="EB3" s="845"/>
      <c r="EC3" s="845"/>
      <c r="ED3" s="845"/>
      <c r="EE3" s="845"/>
      <c r="EF3" s="845"/>
      <c r="EG3" s="845"/>
      <c r="EH3" s="845"/>
      <c r="EI3" s="845"/>
      <c r="EJ3" s="845"/>
      <c r="EK3" s="845"/>
      <c r="EL3" s="845"/>
      <c r="EM3" s="845"/>
      <c r="EN3" s="845"/>
      <c r="EO3" s="845"/>
      <c r="EP3" s="845"/>
      <c r="EQ3" s="845"/>
      <c r="ER3" s="845"/>
      <c r="ES3" s="845"/>
      <c r="ET3" s="845"/>
      <c r="EU3" s="845"/>
      <c r="EV3" s="845"/>
      <c r="EW3" s="845"/>
      <c r="EX3" s="845"/>
      <c r="EY3" s="845"/>
      <c r="EZ3" s="845"/>
      <c r="FA3" s="845"/>
      <c r="FB3" s="845"/>
      <c r="FC3" s="845"/>
      <c r="FD3" s="845"/>
      <c r="FE3" s="845"/>
      <c r="FF3" s="845"/>
      <c r="FG3" s="845"/>
      <c r="FH3" s="845"/>
      <c r="FI3" s="845"/>
      <c r="FJ3" s="845"/>
      <c r="FK3" s="845"/>
      <c r="FL3" s="845"/>
      <c r="FM3" s="845"/>
      <c r="FN3" s="845"/>
      <c r="FO3" s="845"/>
      <c r="FP3" s="845"/>
      <c r="FQ3" s="845"/>
      <c r="FR3" s="845"/>
      <c r="FS3" s="845"/>
      <c r="FT3" s="845"/>
      <c r="FU3" s="845"/>
      <c r="FV3" s="845"/>
      <c r="FW3" s="845"/>
      <c r="FX3" s="845"/>
      <c r="FY3" s="845"/>
      <c r="FZ3" s="845"/>
      <c r="GA3" s="845"/>
      <c r="GB3" s="845"/>
      <c r="GC3" s="845"/>
      <c r="GD3" s="845"/>
      <c r="GE3" s="845"/>
      <c r="GF3" s="845"/>
      <c r="GG3" s="845"/>
      <c r="GH3" s="845"/>
      <c r="GI3" s="845"/>
      <c r="GJ3" s="845"/>
      <c r="GK3" s="845"/>
      <c r="GL3" s="845"/>
      <c r="GM3" s="845"/>
      <c r="GN3" s="845"/>
      <c r="GO3" s="845"/>
      <c r="GP3" s="845"/>
      <c r="GQ3" s="845"/>
      <c r="GR3" s="845"/>
      <c r="GS3" s="845"/>
      <c r="GT3" s="845"/>
      <c r="GU3" s="845"/>
      <c r="GV3" s="845"/>
      <c r="GW3" s="845"/>
      <c r="GX3" s="845"/>
      <c r="GY3" s="845"/>
      <c r="GZ3" s="845"/>
      <c r="HA3" s="845"/>
      <c r="HB3" s="845"/>
      <c r="HC3" s="845"/>
      <c r="HD3" s="845"/>
      <c r="HE3" s="845"/>
      <c r="HF3" s="845"/>
      <c r="HG3" s="845"/>
      <c r="HH3" s="845"/>
      <c r="HI3" s="845"/>
      <c r="HJ3" s="845"/>
      <c r="HK3" s="845"/>
      <c r="HL3" s="845"/>
      <c r="HM3" s="845"/>
      <c r="HN3" s="845"/>
      <c r="HO3" s="845"/>
      <c r="HP3" s="845"/>
      <c r="HQ3" s="845"/>
      <c r="HR3" s="845"/>
      <c r="HS3" s="845"/>
      <c r="HT3" s="845"/>
      <c r="HU3" s="845"/>
      <c r="HV3" s="845"/>
      <c r="HW3" s="845"/>
      <c r="HX3" s="845"/>
      <c r="HY3" s="845"/>
      <c r="HZ3" s="845"/>
      <c r="IA3" s="845"/>
      <c r="IB3" s="845"/>
      <c r="IC3" s="845"/>
      <c r="ID3" s="845"/>
      <c r="IE3" s="845"/>
      <c r="IF3" s="845"/>
      <c r="IG3" s="845"/>
      <c r="IH3" s="845"/>
      <c r="II3" s="845"/>
      <c r="IJ3" s="845"/>
      <c r="IK3" s="845"/>
      <c r="IL3" s="845"/>
      <c r="IM3" s="845"/>
      <c r="IN3" s="845"/>
      <c r="IO3" s="845"/>
      <c r="IP3" s="845"/>
      <c r="IQ3" s="845"/>
      <c r="IR3" s="845"/>
    </row>
    <row r="4" spans="1:254" ht="2.1" customHeight="1">
      <c r="A4" s="851"/>
      <c r="C4" s="852"/>
      <c r="D4" s="853"/>
      <c r="E4" s="852"/>
      <c r="F4" s="853"/>
      <c r="G4" s="852"/>
      <c r="H4" s="853"/>
      <c r="I4" s="852"/>
      <c r="J4" s="853"/>
      <c r="K4" s="852"/>
      <c r="L4" s="840"/>
      <c r="M4" s="841"/>
      <c r="N4" s="841"/>
      <c r="O4" s="854"/>
    </row>
    <row r="5" spans="1:254" s="850" customFormat="1" ht="38.25" customHeight="1">
      <c r="A5" s="834"/>
      <c r="B5" s="855" t="s">
        <v>638</v>
      </c>
      <c r="C5" s="852"/>
      <c r="D5" s="856"/>
      <c r="E5" s="857"/>
      <c r="F5" s="849"/>
      <c r="G5" s="858"/>
      <c r="H5" s="849"/>
      <c r="I5" s="849"/>
      <c r="J5" s="859" t="s">
        <v>474</v>
      </c>
      <c r="K5" s="849"/>
      <c r="L5" s="845"/>
      <c r="M5" s="841" t="str">
        <f>B337</f>
        <v>Select Language</v>
      </c>
      <c r="N5" s="841"/>
      <c r="O5" s="841"/>
      <c r="P5" s="845"/>
      <c r="Q5" s="845"/>
      <c r="R5" s="845"/>
      <c r="S5" s="845"/>
      <c r="T5" s="845"/>
      <c r="U5" s="845"/>
      <c r="V5" s="845"/>
      <c r="W5" s="860"/>
      <c r="X5" s="849"/>
      <c r="Y5" s="845"/>
      <c r="Z5" s="845"/>
      <c r="AA5" s="845"/>
      <c r="AB5" s="845"/>
      <c r="AC5" s="845"/>
      <c r="AD5" s="845"/>
      <c r="AE5" s="845"/>
      <c r="AF5" s="845"/>
      <c r="AG5" s="845"/>
      <c r="AH5" s="845"/>
      <c r="AI5" s="845"/>
      <c r="AJ5" s="845"/>
      <c r="AK5" s="845"/>
      <c r="AL5" s="845"/>
      <c r="AM5" s="845"/>
      <c r="AN5" s="845"/>
      <c r="AO5" s="845"/>
      <c r="AP5" s="845"/>
      <c r="AQ5" s="845"/>
      <c r="AR5" s="845"/>
      <c r="AS5" s="845"/>
      <c r="AT5" s="845"/>
      <c r="AU5" s="845"/>
      <c r="AV5" s="845"/>
      <c r="AW5" s="845"/>
      <c r="AX5" s="845"/>
      <c r="AY5" s="845"/>
      <c r="AZ5" s="845"/>
      <c r="BA5" s="845"/>
      <c r="BB5" s="845"/>
      <c r="BC5" s="845"/>
      <c r="BD5" s="845"/>
      <c r="BE5" s="845"/>
      <c r="BF5" s="845"/>
      <c r="BG5" s="845"/>
      <c r="BH5" s="845"/>
      <c r="BI5" s="845"/>
      <c r="BJ5" s="845"/>
      <c r="BK5" s="845"/>
      <c r="BL5" s="845"/>
      <c r="BM5" s="845"/>
      <c r="BN5" s="845"/>
      <c r="BO5" s="845"/>
      <c r="BP5" s="845"/>
      <c r="BQ5" s="845"/>
      <c r="BR5" s="845"/>
      <c r="BS5" s="845"/>
      <c r="BT5" s="845"/>
      <c r="BU5" s="845"/>
      <c r="BV5" s="845"/>
      <c r="BW5" s="845"/>
      <c r="BX5" s="845"/>
      <c r="BY5" s="845"/>
      <c r="BZ5" s="845"/>
      <c r="CA5" s="845"/>
      <c r="CB5" s="845"/>
      <c r="CC5" s="845"/>
      <c r="CD5" s="845"/>
      <c r="CE5" s="845"/>
      <c r="CF5" s="845"/>
      <c r="CG5" s="845"/>
      <c r="CH5" s="845"/>
      <c r="CI5" s="845"/>
      <c r="CJ5" s="845"/>
      <c r="CK5" s="845"/>
      <c r="CL5" s="845"/>
      <c r="CM5" s="845"/>
      <c r="CN5" s="845"/>
      <c r="CO5" s="845"/>
      <c r="CP5" s="845"/>
      <c r="CQ5" s="845"/>
      <c r="CR5" s="845"/>
      <c r="CS5" s="845"/>
      <c r="CT5" s="845"/>
      <c r="CU5" s="845"/>
      <c r="CV5" s="845"/>
      <c r="CW5" s="845"/>
      <c r="CX5" s="845"/>
      <c r="CY5" s="845"/>
      <c r="CZ5" s="845"/>
      <c r="DA5" s="845"/>
      <c r="DB5" s="845"/>
      <c r="DC5" s="845"/>
      <c r="DD5" s="845"/>
      <c r="DE5" s="845"/>
      <c r="DF5" s="845"/>
      <c r="DG5" s="845"/>
      <c r="DH5" s="845"/>
      <c r="DI5" s="845"/>
      <c r="DJ5" s="845"/>
      <c r="DK5" s="845"/>
      <c r="DL5" s="845"/>
      <c r="DM5" s="845"/>
      <c r="DN5" s="845"/>
      <c r="DO5" s="845"/>
      <c r="DP5" s="845"/>
      <c r="DQ5" s="845"/>
      <c r="DR5" s="845"/>
      <c r="DS5" s="845"/>
      <c r="DT5" s="845"/>
      <c r="DU5" s="845"/>
      <c r="DV5" s="845"/>
      <c r="DW5" s="845"/>
      <c r="DX5" s="845"/>
      <c r="DY5" s="845"/>
      <c r="DZ5" s="845"/>
      <c r="EA5" s="845"/>
      <c r="EB5" s="845"/>
      <c r="EC5" s="845"/>
      <c r="ED5" s="845"/>
      <c r="EE5" s="845"/>
      <c r="EF5" s="845"/>
      <c r="EG5" s="845"/>
      <c r="EH5" s="845"/>
      <c r="EI5" s="845"/>
      <c r="EJ5" s="845"/>
      <c r="EK5" s="845"/>
      <c r="EL5" s="845"/>
      <c r="EM5" s="845"/>
      <c r="EN5" s="845"/>
      <c r="EO5" s="845"/>
      <c r="EP5" s="845"/>
      <c r="EQ5" s="845"/>
      <c r="ER5" s="845"/>
      <c r="ES5" s="845"/>
      <c r="ET5" s="845"/>
      <c r="EU5" s="845"/>
      <c r="EV5" s="845"/>
      <c r="EW5" s="845"/>
      <c r="EX5" s="845"/>
      <c r="EY5" s="845"/>
      <c r="EZ5" s="845"/>
      <c r="FA5" s="845"/>
      <c r="FB5" s="845"/>
      <c r="FC5" s="845"/>
      <c r="FD5" s="845"/>
      <c r="FE5" s="845"/>
      <c r="FF5" s="845"/>
      <c r="FG5" s="845"/>
      <c r="FH5" s="845"/>
      <c r="FI5" s="845"/>
      <c r="FJ5" s="845"/>
      <c r="FK5" s="845"/>
      <c r="FL5" s="845"/>
      <c r="FM5" s="845"/>
      <c r="FN5" s="845"/>
      <c r="FO5" s="845"/>
      <c r="FP5" s="845"/>
      <c r="FQ5" s="845"/>
      <c r="FR5" s="845"/>
      <c r="FS5" s="845"/>
      <c r="FT5" s="845"/>
      <c r="FU5" s="845"/>
      <c r="FV5" s="845"/>
      <c r="FW5" s="845"/>
      <c r="FX5" s="845"/>
      <c r="FY5" s="845"/>
      <c r="FZ5" s="845"/>
      <c r="GA5" s="845"/>
      <c r="GB5" s="845"/>
      <c r="GC5" s="845"/>
      <c r="GD5" s="845"/>
      <c r="GE5" s="845"/>
      <c r="GF5" s="845"/>
      <c r="GG5" s="845"/>
      <c r="GH5" s="845"/>
      <c r="GI5" s="845"/>
      <c r="GJ5" s="845"/>
      <c r="GK5" s="845"/>
      <c r="GL5" s="845"/>
      <c r="GM5" s="845"/>
      <c r="GN5" s="845"/>
      <c r="GO5" s="845"/>
      <c r="GP5" s="845"/>
      <c r="GQ5" s="845"/>
      <c r="GR5" s="845"/>
      <c r="GS5" s="845"/>
      <c r="GT5" s="845"/>
      <c r="GU5" s="845"/>
      <c r="GV5" s="845"/>
      <c r="GW5" s="845"/>
      <c r="GX5" s="845"/>
      <c r="GY5" s="845"/>
      <c r="GZ5" s="845"/>
      <c r="HA5" s="845"/>
      <c r="HB5" s="845"/>
      <c r="HC5" s="845"/>
      <c r="HD5" s="845"/>
      <c r="HE5" s="845"/>
      <c r="HF5" s="845"/>
      <c r="HG5" s="845"/>
      <c r="HH5" s="845"/>
      <c r="HI5" s="845"/>
      <c r="HJ5" s="845"/>
      <c r="HK5" s="845"/>
      <c r="HL5" s="845"/>
      <c r="HM5" s="845"/>
      <c r="HN5" s="845"/>
      <c r="HO5" s="845"/>
      <c r="HP5" s="845"/>
      <c r="HQ5" s="845"/>
      <c r="HR5" s="845"/>
      <c r="HS5" s="845"/>
      <c r="HT5" s="845"/>
      <c r="HU5" s="845"/>
      <c r="HV5" s="845"/>
      <c r="HW5" s="845"/>
      <c r="HX5" s="845"/>
      <c r="HY5" s="845"/>
      <c r="HZ5" s="845"/>
      <c r="IA5" s="845"/>
      <c r="IB5" s="845"/>
      <c r="IC5" s="845"/>
      <c r="ID5" s="845"/>
      <c r="IE5" s="845"/>
      <c r="IF5" s="845"/>
      <c r="IG5" s="845"/>
      <c r="IH5" s="845"/>
      <c r="II5" s="845"/>
      <c r="IJ5" s="845"/>
      <c r="IK5" s="845"/>
      <c r="IL5" s="845"/>
      <c r="IM5" s="845"/>
      <c r="IN5" s="845"/>
      <c r="IO5" s="845"/>
      <c r="IP5" s="845"/>
      <c r="IQ5" s="845"/>
      <c r="IS5" s="861"/>
      <c r="IT5" s="861"/>
    </row>
    <row r="6" spans="1:254" s="863" customFormat="1" ht="18.75" customHeight="1">
      <c r="A6" s="834"/>
      <c r="B6" s="855" t="s">
        <v>579</v>
      </c>
      <c r="C6" s="862"/>
      <c r="D6" s="845"/>
      <c r="E6" s="846"/>
      <c r="F6" s="845"/>
      <c r="G6" s="845"/>
      <c r="H6" s="845"/>
      <c r="I6" s="845"/>
      <c r="K6" s="845"/>
      <c r="L6" s="845"/>
      <c r="M6" s="841" t="s">
        <v>639</v>
      </c>
      <c r="N6" s="864"/>
      <c r="O6" s="864"/>
      <c r="P6" s="864"/>
      <c r="Q6" s="864"/>
      <c r="R6" s="845"/>
      <c r="S6" s="845"/>
      <c r="T6" s="845"/>
      <c r="U6" s="845"/>
      <c r="V6" s="845"/>
      <c r="W6" s="860"/>
      <c r="X6" s="849"/>
      <c r="Y6" s="845"/>
      <c r="Z6" s="845"/>
      <c r="AA6" s="845"/>
      <c r="AB6" s="845"/>
      <c r="AC6" s="845"/>
      <c r="AD6" s="845"/>
      <c r="AE6" s="845"/>
      <c r="AF6" s="845"/>
      <c r="AG6" s="845"/>
      <c r="AH6" s="845"/>
      <c r="AI6" s="845"/>
      <c r="AJ6" s="845"/>
      <c r="AK6" s="845"/>
      <c r="AL6" s="845"/>
      <c r="AM6" s="845"/>
      <c r="AN6" s="845"/>
      <c r="AO6" s="845"/>
      <c r="AP6" s="845"/>
      <c r="AQ6" s="845"/>
      <c r="AR6" s="845"/>
      <c r="AS6" s="845"/>
      <c r="AT6" s="845"/>
      <c r="AU6" s="845"/>
      <c r="AV6" s="845"/>
      <c r="AW6" s="845"/>
      <c r="AX6" s="845"/>
      <c r="AY6" s="845"/>
      <c r="AZ6" s="845"/>
      <c r="BA6" s="845"/>
      <c r="BB6" s="845"/>
      <c r="BC6" s="845"/>
      <c r="BD6" s="845"/>
      <c r="BE6" s="845"/>
      <c r="BF6" s="845"/>
      <c r="BG6" s="845"/>
      <c r="BH6" s="845"/>
      <c r="BI6" s="845"/>
      <c r="BJ6" s="865" t="s">
        <v>474</v>
      </c>
      <c r="BK6" s="845"/>
      <c r="BL6" s="845"/>
      <c r="BM6" s="845"/>
      <c r="BN6" s="845"/>
      <c r="BO6" s="845"/>
      <c r="BP6" s="845"/>
      <c r="BQ6" s="845"/>
      <c r="BR6" s="845"/>
      <c r="BS6" s="845"/>
      <c r="BT6" s="845"/>
      <c r="BU6" s="845"/>
      <c r="BV6" s="845"/>
      <c r="BW6" s="845"/>
      <c r="BX6" s="845"/>
      <c r="BY6" s="845"/>
      <c r="BZ6" s="845"/>
      <c r="CA6" s="845"/>
      <c r="CB6" s="845"/>
      <c r="CC6" s="845"/>
      <c r="CD6" s="845"/>
      <c r="CE6" s="845"/>
      <c r="CF6" s="845"/>
      <c r="CG6" s="845"/>
      <c r="CH6" s="845"/>
      <c r="CI6" s="845"/>
      <c r="CJ6" s="845"/>
      <c r="CK6" s="845"/>
      <c r="CL6" s="845"/>
      <c r="CM6" s="845"/>
      <c r="CN6" s="845"/>
      <c r="CO6" s="845"/>
      <c r="CP6" s="845"/>
      <c r="CQ6" s="845"/>
      <c r="CR6" s="845"/>
      <c r="CS6" s="845"/>
      <c r="CT6" s="845"/>
      <c r="CU6" s="845"/>
      <c r="CV6" s="845"/>
      <c r="CW6" s="845"/>
      <c r="CX6" s="845"/>
      <c r="CY6" s="845"/>
      <c r="CZ6" s="845"/>
      <c r="DA6" s="845"/>
      <c r="DB6" s="845"/>
      <c r="DC6" s="845"/>
      <c r="DD6" s="845"/>
      <c r="DE6" s="845"/>
      <c r="DF6" s="845"/>
      <c r="DG6" s="845"/>
      <c r="DH6" s="845"/>
      <c r="DI6" s="845"/>
      <c r="DJ6" s="845"/>
      <c r="DK6" s="845"/>
      <c r="DL6" s="845"/>
      <c r="DM6" s="845"/>
      <c r="DN6" s="845"/>
      <c r="DO6" s="845"/>
      <c r="DP6" s="845"/>
      <c r="DQ6" s="845"/>
      <c r="DR6" s="845"/>
      <c r="DS6" s="845"/>
      <c r="DT6" s="845"/>
      <c r="DU6" s="845"/>
      <c r="DV6" s="845"/>
      <c r="DW6" s="845"/>
      <c r="DX6" s="845"/>
      <c r="DY6" s="845"/>
      <c r="DZ6" s="845"/>
      <c r="EA6" s="845"/>
      <c r="EB6" s="845"/>
      <c r="EC6" s="845"/>
      <c r="ED6" s="845"/>
      <c r="EE6" s="845"/>
      <c r="EF6" s="845"/>
      <c r="EG6" s="845"/>
      <c r="EH6" s="845"/>
      <c r="EI6" s="845"/>
      <c r="EJ6" s="845"/>
      <c r="EK6" s="845"/>
      <c r="EL6" s="845"/>
      <c r="EM6" s="845"/>
      <c r="EN6" s="845"/>
      <c r="EO6" s="845"/>
      <c r="EP6" s="845"/>
      <c r="EQ6" s="845"/>
      <c r="ER6" s="845"/>
      <c r="ES6" s="845"/>
      <c r="ET6" s="845"/>
      <c r="EU6" s="845"/>
      <c r="EV6" s="845"/>
      <c r="EW6" s="845"/>
      <c r="EX6" s="845"/>
      <c r="EY6" s="845"/>
      <c r="EZ6" s="845"/>
      <c r="FA6" s="845"/>
      <c r="FB6" s="845"/>
      <c r="FC6" s="845"/>
      <c r="FD6" s="845"/>
      <c r="FE6" s="845"/>
      <c r="FF6" s="845"/>
      <c r="FG6" s="845"/>
      <c r="FH6" s="845"/>
      <c r="FI6" s="845"/>
      <c r="FJ6" s="845"/>
      <c r="FK6" s="845"/>
      <c r="FL6" s="845"/>
      <c r="FM6" s="845"/>
      <c r="FN6" s="845"/>
      <c r="FO6" s="845"/>
      <c r="FP6" s="845"/>
      <c r="FQ6" s="845"/>
      <c r="FR6" s="845"/>
      <c r="FS6" s="845"/>
      <c r="FT6" s="845"/>
      <c r="FU6" s="845"/>
      <c r="FV6" s="845"/>
      <c r="FW6" s="845"/>
      <c r="FX6" s="845"/>
      <c r="FY6" s="845"/>
      <c r="FZ6" s="845"/>
      <c r="GA6" s="845"/>
      <c r="GB6" s="845"/>
      <c r="GC6" s="845"/>
      <c r="GD6" s="845"/>
      <c r="GE6" s="845"/>
      <c r="GF6" s="845"/>
      <c r="GG6" s="845"/>
      <c r="GH6" s="845"/>
      <c r="GI6" s="845"/>
      <c r="GJ6" s="845"/>
      <c r="GK6" s="845"/>
      <c r="GL6" s="845"/>
      <c r="GM6" s="845"/>
      <c r="GN6" s="845"/>
      <c r="GO6" s="845"/>
      <c r="GP6" s="845"/>
      <c r="GQ6" s="845"/>
      <c r="GR6" s="845"/>
      <c r="GS6" s="845"/>
      <c r="GT6" s="845"/>
      <c r="GU6" s="845"/>
      <c r="GV6" s="845"/>
      <c r="GW6" s="845"/>
      <c r="GX6" s="845"/>
      <c r="GY6" s="845"/>
      <c r="GZ6" s="845"/>
      <c r="HA6" s="845"/>
      <c r="HB6" s="845"/>
      <c r="HC6" s="845"/>
      <c r="HD6" s="845"/>
      <c r="HE6" s="845"/>
      <c r="HF6" s="845"/>
      <c r="HG6" s="845"/>
      <c r="HH6" s="845"/>
      <c r="HI6" s="845"/>
      <c r="HJ6" s="845"/>
      <c r="HK6" s="845"/>
      <c r="HL6" s="845"/>
      <c r="HM6" s="845"/>
      <c r="HN6" s="845"/>
      <c r="HO6" s="845"/>
      <c r="HP6" s="845"/>
      <c r="HQ6" s="845"/>
      <c r="HR6" s="845"/>
      <c r="HS6" s="845"/>
      <c r="HT6" s="845"/>
      <c r="HU6" s="845"/>
      <c r="HV6" s="845"/>
      <c r="HW6" s="845"/>
      <c r="HX6" s="845"/>
      <c r="HY6" s="845"/>
      <c r="HZ6" s="845"/>
      <c r="IA6" s="845"/>
      <c r="IB6" s="845"/>
      <c r="IC6" s="845"/>
      <c r="ID6" s="845"/>
      <c r="IE6" s="845"/>
      <c r="IF6" s="845"/>
      <c r="IG6" s="845"/>
      <c r="IH6" s="845"/>
      <c r="II6" s="845"/>
      <c r="IJ6" s="845"/>
      <c r="IK6" s="845"/>
      <c r="IL6" s="845"/>
      <c r="IM6" s="845"/>
      <c r="IN6" s="845"/>
      <c r="IO6" s="845"/>
      <c r="IP6" s="845"/>
      <c r="IQ6" s="845"/>
      <c r="IS6" s="838"/>
      <c r="IT6" s="838"/>
    </row>
    <row r="7" spans="1:254" s="863" customFormat="1" ht="18" customHeight="1">
      <c r="A7" s="834"/>
      <c r="B7" s="866"/>
      <c r="C7" s="845"/>
      <c r="D7" s="845"/>
      <c r="E7" s="846"/>
      <c r="F7" s="845"/>
      <c r="G7" s="845"/>
      <c r="H7" s="845"/>
      <c r="I7" s="845"/>
      <c r="J7" s="845"/>
      <c r="K7" s="849"/>
      <c r="L7" s="849"/>
      <c r="M7" s="849"/>
      <c r="N7" s="864"/>
      <c r="O7" s="864"/>
      <c r="P7" s="864"/>
      <c r="Q7" s="864"/>
      <c r="R7" s="845"/>
      <c r="S7" s="845"/>
      <c r="T7" s="845"/>
      <c r="U7" s="845"/>
      <c r="V7" s="845"/>
      <c r="W7" s="860"/>
      <c r="X7" s="849"/>
      <c r="Y7" s="845"/>
      <c r="Z7" s="845"/>
      <c r="AA7" s="845"/>
      <c r="AB7" s="845"/>
      <c r="AC7" s="845"/>
      <c r="AD7" s="845"/>
      <c r="AE7" s="845"/>
      <c r="AF7" s="845"/>
      <c r="AG7" s="845"/>
      <c r="AH7" s="845"/>
      <c r="AI7" s="845"/>
      <c r="AJ7" s="845"/>
      <c r="AK7" s="845"/>
      <c r="AL7" s="845"/>
      <c r="AM7" s="845"/>
      <c r="AN7" s="845"/>
      <c r="AO7" s="845"/>
      <c r="AP7" s="845"/>
      <c r="AQ7" s="845"/>
      <c r="AR7" s="845"/>
      <c r="AS7" s="845"/>
      <c r="AT7" s="845"/>
      <c r="AU7" s="845"/>
      <c r="AV7" s="845"/>
      <c r="AW7" s="845"/>
      <c r="AX7" s="845"/>
      <c r="AY7" s="845"/>
      <c r="AZ7" s="845"/>
      <c r="BA7" s="845"/>
      <c r="BB7" s="845"/>
      <c r="BC7" s="845"/>
      <c r="BD7" s="845"/>
      <c r="BE7" s="845"/>
      <c r="BF7" s="845"/>
      <c r="BG7" s="845"/>
      <c r="BH7" s="845"/>
      <c r="BI7" s="845"/>
      <c r="BJ7" s="867" t="s">
        <v>473</v>
      </c>
      <c r="BK7" s="845"/>
      <c r="BL7" s="845"/>
      <c r="BM7" s="845"/>
      <c r="BN7" s="845"/>
      <c r="BO7" s="845"/>
      <c r="BP7" s="845"/>
      <c r="BQ7" s="845"/>
      <c r="BR7" s="845"/>
      <c r="BS7" s="845"/>
      <c r="BT7" s="845"/>
      <c r="BU7" s="845"/>
      <c r="BV7" s="845"/>
      <c r="BW7" s="845"/>
      <c r="BX7" s="845"/>
      <c r="BY7" s="845"/>
      <c r="BZ7" s="845"/>
      <c r="CA7" s="845"/>
      <c r="CB7" s="845"/>
      <c r="CC7" s="845"/>
      <c r="CD7" s="845"/>
      <c r="CE7" s="845"/>
      <c r="CF7" s="845"/>
      <c r="CG7" s="845"/>
      <c r="CH7" s="845"/>
      <c r="CI7" s="845"/>
      <c r="CJ7" s="845"/>
      <c r="CK7" s="845"/>
      <c r="CL7" s="845"/>
      <c r="CM7" s="845"/>
      <c r="CN7" s="845"/>
      <c r="CO7" s="845"/>
      <c r="CP7" s="845"/>
      <c r="CQ7" s="845"/>
      <c r="CR7" s="845"/>
      <c r="CS7" s="845"/>
      <c r="CT7" s="845"/>
      <c r="CU7" s="845"/>
      <c r="CV7" s="845"/>
      <c r="CW7" s="845"/>
      <c r="CX7" s="845"/>
      <c r="CY7" s="845"/>
      <c r="CZ7" s="845"/>
      <c r="DA7" s="845"/>
      <c r="DB7" s="845"/>
      <c r="DC7" s="845"/>
      <c r="DD7" s="845"/>
      <c r="DE7" s="845"/>
      <c r="DF7" s="845"/>
      <c r="DG7" s="845"/>
      <c r="DH7" s="845"/>
      <c r="DI7" s="845"/>
      <c r="DJ7" s="845"/>
      <c r="DK7" s="845"/>
      <c r="DL7" s="845"/>
      <c r="DM7" s="845"/>
      <c r="DN7" s="845"/>
      <c r="DO7" s="845"/>
      <c r="DP7" s="845"/>
      <c r="DQ7" s="845"/>
      <c r="DR7" s="845"/>
      <c r="DS7" s="845"/>
      <c r="DT7" s="845"/>
      <c r="DU7" s="845"/>
      <c r="DV7" s="845"/>
      <c r="DW7" s="845"/>
      <c r="DX7" s="845"/>
      <c r="DY7" s="845"/>
      <c r="DZ7" s="845"/>
      <c r="EA7" s="845"/>
      <c r="EB7" s="845"/>
      <c r="EC7" s="845"/>
      <c r="ED7" s="845"/>
      <c r="EE7" s="845"/>
      <c r="EF7" s="845"/>
      <c r="EG7" s="845"/>
      <c r="EH7" s="845"/>
      <c r="EI7" s="845"/>
      <c r="EJ7" s="845"/>
      <c r="EK7" s="845"/>
      <c r="EL7" s="845"/>
      <c r="EM7" s="845"/>
      <c r="EN7" s="845"/>
      <c r="EO7" s="845"/>
      <c r="EP7" s="845"/>
      <c r="EQ7" s="845"/>
      <c r="ER7" s="845"/>
      <c r="ES7" s="845"/>
      <c r="ET7" s="845"/>
      <c r="EU7" s="845"/>
      <c r="EV7" s="845"/>
      <c r="EW7" s="845"/>
      <c r="EX7" s="845"/>
      <c r="EY7" s="845"/>
      <c r="EZ7" s="845"/>
      <c r="FA7" s="845"/>
      <c r="FB7" s="845"/>
      <c r="FC7" s="845"/>
      <c r="FD7" s="845"/>
      <c r="FE7" s="845"/>
      <c r="FF7" s="845"/>
      <c r="FG7" s="845"/>
      <c r="FH7" s="845"/>
      <c r="FI7" s="845"/>
      <c r="FJ7" s="845"/>
      <c r="FK7" s="845"/>
      <c r="FL7" s="845"/>
      <c r="FM7" s="845"/>
      <c r="FN7" s="845"/>
      <c r="FO7" s="845"/>
      <c r="FP7" s="845"/>
      <c r="FQ7" s="845"/>
      <c r="FR7" s="845"/>
      <c r="FS7" s="845"/>
      <c r="FT7" s="845"/>
      <c r="FU7" s="845"/>
      <c r="FV7" s="845"/>
      <c r="FW7" s="845"/>
      <c r="FX7" s="845"/>
      <c r="FY7" s="845"/>
      <c r="FZ7" s="845"/>
      <c r="GA7" s="845"/>
      <c r="GB7" s="845"/>
      <c r="GC7" s="845"/>
      <c r="GD7" s="845"/>
      <c r="GE7" s="845"/>
      <c r="GF7" s="845"/>
      <c r="GG7" s="845"/>
      <c r="GH7" s="845"/>
      <c r="GI7" s="845"/>
      <c r="GJ7" s="845"/>
      <c r="GK7" s="845"/>
      <c r="GL7" s="845"/>
      <c r="GM7" s="845"/>
      <c r="GN7" s="845"/>
      <c r="GO7" s="845"/>
      <c r="GP7" s="845"/>
      <c r="GQ7" s="845"/>
      <c r="GR7" s="845"/>
      <c r="GS7" s="845"/>
      <c r="GT7" s="845"/>
      <c r="GU7" s="845"/>
      <c r="GV7" s="845"/>
      <c r="GW7" s="845"/>
      <c r="GX7" s="845"/>
      <c r="GY7" s="845"/>
      <c r="GZ7" s="845"/>
      <c r="HA7" s="845"/>
      <c r="HB7" s="845"/>
      <c r="HC7" s="845"/>
      <c r="HD7" s="845"/>
      <c r="HE7" s="845"/>
      <c r="HF7" s="845"/>
      <c r="HG7" s="845"/>
      <c r="HH7" s="845"/>
      <c r="HI7" s="845"/>
      <c r="HJ7" s="845"/>
      <c r="HK7" s="845"/>
      <c r="HL7" s="845"/>
      <c r="HM7" s="845"/>
      <c r="HN7" s="845"/>
      <c r="HO7" s="845"/>
      <c r="HP7" s="845"/>
      <c r="HQ7" s="845"/>
      <c r="HR7" s="845"/>
      <c r="HS7" s="845"/>
      <c r="HT7" s="845"/>
      <c r="HU7" s="845"/>
      <c r="HV7" s="845"/>
      <c r="HW7" s="845"/>
      <c r="HX7" s="845"/>
      <c r="HY7" s="845"/>
      <c r="HZ7" s="845"/>
      <c r="IA7" s="845"/>
      <c r="IB7" s="845"/>
      <c r="IC7" s="845"/>
      <c r="ID7" s="845"/>
      <c r="IE7" s="845"/>
      <c r="IF7" s="845"/>
      <c r="IG7" s="845"/>
      <c r="IH7" s="845"/>
      <c r="II7" s="845"/>
      <c r="IJ7" s="845"/>
      <c r="IK7" s="845"/>
      <c r="IL7" s="845"/>
      <c r="IM7" s="845"/>
      <c r="IN7" s="845"/>
      <c r="IO7" s="845"/>
      <c r="IP7" s="845"/>
      <c r="IQ7" s="845"/>
    </row>
    <row r="8" spans="1:254" ht="200.1" customHeight="1">
      <c r="A8" s="851"/>
      <c r="B8" s="866"/>
      <c r="D8" s="835" t="s">
        <v>640</v>
      </c>
      <c r="E8" s="868"/>
      <c r="F8" s="869" t="b">
        <v>1</v>
      </c>
      <c r="I8" s="870"/>
      <c r="J8" s="871"/>
      <c r="K8" s="849"/>
      <c r="L8" s="849"/>
      <c r="M8" s="849"/>
      <c r="N8" s="864"/>
      <c r="O8" s="864"/>
      <c r="P8" s="864"/>
      <c r="Q8" s="864"/>
      <c r="W8" s="860"/>
      <c r="Z8" s="872" t="s">
        <v>641</v>
      </c>
      <c r="AA8" s="872"/>
      <c r="AB8" s="872" t="s">
        <v>642</v>
      </c>
      <c r="AC8" s="872"/>
      <c r="AD8" s="865"/>
      <c r="AE8" s="865"/>
      <c r="AF8" s="849"/>
      <c r="AG8" s="849"/>
      <c r="AH8" s="849"/>
      <c r="AI8" s="849"/>
      <c r="AJ8" s="849"/>
      <c r="AK8" s="849"/>
      <c r="AL8" s="849"/>
      <c r="AM8" s="849"/>
      <c r="AN8" s="849"/>
    </row>
    <row r="9" spans="1:254" ht="12.6" customHeight="1">
      <c r="A9" s="851"/>
      <c r="B9" s="866"/>
      <c r="J9" s="860"/>
      <c r="K9" s="849"/>
      <c r="L9" s="849"/>
      <c r="M9" s="849"/>
      <c r="N9" s="849"/>
      <c r="O9" s="849"/>
      <c r="P9" s="849"/>
      <c r="W9" s="845"/>
      <c r="Z9" s="873">
        <v>0</v>
      </c>
      <c r="AA9" s="874"/>
      <c r="AB9" s="875" t="s">
        <v>643</v>
      </c>
      <c r="AC9" s="874"/>
      <c r="AD9" s="874"/>
      <c r="AE9" s="876"/>
      <c r="AF9" s="849"/>
      <c r="AG9" s="877"/>
      <c r="AH9" s="877"/>
      <c r="AI9" s="878"/>
      <c r="AJ9" s="878"/>
      <c r="AK9" s="878"/>
      <c r="AL9" s="878"/>
      <c r="AM9" s="878"/>
      <c r="AN9" s="878"/>
      <c r="AO9" s="879"/>
      <c r="AP9" s="879"/>
      <c r="AQ9" s="880">
        <f t="shared" ref="AQ9:AQ22" si="0">MATCH(AR9,$B$61:$B$87,0)</f>
        <v>1</v>
      </c>
      <c r="AR9" s="881" t="str">
        <f t="shared" ref="AR9:AR16" si="1">B61</f>
        <v>Operating revenue</v>
      </c>
      <c r="AS9" s="874"/>
      <c r="AT9" s="874"/>
      <c r="AU9" s="876"/>
      <c r="BB9" s="865" t="s">
        <v>834</v>
      </c>
    </row>
    <row r="10" spans="1:254" ht="12.6" customHeight="1">
      <c r="A10" s="851"/>
      <c r="B10" s="882" t="s">
        <v>644</v>
      </c>
      <c r="K10" s="849"/>
      <c r="L10" s="849"/>
      <c r="M10" s="849"/>
      <c r="N10" s="849"/>
      <c r="O10" s="849"/>
      <c r="P10" s="849"/>
      <c r="W10" s="845"/>
      <c r="Z10" s="883">
        <v>1</v>
      </c>
      <c r="AA10" s="865"/>
      <c r="AB10" s="884" t="s">
        <v>643</v>
      </c>
      <c r="AC10" s="865">
        <v>1</v>
      </c>
      <c r="AD10" s="865"/>
      <c r="AE10" s="885"/>
      <c r="AF10" s="849"/>
      <c r="AG10" s="878"/>
      <c r="AH10" s="878"/>
      <c r="AI10" s="878"/>
      <c r="AJ10" s="878"/>
      <c r="AK10" s="878"/>
      <c r="AL10" s="878"/>
      <c r="AM10" s="878"/>
      <c r="AN10" s="878"/>
      <c r="AO10" s="886"/>
      <c r="AP10" s="886"/>
      <c r="AQ10" s="887">
        <f t="shared" si="0"/>
        <v>2</v>
      </c>
      <c r="AR10" s="884" t="str">
        <f t="shared" si="1"/>
        <v>Operating revenue growth</v>
      </c>
      <c r="AS10" s="865"/>
      <c r="AT10" s="865"/>
      <c r="AU10" s="885"/>
    </row>
    <row r="11" spans="1:254" ht="12.6" customHeight="1">
      <c r="A11" s="851"/>
      <c r="B11" s="882" t="s">
        <v>645</v>
      </c>
      <c r="C11" s="888"/>
      <c r="D11" s="888"/>
      <c r="E11" s="889" t="s">
        <v>646</v>
      </c>
      <c r="F11" s="890"/>
      <c r="G11" s="890"/>
      <c r="H11" s="888"/>
      <c r="I11" s="888"/>
      <c r="K11" s="849"/>
      <c r="L11" s="849"/>
      <c r="M11" s="849"/>
      <c r="N11" s="849"/>
      <c r="O11" s="849"/>
      <c r="P11" s="849"/>
      <c r="W11" s="845"/>
      <c r="Z11" s="883">
        <v>2</v>
      </c>
      <c r="AA11" s="865"/>
      <c r="AB11" s="884" t="s">
        <v>647</v>
      </c>
      <c r="AC11" s="865">
        <f>1/1000</f>
        <v>1E-3</v>
      </c>
      <c r="AD11" s="865"/>
      <c r="AE11" s="885"/>
      <c r="AF11" s="849"/>
      <c r="AG11" s="878"/>
      <c r="AH11" s="878"/>
      <c r="AI11" s="878"/>
      <c r="AJ11" s="878"/>
      <c r="AK11" s="878"/>
      <c r="AL11" s="878"/>
      <c r="AM11" s="878"/>
      <c r="AN11" s="878"/>
      <c r="AO11" s="886"/>
      <c r="AP11" s="886"/>
      <c r="AQ11" s="887">
        <f t="shared" si="0"/>
        <v>3</v>
      </c>
      <c r="AR11" s="884" t="str">
        <f t="shared" si="1"/>
        <v>Operating asset turnover</v>
      </c>
      <c r="AS11" s="865"/>
      <c r="AT11" s="865"/>
      <c r="AU11" s="885"/>
    </row>
    <row r="12" spans="1:254" ht="12.6" customHeight="1" thickBot="1">
      <c r="A12" s="851"/>
      <c r="B12" s="891" t="s">
        <v>648</v>
      </c>
      <c r="C12" s="892">
        <v>0.05</v>
      </c>
      <c r="D12" s="888"/>
      <c r="E12" s="889" t="s">
        <v>615</v>
      </c>
      <c r="F12" s="893"/>
      <c r="I12" s="894">
        <f>K12</f>
        <v>48.98</v>
      </c>
      <c r="K12" s="895">
        <v>48.98</v>
      </c>
      <c r="L12" s="849"/>
      <c r="M12" s="849"/>
      <c r="N12" s="849"/>
      <c r="O12" s="849"/>
      <c r="P12" s="849"/>
      <c r="Q12" s="896"/>
      <c r="R12" s="897" t="s">
        <v>649</v>
      </c>
      <c r="S12" s="897"/>
      <c r="T12" s="897"/>
      <c r="U12" s="897"/>
      <c r="V12" s="897"/>
      <c r="W12" s="897"/>
      <c r="Z12" s="883">
        <v>3</v>
      </c>
      <c r="AA12" s="898" t="s">
        <v>650</v>
      </c>
      <c r="AB12" s="899"/>
      <c r="AC12" s="898"/>
      <c r="AD12" s="898"/>
      <c r="AE12" s="900"/>
      <c r="AG12" s="886"/>
      <c r="AH12" s="886"/>
      <c r="AI12" s="886"/>
      <c r="AJ12" s="886"/>
      <c r="AK12" s="886"/>
      <c r="AL12" s="886"/>
      <c r="AM12" s="886"/>
      <c r="AN12" s="886"/>
      <c r="AO12" s="886"/>
      <c r="AP12" s="886"/>
      <c r="AQ12" s="887">
        <f t="shared" si="0"/>
        <v>4</v>
      </c>
      <c r="AR12" s="884" t="str">
        <f t="shared" si="1"/>
        <v>NOPAT</v>
      </c>
      <c r="AS12" s="865"/>
      <c r="AT12" s="865"/>
      <c r="AU12" s="885"/>
    </row>
    <row r="13" spans="1:254" ht="12.6" customHeight="1">
      <c r="A13" s="851"/>
      <c r="B13" s="891" t="s">
        <v>651</v>
      </c>
      <c r="C13" s="892">
        <v>0.08</v>
      </c>
      <c r="D13" s="888"/>
      <c r="E13" s="901" t="str">
        <f>B340&amp;C19&amp;" "&amp;B341</f>
        <v>IV Per Share (12 Month), Ex. Div</v>
      </c>
      <c r="F13" s="902"/>
      <c r="G13" s="902"/>
      <c r="H13" s="903">
        <f ca="1">DATE(IF(MONTH($U$22)+$C$19&gt;12,YEAR($U$22)+1,YEAR($U$22)),IF(MONTH($U$22)+$C$19&gt;12,$C$19-12+MONTH($U$22),$C$19+MONTH($U$22)),DAY($U$22))</f>
        <v>43567</v>
      </c>
      <c r="I13" s="904">
        <f ca="1">W16</f>
        <v>107.54858540883581</v>
      </c>
      <c r="K13" s="849"/>
      <c r="L13" s="849"/>
      <c r="M13" s="849"/>
      <c r="Q13" s="905" t="s">
        <v>652</v>
      </c>
      <c r="R13" s="906" t="str">
        <f>IF($B$335="English",AA13,AD13)</f>
        <v>IV per share beginning of F2015e</v>
      </c>
      <c r="S13" s="907"/>
      <c r="T13" s="907"/>
      <c r="U13" s="907"/>
      <c r="V13" s="907"/>
      <c r="W13" s="908">
        <f ca="1">IF(ISERROR($I$29/$C$16),0,$I$29/$C$16)</f>
        <v>111.55696149561213</v>
      </c>
      <c r="Z13" s="883">
        <v>4</v>
      </c>
      <c r="AA13" s="865" t="str">
        <f>"IV per share beginning of "&amp;C40</f>
        <v>IV per share beginning of F2015e</v>
      </c>
      <c r="AC13" s="865"/>
      <c r="AD13" s="865" t="str">
        <f>"1株当たりIV　"&amp;C40&amp;"期首"</f>
        <v>1株当たりIV　F2015e期首</v>
      </c>
      <c r="AE13" s="885"/>
      <c r="AG13" s="886"/>
      <c r="AH13" s="886"/>
      <c r="AI13" s="886"/>
      <c r="AJ13" s="886"/>
      <c r="AK13" s="886"/>
      <c r="AL13" s="886"/>
      <c r="AM13" s="886"/>
      <c r="AN13" s="886"/>
      <c r="AO13" s="886"/>
      <c r="AP13" s="886"/>
      <c r="AQ13" s="887">
        <f t="shared" si="0"/>
        <v>5</v>
      </c>
      <c r="AR13" s="884" t="str">
        <f t="shared" si="1"/>
        <v>NOPAT margin</v>
      </c>
      <c r="AS13" s="865"/>
      <c r="AT13" s="865"/>
      <c r="AU13" s="885"/>
    </row>
    <row r="14" spans="1:254" ht="12.6" customHeight="1">
      <c r="A14" s="851"/>
      <c r="B14" s="891" t="s">
        <v>653</v>
      </c>
      <c r="C14" s="909">
        <v>20</v>
      </c>
      <c r="D14" s="888"/>
      <c r="E14" s="910" t="s">
        <v>654</v>
      </c>
      <c r="F14" s="890"/>
      <c r="G14" s="890"/>
      <c r="H14" s="911"/>
      <c r="I14" s="912">
        <f ca="1">IF(ISERROR(($I$13-I12)/I12),"",($I$13-I12)/I12)</f>
        <v>1.1957653207193919</v>
      </c>
      <c r="K14" s="849"/>
      <c r="L14" s="849"/>
      <c r="M14" s="849"/>
      <c r="N14" s="849"/>
      <c r="Q14" s="905" t="s">
        <v>655</v>
      </c>
      <c r="R14" s="913" t="str">
        <f ca="1">IF($B$335="English",AA14,AD14)</f>
        <v>Add: Cost of equity from beginning of F2015e to Apr-19</v>
      </c>
      <c r="S14" s="907"/>
      <c r="T14" s="907"/>
      <c r="U14" s="907"/>
      <c r="V14" s="907"/>
      <c r="W14" s="914">
        <f ca="1">(1+$C$12)^X14-1</f>
        <v>-3.5931205305676839E-2</v>
      </c>
      <c r="X14" s="915">
        <f ca="1">((IF(C39=YEAR(TODAY()),0,IF(C39=YEAR(TODAY())+1,-12,-24))+IF($I$21&gt;=MONTH(TODAY()),12-$I$21+MONTH(TODAY()),MONTH(TODAY())-$I$21)+C19)/12)</f>
        <v>-0.75</v>
      </c>
      <c r="Z14" s="883">
        <v>5</v>
      </c>
      <c r="AA14" s="865" t="str">
        <f ca="1">"Add: Cost of equity from beginning of "&amp;C40&amp;" to "&amp;TEXT(H13,"mmm-yy")</f>
        <v>Add: Cost of equity from beginning of F2015e to Apr-19</v>
      </c>
      <c r="AB14" s="865"/>
      <c r="AC14" s="865"/>
      <c r="AD14" s="865" t="str">
        <f ca="1">"追加: "&amp;C40&amp;" 期首 から "&amp;TEXT(H13,"mmm-yy")&amp;" の株主資本コスト"</f>
        <v>追加: F2015e 期首 から Apr-19 の株主資本コスト</v>
      </c>
      <c r="AE14" s="885"/>
      <c r="AG14" s="886"/>
      <c r="AH14" s="886"/>
      <c r="AI14" s="886"/>
      <c r="AJ14" s="886"/>
      <c r="AK14" s="886"/>
      <c r="AL14" s="886"/>
      <c r="AM14" s="886"/>
      <c r="AN14" s="886"/>
      <c r="AO14" s="886"/>
      <c r="AP14" s="886"/>
      <c r="AQ14" s="887">
        <f t="shared" si="0"/>
        <v>6</v>
      </c>
      <c r="AR14" s="884" t="str">
        <f t="shared" si="1"/>
        <v>Net operating assets</v>
      </c>
      <c r="AS14" s="865"/>
      <c r="AT14" s="865"/>
      <c r="AU14" s="885"/>
    </row>
    <row r="15" spans="1:254" ht="12.6" customHeight="1">
      <c r="A15" s="851"/>
      <c r="B15" s="891" t="s">
        <v>656</v>
      </c>
      <c r="C15" s="916">
        <v>0.04</v>
      </c>
      <c r="D15" s="888"/>
      <c r="E15" s="910" t="s">
        <v>657</v>
      </c>
      <c r="F15" s="890"/>
      <c r="G15" s="890"/>
      <c r="H15" s="917">
        <f>IF(ISERROR(C59),"",C59)</f>
        <v>0</v>
      </c>
      <c r="I15" s="912">
        <f>IF(ISERROR(W18/I12/V23),"",W18/I12/V23)</f>
        <v>0</v>
      </c>
      <c r="K15" s="849"/>
      <c r="L15" s="849"/>
      <c r="M15" s="849"/>
      <c r="N15" s="849"/>
      <c r="Q15" s="905" t="s">
        <v>658</v>
      </c>
      <c r="R15" s="913" t="str">
        <f ca="1">IF($B$335="English",AA15,AD15)</f>
        <v>Less: DPS paid out from beginning of F2015e to Apr-19</v>
      </c>
      <c r="S15" s="907"/>
      <c r="T15" s="907"/>
      <c r="U15" s="907"/>
      <c r="V15" s="907"/>
      <c r="W15" s="918">
        <f ca="1">Y22</f>
        <v>0</v>
      </c>
      <c r="Z15" s="883">
        <v>6</v>
      </c>
      <c r="AA15" s="865" t="str">
        <f ca="1">"Less: DPS paid out from beginning of "&amp;C40&amp;" to "&amp;TEXT(H13,"mmm-yy")</f>
        <v>Less: DPS paid out from beginning of F2015e to Apr-19</v>
      </c>
      <c r="AB15" s="865"/>
      <c r="AC15" s="865"/>
      <c r="AD15" s="865" t="str">
        <f ca="1">"控除: "&amp;C40&amp;" 期首 から "&amp;TEXT(H13,"mmm-yy")&amp;" のDPS支出"</f>
        <v>控除: F2015e 期首 から Apr-19 のDPS支出</v>
      </c>
      <c r="AE15" s="885"/>
      <c r="AG15" s="886"/>
      <c r="AH15" s="886"/>
      <c r="AI15" s="886"/>
      <c r="AJ15" s="886"/>
      <c r="AK15" s="886"/>
      <c r="AL15" s="886"/>
      <c r="AM15" s="886"/>
      <c r="AN15" s="886"/>
      <c r="AO15" s="886"/>
      <c r="AP15" s="886"/>
      <c r="AQ15" s="887">
        <f t="shared" si="0"/>
        <v>7</v>
      </c>
      <c r="AR15" s="884" t="str">
        <f t="shared" si="1"/>
        <v>RNOA</v>
      </c>
      <c r="AS15" s="865"/>
      <c r="AT15" s="865"/>
      <c r="AU15" s="885"/>
    </row>
    <row r="16" spans="1:254" ht="12.6" customHeight="1">
      <c r="A16" s="851"/>
      <c r="B16" s="891" t="s">
        <v>659</v>
      </c>
      <c r="C16" s="919">
        <f>$AD$25*V23</f>
        <v>75.864999999999995</v>
      </c>
      <c r="D16" s="888"/>
      <c r="E16" s="901" t="s">
        <v>660</v>
      </c>
      <c r="F16" s="902"/>
      <c r="G16" s="902"/>
      <c r="H16" s="920"/>
      <c r="I16" s="921">
        <f ca="1">IF(ISERROR(I14+I15),"",I14+I15)</f>
        <v>1.1957653207193919</v>
      </c>
      <c r="K16" s="849"/>
      <c r="L16" s="849"/>
      <c r="N16" s="849"/>
      <c r="Q16" s="905" t="s">
        <v>661</v>
      </c>
      <c r="R16" s="906" t="str">
        <f ca="1">IF($B$335="English",AA16,AD16)</f>
        <v>IV per share Apr-19</v>
      </c>
      <c r="S16" s="907"/>
      <c r="T16" s="907"/>
      <c r="U16" s="907"/>
      <c r="V16" s="907"/>
      <c r="W16" s="908">
        <f ca="1">IF(ISERROR((W13*(1+W14)-W15)*C20),0,(W13*(1+W14)-W15)*C20)</f>
        <v>107.54858540883581</v>
      </c>
      <c r="Z16" s="883">
        <v>7</v>
      </c>
      <c r="AA16" s="865" t="str">
        <f ca="1">"IV per share "&amp;TEXT(H13,"mmm-yy")</f>
        <v>IV per share Apr-19</v>
      </c>
      <c r="AB16" s="865"/>
      <c r="AC16" s="865"/>
      <c r="AD16" s="865" t="str">
        <f ca="1">"1株当たりIV "&amp;TEXT(H13,"mmm-yy")</f>
        <v>1株当たりIV Apr-19</v>
      </c>
      <c r="AE16" s="885"/>
      <c r="AG16" s="886"/>
      <c r="AH16" s="886"/>
      <c r="AI16" s="886"/>
      <c r="AJ16" s="886"/>
      <c r="AK16" s="886"/>
      <c r="AL16" s="886"/>
      <c r="AM16" s="886"/>
      <c r="AN16" s="886"/>
      <c r="AO16" s="886"/>
      <c r="AP16" s="886"/>
      <c r="AQ16" s="887">
        <f t="shared" si="0"/>
        <v>8</v>
      </c>
      <c r="AR16" s="884" t="str">
        <f t="shared" si="1"/>
        <v>FCFO</v>
      </c>
      <c r="AS16" s="865"/>
      <c r="AT16" s="865"/>
      <c r="AU16" s="885"/>
    </row>
    <row r="17" spans="1:251" ht="12.6" customHeight="1">
      <c r="A17" s="851"/>
      <c r="B17" s="891" t="s">
        <v>662</v>
      </c>
      <c r="C17" s="892">
        <v>0.05</v>
      </c>
      <c r="D17" s="910"/>
      <c r="E17" s="910"/>
      <c r="F17" s="890"/>
      <c r="G17" s="890"/>
      <c r="H17" s="888"/>
      <c r="I17" s="888"/>
      <c r="K17" s="849"/>
      <c r="L17" s="849"/>
      <c r="M17" s="849"/>
      <c r="P17" s="849"/>
      <c r="W17" s="845"/>
      <c r="Z17" s="883">
        <v>8</v>
      </c>
      <c r="AA17" s="865"/>
      <c r="AB17" s="865"/>
      <c r="AC17" s="865"/>
      <c r="AD17" s="865"/>
      <c r="AE17" s="885"/>
      <c r="AG17" s="886"/>
      <c r="AH17" s="886"/>
      <c r="AI17" s="886"/>
      <c r="AJ17" s="886"/>
      <c r="AK17" s="886"/>
      <c r="AL17" s="886"/>
      <c r="AM17" s="886"/>
      <c r="AN17" s="886"/>
      <c r="AO17" s="886"/>
      <c r="AP17" s="886"/>
      <c r="AQ17" s="887">
        <f t="shared" si="0"/>
        <v>14</v>
      </c>
      <c r="AR17" s="884" t="str">
        <f>B74</f>
        <v>Net financial expense (income)</v>
      </c>
      <c r="AS17" s="865"/>
      <c r="AT17" s="865"/>
      <c r="AU17" s="885"/>
    </row>
    <row r="18" spans="1:251" s="850" customFormat="1" ht="12.6" customHeight="1">
      <c r="A18" s="834"/>
      <c r="B18" s="891" t="s">
        <v>663</v>
      </c>
      <c r="C18" s="916">
        <v>0.5</v>
      </c>
      <c r="D18" s="910"/>
      <c r="E18" s="922" t="s">
        <v>430</v>
      </c>
      <c r="F18" s="923"/>
      <c r="G18" s="845"/>
      <c r="H18" s="924"/>
      <c r="I18" s="925">
        <f ca="1">IF(ISERROR(L1),"",L1)</f>
        <v>4.901996446968937E-2</v>
      </c>
      <c r="J18" s="845"/>
      <c r="K18" s="849"/>
      <c r="L18" s="926"/>
      <c r="M18" s="849"/>
      <c r="N18" s="849"/>
      <c r="O18" s="849"/>
      <c r="P18" s="849"/>
      <c r="Q18" s="845"/>
      <c r="R18" s="927" t="s">
        <v>664</v>
      </c>
      <c r="S18" s="851"/>
      <c r="T18" s="851"/>
      <c r="U18" s="851"/>
      <c r="V18" s="851"/>
      <c r="W18" s="918">
        <f>C58</f>
        <v>0</v>
      </c>
      <c r="X18" s="849"/>
      <c r="Y18" s="845"/>
      <c r="Z18" s="883">
        <v>9</v>
      </c>
      <c r="AA18" s="865"/>
      <c r="AB18" s="865"/>
      <c r="AC18" s="865"/>
      <c r="AD18" s="865"/>
      <c r="AE18" s="885"/>
      <c r="AF18" s="845"/>
      <c r="AG18" s="886"/>
      <c r="AH18" s="886"/>
      <c r="AI18" s="886"/>
      <c r="AJ18" s="886"/>
      <c r="AK18" s="886"/>
      <c r="AL18" s="886"/>
      <c r="AM18" s="886"/>
      <c r="AN18" s="886"/>
      <c r="AO18" s="886"/>
      <c r="AP18" s="886"/>
      <c r="AQ18" s="887">
        <f t="shared" si="0"/>
        <v>15</v>
      </c>
      <c r="AR18" s="884" t="str">
        <f>B75</f>
        <v>Other nonoperating expense (income)</v>
      </c>
      <c r="AS18" s="865"/>
      <c r="AT18" s="865"/>
      <c r="AU18" s="88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5"/>
      <c r="EE18" s="845"/>
      <c r="EF18" s="845"/>
      <c r="EG18" s="845"/>
      <c r="EH18" s="845"/>
      <c r="EI18" s="845"/>
      <c r="EJ18" s="845"/>
      <c r="EK18" s="845"/>
      <c r="EL18" s="845"/>
      <c r="EM18" s="845"/>
      <c r="EN18" s="845"/>
      <c r="EO18" s="845"/>
      <c r="EP18" s="845"/>
      <c r="EQ18" s="845"/>
      <c r="ER18" s="845"/>
      <c r="ES18" s="845"/>
      <c r="ET18" s="845"/>
      <c r="EU18" s="845"/>
      <c r="EV18" s="845"/>
      <c r="EW18" s="845"/>
      <c r="EX18" s="845"/>
      <c r="EY18" s="845"/>
      <c r="EZ18" s="845"/>
      <c r="FA18" s="845"/>
      <c r="FB18" s="845"/>
      <c r="FC18" s="845"/>
      <c r="FD18" s="845"/>
      <c r="FE18" s="845"/>
      <c r="FF18" s="845"/>
      <c r="FG18" s="845"/>
      <c r="FH18" s="845"/>
      <c r="FI18" s="845"/>
      <c r="FJ18" s="845"/>
      <c r="FK18" s="845"/>
      <c r="FL18" s="845"/>
      <c r="FM18" s="845"/>
      <c r="FN18" s="845"/>
      <c r="FO18" s="845"/>
      <c r="FP18" s="845"/>
      <c r="FQ18" s="845"/>
      <c r="FR18" s="845"/>
      <c r="FS18" s="845"/>
      <c r="FT18" s="845"/>
      <c r="FU18" s="845"/>
      <c r="FV18" s="845"/>
      <c r="FW18" s="845"/>
      <c r="FX18" s="845"/>
      <c r="FY18" s="845"/>
      <c r="FZ18" s="845"/>
      <c r="GA18" s="845"/>
      <c r="GB18" s="845"/>
      <c r="GC18" s="845"/>
      <c r="GD18" s="845"/>
      <c r="GE18" s="845"/>
      <c r="GF18" s="845"/>
      <c r="GG18" s="845"/>
      <c r="GH18" s="845"/>
      <c r="GI18" s="845"/>
      <c r="GJ18" s="845"/>
      <c r="GK18" s="845"/>
      <c r="GL18" s="845"/>
      <c r="GM18" s="845"/>
      <c r="GN18" s="845"/>
      <c r="GO18" s="845"/>
      <c r="GP18" s="845"/>
      <c r="GQ18" s="845"/>
      <c r="GR18" s="845"/>
      <c r="GS18" s="845"/>
      <c r="GT18" s="845"/>
      <c r="GU18" s="845"/>
      <c r="GV18" s="845"/>
      <c r="GW18" s="845"/>
      <c r="GX18" s="845"/>
      <c r="GY18" s="845"/>
      <c r="GZ18" s="845"/>
      <c r="HA18" s="845"/>
      <c r="HB18" s="845"/>
      <c r="HC18" s="845"/>
      <c r="HD18" s="845"/>
      <c r="HE18" s="845"/>
      <c r="HF18" s="845"/>
      <c r="HG18" s="845"/>
      <c r="HH18" s="845"/>
      <c r="HI18" s="845"/>
      <c r="HJ18" s="845"/>
      <c r="HK18" s="845"/>
      <c r="HL18" s="845"/>
      <c r="HM18" s="845"/>
      <c r="HN18" s="845"/>
      <c r="HO18" s="845"/>
      <c r="HP18" s="845"/>
      <c r="HQ18" s="845"/>
      <c r="HR18" s="845"/>
      <c r="HS18" s="845"/>
      <c r="HT18" s="845"/>
      <c r="HU18" s="845"/>
      <c r="HV18" s="845"/>
      <c r="HW18" s="845"/>
      <c r="HX18" s="845"/>
      <c r="HY18" s="845"/>
      <c r="HZ18" s="845"/>
      <c r="IA18" s="845"/>
      <c r="IB18" s="845"/>
      <c r="IC18" s="845"/>
      <c r="ID18" s="845"/>
      <c r="IE18" s="845"/>
      <c r="IF18" s="845"/>
      <c r="IG18" s="845"/>
      <c r="IH18" s="845"/>
      <c r="II18" s="845"/>
      <c r="IJ18" s="845"/>
      <c r="IK18" s="845"/>
      <c r="IL18" s="845"/>
      <c r="IM18" s="845"/>
      <c r="IN18" s="845"/>
      <c r="IO18" s="845"/>
      <c r="IP18" s="845"/>
      <c r="IQ18" s="845"/>
    </row>
    <row r="19" spans="1:251" s="850" customFormat="1" ht="12.6" customHeight="1">
      <c r="A19" s="834"/>
      <c r="B19" s="891" t="s">
        <v>665</v>
      </c>
      <c r="C19" s="928">
        <v>12</v>
      </c>
      <c r="D19" s="910"/>
      <c r="E19" s="910" t="s">
        <v>666</v>
      </c>
      <c r="F19" s="929"/>
      <c r="G19" s="930"/>
      <c r="H19" s="924"/>
      <c r="I19" s="925">
        <f>($C$13+$C$17*$C$18)/(1+C18)</f>
        <v>7.0000000000000007E-2</v>
      </c>
      <c r="J19" s="845"/>
      <c r="K19" s="849"/>
      <c r="L19" s="926"/>
      <c r="M19" s="849"/>
      <c r="N19" s="849"/>
      <c r="O19" s="849"/>
      <c r="P19" s="849"/>
      <c r="Q19" s="845"/>
      <c r="R19" s="845"/>
      <c r="S19" s="845"/>
      <c r="T19" s="845"/>
      <c r="U19" s="845"/>
      <c r="V19" s="845"/>
      <c r="W19" s="845"/>
      <c r="X19" s="849"/>
      <c r="Y19" s="845"/>
      <c r="Z19" s="883">
        <v>10</v>
      </c>
      <c r="AA19" s="865"/>
      <c r="AB19" s="865"/>
      <c r="AC19" s="865"/>
      <c r="AD19" s="865"/>
      <c r="AE19" s="885"/>
      <c r="AF19" s="845"/>
      <c r="AG19" s="886"/>
      <c r="AH19" s="886"/>
      <c r="AI19" s="886"/>
      <c r="AJ19" s="886"/>
      <c r="AK19" s="886"/>
      <c r="AL19" s="886"/>
      <c r="AM19" s="886"/>
      <c r="AN19" s="886"/>
      <c r="AO19" s="886"/>
      <c r="AP19" s="886"/>
      <c r="AQ19" s="887">
        <f t="shared" si="0"/>
        <v>16</v>
      </c>
      <c r="AR19" s="884" t="str">
        <f>B76</f>
        <v>Net debt (cash)</v>
      </c>
      <c r="AS19" s="865"/>
      <c r="AT19" s="865"/>
      <c r="AU19" s="88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5"/>
      <c r="EE19" s="845"/>
      <c r="EF19" s="845"/>
      <c r="EG19" s="845"/>
      <c r="EH19" s="845"/>
      <c r="EI19" s="845"/>
      <c r="EJ19" s="845"/>
      <c r="EK19" s="845"/>
      <c r="EL19" s="845"/>
      <c r="EM19" s="845"/>
      <c r="EN19" s="845"/>
      <c r="EO19" s="845"/>
      <c r="EP19" s="845"/>
      <c r="EQ19" s="845"/>
      <c r="ER19" s="845"/>
      <c r="ES19" s="845"/>
      <c r="ET19" s="845"/>
      <c r="EU19" s="845"/>
      <c r="EV19" s="845"/>
      <c r="EW19" s="845"/>
      <c r="EX19" s="845"/>
      <c r="EY19" s="845"/>
      <c r="EZ19" s="845"/>
      <c r="FA19" s="845"/>
      <c r="FB19" s="845"/>
      <c r="FC19" s="845"/>
      <c r="FD19" s="845"/>
      <c r="FE19" s="845"/>
      <c r="FF19" s="845"/>
      <c r="FG19" s="845"/>
      <c r="FH19" s="845"/>
      <c r="FI19" s="845"/>
      <c r="FJ19" s="845"/>
      <c r="FK19" s="845"/>
      <c r="FL19" s="845"/>
      <c r="FM19" s="845"/>
      <c r="FN19" s="845"/>
      <c r="FO19" s="845"/>
      <c r="FP19" s="845"/>
      <c r="FQ19" s="845"/>
      <c r="FR19" s="845"/>
      <c r="FS19" s="845"/>
      <c r="FT19" s="845"/>
      <c r="FU19" s="845"/>
      <c r="FV19" s="845"/>
      <c r="FW19" s="845"/>
      <c r="FX19" s="845"/>
      <c r="FY19" s="845"/>
      <c r="FZ19" s="845"/>
      <c r="GA19" s="845"/>
      <c r="GB19" s="845"/>
      <c r="GC19" s="845"/>
      <c r="GD19" s="845"/>
      <c r="GE19" s="845"/>
      <c r="GF19" s="845"/>
      <c r="GG19" s="845"/>
      <c r="GH19" s="845"/>
      <c r="GI19" s="845"/>
      <c r="GJ19" s="845"/>
      <c r="GK19" s="845"/>
      <c r="GL19" s="845"/>
      <c r="GM19" s="845"/>
      <c r="GN19" s="845"/>
      <c r="GO19" s="845"/>
      <c r="GP19" s="845"/>
      <c r="GQ19" s="845"/>
      <c r="GR19" s="845"/>
      <c r="GS19" s="845"/>
      <c r="GT19" s="845"/>
      <c r="GU19" s="845"/>
      <c r="GV19" s="845"/>
      <c r="GW19" s="845"/>
      <c r="GX19" s="845"/>
      <c r="GY19" s="845"/>
      <c r="GZ19" s="845"/>
      <c r="HA19" s="845"/>
      <c r="HB19" s="845"/>
      <c r="HC19" s="845"/>
      <c r="HD19" s="845"/>
      <c r="HE19" s="845"/>
      <c r="HF19" s="845"/>
      <c r="HG19" s="845"/>
      <c r="HH19" s="845"/>
      <c r="HI19" s="845"/>
      <c r="HJ19" s="845"/>
      <c r="HK19" s="845"/>
      <c r="HL19" s="845"/>
      <c r="HM19" s="845"/>
      <c r="HN19" s="845"/>
      <c r="HO19" s="845"/>
      <c r="HP19" s="845"/>
      <c r="HQ19" s="845"/>
      <c r="HR19" s="845"/>
      <c r="HS19" s="845"/>
      <c r="HT19" s="845"/>
      <c r="HU19" s="845"/>
      <c r="HV19" s="845"/>
      <c r="HW19" s="845"/>
      <c r="HX19" s="845"/>
      <c r="HY19" s="845"/>
      <c r="HZ19" s="845"/>
      <c r="IA19" s="845"/>
      <c r="IB19" s="845"/>
      <c r="IC19" s="845"/>
      <c r="ID19" s="845"/>
      <c r="IE19" s="845"/>
      <c r="IF19" s="845"/>
      <c r="IG19" s="845"/>
      <c r="IH19" s="845"/>
      <c r="II19" s="845"/>
      <c r="IJ19" s="845"/>
      <c r="IK19" s="845"/>
      <c r="IL19" s="845"/>
      <c r="IM19" s="845"/>
      <c r="IN19" s="845"/>
      <c r="IO19" s="845"/>
      <c r="IP19" s="845"/>
      <c r="IQ19" s="845"/>
    </row>
    <row r="20" spans="1:251" s="850" customFormat="1" ht="12.6" customHeight="1">
      <c r="A20" s="834"/>
      <c r="B20" s="891" t="s">
        <v>667</v>
      </c>
      <c r="C20" s="931">
        <v>1</v>
      </c>
      <c r="D20" s="910"/>
      <c r="E20" s="910" t="s">
        <v>668</v>
      </c>
      <c r="F20" s="890"/>
      <c r="G20" s="932"/>
      <c r="H20" s="933"/>
      <c r="I20" s="934">
        <f>COUNTIF(C42:IR42,"&gt;0")</f>
        <v>4</v>
      </c>
      <c r="J20" s="845"/>
      <c r="K20" s="845"/>
      <c r="L20" s="845"/>
      <c r="M20" s="849"/>
      <c r="N20" s="849"/>
      <c r="O20" s="849"/>
      <c r="P20" s="849"/>
      <c r="Q20" s="845"/>
      <c r="R20" s="935" t="str">
        <f>rngTicker</f>
        <v>BURL.N</v>
      </c>
      <c r="S20" s="874"/>
      <c r="T20" s="874"/>
      <c r="U20" s="874"/>
      <c r="V20" s="874"/>
      <c r="W20" s="936">
        <f ca="1">IF(ISERROR((HLOOKUP(YEAR($U$22)+1,$C$39:$G$58,20,0)/12)/$V$23),0,(HLOOKUP(YEAR($U$22)+1,$C$39:$G$58,20,0)/12)/$V$23)</f>
        <v>0</v>
      </c>
      <c r="X20" s="937">
        <f>C39+1</f>
        <v>2016</v>
      </c>
      <c r="Y20" s="938">
        <f ca="1">IF($I$21&gt;=MONTH(TODAY()),$W$24*(12-$I$21+MONTH(TODAY())),$W$20*(MONTH(TODAY())-$I$21))</f>
        <v>0</v>
      </c>
      <c r="Z20" s="883">
        <v>11</v>
      </c>
      <c r="AA20" s="865"/>
      <c r="AB20" s="865"/>
      <c r="AC20" s="865"/>
      <c r="AD20" s="865"/>
      <c r="AE20" s="885"/>
      <c r="AF20" s="845"/>
      <c r="AG20" s="939"/>
      <c r="AH20" s="939"/>
      <c r="AI20" s="939"/>
      <c r="AJ20" s="939"/>
      <c r="AK20" s="939"/>
      <c r="AL20" s="939"/>
      <c r="AM20" s="939"/>
      <c r="AN20" s="939"/>
      <c r="AO20" s="939"/>
      <c r="AP20" s="939"/>
      <c r="AQ20" s="887">
        <f t="shared" si="0"/>
        <v>17</v>
      </c>
      <c r="AR20" s="884" t="str">
        <f>B77</f>
        <v>Other nonoperating liabilities (assets) (ONOLA)</v>
      </c>
      <c r="AS20" s="865"/>
      <c r="AT20" s="865"/>
      <c r="AU20" s="88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5"/>
      <c r="EE20" s="845"/>
      <c r="EF20" s="845"/>
      <c r="EG20" s="845"/>
      <c r="EH20" s="845"/>
      <c r="EI20" s="845"/>
      <c r="EJ20" s="845"/>
      <c r="EK20" s="845"/>
      <c r="EL20" s="845"/>
      <c r="EM20" s="845"/>
      <c r="EN20" s="845"/>
      <c r="EO20" s="845"/>
      <c r="EP20" s="845"/>
      <c r="EQ20" s="845"/>
      <c r="ER20" s="845"/>
      <c r="ES20" s="845"/>
      <c r="ET20" s="845"/>
      <c r="EU20" s="845"/>
      <c r="EV20" s="845"/>
      <c r="EW20" s="845"/>
      <c r="EX20" s="845"/>
      <c r="EY20" s="845"/>
      <c r="EZ20" s="845"/>
      <c r="FA20" s="845"/>
      <c r="FB20" s="845"/>
      <c r="FC20" s="845"/>
      <c r="FD20" s="845"/>
      <c r="FE20" s="845"/>
      <c r="FF20" s="845"/>
      <c r="FG20" s="845"/>
      <c r="FH20" s="845"/>
      <c r="FI20" s="845"/>
      <c r="FJ20" s="845"/>
      <c r="FK20" s="845"/>
      <c r="FL20" s="845"/>
      <c r="FM20" s="845"/>
      <c r="FN20" s="845"/>
      <c r="FO20" s="845"/>
      <c r="FP20" s="845"/>
      <c r="FQ20" s="845"/>
      <c r="FR20" s="845"/>
      <c r="FS20" s="845"/>
      <c r="FT20" s="845"/>
      <c r="FU20" s="845"/>
      <c r="FV20" s="845"/>
      <c r="FW20" s="845"/>
      <c r="FX20" s="845"/>
      <c r="FY20" s="845"/>
      <c r="FZ20" s="845"/>
      <c r="GA20" s="845"/>
      <c r="GB20" s="845"/>
      <c r="GC20" s="845"/>
      <c r="GD20" s="845"/>
      <c r="GE20" s="845"/>
      <c r="GF20" s="845"/>
      <c r="GG20" s="845"/>
      <c r="GH20" s="845"/>
      <c r="GI20" s="845"/>
      <c r="GJ20" s="845"/>
      <c r="GK20" s="845"/>
      <c r="GL20" s="845"/>
      <c r="GM20" s="845"/>
      <c r="GN20" s="845"/>
      <c r="GO20" s="845"/>
      <c r="GP20" s="845"/>
      <c r="GQ20" s="845"/>
      <c r="GR20" s="845"/>
      <c r="GS20" s="845"/>
      <c r="GT20" s="845"/>
      <c r="GU20" s="845"/>
      <c r="GV20" s="845"/>
      <c r="GW20" s="845"/>
      <c r="GX20" s="845"/>
      <c r="GY20" s="845"/>
      <c r="GZ20" s="845"/>
      <c r="HA20" s="845"/>
      <c r="HB20" s="845"/>
      <c r="HC20" s="845"/>
      <c r="HD20" s="845"/>
      <c r="HE20" s="845"/>
      <c r="HF20" s="845"/>
      <c r="HG20" s="845"/>
      <c r="HH20" s="845"/>
      <c r="HI20" s="845"/>
      <c r="HJ20" s="845"/>
      <c r="HK20" s="845"/>
      <c r="HL20" s="845"/>
      <c r="HM20" s="845"/>
      <c r="HN20" s="845"/>
      <c r="HO20" s="845"/>
      <c r="HP20" s="845"/>
      <c r="HQ20" s="845"/>
      <c r="HR20" s="845"/>
      <c r="HS20" s="845"/>
      <c r="HT20" s="845"/>
      <c r="HU20" s="845"/>
      <c r="HV20" s="845"/>
      <c r="HW20" s="845"/>
      <c r="HX20" s="845"/>
      <c r="HY20" s="845"/>
      <c r="HZ20" s="845"/>
      <c r="IA20" s="845"/>
      <c r="IB20" s="845"/>
      <c r="IC20" s="845"/>
      <c r="ID20" s="845"/>
      <c r="IE20" s="845"/>
      <c r="IF20" s="845"/>
      <c r="IG20" s="845"/>
      <c r="IH20" s="845"/>
      <c r="II20" s="845"/>
      <c r="IJ20" s="845"/>
      <c r="IK20" s="845"/>
      <c r="IL20" s="845"/>
      <c r="IM20" s="845"/>
      <c r="IN20" s="845"/>
      <c r="IO20" s="845"/>
      <c r="IP20" s="845"/>
      <c r="IQ20" s="845"/>
    </row>
    <row r="21" spans="1:251" s="850" customFormat="1" ht="12.6" customHeight="1">
      <c r="A21" s="834"/>
      <c r="B21" s="891" t="s">
        <v>640</v>
      </c>
      <c r="C21" s="940">
        <v>2</v>
      </c>
      <c r="D21" s="910"/>
      <c r="E21" s="910" t="s">
        <v>669</v>
      </c>
      <c r="F21" s="890"/>
      <c r="G21" s="845"/>
      <c r="H21" s="845"/>
      <c r="I21" s="941">
        <f>C337</f>
        <v>1</v>
      </c>
      <c r="J21" s="845"/>
      <c r="K21" s="849"/>
      <c r="L21" s="926"/>
      <c r="M21" s="849"/>
      <c r="N21" s="849"/>
      <c r="O21" s="849"/>
      <c r="P21" s="849"/>
      <c r="Q21" s="845"/>
      <c r="R21" s="942" t="s">
        <v>580</v>
      </c>
      <c r="S21" s="865"/>
      <c r="T21" s="865"/>
      <c r="U21" s="865"/>
      <c r="V21" s="865"/>
      <c r="W21" s="936">
        <f ca="1">IF(YEAR($H$13)=YEAR($U$22),MIN($C$19,$I$21-MONTH($U$22))*$W$24+IF($C$19-$I$21+MONTH($U$22)&lt;0,0,$C$19-$I$21+MONTH($U$22))*$W$20,IF(YEAR($H$13)=YEAR($U$22)+1,($I$21-MONTH($U$22))*$W$24+IF($C$19-$I$21+MONTH($U$22)&gt;12,12,$C$19-$I$21+MONTH($U$22))*$W$20+IF($C$19-12+MONTH($U$22)-$I$21&lt;0,0,$C$19-12+MONTH($U$22)-$I$21)*$W$22,IF(YEAR($H$13)=YEAR($U$22)+2,($I$21-MONTH($U$22))*$W$24+12*$W$20+($C$19-$I$21+MONTH($U$22)-12)*$W$22)))</f>
        <v>0</v>
      </c>
      <c r="X21" s="937"/>
      <c r="Y21" s="938">
        <f ca="1">IF($I$21&gt;=MONTH(TODAY()),$W$21,$W$23)</f>
        <v>0</v>
      </c>
      <c r="Z21" s="883">
        <v>12</v>
      </c>
      <c r="AA21" s="865"/>
      <c r="AB21" s="865"/>
      <c r="AC21" s="865"/>
      <c r="AD21" s="865"/>
      <c r="AE21" s="885"/>
      <c r="AF21" s="845"/>
      <c r="AG21" s="939"/>
      <c r="AH21" s="939"/>
      <c r="AI21" s="939"/>
      <c r="AJ21" s="939"/>
      <c r="AK21" s="939"/>
      <c r="AL21" s="939"/>
      <c r="AM21" s="939"/>
      <c r="AN21" s="939"/>
      <c r="AO21" s="939"/>
      <c r="AP21" s="939"/>
      <c r="AQ21" s="887">
        <f t="shared" si="0"/>
        <v>18</v>
      </c>
      <c r="AR21" s="884" t="str">
        <f>B78</f>
        <v>Leverage EOP (net debt/equity)</v>
      </c>
      <c r="AS21" s="865"/>
      <c r="AT21" s="865"/>
      <c r="AU21" s="88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5"/>
      <c r="EE21" s="845"/>
      <c r="EF21" s="845"/>
      <c r="EG21" s="845"/>
      <c r="EH21" s="845"/>
      <c r="EI21" s="845"/>
      <c r="EJ21" s="845"/>
      <c r="EK21" s="845"/>
      <c r="EL21" s="845"/>
      <c r="EM21" s="845"/>
      <c r="EN21" s="845"/>
      <c r="EO21" s="845"/>
      <c r="EP21" s="845"/>
      <c r="EQ21" s="845"/>
      <c r="ER21" s="845"/>
      <c r="ES21" s="845"/>
      <c r="ET21" s="845"/>
      <c r="EU21" s="845"/>
      <c r="EV21" s="845"/>
      <c r="EW21" s="845"/>
      <c r="EX21" s="845"/>
      <c r="EY21" s="845"/>
      <c r="EZ21" s="845"/>
      <c r="FA21" s="845"/>
      <c r="FB21" s="845"/>
      <c r="FC21" s="845"/>
      <c r="FD21" s="845"/>
      <c r="FE21" s="845"/>
      <c r="FF21" s="845"/>
      <c r="FG21" s="845"/>
      <c r="FH21" s="845"/>
      <c r="FI21" s="845"/>
      <c r="FJ21" s="845"/>
      <c r="FK21" s="845"/>
      <c r="FL21" s="845"/>
      <c r="FM21" s="845"/>
      <c r="FN21" s="845"/>
      <c r="FO21" s="845"/>
      <c r="FP21" s="845"/>
      <c r="FQ21" s="845"/>
      <c r="FR21" s="845"/>
      <c r="FS21" s="845"/>
      <c r="FT21" s="845"/>
      <c r="FU21" s="845"/>
      <c r="FV21" s="845"/>
      <c r="FW21" s="845"/>
      <c r="FX21" s="845"/>
      <c r="FY21" s="845"/>
      <c r="FZ21" s="845"/>
      <c r="GA21" s="845"/>
      <c r="GB21" s="845"/>
      <c r="GC21" s="845"/>
      <c r="GD21" s="845"/>
      <c r="GE21" s="845"/>
      <c r="GF21" s="845"/>
      <c r="GG21" s="845"/>
      <c r="GH21" s="845"/>
      <c r="GI21" s="845"/>
      <c r="GJ21" s="845"/>
      <c r="GK21" s="845"/>
      <c r="GL21" s="845"/>
      <c r="GM21" s="845"/>
      <c r="GN21" s="845"/>
      <c r="GO21" s="845"/>
      <c r="GP21" s="845"/>
      <c r="GQ21" s="845"/>
      <c r="GR21" s="845"/>
      <c r="GS21" s="845"/>
      <c r="GT21" s="845"/>
      <c r="GU21" s="845"/>
      <c r="GV21" s="845"/>
      <c r="GW21" s="845"/>
      <c r="GX21" s="845"/>
      <c r="GY21" s="845"/>
      <c r="GZ21" s="845"/>
      <c r="HA21" s="845"/>
      <c r="HB21" s="845"/>
      <c r="HC21" s="845"/>
      <c r="HD21" s="845"/>
      <c r="HE21" s="845"/>
      <c r="HF21" s="845"/>
      <c r="HG21" s="845"/>
      <c r="HH21" s="845"/>
      <c r="HI21" s="845"/>
      <c r="HJ21" s="845"/>
      <c r="HK21" s="845"/>
      <c r="HL21" s="845"/>
      <c r="HM21" s="845"/>
      <c r="HN21" s="845"/>
      <c r="HO21" s="845"/>
      <c r="HP21" s="845"/>
      <c r="HQ21" s="845"/>
      <c r="HR21" s="845"/>
      <c r="HS21" s="845"/>
      <c r="HT21" s="845"/>
      <c r="HU21" s="845"/>
      <c r="HV21" s="845"/>
      <c r="HW21" s="845"/>
      <c r="HX21" s="845"/>
      <c r="HY21" s="845"/>
      <c r="HZ21" s="845"/>
      <c r="IA21" s="845"/>
      <c r="IB21" s="845"/>
      <c r="IC21" s="845"/>
      <c r="ID21" s="845"/>
      <c r="IE21" s="845"/>
      <c r="IF21" s="845"/>
      <c r="IG21" s="845"/>
      <c r="IH21" s="845"/>
      <c r="II21" s="845"/>
      <c r="IJ21" s="845"/>
      <c r="IK21" s="845"/>
      <c r="IL21" s="845"/>
      <c r="IM21" s="845"/>
      <c r="IN21" s="845"/>
      <c r="IO21" s="845"/>
      <c r="IP21" s="845"/>
      <c r="IQ21" s="845"/>
    </row>
    <row r="22" spans="1:251" s="850" customFormat="1" ht="12.6" customHeight="1">
      <c r="A22" s="834"/>
      <c r="B22" s="943"/>
      <c r="C22" s="944"/>
      <c r="D22" s="910"/>
      <c r="E22" s="910"/>
      <c r="F22" s="890"/>
      <c r="G22" s="890"/>
      <c r="H22" s="888"/>
      <c r="I22" s="888"/>
      <c r="J22" s="888"/>
      <c r="K22" s="849"/>
      <c r="L22" s="926"/>
      <c r="M22" s="849"/>
      <c r="N22" s="849"/>
      <c r="O22" s="849"/>
      <c r="P22" s="849"/>
      <c r="Q22" s="845"/>
      <c r="R22" s="945" t="s">
        <v>670</v>
      </c>
      <c r="S22" s="872"/>
      <c r="T22" s="872"/>
      <c r="U22" s="946">
        <f ca="1">TODAY()</f>
        <v>43202</v>
      </c>
      <c r="V22" s="947">
        <f ca="1">IF(ISNUMBER(($I$29/$C$16*(1+$C$12)^((IF(C39=YEAR(U22),0,IF(C39=YEAR(U22)+1,-12,-24))+IF($I$21&gt;=MONTH($U$22),12-$I$21+MONTH($U$22),MONTH($U$22)-$I$21))/12)-IF($I$21&gt;=MONTH($U$22),$W$24*(12-$I$21+MONTH($U$22)),$W$20*(MONTH($U$22)-$I$21)))*C20),($I$29/$C$16*(1+$C$12)^((IF(C39=YEAR(U22),0,IF(C39=YEAR(U22)+1,-12,-24))+IF($I$21&gt;=MONTH($U$22),12-$I$21+MONTH($U$22),MONTH($U$22)-$I$21))/12)-IF($I$21&gt;=MONTH($U$22),$W$24*(12-$I$21+MONTH($U$22)),$W$20*(MONTH($U$22)-$I$21)))*C20,0)</f>
        <v>102.42722419889124</v>
      </c>
      <c r="W22" s="948">
        <f ca="1">IF(ISERROR(HLOOKUP(YEAR($U$22)+2,$C$39:$G$58,20,0)/12),0,HLOOKUP(YEAR($U$22)+2,$C$39:$G$58,20,0)/12)</f>
        <v>0</v>
      </c>
      <c r="X22" s="937">
        <f>C39+2</f>
        <v>2017</v>
      </c>
      <c r="Y22" s="938">
        <f ca="1">SUM(Y20:Y21)</f>
        <v>0</v>
      </c>
      <c r="Z22" s="883">
        <v>13</v>
      </c>
      <c r="AA22" s="865"/>
      <c r="AB22" s="865"/>
      <c r="AC22" s="865"/>
      <c r="AD22" s="865"/>
      <c r="AE22" s="885"/>
      <c r="AF22" s="845"/>
      <c r="AG22" s="939"/>
      <c r="AH22" s="939"/>
      <c r="AI22" s="939"/>
      <c r="AJ22" s="939"/>
      <c r="AK22" s="939"/>
      <c r="AL22" s="939"/>
      <c r="AM22" s="939"/>
      <c r="AN22" s="939"/>
      <c r="AO22" s="939"/>
      <c r="AP22" s="939"/>
      <c r="AQ22" s="949">
        <f t="shared" si="0"/>
        <v>24</v>
      </c>
      <c r="AR22" s="950" t="str">
        <f>B84</f>
        <v>Dividends and net rep</v>
      </c>
      <c r="AS22" s="951"/>
      <c r="AT22" s="951"/>
      <c r="AU22" s="952"/>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5"/>
      <c r="EE22" s="845"/>
      <c r="EF22" s="845"/>
      <c r="EG22" s="845"/>
      <c r="EH22" s="845"/>
      <c r="EI22" s="845"/>
      <c r="EJ22" s="845"/>
      <c r="EK22" s="845"/>
      <c r="EL22" s="845"/>
      <c r="EM22" s="845"/>
      <c r="EN22" s="845"/>
      <c r="EO22" s="845"/>
      <c r="EP22" s="845"/>
      <c r="EQ22" s="845"/>
      <c r="ER22" s="845"/>
      <c r="ES22" s="845"/>
      <c r="ET22" s="845"/>
      <c r="EU22" s="845"/>
      <c r="EV22" s="845"/>
      <c r="EW22" s="845"/>
      <c r="EX22" s="845"/>
      <c r="EY22" s="845"/>
      <c r="EZ22" s="845"/>
      <c r="FA22" s="845"/>
      <c r="FB22" s="845"/>
      <c r="FC22" s="845"/>
      <c r="FD22" s="845"/>
      <c r="FE22" s="845"/>
      <c r="FF22" s="845"/>
      <c r="FG22" s="845"/>
      <c r="FH22" s="845"/>
      <c r="FI22" s="845"/>
      <c r="FJ22" s="845"/>
      <c r="FK22" s="845"/>
      <c r="FL22" s="845"/>
      <c r="FM22" s="845"/>
      <c r="FN22" s="845"/>
      <c r="FO22" s="845"/>
      <c r="FP22" s="845"/>
      <c r="FQ22" s="845"/>
      <c r="FR22" s="845"/>
      <c r="FS22" s="845"/>
      <c r="FT22" s="845"/>
      <c r="FU22" s="845"/>
      <c r="FV22" s="845"/>
      <c r="FW22" s="845"/>
      <c r="FX22" s="845"/>
      <c r="FY22" s="845"/>
      <c r="FZ22" s="845"/>
      <c r="GA22" s="845"/>
      <c r="GB22" s="845"/>
      <c r="GC22" s="845"/>
      <c r="GD22" s="845"/>
      <c r="GE22" s="845"/>
      <c r="GF22" s="845"/>
      <c r="GG22" s="845"/>
      <c r="GH22" s="845"/>
      <c r="GI22" s="845"/>
      <c r="GJ22" s="845"/>
      <c r="GK22" s="845"/>
      <c r="GL22" s="845"/>
      <c r="GM22" s="845"/>
      <c r="GN22" s="845"/>
      <c r="GO22" s="845"/>
      <c r="GP22" s="845"/>
      <c r="GQ22" s="845"/>
      <c r="GR22" s="845"/>
      <c r="GS22" s="845"/>
      <c r="GT22" s="845"/>
      <c r="GU22" s="845"/>
      <c r="GV22" s="845"/>
      <c r="GW22" s="845"/>
      <c r="GX22" s="845"/>
      <c r="GY22" s="845"/>
      <c r="GZ22" s="845"/>
      <c r="HA22" s="845"/>
      <c r="HB22" s="845"/>
      <c r="HC22" s="845"/>
      <c r="HD22" s="845"/>
      <c r="HE22" s="845"/>
      <c r="HF22" s="845"/>
      <c r="HG22" s="845"/>
      <c r="HH22" s="845"/>
      <c r="HI22" s="845"/>
      <c r="HJ22" s="845"/>
      <c r="HK22" s="845"/>
      <c r="HL22" s="845"/>
      <c r="HM22" s="845"/>
      <c r="HN22" s="845"/>
      <c r="HO22" s="845"/>
      <c r="HP22" s="845"/>
      <c r="HQ22" s="845"/>
      <c r="HR22" s="845"/>
      <c r="HS22" s="845"/>
      <c r="HT22" s="845"/>
      <c r="HU22" s="845"/>
      <c r="HV22" s="845"/>
      <c r="HW22" s="845"/>
      <c r="HX22" s="845"/>
      <c r="HY22" s="845"/>
      <c r="HZ22" s="845"/>
      <c r="IA22" s="845"/>
      <c r="IB22" s="845"/>
      <c r="IC22" s="845"/>
      <c r="ID22" s="845"/>
      <c r="IE22" s="845"/>
      <c r="IF22" s="845"/>
      <c r="IG22" s="845"/>
      <c r="IH22" s="845"/>
      <c r="II22" s="845"/>
      <c r="IJ22" s="845"/>
      <c r="IK22" s="845"/>
      <c r="IL22" s="845"/>
      <c r="IM22" s="845"/>
      <c r="IN22" s="845"/>
      <c r="IO22" s="845"/>
      <c r="IP22" s="845"/>
      <c r="IQ22" s="845"/>
    </row>
    <row r="23" spans="1:251" s="850" customFormat="1" ht="12.6" customHeight="1">
      <c r="A23" s="834"/>
      <c r="B23" s="891"/>
      <c r="C23" s="888"/>
      <c r="D23" s="888"/>
      <c r="E23" s="846"/>
      <c r="F23" s="845"/>
      <c r="G23" s="845"/>
      <c r="H23" s="845"/>
      <c r="I23" s="845"/>
      <c r="J23" s="845"/>
      <c r="K23" s="849"/>
      <c r="L23" s="926" t="s">
        <v>264</v>
      </c>
      <c r="M23" s="849"/>
      <c r="N23" s="849"/>
      <c r="O23" s="849"/>
      <c r="P23" s="849"/>
      <c r="Q23" s="845"/>
      <c r="R23" s="953" t="str">
        <f>"Conv. factor - "&amp;AB9</f>
        <v>Conv. factor - Millions</v>
      </c>
      <c r="S23" s="865"/>
      <c r="T23" s="865"/>
      <c r="U23" s="954"/>
      <c r="V23" s="955">
        <f>IF(ISERROR(VLOOKUP(AB9,AB10:AC11,2,0)),"",VLOOKUP(AB9,AB10:AC11,2,0))</f>
        <v>1</v>
      </c>
      <c r="W23" s="956">
        <f ca="1">IF(YEAR($H$13)=YEAR($U$22),(MONTH($H$13)-MONTH($U$22))*$W$20,IF(AND(YEAR($H$13)=YEAR($U$22)+1,$C$19&lt;12),MIN($C$19,12-MONTH($U$22)+$I$21)*$W$20+IF($C$19-12+MONTH($U$22)-$I$21&lt;0,0,$C$19-12+MONTH($U$22)-$I$21)*$W$22,IF(AND(YEAR($H$13)=YEAR($U$22)+1,$C$19&gt;=12), (12-MONTH($U$22)+$I$21)*$W$20+($C$19-12+MONTH($U$22)-$I$21)*$W$22,IF(AND(YEAR($H$13)=YEAR($U$22)+2,$C$19&gt;=12), (12-MONTH($U$22)+$I$21)*$W$20+IF($C$19-12+MONTH($U$22)-$I$21&gt;12,12,$C$19-12+MONTH($U$22)-$I$21)*$W$22+IF($C$19-12+MONTH($U$22)-$I$21-12&lt;0,0,$C$19-12+MONTH($U$22)-$I$21-12)*$W$25,""))))</f>
        <v>0</v>
      </c>
      <c r="X23" s="937"/>
      <c r="Y23" s="845"/>
      <c r="Z23" s="883">
        <v>14</v>
      </c>
      <c r="AA23" s="865"/>
      <c r="AB23" s="865"/>
      <c r="AC23" s="865"/>
      <c r="AD23" s="865"/>
      <c r="AE23" s="885"/>
      <c r="AF23" s="845"/>
      <c r="AG23" s="939"/>
      <c r="AH23" s="939"/>
      <c r="AI23" s="939"/>
      <c r="AJ23" s="939"/>
      <c r="AK23" s="939"/>
      <c r="AL23" s="939"/>
      <c r="AM23" s="939"/>
      <c r="AN23" s="939"/>
      <c r="AO23" s="939"/>
      <c r="AP23" s="939"/>
      <c r="AQ23" s="878"/>
      <c r="AR23" s="886"/>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5"/>
      <c r="EE23" s="845"/>
      <c r="EF23" s="845"/>
      <c r="EG23" s="845"/>
      <c r="EH23" s="845"/>
      <c r="EI23" s="845"/>
      <c r="EJ23" s="845"/>
      <c r="EK23" s="845"/>
      <c r="EL23" s="845"/>
      <c r="EM23" s="845"/>
      <c r="EN23" s="845"/>
      <c r="EO23" s="845"/>
      <c r="EP23" s="845"/>
      <c r="EQ23" s="845"/>
      <c r="ER23" s="845"/>
      <c r="ES23" s="845"/>
      <c r="ET23" s="845"/>
      <c r="EU23" s="845"/>
      <c r="EV23" s="845"/>
      <c r="EW23" s="845"/>
      <c r="EX23" s="845"/>
      <c r="EY23" s="845"/>
      <c r="EZ23" s="845"/>
      <c r="FA23" s="845"/>
      <c r="FB23" s="845"/>
      <c r="FC23" s="845"/>
      <c r="FD23" s="845"/>
      <c r="FE23" s="845"/>
      <c r="FF23" s="845"/>
      <c r="FG23" s="845"/>
      <c r="FH23" s="845"/>
      <c r="FI23" s="845"/>
      <c r="FJ23" s="845"/>
      <c r="FK23" s="845"/>
      <c r="FL23" s="845"/>
      <c r="FM23" s="845"/>
      <c r="FN23" s="845"/>
      <c r="FO23" s="845"/>
      <c r="FP23" s="845"/>
      <c r="FQ23" s="845"/>
      <c r="FR23" s="845"/>
      <c r="FS23" s="845"/>
      <c r="FT23" s="845"/>
      <c r="FU23" s="845"/>
      <c r="FV23" s="845"/>
      <c r="FW23" s="845"/>
      <c r="FX23" s="845"/>
      <c r="FY23" s="845"/>
      <c r="FZ23" s="845"/>
      <c r="GA23" s="845"/>
      <c r="GB23" s="845"/>
      <c r="GC23" s="845"/>
      <c r="GD23" s="845"/>
      <c r="GE23" s="845"/>
      <c r="GF23" s="845"/>
      <c r="GG23" s="845"/>
      <c r="GH23" s="845"/>
      <c r="GI23" s="845"/>
      <c r="GJ23" s="845"/>
      <c r="GK23" s="845"/>
      <c r="GL23" s="845"/>
      <c r="GM23" s="845"/>
      <c r="GN23" s="845"/>
      <c r="GO23" s="845"/>
      <c r="GP23" s="845"/>
      <c r="GQ23" s="845"/>
      <c r="GR23" s="845"/>
      <c r="GS23" s="845"/>
      <c r="GT23" s="845"/>
      <c r="GU23" s="845"/>
      <c r="GV23" s="845"/>
      <c r="GW23" s="845"/>
      <c r="GX23" s="845"/>
      <c r="GY23" s="845"/>
      <c r="GZ23" s="845"/>
      <c r="HA23" s="845"/>
      <c r="HB23" s="845"/>
      <c r="HC23" s="845"/>
      <c r="HD23" s="845"/>
      <c r="HE23" s="845"/>
      <c r="HF23" s="845"/>
      <c r="HG23" s="845"/>
      <c r="HH23" s="845"/>
      <c r="HI23" s="845"/>
      <c r="HJ23" s="845"/>
      <c r="HK23" s="845"/>
      <c r="HL23" s="845"/>
      <c r="HM23" s="845"/>
      <c r="HN23" s="845"/>
      <c r="HO23" s="845"/>
      <c r="HP23" s="845"/>
      <c r="HQ23" s="845"/>
      <c r="HR23" s="845"/>
      <c r="HS23" s="845"/>
      <c r="HT23" s="845"/>
      <c r="HU23" s="845"/>
      <c r="HV23" s="845"/>
      <c r="HW23" s="845"/>
      <c r="HX23" s="845"/>
      <c r="HY23" s="845"/>
      <c r="HZ23" s="845"/>
      <c r="IA23" s="845"/>
      <c r="IB23" s="845"/>
      <c r="IC23" s="845"/>
      <c r="ID23" s="845"/>
      <c r="IE23" s="845"/>
      <c r="IF23" s="845"/>
      <c r="IG23" s="845"/>
      <c r="IH23" s="845"/>
      <c r="II23" s="845"/>
      <c r="IJ23" s="845"/>
      <c r="IK23" s="845"/>
      <c r="IL23" s="845"/>
      <c r="IM23" s="845"/>
      <c r="IN23" s="845"/>
      <c r="IO23" s="845"/>
      <c r="IP23" s="845"/>
      <c r="IQ23" s="845"/>
    </row>
    <row r="24" spans="1:251" s="960" customFormat="1" ht="12.6" customHeight="1">
      <c r="A24" s="957"/>
      <c r="B24" s="882" t="s">
        <v>671</v>
      </c>
      <c r="C24" s="888"/>
      <c r="D24" s="888"/>
      <c r="E24" s="910"/>
      <c r="F24" s="890"/>
      <c r="G24" s="890"/>
      <c r="H24" s="888"/>
      <c r="I24" s="888"/>
      <c r="J24" s="888"/>
      <c r="K24" s="958"/>
      <c r="L24" s="958"/>
      <c r="M24" s="958"/>
      <c r="N24" s="959"/>
      <c r="O24" s="959"/>
      <c r="P24" s="849"/>
      <c r="R24" s="953"/>
      <c r="S24" s="865"/>
      <c r="T24" s="865"/>
      <c r="U24" s="865"/>
      <c r="V24" s="865"/>
      <c r="W24" s="948">
        <f ca="1">IF(ISERROR((HLOOKUP(YEAR($U$22),$C$39:$G$58,20,0)/12)/$V$23),0,(HLOOKUP(YEAR($U$22),$C$39:$G$58,20,0)/12)/$V$23)</f>
        <v>0</v>
      </c>
      <c r="X24" s="937">
        <f>C39</f>
        <v>2015</v>
      </c>
      <c r="Y24" s="845"/>
      <c r="Z24" s="883">
        <v>15</v>
      </c>
      <c r="AA24" s="2273"/>
      <c r="AB24" s="2273"/>
      <c r="AC24" s="2273"/>
      <c r="AD24" s="2273"/>
      <c r="AE24" s="2274"/>
      <c r="AF24" s="845"/>
      <c r="AG24" s="939"/>
      <c r="AH24" s="939"/>
      <c r="AI24" s="939"/>
      <c r="AJ24" s="939"/>
      <c r="AK24" s="939"/>
      <c r="AL24" s="939"/>
      <c r="AM24" s="939"/>
      <c r="AN24" s="939"/>
      <c r="AO24" s="939"/>
      <c r="AP24" s="939"/>
      <c r="AQ24" s="878"/>
      <c r="AR24" s="886"/>
      <c r="AS24" s="845"/>
      <c r="AT24" s="845"/>
      <c r="AU24" s="845"/>
      <c r="AV24" s="845"/>
      <c r="AW24" s="845"/>
      <c r="AX24" s="845"/>
      <c r="AY24" s="845"/>
      <c r="AZ24" s="961"/>
      <c r="BA24" s="961"/>
      <c r="BB24" s="961"/>
      <c r="BC24" s="961"/>
      <c r="BD24" s="961"/>
      <c r="BE24" s="888"/>
      <c r="BF24" s="888"/>
      <c r="BG24" s="888"/>
      <c r="BH24" s="888"/>
      <c r="BI24" s="888"/>
      <c r="BJ24" s="888"/>
      <c r="BK24" s="888"/>
      <c r="BL24" s="888"/>
      <c r="BM24" s="888"/>
      <c r="BN24" s="888"/>
      <c r="BO24" s="888"/>
      <c r="BP24" s="888"/>
      <c r="BQ24" s="888"/>
      <c r="BR24" s="888"/>
      <c r="BS24" s="888"/>
      <c r="BT24" s="888"/>
      <c r="BU24" s="888"/>
      <c r="BV24" s="888"/>
      <c r="BW24" s="888"/>
      <c r="BX24" s="888"/>
      <c r="BY24" s="888"/>
      <c r="BZ24" s="888"/>
      <c r="CA24" s="888"/>
      <c r="CB24" s="888"/>
      <c r="CC24" s="888"/>
      <c r="CD24" s="888"/>
      <c r="CE24" s="888"/>
      <c r="CF24" s="888"/>
      <c r="CG24" s="888"/>
      <c r="CH24" s="888"/>
      <c r="CI24" s="888"/>
      <c r="CJ24" s="888"/>
      <c r="CK24" s="888"/>
      <c r="CL24" s="888"/>
      <c r="CM24" s="888"/>
      <c r="CN24" s="888"/>
      <c r="CO24" s="888"/>
      <c r="CP24" s="888"/>
      <c r="CQ24" s="888"/>
      <c r="CR24" s="888"/>
      <c r="CS24" s="888"/>
      <c r="CT24" s="888"/>
      <c r="CU24" s="888"/>
      <c r="CV24" s="888"/>
      <c r="CW24" s="888"/>
      <c r="CX24" s="888"/>
      <c r="CY24" s="888"/>
      <c r="CZ24" s="888"/>
      <c r="DA24" s="888"/>
      <c r="DB24" s="888"/>
      <c r="DC24" s="888"/>
      <c r="DD24" s="888"/>
      <c r="DE24" s="888"/>
      <c r="DF24" s="888"/>
      <c r="DG24" s="888"/>
      <c r="DH24" s="888"/>
      <c r="DI24" s="888"/>
      <c r="DJ24" s="888"/>
      <c r="DK24" s="888"/>
      <c r="DL24" s="888"/>
      <c r="DM24" s="888"/>
      <c r="DN24" s="888"/>
      <c r="DO24" s="888"/>
      <c r="DP24" s="888"/>
      <c r="DQ24" s="888"/>
      <c r="DR24" s="888"/>
      <c r="DS24" s="888"/>
      <c r="DT24" s="888"/>
      <c r="DU24" s="888"/>
      <c r="DV24" s="888"/>
      <c r="DW24" s="888"/>
      <c r="DX24" s="888"/>
      <c r="DY24" s="888"/>
      <c r="DZ24" s="888"/>
      <c r="EA24" s="888"/>
      <c r="EB24" s="888"/>
      <c r="EC24" s="888"/>
      <c r="ED24" s="888"/>
      <c r="EE24" s="888"/>
      <c r="EF24" s="888"/>
      <c r="EG24" s="888"/>
      <c r="EH24" s="888"/>
      <c r="EI24" s="888"/>
      <c r="EJ24" s="888"/>
      <c r="EK24" s="888"/>
      <c r="EL24" s="888"/>
      <c r="EM24" s="888"/>
      <c r="EN24" s="888"/>
      <c r="EO24" s="888"/>
      <c r="EP24" s="888"/>
      <c r="EQ24" s="888"/>
      <c r="ER24" s="888"/>
      <c r="ES24" s="888"/>
      <c r="ET24" s="888"/>
      <c r="EU24" s="888"/>
      <c r="EV24" s="888"/>
      <c r="EW24" s="888"/>
      <c r="EX24" s="888"/>
      <c r="EY24" s="888"/>
      <c r="EZ24" s="888"/>
      <c r="FA24" s="888"/>
      <c r="FB24" s="888"/>
      <c r="FC24" s="888"/>
      <c r="FD24" s="888"/>
      <c r="FE24" s="888"/>
      <c r="FF24" s="888"/>
      <c r="FG24" s="888"/>
      <c r="FH24" s="888"/>
      <c r="FI24" s="888"/>
      <c r="FJ24" s="888"/>
      <c r="FK24" s="888"/>
      <c r="FL24" s="888"/>
      <c r="FM24" s="888"/>
      <c r="FN24" s="888"/>
      <c r="FO24" s="888"/>
      <c r="FP24" s="888"/>
      <c r="FQ24" s="888"/>
      <c r="FR24" s="888"/>
      <c r="FS24" s="888"/>
      <c r="FT24" s="888"/>
      <c r="FU24" s="888"/>
      <c r="FV24" s="888"/>
      <c r="FW24" s="888"/>
      <c r="FX24" s="888"/>
      <c r="FY24" s="888"/>
      <c r="FZ24" s="888"/>
      <c r="GA24" s="888"/>
      <c r="GB24" s="888"/>
      <c r="GC24" s="888"/>
      <c r="GD24" s="888"/>
      <c r="GE24" s="888"/>
      <c r="GF24" s="888"/>
      <c r="GG24" s="888"/>
      <c r="GH24" s="888"/>
      <c r="GI24" s="888"/>
      <c r="GJ24" s="888"/>
      <c r="GK24" s="888"/>
      <c r="GL24" s="888"/>
      <c r="GM24" s="888"/>
      <c r="GN24" s="888"/>
      <c r="GO24" s="888"/>
      <c r="GP24" s="888"/>
      <c r="GQ24" s="888"/>
      <c r="GR24" s="888"/>
      <c r="GS24" s="888"/>
      <c r="GT24" s="888"/>
      <c r="GU24" s="888"/>
      <c r="GV24" s="888"/>
      <c r="GW24" s="888"/>
      <c r="GX24" s="888"/>
      <c r="GY24" s="888"/>
      <c r="GZ24" s="888"/>
      <c r="HA24" s="888"/>
      <c r="HB24" s="888"/>
      <c r="HC24" s="888"/>
      <c r="HD24" s="888"/>
      <c r="HE24" s="888"/>
      <c r="HF24" s="888"/>
      <c r="HG24" s="888"/>
      <c r="HH24" s="888"/>
      <c r="HI24" s="888"/>
      <c r="HJ24" s="888"/>
      <c r="HK24" s="888"/>
      <c r="HL24" s="888"/>
      <c r="HM24" s="888"/>
      <c r="HN24" s="888"/>
      <c r="HO24" s="888"/>
      <c r="HP24" s="888"/>
      <c r="HQ24" s="888"/>
      <c r="HR24" s="888"/>
      <c r="HS24" s="888"/>
      <c r="HT24" s="888"/>
      <c r="HU24" s="888"/>
      <c r="HV24" s="888"/>
      <c r="HW24" s="888"/>
      <c r="HX24" s="888"/>
      <c r="HY24" s="888"/>
      <c r="HZ24" s="888"/>
      <c r="IA24" s="888"/>
      <c r="IB24" s="888"/>
      <c r="IC24" s="888"/>
      <c r="ID24" s="888"/>
      <c r="IE24" s="888"/>
      <c r="IF24" s="888"/>
      <c r="IG24" s="888"/>
      <c r="IH24" s="888"/>
      <c r="II24" s="888"/>
      <c r="IJ24" s="888"/>
      <c r="IK24" s="888"/>
      <c r="IL24" s="888"/>
      <c r="IM24" s="888"/>
      <c r="IN24" s="888"/>
      <c r="IO24" s="888"/>
      <c r="IP24" s="888"/>
      <c r="IQ24" s="888"/>
    </row>
    <row r="25" spans="1:251" s="960" customFormat="1" ht="12.6" customHeight="1">
      <c r="A25" s="957"/>
      <c r="B25" s="882" t="s">
        <v>672</v>
      </c>
      <c r="C25" s="888"/>
      <c r="D25" s="888"/>
      <c r="E25" s="910"/>
      <c r="F25" s="890"/>
      <c r="G25" s="890"/>
      <c r="H25" s="888"/>
      <c r="I25" s="888"/>
      <c r="J25" s="888"/>
      <c r="K25" s="958"/>
      <c r="L25" s="958"/>
      <c r="M25" s="962"/>
      <c r="N25" s="959"/>
      <c r="O25" s="959"/>
      <c r="P25" s="849"/>
      <c r="R25" s="883" t="str">
        <f ca="1">OFFSET(B40,0,$I$20)</f>
        <v>F2018e</v>
      </c>
      <c r="S25" s="872" t="str">
        <f>B61</f>
        <v>Operating revenue</v>
      </c>
      <c r="T25" s="963"/>
      <c r="U25" s="964">
        <f ca="1">OFFSET($B61,0,$I$20)</f>
        <v>6587.3821933692661</v>
      </c>
      <c r="V25" s="865"/>
      <c r="W25" s="948">
        <f ca="1">IF(ISERROR(HLOOKUP(YEAR($U$22)+3,$C$39:$G$58,20,0)/12),0,HLOOKUP(YEAR($U$22)+3,$C$39:$G$58,20,0)/12)</f>
        <v>0</v>
      </c>
      <c r="X25" s="937">
        <f>C39+3</f>
        <v>2018</v>
      </c>
      <c r="Y25" s="845"/>
      <c r="Z25" s="883">
        <v>16</v>
      </c>
      <c r="AA25" s="965"/>
      <c r="AB25" s="966" t="s">
        <v>659</v>
      </c>
      <c r="AC25" s="965"/>
      <c r="AD25" s="967">
        <f>(((sumry!BQ34/sumry!BQ35)*sumry!BQ36))</f>
        <v>75.864999999999995</v>
      </c>
      <c r="AE25" s="968"/>
      <c r="AF25" s="845"/>
      <c r="AG25" s="939"/>
      <c r="AH25" s="939"/>
      <c r="AI25" s="939"/>
      <c r="AJ25" s="939"/>
      <c r="AK25" s="939"/>
      <c r="AL25" s="939"/>
      <c r="AM25" s="939"/>
      <c r="AN25" s="939"/>
      <c r="AO25" s="939"/>
      <c r="AP25" s="939"/>
      <c r="AQ25" s="878"/>
      <c r="AR25" s="886"/>
      <c r="AS25" s="845"/>
      <c r="AT25" s="845"/>
      <c r="AU25" s="845"/>
      <c r="AV25" s="845"/>
      <c r="AW25" s="845"/>
      <c r="AX25" s="845"/>
      <c r="AY25" s="845"/>
      <c r="AZ25" s="961"/>
      <c r="BA25" s="961"/>
      <c r="BB25" s="961"/>
      <c r="BC25" s="961"/>
      <c r="BD25" s="961"/>
      <c r="BE25" s="888"/>
      <c r="BF25" s="888"/>
      <c r="BG25" s="888"/>
      <c r="BH25" s="888"/>
      <c r="BI25" s="888"/>
      <c r="BJ25" s="888"/>
      <c r="BK25" s="888"/>
      <c r="BL25" s="888"/>
      <c r="BM25" s="888"/>
      <c r="BN25" s="888"/>
      <c r="BO25" s="888"/>
      <c r="BP25" s="888"/>
      <c r="BQ25" s="888"/>
      <c r="BR25" s="888"/>
      <c r="BS25" s="888"/>
      <c r="BT25" s="888"/>
      <c r="BU25" s="888"/>
      <c r="BV25" s="888"/>
      <c r="BW25" s="888"/>
      <c r="BX25" s="888"/>
      <c r="BY25" s="888"/>
      <c r="BZ25" s="888"/>
      <c r="CA25" s="888"/>
      <c r="CB25" s="888"/>
      <c r="CC25" s="888"/>
      <c r="CD25" s="888"/>
      <c r="CE25" s="888"/>
      <c r="CF25" s="888"/>
      <c r="CG25" s="888"/>
      <c r="CH25" s="888"/>
      <c r="CI25" s="888"/>
      <c r="CJ25" s="888"/>
      <c r="CK25" s="888"/>
      <c r="CL25" s="888"/>
      <c r="CM25" s="888"/>
      <c r="CN25" s="888"/>
      <c r="CO25" s="888"/>
      <c r="CP25" s="888"/>
      <c r="CQ25" s="888"/>
      <c r="CR25" s="888"/>
      <c r="CS25" s="888"/>
      <c r="CT25" s="888"/>
      <c r="CU25" s="888"/>
      <c r="CV25" s="888"/>
      <c r="CW25" s="888"/>
      <c r="CX25" s="888"/>
      <c r="CY25" s="888"/>
      <c r="CZ25" s="888"/>
      <c r="DA25" s="888"/>
      <c r="DB25" s="888"/>
      <c r="DC25" s="888"/>
      <c r="DD25" s="888"/>
      <c r="DE25" s="888"/>
      <c r="DF25" s="888"/>
      <c r="DG25" s="888"/>
      <c r="DH25" s="888"/>
      <c r="DI25" s="888"/>
      <c r="DJ25" s="888"/>
      <c r="DK25" s="888"/>
      <c r="DL25" s="888"/>
      <c r="DM25" s="888"/>
      <c r="DN25" s="888"/>
      <c r="DO25" s="888"/>
      <c r="DP25" s="888"/>
      <c r="DQ25" s="888"/>
      <c r="DR25" s="888"/>
      <c r="DS25" s="888"/>
      <c r="DT25" s="888"/>
      <c r="DU25" s="888"/>
      <c r="DV25" s="888"/>
      <c r="DW25" s="888"/>
      <c r="DX25" s="888"/>
      <c r="DY25" s="888"/>
      <c r="DZ25" s="888"/>
      <c r="EA25" s="888"/>
      <c r="EB25" s="888"/>
      <c r="EC25" s="888"/>
      <c r="ED25" s="888"/>
      <c r="EE25" s="888"/>
      <c r="EF25" s="888"/>
      <c r="EG25" s="888"/>
      <c r="EH25" s="888"/>
      <c r="EI25" s="888"/>
      <c r="EJ25" s="888"/>
      <c r="EK25" s="888"/>
      <c r="EL25" s="888"/>
      <c r="EM25" s="888"/>
      <c r="EN25" s="888"/>
      <c r="EO25" s="888"/>
      <c r="EP25" s="888"/>
      <c r="EQ25" s="888"/>
      <c r="ER25" s="888"/>
      <c r="ES25" s="888"/>
      <c r="ET25" s="888"/>
      <c r="EU25" s="888"/>
      <c r="EV25" s="888"/>
      <c r="EW25" s="888"/>
      <c r="EX25" s="888"/>
      <c r="EY25" s="888"/>
      <c r="EZ25" s="888"/>
      <c r="FA25" s="888"/>
      <c r="FB25" s="888"/>
      <c r="FC25" s="888"/>
      <c r="FD25" s="888"/>
      <c r="FE25" s="888"/>
      <c r="FF25" s="888"/>
      <c r="FG25" s="888"/>
      <c r="FH25" s="888"/>
      <c r="FI25" s="888"/>
      <c r="FJ25" s="888"/>
      <c r="FK25" s="888"/>
      <c r="FL25" s="888"/>
      <c r="FM25" s="888"/>
      <c r="FN25" s="888"/>
      <c r="FO25" s="888"/>
      <c r="FP25" s="888"/>
      <c r="FQ25" s="888"/>
      <c r="FR25" s="888"/>
      <c r="FS25" s="888"/>
      <c r="FT25" s="888"/>
      <c r="FU25" s="888"/>
      <c r="FV25" s="888"/>
      <c r="FW25" s="888"/>
      <c r="FX25" s="888"/>
      <c r="FY25" s="888"/>
      <c r="FZ25" s="888"/>
      <c r="GA25" s="888"/>
      <c r="GB25" s="888"/>
      <c r="GC25" s="888"/>
      <c r="GD25" s="888"/>
      <c r="GE25" s="888"/>
      <c r="GF25" s="888"/>
      <c r="GG25" s="888"/>
      <c r="GH25" s="888"/>
      <c r="GI25" s="888"/>
      <c r="GJ25" s="888"/>
      <c r="GK25" s="888"/>
      <c r="GL25" s="888"/>
      <c r="GM25" s="888"/>
      <c r="GN25" s="888"/>
      <c r="GO25" s="888"/>
      <c r="GP25" s="888"/>
      <c r="GQ25" s="888"/>
      <c r="GR25" s="888"/>
      <c r="GS25" s="888"/>
      <c r="GT25" s="888"/>
      <c r="GU25" s="888"/>
      <c r="GV25" s="888"/>
      <c r="GW25" s="888"/>
      <c r="GX25" s="888"/>
      <c r="GY25" s="888"/>
      <c r="GZ25" s="888"/>
      <c r="HA25" s="888"/>
      <c r="HB25" s="888"/>
      <c r="HC25" s="888"/>
      <c r="HD25" s="888"/>
      <c r="HE25" s="888"/>
      <c r="HF25" s="888"/>
      <c r="HG25" s="888"/>
      <c r="HH25" s="888"/>
      <c r="HI25" s="888"/>
      <c r="HJ25" s="888"/>
      <c r="HK25" s="888"/>
      <c r="HL25" s="888"/>
      <c r="HM25" s="888"/>
      <c r="HN25" s="888"/>
      <c r="HO25" s="888"/>
      <c r="HP25" s="888"/>
      <c r="HQ25" s="888"/>
      <c r="HR25" s="888"/>
      <c r="HS25" s="888"/>
      <c r="HT25" s="888"/>
      <c r="HU25" s="888"/>
      <c r="HV25" s="888"/>
      <c r="HW25" s="888"/>
      <c r="HX25" s="888"/>
      <c r="HY25" s="888"/>
      <c r="HZ25" s="888"/>
      <c r="IA25" s="888"/>
      <c r="IB25" s="888"/>
      <c r="IC25" s="888"/>
      <c r="ID25" s="888"/>
      <c r="IE25" s="888"/>
      <c r="IF25" s="888"/>
      <c r="IG25" s="888"/>
      <c r="IH25" s="888"/>
      <c r="II25" s="888"/>
      <c r="IJ25" s="888"/>
      <c r="IK25" s="888"/>
      <c r="IL25" s="888"/>
      <c r="IM25" s="888"/>
      <c r="IN25" s="888"/>
      <c r="IO25" s="888"/>
      <c r="IP25" s="888"/>
      <c r="IQ25" s="888"/>
    </row>
    <row r="26" spans="1:251" s="960" customFormat="1" ht="12.6" customHeight="1">
      <c r="A26" s="957"/>
      <c r="B26" s="891" t="s">
        <v>673</v>
      </c>
      <c r="C26" s="969">
        <f>IF(ISERROR((AD26*V23)-$C$178),"",(AD26*V23)-$C$178)</f>
        <v>2650.63853871431</v>
      </c>
      <c r="D26" s="888"/>
      <c r="E26" s="889" t="s">
        <v>674</v>
      </c>
      <c r="F26" s="890"/>
      <c r="G26" s="890"/>
      <c r="H26" s="888"/>
      <c r="I26" s="888"/>
      <c r="J26" s="888"/>
      <c r="K26" s="958"/>
      <c r="L26" s="970"/>
      <c r="M26" s="962"/>
      <c r="N26" s="959"/>
      <c r="O26" s="959"/>
      <c r="R26" s="883" t="str">
        <f ca="1">OFFSET(B40,0,$I$20)</f>
        <v>F2018e</v>
      </c>
      <c r="S26" s="872" t="str">
        <f>B62</f>
        <v>Operating revenue growth</v>
      </c>
      <c r="T26" s="963"/>
      <c r="U26" s="971">
        <f ca="1">OFFSET($B62,0,$I$20)</f>
        <v>8.2602386578097819E-2</v>
      </c>
      <c r="V26" s="865"/>
      <c r="W26" s="884">
        <f ca="1">IF(OR(AND(I21&lt;=6,C19&lt;=12,MONTH(H13)-I21&lt;=6),AND(I21&gt;6,C19&lt;=12,I21-MONTH(H13)&lt;6)),YEAR(H13),IF(AND(C19&gt;12,I21-MONTH(H13)&lt;6),YEAR(H13),IF(I21&lt;6,YEAR(H13)+1,YEAR(H13)-1)))</f>
        <v>2019</v>
      </c>
      <c r="X26" s="972" t="s">
        <v>675</v>
      </c>
      <c r="Y26" s="973"/>
      <c r="Z26" s="883">
        <v>17</v>
      </c>
      <c r="AA26" s="974"/>
      <c r="AB26" s="975" t="s">
        <v>673</v>
      </c>
      <c r="AC26" s="974"/>
      <c r="AD26" s="976">
        <f>(((+bal!AG12+0)+(+bal!AG15+0+0)+bal!AG13+bal!AG18+bal!AG20+(+bal!AG14+0+0)+(+bal!AG10+bal!AG22+0)+'MWA Lease'!P24)-((+bal!AG26+0)+(+bal!AG27+bal!AG33+0)+(+bal!AG29+bal!AG34+0)+(('MWA Lease'!P24-'MWA Lease'!P33)*sumry!BQ83)))</f>
        <v>2650.63853871431</v>
      </c>
      <c r="AE26" s="977"/>
      <c r="AF26" s="845"/>
      <c r="AG26" s="939"/>
      <c r="AH26" s="939"/>
      <c r="AI26" s="939"/>
      <c r="AJ26" s="939"/>
      <c r="AK26" s="939"/>
      <c r="AL26" s="939"/>
      <c r="AM26" s="939"/>
      <c r="AN26" s="939"/>
      <c r="AO26" s="939"/>
      <c r="AP26" s="939"/>
      <c r="AQ26" s="878"/>
      <c r="AR26" s="886"/>
      <c r="AS26" s="845"/>
      <c r="AT26" s="845"/>
      <c r="AU26" s="845"/>
      <c r="AV26" s="845"/>
      <c r="AW26" s="845"/>
      <c r="AX26" s="845"/>
      <c r="AY26" s="845"/>
      <c r="AZ26" s="961"/>
      <c r="BA26" s="961"/>
      <c r="BB26" s="961"/>
      <c r="BC26" s="961"/>
      <c r="BD26" s="961"/>
      <c r="BE26" s="888"/>
      <c r="BF26" s="888"/>
      <c r="BG26" s="888"/>
      <c r="BH26" s="888"/>
      <c r="BI26" s="888"/>
      <c r="BJ26" s="888"/>
      <c r="BK26" s="888"/>
      <c r="BL26" s="888"/>
      <c r="BM26" s="888"/>
      <c r="BN26" s="888"/>
      <c r="BO26" s="888"/>
      <c r="BP26" s="888"/>
      <c r="BQ26" s="888"/>
      <c r="BR26" s="888"/>
      <c r="BS26" s="888"/>
      <c r="BT26" s="888"/>
      <c r="BU26" s="888"/>
      <c r="BV26" s="888"/>
      <c r="BW26" s="888"/>
      <c r="BX26" s="888"/>
      <c r="BY26" s="888"/>
      <c r="BZ26" s="888"/>
      <c r="CA26" s="888"/>
      <c r="CB26" s="888"/>
      <c r="CC26" s="888"/>
      <c r="CD26" s="888"/>
      <c r="CE26" s="888"/>
      <c r="CF26" s="888"/>
      <c r="CG26" s="888"/>
      <c r="CH26" s="888"/>
      <c r="CI26" s="888"/>
      <c r="CJ26" s="888"/>
      <c r="CK26" s="888"/>
      <c r="CL26" s="888"/>
      <c r="CM26" s="888"/>
      <c r="CN26" s="888"/>
      <c r="CO26" s="888"/>
      <c r="CP26" s="888"/>
      <c r="CQ26" s="888"/>
      <c r="CR26" s="888"/>
      <c r="CS26" s="888"/>
      <c r="CT26" s="888"/>
      <c r="CU26" s="888"/>
      <c r="CV26" s="888"/>
      <c r="CW26" s="888"/>
      <c r="CX26" s="888"/>
      <c r="CY26" s="888"/>
      <c r="CZ26" s="888"/>
      <c r="DA26" s="888"/>
      <c r="DB26" s="888"/>
      <c r="DC26" s="888"/>
      <c r="DD26" s="888"/>
      <c r="DE26" s="888"/>
      <c r="DF26" s="888"/>
      <c r="DG26" s="888"/>
      <c r="DH26" s="888"/>
      <c r="DI26" s="888"/>
      <c r="DJ26" s="888"/>
      <c r="DK26" s="888"/>
      <c r="DL26" s="888"/>
      <c r="DM26" s="888"/>
      <c r="DN26" s="888"/>
      <c r="DO26" s="888"/>
      <c r="DP26" s="888"/>
      <c r="DQ26" s="888"/>
      <c r="DR26" s="888"/>
      <c r="DS26" s="888"/>
      <c r="DT26" s="888"/>
      <c r="DU26" s="888"/>
      <c r="DV26" s="888"/>
      <c r="DW26" s="888"/>
      <c r="DX26" s="888"/>
      <c r="DY26" s="888"/>
      <c r="DZ26" s="888"/>
      <c r="EA26" s="888"/>
      <c r="EB26" s="888"/>
      <c r="EC26" s="888"/>
      <c r="ED26" s="888"/>
      <c r="EE26" s="888"/>
      <c r="EF26" s="888"/>
      <c r="EG26" s="888"/>
      <c r="EH26" s="888"/>
      <c r="EI26" s="888"/>
      <c r="EJ26" s="888"/>
      <c r="EK26" s="888"/>
      <c r="EL26" s="888"/>
      <c r="EM26" s="888"/>
      <c r="EN26" s="888"/>
      <c r="EO26" s="888"/>
      <c r="EP26" s="888"/>
      <c r="EQ26" s="888"/>
      <c r="ER26" s="888"/>
      <c r="ES26" s="888"/>
      <c r="ET26" s="888"/>
      <c r="EU26" s="888"/>
      <c r="EV26" s="888"/>
      <c r="EW26" s="888"/>
      <c r="EX26" s="888"/>
      <c r="EY26" s="888"/>
      <c r="EZ26" s="888"/>
      <c r="FA26" s="888"/>
      <c r="FB26" s="888"/>
      <c r="FC26" s="888"/>
      <c r="FD26" s="888"/>
      <c r="FE26" s="888"/>
      <c r="FF26" s="888"/>
      <c r="FG26" s="888"/>
      <c r="FH26" s="888"/>
      <c r="FI26" s="888"/>
      <c r="FJ26" s="888"/>
      <c r="FK26" s="888"/>
      <c r="FL26" s="888"/>
      <c r="FM26" s="888"/>
      <c r="FN26" s="888"/>
      <c r="FO26" s="888"/>
      <c r="FP26" s="888"/>
      <c r="FQ26" s="888"/>
      <c r="FR26" s="888"/>
      <c r="FS26" s="888"/>
      <c r="FT26" s="888"/>
      <c r="FU26" s="888"/>
      <c r="FV26" s="888"/>
      <c r="FW26" s="888"/>
      <c r="FX26" s="888"/>
      <c r="FY26" s="888"/>
      <c r="FZ26" s="888"/>
      <c r="GA26" s="888"/>
      <c r="GB26" s="888"/>
      <c r="GC26" s="888"/>
      <c r="GD26" s="888"/>
      <c r="GE26" s="888"/>
      <c r="GF26" s="888"/>
      <c r="GG26" s="888"/>
      <c r="GH26" s="888"/>
      <c r="GI26" s="888"/>
      <c r="GJ26" s="888"/>
      <c r="GK26" s="888"/>
      <c r="GL26" s="888"/>
      <c r="GM26" s="888"/>
      <c r="GN26" s="888"/>
      <c r="GO26" s="888"/>
      <c r="GP26" s="888"/>
      <c r="GQ26" s="888"/>
      <c r="GR26" s="888"/>
      <c r="GS26" s="888"/>
      <c r="GT26" s="888"/>
      <c r="GU26" s="888"/>
      <c r="GV26" s="888"/>
      <c r="GW26" s="888"/>
      <c r="GX26" s="888"/>
      <c r="GY26" s="888"/>
      <c r="GZ26" s="888"/>
      <c r="HA26" s="888"/>
      <c r="HB26" s="888"/>
      <c r="HC26" s="888"/>
      <c r="HD26" s="888"/>
      <c r="HE26" s="888"/>
      <c r="HF26" s="888"/>
      <c r="HG26" s="888"/>
      <c r="HH26" s="888"/>
      <c r="HI26" s="888"/>
      <c r="HJ26" s="888"/>
      <c r="HK26" s="888"/>
      <c r="HL26" s="888"/>
      <c r="HM26" s="888"/>
      <c r="HN26" s="888"/>
      <c r="HO26" s="888"/>
      <c r="HP26" s="888"/>
      <c r="HQ26" s="888"/>
      <c r="HR26" s="888"/>
      <c r="HS26" s="888"/>
      <c r="HT26" s="888"/>
      <c r="HU26" s="888"/>
      <c r="HV26" s="888"/>
      <c r="HW26" s="888"/>
      <c r="HX26" s="888"/>
      <c r="HY26" s="888"/>
      <c r="HZ26" s="888"/>
      <c r="IA26" s="888"/>
      <c r="IB26" s="888"/>
      <c r="IC26" s="888"/>
      <c r="ID26" s="888"/>
      <c r="IE26" s="888"/>
      <c r="IF26" s="888"/>
      <c r="IG26" s="888"/>
      <c r="IH26" s="888"/>
      <c r="II26" s="888"/>
      <c r="IJ26" s="888"/>
      <c r="IK26" s="888"/>
      <c r="IL26" s="888"/>
      <c r="IM26" s="888"/>
      <c r="IN26" s="888"/>
      <c r="IO26" s="888"/>
      <c r="IP26" s="888"/>
      <c r="IQ26" s="888"/>
    </row>
    <row r="27" spans="1:251" s="960" customFormat="1" ht="12.6" customHeight="1">
      <c r="A27" s="957"/>
      <c r="B27" s="891" t="s">
        <v>676</v>
      </c>
      <c r="C27" s="978">
        <f ca="1">IF(ISERROR(SUM(C71:IV71)),"",SUM(C71:IV71))</f>
        <v>8612.9557527816032</v>
      </c>
      <c r="D27" s="888"/>
      <c r="E27" s="910" t="s">
        <v>677</v>
      </c>
      <c r="F27" s="890"/>
      <c r="G27" s="890"/>
      <c r="H27" s="888"/>
      <c r="I27" s="978">
        <f ca="1">IF(ISERROR(SUM(C69:IV69)),"",SUM(C69:IV69))</f>
        <v>11263.594291495921</v>
      </c>
      <c r="J27" s="888"/>
      <c r="K27" s="958"/>
      <c r="L27" s="979"/>
      <c r="M27" s="962"/>
      <c r="N27" s="959"/>
      <c r="O27" s="959"/>
      <c r="Q27" s="845"/>
      <c r="R27" s="883" t="str">
        <f ca="1">OFFSET(B40,0,$I$20)</f>
        <v>F2018e</v>
      </c>
      <c r="S27" s="872" t="str">
        <f>B64</f>
        <v>NOPAT</v>
      </c>
      <c r="T27" s="963"/>
      <c r="U27" s="964">
        <f ca="1">OFFSET($B64,0,$I$20)</f>
        <v>237.39349997072182</v>
      </c>
      <c r="V27" s="865"/>
      <c r="W27" s="980">
        <f ca="1">IF(ISERROR(SUM(C69:IV69)),"",SUM(C69:IV69))</f>
        <v>11263.594291495921</v>
      </c>
      <c r="X27" s="972" t="s">
        <v>678</v>
      </c>
      <c r="Y27" s="973"/>
      <c r="Z27" s="883">
        <v>18</v>
      </c>
      <c r="AA27" s="974"/>
      <c r="AB27" s="975" t="s">
        <v>679</v>
      </c>
      <c r="AC27" s="974"/>
      <c r="AD27" s="976">
        <f>(((-((bal!AG28+bal!AG32)-bal!AG9+'MWA Lease'!P33))))</f>
        <v>-2800.3254076313087</v>
      </c>
      <c r="AE27" s="977"/>
      <c r="AF27" s="845"/>
      <c r="AG27" s="845"/>
      <c r="AH27" s="845"/>
      <c r="AI27" s="845"/>
      <c r="AJ27" s="845"/>
      <c r="AK27" s="845"/>
      <c r="AL27" s="845"/>
      <c r="AM27" s="845"/>
      <c r="AN27" s="845"/>
      <c r="AO27" s="845"/>
      <c r="AP27" s="845"/>
      <c r="AQ27" s="845"/>
      <c r="AR27" s="886"/>
      <c r="AS27" s="845"/>
      <c r="AT27" s="845"/>
      <c r="AU27" s="845"/>
      <c r="AV27" s="845"/>
      <c r="AW27" s="845"/>
      <c r="AX27" s="845"/>
      <c r="AY27" s="845"/>
      <c r="AZ27" s="961"/>
      <c r="BA27" s="961"/>
      <c r="BB27" s="961"/>
      <c r="BC27" s="961"/>
      <c r="BD27" s="961"/>
      <c r="BE27" s="888"/>
      <c r="BF27" s="888"/>
      <c r="BG27" s="888"/>
      <c r="BH27" s="888"/>
      <c r="BI27" s="888"/>
      <c r="BJ27" s="888"/>
      <c r="BK27" s="888"/>
      <c r="BL27" s="888"/>
      <c r="BM27" s="888"/>
      <c r="BN27" s="888"/>
      <c r="BO27" s="888"/>
      <c r="BP27" s="888"/>
      <c r="BQ27" s="888"/>
      <c r="BR27" s="888"/>
      <c r="BS27" s="888"/>
      <c r="BT27" s="888"/>
      <c r="BU27" s="888"/>
      <c r="BV27" s="888"/>
      <c r="BW27" s="888"/>
      <c r="BX27" s="888"/>
      <c r="BY27" s="888"/>
      <c r="BZ27" s="888"/>
      <c r="CA27" s="888"/>
      <c r="CB27" s="888"/>
      <c r="CC27" s="888"/>
      <c r="CD27" s="888"/>
      <c r="CE27" s="888"/>
      <c r="CF27" s="888"/>
      <c r="CG27" s="888"/>
      <c r="CH27" s="888"/>
      <c r="CI27" s="888"/>
      <c r="CJ27" s="888"/>
      <c r="CK27" s="888"/>
      <c r="CL27" s="888"/>
      <c r="CM27" s="888"/>
      <c r="CN27" s="888"/>
      <c r="CO27" s="888"/>
      <c r="CP27" s="888"/>
      <c r="CQ27" s="888"/>
      <c r="CR27" s="888"/>
      <c r="CS27" s="888"/>
      <c r="CT27" s="888"/>
      <c r="CU27" s="888"/>
      <c r="CV27" s="888"/>
      <c r="CW27" s="888"/>
      <c r="CX27" s="888"/>
      <c r="CY27" s="888"/>
      <c r="CZ27" s="888"/>
      <c r="DA27" s="888"/>
      <c r="DB27" s="888"/>
      <c r="DC27" s="888"/>
      <c r="DD27" s="888"/>
      <c r="DE27" s="888"/>
      <c r="DF27" s="888"/>
      <c r="DG27" s="888"/>
      <c r="DH27" s="888"/>
      <c r="DI27" s="888"/>
      <c r="DJ27" s="888"/>
      <c r="DK27" s="888"/>
      <c r="DL27" s="888"/>
      <c r="DM27" s="888"/>
      <c r="DN27" s="888"/>
      <c r="DO27" s="888"/>
      <c r="DP27" s="888"/>
      <c r="DQ27" s="888"/>
      <c r="DR27" s="888"/>
      <c r="DS27" s="888"/>
      <c r="DT27" s="888"/>
      <c r="DU27" s="888"/>
      <c r="DV27" s="888"/>
      <c r="DW27" s="888"/>
      <c r="DX27" s="888"/>
      <c r="DY27" s="888"/>
      <c r="DZ27" s="888"/>
      <c r="EA27" s="888"/>
      <c r="EB27" s="888"/>
      <c r="EC27" s="888"/>
      <c r="ED27" s="888"/>
      <c r="EE27" s="888"/>
      <c r="EF27" s="888"/>
      <c r="EG27" s="888"/>
      <c r="EH27" s="888"/>
      <c r="EI27" s="888"/>
      <c r="EJ27" s="888"/>
      <c r="EK27" s="888"/>
      <c r="EL27" s="888"/>
      <c r="EM27" s="888"/>
      <c r="EN27" s="888"/>
      <c r="EO27" s="888"/>
      <c r="EP27" s="888"/>
      <c r="EQ27" s="888"/>
      <c r="ER27" s="888"/>
      <c r="ES27" s="888"/>
      <c r="ET27" s="888"/>
      <c r="EU27" s="888"/>
      <c r="EV27" s="888"/>
      <c r="EW27" s="888"/>
      <c r="EX27" s="888"/>
      <c r="EY27" s="888"/>
      <c r="EZ27" s="888"/>
      <c r="FA27" s="888"/>
      <c r="FB27" s="888"/>
      <c r="FC27" s="888"/>
      <c r="FD27" s="888"/>
      <c r="FE27" s="888"/>
      <c r="FF27" s="888"/>
      <c r="FG27" s="888"/>
      <c r="FH27" s="888"/>
      <c r="FI27" s="888"/>
      <c r="FJ27" s="888"/>
      <c r="FK27" s="888"/>
      <c r="FL27" s="888"/>
      <c r="FM27" s="888"/>
      <c r="FN27" s="888"/>
      <c r="FO27" s="888"/>
      <c r="FP27" s="888"/>
      <c r="FQ27" s="888"/>
      <c r="FR27" s="888"/>
      <c r="FS27" s="888"/>
      <c r="FT27" s="888"/>
      <c r="FU27" s="888"/>
      <c r="FV27" s="888"/>
      <c r="FW27" s="888"/>
      <c r="FX27" s="888"/>
      <c r="FY27" s="888"/>
      <c r="FZ27" s="888"/>
      <c r="GA27" s="888"/>
      <c r="GB27" s="888"/>
      <c r="GC27" s="888"/>
      <c r="GD27" s="888"/>
      <c r="GE27" s="888"/>
      <c r="GF27" s="888"/>
      <c r="GG27" s="888"/>
      <c r="GH27" s="888"/>
      <c r="GI27" s="888"/>
      <c r="GJ27" s="888"/>
      <c r="GK27" s="888"/>
      <c r="GL27" s="888"/>
      <c r="GM27" s="888"/>
      <c r="GN27" s="888"/>
      <c r="GO27" s="888"/>
      <c r="GP27" s="888"/>
      <c r="GQ27" s="888"/>
      <c r="GR27" s="888"/>
      <c r="GS27" s="888"/>
      <c r="GT27" s="888"/>
      <c r="GU27" s="888"/>
      <c r="GV27" s="888"/>
      <c r="GW27" s="888"/>
      <c r="GX27" s="888"/>
      <c r="GY27" s="888"/>
      <c r="GZ27" s="888"/>
      <c r="HA27" s="888"/>
      <c r="HB27" s="888"/>
      <c r="HC27" s="888"/>
      <c r="HD27" s="888"/>
      <c r="HE27" s="888"/>
      <c r="HF27" s="888"/>
      <c r="HG27" s="888"/>
      <c r="HH27" s="888"/>
      <c r="HI27" s="888"/>
      <c r="HJ27" s="888"/>
      <c r="HK27" s="888"/>
      <c r="HL27" s="888"/>
      <c r="HM27" s="888"/>
      <c r="HN27" s="888"/>
      <c r="HO27" s="888"/>
      <c r="HP27" s="888"/>
      <c r="HQ27" s="888"/>
      <c r="HR27" s="888"/>
      <c r="HS27" s="888"/>
      <c r="HT27" s="888"/>
      <c r="HU27" s="888"/>
      <c r="HV27" s="888"/>
      <c r="HW27" s="888"/>
      <c r="HX27" s="888"/>
      <c r="HY27" s="888"/>
      <c r="HZ27" s="888"/>
      <c r="IA27" s="888"/>
      <c r="IB27" s="888"/>
      <c r="IC27" s="888"/>
      <c r="ID27" s="888"/>
      <c r="IE27" s="888"/>
      <c r="IF27" s="888"/>
      <c r="IG27" s="888"/>
      <c r="IH27" s="888"/>
      <c r="II27" s="888"/>
      <c r="IJ27" s="888"/>
      <c r="IK27" s="888"/>
      <c r="IL27" s="888"/>
      <c r="IM27" s="888"/>
      <c r="IN27" s="888"/>
      <c r="IO27" s="888"/>
      <c r="IP27" s="888"/>
      <c r="IQ27" s="888"/>
    </row>
    <row r="28" spans="1:251" s="960" customFormat="1" ht="12.6" customHeight="1">
      <c r="A28" s="957"/>
      <c r="B28" s="891" t="s">
        <v>679</v>
      </c>
      <c r="C28" s="978">
        <f>IF(ISERROR(((AD27*V23)-$C$208-$C$235-$C$249)),"",((AD27*V23)-$C$208-$C$235-$C$249))</f>
        <v>-2800.3254076313087</v>
      </c>
      <c r="D28" s="888"/>
      <c r="E28" s="910" t="s">
        <v>679</v>
      </c>
      <c r="F28" s="890"/>
      <c r="G28" s="890"/>
      <c r="H28" s="888"/>
      <c r="I28" s="978">
        <f>C28</f>
        <v>-2800.3254076313087</v>
      </c>
      <c r="J28" s="888"/>
      <c r="K28" s="958"/>
      <c r="L28" s="981"/>
      <c r="M28" s="962"/>
      <c r="N28" s="959"/>
      <c r="O28" s="959"/>
      <c r="Q28" s="845"/>
      <c r="R28" s="883" t="str">
        <f ca="1">OFFSET(B40,0,$C$14)</f>
        <v>F2034e</v>
      </c>
      <c r="S28" s="872" t="str">
        <f>B64</f>
        <v>NOPAT</v>
      </c>
      <c r="T28" s="963"/>
      <c r="U28" s="964">
        <f ca="1">OFFSET($B64,0,$C$14)</f>
        <v>577.00448451403508</v>
      </c>
      <c r="V28" s="865"/>
      <c r="W28" s="865"/>
      <c r="X28" s="972" t="s">
        <v>430</v>
      </c>
      <c r="Y28" s="973"/>
      <c r="Z28" s="953"/>
      <c r="AA28" s="974"/>
      <c r="AB28" s="975" t="s">
        <v>680</v>
      </c>
      <c r="AC28" s="974"/>
      <c r="AD28" s="976">
        <f>(((+(+bal!AG40+bal!AG41))+0+bal!AG42+bal!AG44-0+0+0)+('MWA Lease'!P24-'MWA Lease'!P33)-((('MWA Lease'!P24-'MWA Lease'!P33)*sumry!BQ83)))</f>
        <v>-141.42886891699746</v>
      </c>
      <c r="AE28" s="977"/>
      <c r="AF28" s="845"/>
      <c r="AG28" s="845"/>
      <c r="AH28" s="845"/>
      <c r="AI28" s="845"/>
      <c r="AJ28" s="845"/>
      <c r="AK28" s="845"/>
      <c r="AL28" s="845"/>
      <c r="AM28" s="845"/>
      <c r="AN28" s="845"/>
      <c r="AO28" s="845"/>
      <c r="AP28" s="845"/>
      <c r="AQ28" s="845"/>
      <c r="AR28" s="886"/>
      <c r="AS28" s="845"/>
      <c r="AT28" s="845"/>
      <c r="AU28" s="845"/>
      <c r="AV28" s="845"/>
      <c r="AW28" s="845"/>
      <c r="AX28" s="845"/>
      <c r="AY28" s="845"/>
      <c r="AZ28" s="961"/>
      <c r="BA28" s="961"/>
      <c r="BB28" s="961"/>
      <c r="BC28" s="961"/>
      <c r="BD28" s="961"/>
      <c r="BE28" s="888"/>
      <c r="BF28" s="888"/>
      <c r="BG28" s="888"/>
      <c r="BH28" s="888"/>
      <c r="BI28" s="888"/>
      <c r="BJ28" s="888"/>
      <c r="BK28" s="888"/>
      <c r="BL28" s="888"/>
      <c r="BM28" s="888"/>
      <c r="BN28" s="888"/>
      <c r="BO28" s="888"/>
      <c r="BP28" s="888"/>
      <c r="BQ28" s="888"/>
      <c r="BR28" s="888"/>
      <c r="BS28" s="888"/>
      <c r="BT28" s="888"/>
      <c r="BU28" s="888"/>
      <c r="BV28" s="888"/>
      <c r="BW28" s="888"/>
      <c r="BX28" s="888"/>
      <c r="BY28" s="888"/>
      <c r="BZ28" s="888"/>
      <c r="CA28" s="888"/>
      <c r="CB28" s="888"/>
      <c r="CC28" s="888"/>
      <c r="CD28" s="888"/>
      <c r="CE28" s="888"/>
      <c r="CF28" s="888"/>
      <c r="CG28" s="888"/>
      <c r="CH28" s="888"/>
      <c r="CI28" s="888"/>
      <c r="CJ28" s="888"/>
      <c r="CK28" s="888"/>
      <c r="CL28" s="888"/>
      <c r="CM28" s="888"/>
      <c r="CN28" s="888"/>
      <c r="CO28" s="888"/>
      <c r="CP28" s="888"/>
      <c r="CQ28" s="888"/>
      <c r="CR28" s="888"/>
      <c r="CS28" s="888"/>
      <c r="CT28" s="888"/>
      <c r="CU28" s="888"/>
      <c r="CV28" s="888"/>
      <c r="CW28" s="888"/>
      <c r="CX28" s="888"/>
      <c r="CY28" s="888"/>
      <c r="CZ28" s="888"/>
      <c r="DA28" s="888"/>
      <c r="DB28" s="888"/>
      <c r="DC28" s="888"/>
      <c r="DD28" s="888"/>
      <c r="DE28" s="888"/>
      <c r="DF28" s="888"/>
      <c r="DG28" s="888"/>
      <c r="DH28" s="888"/>
      <c r="DI28" s="888"/>
      <c r="DJ28" s="888"/>
      <c r="DK28" s="888"/>
      <c r="DL28" s="888"/>
      <c r="DM28" s="888"/>
      <c r="DN28" s="888"/>
      <c r="DO28" s="888"/>
      <c r="DP28" s="888"/>
      <c r="DQ28" s="888"/>
      <c r="DR28" s="888"/>
      <c r="DS28" s="888"/>
      <c r="DT28" s="888"/>
      <c r="DU28" s="888"/>
      <c r="DV28" s="888"/>
      <c r="DW28" s="888"/>
      <c r="DX28" s="888"/>
      <c r="DY28" s="888"/>
      <c r="DZ28" s="888"/>
      <c r="EA28" s="888"/>
      <c r="EB28" s="888"/>
      <c r="EC28" s="888"/>
      <c r="ED28" s="888"/>
      <c r="EE28" s="888"/>
      <c r="EF28" s="888"/>
      <c r="EG28" s="888"/>
      <c r="EH28" s="888"/>
      <c r="EI28" s="888"/>
      <c r="EJ28" s="888"/>
      <c r="EK28" s="888"/>
      <c r="EL28" s="888"/>
      <c r="EM28" s="888"/>
      <c r="EN28" s="888"/>
      <c r="EO28" s="888"/>
      <c r="EP28" s="888"/>
      <c r="EQ28" s="888"/>
      <c r="ER28" s="888"/>
      <c r="ES28" s="888"/>
      <c r="ET28" s="888"/>
      <c r="EU28" s="888"/>
      <c r="EV28" s="888"/>
      <c r="EW28" s="888"/>
      <c r="EX28" s="888"/>
      <c r="EY28" s="888"/>
      <c r="EZ28" s="888"/>
      <c r="FA28" s="888"/>
      <c r="FB28" s="888"/>
      <c r="FC28" s="888"/>
      <c r="FD28" s="888"/>
      <c r="FE28" s="888"/>
      <c r="FF28" s="888"/>
      <c r="FG28" s="888"/>
      <c r="FH28" s="888"/>
      <c r="FI28" s="888"/>
      <c r="FJ28" s="888"/>
      <c r="FK28" s="888"/>
      <c r="FL28" s="888"/>
      <c r="FM28" s="888"/>
      <c r="FN28" s="888"/>
      <c r="FO28" s="888"/>
      <c r="FP28" s="888"/>
      <c r="FQ28" s="888"/>
      <c r="FR28" s="888"/>
      <c r="FS28" s="888"/>
      <c r="FT28" s="888"/>
      <c r="FU28" s="888"/>
      <c r="FV28" s="888"/>
      <c r="FW28" s="888"/>
      <c r="FX28" s="888"/>
      <c r="FY28" s="888"/>
      <c r="FZ28" s="888"/>
      <c r="GA28" s="888"/>
      <c r="GB28" s="888"/>
      <c r="GC28" s="888"/>
      <c r="GD28" s="888"/>
      <c r="GE28" s="888"/>
      <c r="GF28" s="888"/>
      <c r="GG28" s="888"/>
      <c r="GH28" s="888"/>
      <c r="GI28" s="888"/>
      <c r="GJ28" s="888"/>
      <c r="GK28" s="888"/>
      <c r="GL28" s="888"/>
      <c r="GM28" s="888"/>
      <c r="GN28" s="888"/>
      <c r="GO28" s="888"/>
      <c r="GP28" s="888"/>
      <c r="GQ28" s="888"/>
      <c r="GR28" s="888"/>
      <c r="GS28" s="888"/>
      <c r="GT28" s="888"/>
      <c r="GU28" s="888"/>
      <c r="GV28" s="888"/>
      <c r="GW28" s="888"/>
      <c r="GX28" s="888"/>
      <c r="GY28" s="888"/>
      <c r="GZ28" s="888"/>
      <c r="HA28" s="888"/>
      <c r="HB28" s="888"/>
      <c r="HC28" s="888"/>
      <c r="HD28" s="888"/>
      <c r="HE28" s="888"/>
      <c r="HF28" s="888"/>
      <c r="HG28" s="888"/>
      <c r="HH28" s="888"/>
      <c r="HI28" s="888"/>
      <c r="HJ28" s="888"/>
      <c r="HK28" s="888"/>
      <c r="HL28" s="888"/>
      <c r="HM28" s="888"/>
      <c r="HN28" s="888"/>
      <c r="HO28" s="888"/>
      <c r="HP28" s="888"/>
      <c r="HQ28" s="888"/>
      <c r="HR28" s="888"/>
      <c r="HS28" s="888"/>
      <c r="HT28" s="888"/>
      <c r="HU28" s="888"/>
      <c r="HV28" s="888"/>
      <c r="HW28" s="888"/>
      <c r="HX28" s="888"/>
      <c r="HY28" s="888"/>
      <c r="HZ28" s="888"/>
      <c r="IA28" s="888"/>
      <c r="IB28" s="888"/>
      <c r="IC28" s="888"/>
      <c r="ID28" s="888"/>
      <c r="IE28" s="888"/>
      <c r="IF28" s="888"/>
      <c r="IG28" s="888"/>
      <c r="IH28" s="888"/>
      <c r="II28" s="888"/>
      <c r="IJ28" s="888"/>
      <c r="IK28" s="888"/>
      <c r="IL28" s="888"/>
      <c r="IM28" s="888"/>
      <c r="IN28" s="888"/>
      <c r="IO28" s="888"/>
      <c r="IP28" s="888"/>
      <c r="IQ28" s="888"/>
    </row>
    <row r="29" spans="1:251" s="960" customFormat="1" ht="12.6" customHeight="1">
      <c r="A29" s="957"/>
      <c r="B29" s="982" t="s">
        <v>681</v>
      </c>
      <c r="C29" s="983">
        <f ca="1">IF(ISERROR(C26+C27+C28+C243-C244+C252),"",C26+C27+C28+C243-C244+C252)</f>
        <v>8463.2688838646027</v>
      </c>
      <c r="D29" s="888"/>
      <c r="E29" s="901" t="s">
        <v>682</v>
      </c>
      <c r="F29" s="984"/>
      <c r="G29" s="984"/>
      <c r="H29" s="985"/>
      <c r="I29" s="983">
        <f ca="1">IF(ISERROR(I27+I28+C243-C244+C252),"",I27+I28+C243-C244+C252)</f>
        <v>8463.2688838646136</v>
      </c>
      <c r="J29" s="986"/>
      <c r="K29" s="958"/>
      <c r="L29" s="979"/>
      <c r="M29" s="962"/>
      <c r="N29" s="959"/>
      <c r="O29" s="959"/>
      <c r="Q29" s="845"/>
      <c r="R29" s="883" t="str">
        <f ca="1">OFFSET(B40,0,$I$20)</f>
        <v>F2018e</v>
      </c>
      <c r="S29" s="872" t="str">
        <f>B65</f>
        <v>NOPAT margin</v>
      </c>
      <c r="T29" s="963"/>
      <c r="U29" s="971">
        <f ca="1">OFFSET($B65,0,$I$20)</f>
        <v>3.6037608415931538E-2</v>
      </c>
      <c r="V29" s="865"/>
      <c r="W29" s="980">
        <f ca="1">IF(ISERROR(W27+U33+C243-C244),"",W27+U33+C243-C244)</f>
        <v>8463.2688838646136</v>
      </c>
      <c r="X29" s="972"/>
      <c r="Y29" s="973"/>
      <c r="Z29" s="987"/>
      <c r="AA29" s="974"/>
      <c r="AB29" s="974"/>
      <c r="AC29" s="974"/>
      <c r="AD29" s="974"/>
      <c r="AE29" s="977"/>
      <c r="AF29" s="845"/>
      <c r="AG29" s="845"/>
      <c r="AH29" s="845"/>
      <c r="AI29" s="845"/>
      <c r="AJ29" s="845"/>
      <c r="AK29" s="845"/>
      <c r="AL29" s="845"/>
      <c r="AM29" s="845"/>
      <c r="AN29" s="845"/>
      <c r="AO29" s="845"/>
      <c r="AP29" s="845"/>
      <c r="AQ29" s="845"/>
      <c r="AR29" s="886"/>
      <c r="AS29" s="845"/>
      <c r="AT29" s="845"/>
      <c r="AU29" s="845"/>
      <c r="AV29" s="845"/>
      <c r="AW29" s="845"/>
      <c r="AX29" s="845"/>
      <c r="AY29" s="845"/>
      <c r="AZ29" s="961"/>
      <c r="BA29" s="961"/>
      <c r="BB29" s="961"/>
      <c r="BC29" s="961"/>
      <c r="BD29" s="961"/>
      <c r="BE29" s="888"/>
      <c r="BF29" s="888"/>
      <c r="BG29" s="888"/>
      <c r="BH29" s="888"/>
      <c r="BI29" s="888"/>
      <c r="BJ29" s="888"/>
      <c r="BK29" s="888"/>
      <c r="BL29" s="888"/>
      <c r="BM29" s="888"/>
      <c r="BN29" s="888"/>
      <c r="BO29" s="888"/>
      <c r="BP29" s="888"/>
      <c r="BQ29" s="888"/>
      <c r="BR29" s="888"/>
      <c r="BS29" s="888"/>
      <c r="BT29" s="888"/>
      <c r="BU29" s="888"/>
      <c r="BV29" s="888"/>
      <c r="BW29" s="888"/>
      <c r="BX29" s="888"/>
      <c r="BY29" s="888"/>
      <c r="BZ29" s="888"/>
      <c r="CA29" s="888"/>
      <c r="CB29" s="888"/>
      <c r="CC29" s="888"/>
      <c r="CD29" s="888"/>
      <c r="CE29" s="888"/>
      <c r="CF29" s="888"/>
      <c r="CG29" s="888"/>
      <c r="CH29" s="888"/>
      <c r="CI29" s="888"/>
      <c r="CJ29" s="888"/>
      <c r="CK29" s="888"/>
      <c r="CL29" s="888"/>
      <c r="CM29" s="888"/>
      <c r="CN29" s="888"/>
      <c r="CO29" s="888"/>
      <c r="CP29" s="888"/>
      <c r="CQ29" s="888"/>
      <c r="CR29" s="888"/>
      <c r="CS29" s="888"/>
      <c r="CT29" s="888"/>
      <c r="CU29" s="888"/>
      <c r="CV29" s="888"/>
      <c r="CW29" s="888"/>
      <c r="CX29" s="888"/>
      <c r="CY29" s="888"/>
      <c r="CZ29" s="888"/>
      <c r="DA29" s="888"/>
      <c r="DB29" s="888"/>
      <c r="DC29" s="888"/>
      <c r="DD29" s="888"/>
      <c r="DE29" s="888"/>
      <c r="DF29" s="888"/>
      <c r="DG29" s="888"/>
      <c r="DH29" s="888"/>
      <c r="DI29" s="888"/>
      <c r="DJ29" s="888"/>
      <c r="DK29" s="888"/>
      <c r="DL29" s="888"/>
      <c r="DM29" s="888"/>
      <c r="DN29" s="888"/>
      <c r="DO29" s="888"/>
      <c r="DP29" s="888"/>
      <c r="DQ29" s="888"/>
      <c r="DR29" s="888"/>
      <c r="DS29" s="888"/>
      <c r="DT29" s="888"/>
      <c r="DU29" s="888"/>
      <c r="DV29" s="888"/>
      <c r="DW29" s="888"/>
      <c r="DX29" s="888"/>
      <c r="DY29" s="888"/>
      <c r="DZ29" s="888"/>
      <c r="EA29" s="888"/>
      <c r="EB29" s="888"/>
      <c r="EC29" s="888"/>
      <c r="ED29" s="888"/>
      <c r="EE29" s="888"/>
      <c r="EF29" s="888"/>
      <c r="EG29" s="888"/>
      <c r="EH29" s="888"/>
      <c r="EI29" s="888"/>
      <c r="EJ29" s="888"/>
      <c r="EK29" s="888"/>
      <c r="EL29" s="888"/>
      <c r="EM29" s="888"/>
      <c r="EN29" s="888"/>
      <c r="EO29" s="888"/>
      <c r="EP29" s="888"/>
      <c r="EQ29" s="888"/>
      <c r="ER29" s="888"/>
      <c r="ES29" s="888"/>
      <c r="ET29" s="888"/>
      <c r="EU29" s="888"/>
      <c r="EV29" s="888"/>
      <c r="EW29" s="888"/>
      <c r="EX29" s="888"/>
      <c r="EY29" s="888"/>
      <c r="EZ29" s="888"/>
      <c r="FA29" s="888"/>
      <c r="FB29" s="888"/>
      <c r="FC29" s="888"/>
      <c r="FD29" s="888"/>
      <c r="FE29" s="888"/>
      <c r="FF29" s="888"/>
      <c r="FG29" s="888"/>
      <c r="FH29" s="888"/>
      <c r="FI29" s="888"/>
      <c r="FJ29" s="888"/>
      <c r="FK29" s="888"/>
      <c r="FL29" s="888"/>
      <c r="FM29" s="888"/>
      <c r="FN29" s="888"/>
      <c r="FO29" s="888"/>
      <c r="FP29" s="888"/>
      <c r="FQ29" s="888"/>
      <c r="FR29" s="888"/>
      <c r="FS29" s="888"/>
      <c r="FT29" s="888"/>
      <c r="FU29" s="888"/>
      <c r="FV29" s="888"/>
      <c r="FW29" s="888"/>
      <c r="FX29" s="888"/>
      <c r="FY29" s="888"/>
      <c r="FZ29" s="888"/>
      <c r="GA29" s="888"/>
      <c r="GB29" s="888"/>
      <c r="GC29" s="888"/>
      <c r="GD29" s="888"/>
      <c r="GE29" s="888"/>
      <c r="GF29" s="888"/>
      <c r="GG29" s="888"/>
      <c r="GH29" s="888"/>
      <c r="GI29" s="888"/>
      <c r="GJ29" s="888"/>
      <c r="GK29" s="888"/>
      <c r="GL29" s="888"/>
      <c r="GM29" s="888"/>
      <c r="GN29" s="888"/>
      <c r="GO29" s="888"/>
      <c r="GP29" s="888"/>
      <c r="GQ29" s="888"/>
      <c r="GR29" s="888"/>
      <c r="GS29" s="888"/>
      <c r="GT29" s="888"/>
      <c r="GU29" s="888"/>
      <c r="GV29" s="888"/>
      <c r="GW29" s="888"/>
      <c r="GX29" s="888"/>
      <c r="GY29" s="888"/>
      <c r="GZ29" s="888"/>
      <c r="HA29" s="888"/>
      <c r="HB29" s="888"/>
      <c r="HC29" s="888"/>
      <c r="HD29" s="888"/>
      <c r="HE29" s="888"/>
      <c r="HF29" s="888"/>
      <c r="HG29" s="888"/>
      <c r="HH29" s="888"/>
      <c r="HI29" s="888"/>
      <c r="HJ29" s="888"/>
      <c r="HK29" s="888"/>
      <c r="HL29" s="888"/>
      <c r="HM29" s="888"/>
      <c r="HN29" s="888"/>
      <c r="HO29" s="888"/>
      <c r="HP29" s="888"/>
      <c r="HQ29" s="888"/>
      <c r="HR29" s="888"/>
      <c r="HS29" s="888"/>
      <c r="HT29" s="888"/>
      <c r="HU29" s="888"/>
      <c r="HV29" s="888"/>
      <c r="HW29" s="888"/>
      <c r="HX29" s="888"/>
      <c r="HY29" s="888"/>
      <c r="HZ29" s="888"/>
      <c r="IA29" s="888"/>
      <c r="IB29" s="888"/>
      <c r="IC29" s="888"/>
      <c r="ID29" s="888"/>
      <c r="IE29" s="888"/>
      <c r="IF29" s="888"/>
      <c r="IG29" s="888"/>
      <c r="IH29" s="888"/>
      <c r="II29" s="888"/>
      <c r="IJ29" s="888"/>
      <c r="IK29" s="888"/>
      <c r="IL29" s="888"/>
      <c r="IM29" s="888"/>
      <c r="IN29" s="888"/>
      <c r="IO29" s="888"/>
      <c r="IP29" s="888"/>
      <c r="IQ29" s="888"/>
    </row>
    <row r="30" spans="1:251" s="960" customFormat="1" ht="12.6" customHeight="1">
      <c r="A30" s="957"/>
      <c r="B30" s="891"/>
      <c r="C30" s="888"/>
      <c r="D30" s="888"/>
      <c r="E30" s="910"/>
      <c r="F30" s="890"/>
      <c r="H30" s="888"/>
      <c r="I30" s="888"/>
      <c r="J30" s="888"/>
      <c r="K30" s="958"/>
      <c r="L30" s="958"/>
      <c r="M30" s="962"/>
      <c r="N30" s="959"/>
      <c r="O30" s="959"/>
      <c r="Q30" s="845"/>
      <c r="R30" s="883" t="str">
        <f ca="1">OFFSET(B40,0,$I$20-1)</f>
        <v>F2017e</v>
      </c>
      <c r="S30" s="872" t="str">
        <f>B66</f>
        <v>Net operating assets</v>
      </c>
      <c r="T30" s="963"/>
      <c r="U30" s="964">
        <f ca="1">OFFSET($B66,0,$I$20-1)</f>
        <v>2500.1628321429534</v>
      </c>
      <c r="V30" s="865"/>
      <c r="W30" s="872"/>
      <c r="X30" s="972"/>
      <c r="Y30" s="973"/>
      <c r="Z30" s="987"/>
      <c r="AA30" s="974"/>
      <c r="AB30" s="974"/>
      <c r="AC30" s="974"/>
      <c r="AD30" s="974"/>
      <c r="AE30" s="977"/>
      <c r="AF30" s="845"/>
      <c r="AG30" s="845"/>
      <c r="AH30" s="845"/>
      <c r="AI30" s="845"/>
      <c r="AJ30" s="845"/>
      <c r="AK30" s="845"/>
      <c r="AL30" s="845"/>
      <c r="AM30" s="845"/>
      <c r="AN30" s="845"/>
      <c r="AO30" s="845"/>
      <c r="AP30" s="845"/>
      <c r="AQ30" s="845"/>
      <c r="AR30" s="845"/>
      <c r="AS30" s="845"/>
      <c r="AT30" s="845"/>
      <c r="AU30" s="845"/>
      <c r="AV30" s="845"/>
      <c r="AW30" s="845"/>
      <c r="AX30" s="845"/>
      <c r="AY30" s="845"/>
      <c r="AZ30" s="961"/>
      <c r="BA30" s="961"/>
      <c r="BB30" s="961"/>
      <c r="BC30" s="961"/>
      <c r="BD30" s="961"/>
      <c r="BE30" s="888"/>
      <c r="BF30" s="888"/>
      <c r="BG30" s="888"/>
      <c r="BH30" s="888"/>
      <c r="BI30" s="888"/>
      <c r="BJ30" s="888"/>
      <c r="BK30" s="888"/>
      <c r="BL30" s="888"/>
      <c r="BM30" s="888"/>
      <c r="BN30" s="888"/>
      <c r="BO30" s="888"/>
      <c r="BP30" s="888"/>
      <c r="BQ30" s="888"/>
      <c r="BR30" s="888"/>
      <c r="BS30" s="888"/>
      <c r="BT30" s="888"/>
      <c r="BU30" s="888"/>
      <c r="BV30" s="888"/>
      <c r="BW30" s="888"/>
      <c r="BX30" s="888"/>
      <c r="BY30" s="888"/>
      <c r="BZ30" s="888"/>
      <c r="CA30" s="888"/>
      <c r="CB30" s="888"/>
      <c r="CC30" s="888"/>
      <c r="CD30" s="888"/>
      <c r="CE30" s="888"/>
      <c r="CF30" s="888"/>
      <c r="CG30" s="888"/>
      <c r="CH30" s="888"/>
      <c r="CI30" s="888"/>
      <c r="CJ30" s="888"/>
      <c r="CK30" s="888"/>
      <c r="CL30" s="888"/>
      <c r="CM30" s="888"/>
      <c r="CN30" s="888"/>
      <c r="CO30" s="888"/>
      <c r="CP30" s="888"/>
      <c r="CQ30" s="888"/>
      <c r="CR30" s="888"/>
      <c r="CS30" s="888"/>
      <c r="CT30" s="888"/>
      <c r="CU30" s="888"/>
      <c r="CV30" s="888"/>
      <c r="CW30" s="888"/>
      <c r="CX30" s="888"/>
      <c r="CY30" s="888"/>
      <c r="CZ30" s="888"/>
      <c r="DA30" s="888"/>
      <c r="DB30" s="888"/>
      <c r="DC30" s="888"/>
      <c r="DD30" s="888"/>
      <c r="DE30" s="888"/>
      <c r="DF30" s="888"/>
      <c r="DG30" s="888"/>
      <c r="DH30" s="888"/>
      <c r="DI30" s="888"/>
      <c r="DJ30" s="888"/>
      <c r="DK30" s="888"/>
      <c r="DL30" s="888"/>
      <c r="DM30" s="888"/>
      <c r="DN30" s="888"/>
      <c r="DO30" s="888"/>
      <c r="DP30" s="888"/>
      <c r="DQ30" s="888"/>
      <c r="DR30" s="888"/>
      <c r="DS30" s="888"/>
      <c r="DT30" s="888"/>
      <c r="DU30" s="888"/>
      <c r="DV30" s="888"/>
      <c r="DW30" s="888"/>
      <c r="DX30" s="888"/>
      <c r="DY30" s="888"/>
      <c r="DZ30" s="888"/>
      <c r="EA30" s="888"/>
      <c r="EB30" s="888"/>
      <c r="EC30" s="888"/>
      <c r="ED30" s="888"/>
      <c r="EE30" s="888"/>
      <c r="EF30" s="888"/>
      <c r="EG30" s="888"/>
      <c r="EH30" s="888"/>
      <c r="EI30" s="888"/>
      <c r="EJ30" s="888"/>
      <c r="EK30" s="888"/>
      <c r="EL30" s="888"/>
      <c r="EM30" s="888"/>
      <c r="EN30" s="888"/>
      <c r="EO30" s="888"/>
      <c r="EP30" s="888"/>
      <c r="EQ30" s="888"/>
      <c r="ER30" s="888"/>
      <c r="ES30" s="888"/>
      <c r="ET30" s="888"/>
      <c r="EU30" s="888"/>
      <c r="EV30" s="888"/>
      <c r="EW30" s="888"/>
      <c r="EX30" s="888"/>
      <c r="EY30" s="888"/>
      <c r="EZ30" s="888"/>
      <c r="FA30" s="888"/>
      <c r="FB30" s="888"/>
      <c r="FC30" s="888"/>
      <c r="FD30" s="888"/>
      <c r="FE30" s="888"/>
      <c r="FF30" s="888"/>
      <c r="FG30" s="888"/>
      <c r="FH30" s="888"/>
      <c r="FI30" s="888"/>
      <c r="FJ30" s="888"/>
      <c r="FK30" s="888"/>
      <c r="FL30" s="888"/>
      <c r="FM30" s="888"/>
      <c r="FN30" s="888"/>
      <c r="FO30" s="888"/>
      <c r="FP30" s="888"/>
      <c r="FQ30" s="888"/>
      <c r="FR30" s="888"/>
      <c r="FS30" s="888"/>
      <c r="FT30" s="888"/>
      <c r="FU30" s="888"/>
      <c r="FV30" s="888"/>
      <c r="FW30" s="888"/>
      <c r="FX30" s="888"/>
      <c r="FY30" s="888"/>
      <c r="FZ30" s="888"/>
      <c r="GA30" s="888"/>
      <c r="GB30" s="888"/>
      <c r="GC30" s="888"/>
      <c r="GD30" s="888"/>
      <c r="GE30" s="888"/>
      <c r="GF30" s="888"/>
      <c r="GG30" s="888"/>
      <c r="GH30" s="888"/>
      <c r="GI30" s="888"/>
      <c r="GJ30" s="888"/>
      <c r="GK30" s="888"/>
      <c r="GL30" s="888"/>
      <c r="GM30" s="888"/>
      <c r="GN30" s="888"/>
      <c r="GO30" s="888"/>
      <c r="GP30" s="888"/>
      <c r="GQ30" s="888"/>
      <c r="GR30" s="888"/>
      <c r="GS30" s="888"/>
      <c r="GT30" s="888"/>
      <c r="GU30" s="888"/>
      <c r="GV30" s="888"/>
      <c r="GW30" s="888"/>
      <c r="GX30" s="888"/>
      <c r="GY30" s="888"/>
      <c r="GZ30" s="888"/>
      <c r="HA30" s="888"/>
      <c r="HB30" s="888"/>
      <c r="HC30" s="888"/>
      <c r="HD30" s="888"/>
      <c r="HE30" s="888"/>
      <c r="HF30" s="888"/>
      <c r="HG30" s="888"/>
      <c r="HH30" s="888"/>
      <c r="HI30" s="888"/>
      <c r="HJ30" s="888"/>
      <c r="HK30" s="888"/>
      <c r="HL30" s="888"/>
      <c r="HM30" s="888"/>
      <c r="HN30" s="888"/>
      <c r="HO30" s="888"/>
      <c r="HP30" s="888"/>
      <c r="HQ30" s="888"/>
      <c r="HR30" s="888"/>
      <c r="HS30" s="888"/>
      <c r="HT30" s="888"/>
      <c r="HU30" s="888"/>
      <c r="HV30" s="888"/>
      <c r="HW30" s="888"/>
      <c r="HX30" s="888"/>
      <c r="HY30" s="888"/>
      <c r="HZ30" s="888"/>
      <c r="IA30" s="888"/>
      <c r="IB30" s="888"/>
      <c r="IC30" s="888"/>
      <c r="ID30" s="888"/>
      <c r="IE30" s="888"/>
      <c r="IF30" s="888"/>
      <c r="IG30" s="888"/>
      <c r="IH30" s="888"/>
      <c r="II30" s="888"/>
      <c r="IJ30" s="888"/>
      <c r="IK30" s="888"/>
      <c r="IL30" s="888"/>
      <c r="IM30" s="888"/>
      <c r="IN30" s="888"/>
      <c r="IO30" s="888"/>
      <c r="IP30" s="888"/>
      <c r="IQ30" s="888"/>
    </row>
    <row r="31" spans="1:251" s="960" customFormat="1" ht="12.6" customHeight="1">
      <c r="A31" s="957"/>
      <c r="B31" s="882" t="s">
        <v>683</v>
      </c>
      <c r="C31" s="890"/>
      <c r="D31" s="888"/>
      <c r="E31" s="889" t="s">
        <v>684</v>
      </c>
      <c r="F31" s="890"/>
      <c r="G31" s="890"/>
      <c r="H31" s="888"/>
      <c r="I31" s="888"/>
      <c r="J31" s="888"/>
      <c r="K31" s="958"/>
      <c r="L31" s="981"/>
      <c r="M31" s="962"/>
      <c r="N31" s="959"/>
      <c r="O31" s="959"/>
      <c r="Q31" s="845"/>
      <c r="R31" s="883" t="str">
        <f ca="1">OFFSET(B40,0,$C$14-1)</f>
        <v>F2033e</v>
      </c>
      <c r="S31" s="872" t="str">
        <f>B66</f>
        <v>Net operating assets</v>
      </c>
      <c r="T31" s="963"/>
      <c r="U31" s="964">
        <f ca="1">OFFSET($B66,0,$C$14-1)</f>
        <v>6617.8770717455018</v>
      </c>
      <c r="V31" s="865"/>
      <c r="W31" s="872"/>
      <c r="X31" s="972"/>
      <c r="Y31" s="973"/>
      <c r="Z31" s="987"/>
      <c r="AA31" s="974"/>
      <c r="AB31" s="974"/>
      <c r="AC31" s="974"/>
      <c r="AD31" s="974"/>
      <c r="AE31" s="977"/>
      <c r="AF31" s="845"/>
      <c r="AG31" s="845"/>
      <c r="AH31" s="845"/>
      <c r="AI31" s="845"/>
      <c r="AJ31" s="845"/>
      <c r="AK31" s="845"/>
      <c r="AL31" s="845"/>
      <c r="AM31" s="845"/>
      <c r="AN31" s="845"/>
      <c r="AO31" s="845"/>
      <c r="AP31" s="845"/>
      <c r="AQ31" s="845"/>
      <c r="AR31" s="845"/>
      <c r="AS31" s="845"/>
      <c r="AT31" s="845"/>
      <c r="AU31" s="845"/>
      <c r="AV31" s="845"/>
      <c r="AW31" s="845"/>
      <c r="AX31" s="845"/>
      <c r="AY31" s="845"/>
      <c r="AZ31" s="961"/>
      <c r="BA31" s="961"/>
      <c r="BB31" s="961"/>
      <c r="BC31" s="961"/>
      <c r="BD31" s="961"/>
      <c r="BE31" s="888"/>
      <c r="BF31" s="888"/>
      <c r="BG31" s="888"/>
      <c r="BH31" s="888"/>
      <c r="BI31" s="888"/>
      <c r="BJ31" s="888"/>
      <c r="BK31" s="888"/>
      <c r="BL31" s="888"/>
      <c r="BM31" s="888"/>
      <c r="BN31" s="888"/>
      <c r="BO31" s="888"/>
      <c r="BP31" s="888"/>
      <c r="BQ31" s="888"/>
      <c r="BR31" s="888"/>
      <c r="BS31" s="888"/>
      <c r="BT31" s="888"/>
      <c r="BU31" s="888"/>
      <c r="BV31" s="888"/>
      <c r="BW31" s="888"/>
      <c r="BX31" s="888"/>
      <c r="BY31" s="888"/>
      <c r="BZ31" s="888"/>
      <c r="CA31" s="888"/>
      <c r="CB31" s="888"/>
      <c r="CC31" s="888"/>
      <c r="CD31" s="888"/>
      <c r="CE31" s="888"/>
      <c r="CF31" s="888"/>
      <c r="CG31" s="888"/>
      <c r="CH31" s="888"/>
      <c r="CI31" s="888"/>
      <c r="CJ31" s="888"/>
      <c r="CK31" s="888"/>
      <c r="CL31" s="888"/>
      <c r="CM31" s="888"/>
      <c r="CN31" s="888"/>
      <c r="CO31" s="888"/>
      <c r="CP31" s="888"/>
      <c r="CQ31" s="888"/>
      <c r="CR31" s="888"/>
      <c r="CS31" s="888"/>
      <c r="CT31" s="888"/>
      <c r="CU31" s="888"/>
      <c r="CV31" s="888"/>
      <c r="CW31" s="888"/>
      <c r="CX31" s="888"/>
      <c r="CY31" s="888"/>
      <c r="CZ31" s="888"/>
      <c r="DA31" s="888"/>
      <c r="DB31" s="888"/>
      <c r="DC31" s="888"/>
      <c r="DD31" s="888"/>
      <c r="DE31" s="888"/>
      <c r="DF31" s="888"/>
      <c r="DG31" s="888"/>
      <c r="DH31" s="888"/>
      <c r="DI31" s="888"/>
      <c r="DJ31" s="888"/>
      <c r="DK31" s="888"/>
      <c r="DL31" s="888"/>
      <c r="DM31" s="888"/>
      <c r="DN31" s="888"/>
      <c r="DO31" s="888"/>
      <c r="DP31" s="888"/>
      <c r="DQ31" s="888"/>
      <c r="DR31" s="888"/>
      <c r="DS31" s="888"/>
      <c r="DT31" s="888"/>
      <c r="DU31" s="888"/>
      <c r="DV31" s="888"/>
      <c r="DW31" s="888"/>
      <c r="DX31" s="888"/>
      <c r="DY31" s="888"/>
      <c r="DZ31" s="888"/>
      <c r="EA31" s="888"/>
      <c r="EB31" s="888"/>
      <c r="EC31" s="888"/>
      <c r="ED31" s="888"/>
      <c r="EE31" s="888"/>
      <c r="EF31" s="888"/>
      <c r="EG31" s="888"/>
      <c r="EH31" s="888"/>
      <c r="EI31" s="888"/>
      <c r="EJ31" s="888"/>
      <c r="EK31" s="888"/>
      <c r="EL31" s="888"/>
      <c r="EM31" s="888"/>
      <c r="EN31" s="888"/>
      <c r="EO31" s="888"/>
      <c r="EP31" s="888"/>
      <c r="EQ31" s="888"/>
      <c r="ER31" s="888"/>
      <c r="ES31" s="888"/>
      <c r="ET31" s="888"/>
      <c r="EU31" s="888"/>
      <c r="EV31" s="888"/>
      <c r="EW31" s="888"/>
      <c r="EX31" s="888"/>
      <c r="EY31" s="888"/>
      <c r="EZ31" s="888"/>
      <c r="FA31" s="888"/>
      <c r="FB31" s="888"/>
      <c r="FC31" s="888"/>
      <c r="FD31" s="888"/>
      <c r="FE31" s="888"/>
      <c r="FF31" s="888"/>
      <c r="FG31" s="888"/>
      <c r="FH31" s="888"/>
      <c r="FI31" s="888"/>
      <c r="FJ31" s="888"/>
      <c r="FK31" s="888"/>
      <c r="FL31" s="888"/>
      <c r="FM31" s="888"/>
      <c r="FN31" s="888"/>
      <c r="FO31" s="888"/>
      <c r="FP31" s="888"/>
      <c r="FQ31" s="888"/>
      <c r="FR31" s="888"/>
      <c r="FS31" s="888"/>
      <c r="FT31" s="888"/>
      <c r="FU31" s="888"/>
      <c r="FV31" s="888"/>
      <c r="FW31" s="888"/>
      <c r="FX31" s="888"/>
      <c r="FY31" s="888"/>
      <c r="FZ31" s="888"/>
      <c r="GA31" s="888"/>
      <c r="GB31" s="888"/>
      <c r="GC31" s="888"/>
      <c r="GD31" s="888"/>
      <c r="GE31" s="888"/>
      <c r="GF31" s="888"/>
      <c r="GG31" s="888"/>
      <c r="GH31" s="888"/>
      <c r="GI31" s="888"/>
      <c r="GJ31" s="888"/>
      <c r="GK31" s="888"/>
      <c r="GL31" s="888"/>
      <c r="GM31" s="888"/>
      <c r="GN31" s="888"/>
      <c r="GO31" s="888"/>
      <c r="GP31" s="888"/>
      <c r="GQ31" s="888"/>
      <c r="GR31" s="888"/>
      <c r="GS31" s="888"/>
      <c r="GT31" s="888"/>
      <c r="GU31" s="888"/>
      <c r="GV31" s="888"/>
      <c r="GW31" s="888"/>
      <c r="GX31" s="888"/>
      <c r="GY31" s="888"/>
      <c r="GZ31" s="888"/>
      <c r="HA31" s="888"/>
      <c r="HB31" s="888"/>
      <c r="HC31" s="888"/>
      <c r="HD31" s="888"/>
      <c r="HE31" s="888"/>
      <c r="HF31" s="888"/>
      <c r="HG31" s="888"/>
      <c r="HH31" s="888"/>
      <c r="HI31" s="888"/>
      <c r="HJ31" s="888"/>
      <c r="HK31" s="888"/>
      <c r="HL31" s="888"/>
      <c r="HM31" s="888"/>
      <c r="HN31" s="888"/>
      <c r="HO31" s="888"/>
      <c r="HP31" s="888"/>
      <c r="HQ31" s="888"/>
      <c r="HR31" s="888"/>
      <c r="HS31" s="888"/>
      <c r="HT31" s="888"/>
      <c r="HU31" s="888"/>
      <c r="HV31" s="888"/>
      <c r="HW31" s="888"/>
      <c r="HX31" s="888"/>
      <c r="HY31" s="888"/>
      <c r="HZ31" s="888"/>
      <c r="IA31" s="888"/>
      <c r="IB31" s="888"/>
      <c r="IC31" s="888"/>
      <c r="ID31" s="888"/>
      <c r="IE31" s="888"/>
      <c r="IF31" s="888"/>
      <c r="IG31" s="888"/>
      <c r="IH31" s="888"/>
      <c r="II31" s="888"/>
      <c r="IJ31" s="888"/>
      <c r="IK31" s="888"/>
      <c r="IL31" s="888"/>
      <c r="IM31" s="888"/>
      <c r="IN31" s="888"/>
      <c r="IO31" s="888"/>
      <c r="IP31" s="888"/>
      <c r="IQ31" s="888"/>
    </row>
    <row r="32" spans="1:251" s="960" customFormat="1" ht="12.6" customHeight="1">
      <c r="A32" s="957"/>
      <c r="B32" s="891" t="s">
        <v>685</v>
      </c>
      <c r="C32" s="978">
        <f>IF(ISERROR((AD28*V23)-C245-$C$249),"",((AD28*V23)-C245-$C$249))</f>
        <v>-141.42886891699746</v>
      </c>
      <c r="D32" s="888"/>
      <c r="E32" s="910" t="s">
        <v>686</v>
      </c>
      <c r="F32" s="890"/>
      <c r="G32" s="890"/>
      <c r="H32" s="888"/>
      <c r="I32" s="978">
        <f ca="1">IF(ISERROR(SUM(C85:IV85)),"",SUM(C85:IV85))</f>
        <v>8463.2688838670219</v>
      </c>
      <c r="J32" s="888"/>
      <c r="K32" s="958"/>
      <c r="L32" s="979"/>
      <c r="M32" s="962"/>
      <c r="N32" s="959"/>
      <c r="O32" s="959"/>
      <c r="Q32" s="845"/>
      <c r="R32" s="883" t="str">
        <f ca="1">OFFSET(B40,0,$I$20)</f>
        <v>F2018e</v>
      </c>
      <c r="S32" s="872" t="str">
        <f>B67</f>
        <v>RNOA</v>
      </c>
      <c r="T32" s="963"/>
      <c r="U32" s="971">
        <f ca="1">OFFSET($B67,0,$I$20)</f>
        <v>9.4951215544327477E-2</v>
      </c>
      <c r="V32" s="865"/>
      <c r="W32" s="980">
        <f ca="1">IF(ISERROR(SUM(C85:IV85)),"",SUM(C85:IV85))</f>
        <v>8463.2688838670219</v>
      </c>
      <c r="X32" s="972"/>
      <c r="Y32" s="973"/>
      <c r="Z32" s="987"/>
      <c r="AA32" s="974"/>
      <c r="AB32" s="974"/>
      <c r="AC32" s="974"/>
      <c r="AD32" s="974" t="str">
        <f>rngTicker</f>
        <v>BURL.N</v>
      </c>
      <c r="AE32" s="977"/>
      <c r="AF32" s="845"/>
      <c r="AG32" s="845"/>
      <c r="AH32" s="845"/>
      <c r="AI32" s="845"/>
      <c r="AJ32" s="845"/>
      <c r="AK32" s="845"/>
      <c r="AL32" s="845"/>
      <c r="AM32" s="845"/>
      <c r="AN32" s="845"/>
      <c r="AO32" s="845"/>
      <c r="AP32" s="845"/>
      <c r="AQ32" s="845"/>
      <c r="AR32" s="845"/>
      <c r="AS32" s="845"/>
      <c r="AT32" s="845"/>
      <c r="AU32" s="845"/>
      <c r="AV32" s="845"/>
      <c r="AW32" s="845"/>
      <c r="AX32" s="845"/>
      <c r="AY32" s="845"/>
      <c r="AZ32" s="961"/>
      <c r="BA32" s="961"/>
      <c r="BB32" s="961"/>
      <c r="BC32" s="961"/>
      <c r="BD32" s="961"/>
      <c r="BE32" s="888"/>
      <c r="BF32" s="888"/>
      <c r="BG32" s="888"/>
      <c r="BH32" s="888"/>
      <c r="BI32" s="888"/>
      <c r="BJ32" s="888"/>
      <c r="BK32" s="888"/>
      <c r="BL32" s="888"/>
      <c r="BM32" s="888"/>
      <c r="BN32" s="888"/>
      <c r="BO32" s="888"/>
      <c r="BP32" s="888"/>
      <c r="BQ32" s="888"/>
      <c r="BR32" s="888"/>
      <c r="BS32" s="888"/>
      <c r="BT32" s="888"/>
      <c r="BU32" s="888"/>
      <c r="BV32" s="888"/>
      <c r="BW32" s="888"/>
      <c r="BX32" s="888"/>
      <c r="BY32" s="888"/>
      <c r="BZ32" s="888"/>
      <c r="CA32" s="888"/>
      <c r="CB32" s="888"/>
      <c r="CC32" s="888"/>
      <c r="CD32" s="888"/>
      <c r="CE32" s="888"/>
      <c r="CF32" s="888"/>
      <c r="CG32" s="888"/>
      <c r="CH32" s="888"/>
      <c r="CI32" s="888"/>
      <c r="CJ32" s="888"/>
      <c r="CK32" s="888"/>
      <c r="CL32" s="888"/>
      <c r="CM32" s="888"/>
      <c r="CN32" s="888"/>
      <c r="CO32" s="888"/>
      <c r="CP32" s="888"/>
      <c r="CQ32" s="888"/>
      <c r="CR32" s="888"/>
      <c r="CS32" s="888"/>
      <c r="CT32" s="888"/>
      <c r="CU32" s="888"/>
      <c r="CV32" s="888"/>
      <c r="CW32" s="888"/>
      <c r="CX32" s="888"/>
      <c r="CY32" s="888"/>
      <c r="CZ32" s="888"/>
      <c r="DA32" s="888"/>
      <c r="DB32" s="888"/>
      <c r="DC32" s="888"/>
      <c r="DD32" s="888"/>
      <c r="DE32" s="888"/>
      <c r="DF32" s="888"/>
      <c r="DG32" s="888"/>
      <c r="DH32" s="888"/>
      <c r="DI32" s="888"/>
      <c r="DJ32" s="888"/>
      <c r="DK32" s="888"/>
      <c r="DL32" s="888"/>
      <c r="DM32" s="888"/>
      <c r="DN32" s="888"/>
      <c r="DO32" s="888"/>
      <c r="DP32" s="888"/>
      <c r="DQ32" s="888"/>
      <c r="DR32" s="888"/>
      <c r="DS32" s="888"/>
      <c r="DT32" s="888"/>
      <c r="DU32" s="888"/>
      <c r="DV32" s="888"/>
      <c r="DW32" s="888"/>
      <c r="DX32" s="888"/>
      <c r="DY32" s="888"/>
      <c r="DZ32" s="888"/>
      <c r="EA32" s="888"/>
      <c r="EB32" s="888"/>
      <c r="EC32" s="888"/>
      <c r="ED32" s="888"/>
      <c r="EE32" s="888"/>
      <c r="EF32" s="888"/>
      <c r="EG32" s="888"/>
      <c r="EH32" s="888"/>
      <c r="EI32" s="888"/>
      <c r="EJ32" s="888"/>
      <c r="EK32" s="888"/>
      <c r="EL32" s="888"/>
      <c r="EM32" s="888"/>
      <c r="EN32" s="888"/>
      <c r="EO32" s="888"/>
      <c r="EP32" s="888"/>
      <c r="EQ32" s="888"/>
      <c r="ER32" s="888"/>
      <c r="ES32" s="888"/>
      <c r="ET32" s="888"/>
      <c r="EU32" s="888"/>
      <c r="EV32" s="888"/>
      <c r="EW32" s="888"/>
      <c r="EX32" s="888"/>
      <c r="EY32" s="888"/>
      <c r="EZ32" s="888"/>
      <c r="FA32" s="888"/>
      <c r="FB32" s="888"/>
      <c r="FC32" s="888"/>
      <c r="FD32" s="888"/>
      <c r="FE32" s="888"/>
      <c r="FF32" s="888"/>
      <c r="FG32" s="888"/>
      <c r="FH32" s="888"/>
      <c r="FI32" s="888"/>
      <c r="FJ32" s="888"/>
      <c r="FK32" s="888"/>
      <c r="FL32" s="888"/>
      <c r="FM32" s="888"/>
      <c r="FN32" s="888"/>
      <c r="FO32" s="888"/>
      <c r="FP32" s="888"/>
      <c r="FQ32" s="888"/>
      <c r="FR32" s="888"/>
      <c r="FS32" s="888"/>
      <c r="FT32" s="888"/>
      <c r="FU32" s="888"/>
      <c r="FV32" s="888"/>
      <c r="FW32" s="888"/>
      <c r="FX32" s="888"/>
      <c r="FY32" s="888"/>
      <c r="FZ32" s="888"/>
      <c r="GA32" s="888"/>
      <c r="GB32" s="888"/>
      <c r="GC32" s="888"/>
      <c r="GD32" s="888"/>
      <c r="GE32" s="888"/>
      <c r="GF32" s="888"/>
      <c r="GG32" s="888"/>
      <c r="GH32" s="888"/>
      <c r="GI32" s="888"/>
      <c r="GJ32" s="888"/>
      <c r="GK32" s="888"/>
      <c r="GL32" s="888"/>
      <c r="GM32" s="888"/>
      <c r="GN32" s="888"/>
      <c r="GO32" s="888"/>
      <c r="GP32" s="888"/>
      <c r="GQ32" s="888"/>
      <c r="GR32" s="888"/>
      <c r="GS32" s="888"/>
      <c r="GT32" s="888"/>
      <c r="GU32" s="888"/>
      <c r="GV32" s="888"/>
      <c r="GW32" s="888"/>
      <c r="GX32" s="888"/>
      <c r="GY32" s="888"/>
      <c r="GZ32" s="888"/>
      <c r="HA32" s="888"/>
      <c r="HB32" s="888"/>
      <c r="HC32" s="888"/>
      <c r="HD32" s="888"/>
      <c r="HE32" s="888"/>
      <c r="HF32" s="888"/>
      <c r="HG32" s="888"/>
      <c r="HH32" s="888"/>
      <c r="HI32" s="888"/>
      <c r="HJ32" s="888"/>
      <c r="HK32" s="888"/>
      <c r="HL32" s="888"/>
      <c r="HM32" s="888"/>
      <c r="HN32" s="888"/>
      <c r="HO32" s="888"/>
      <c r="HP32" s="888"/>
      <c r="HQ32" s="888"/>
      <c r="HR32" s="888"/>
      <c r="HS32" s="888"/>
      <c r="HT32" s="888"/>
      <c r="HU32" s="888"/>
      <c r="HV32" s="888"/>
      <c r="HW32" s="888"/>
      <c r="HX32" s="888"/>
      <c r="HY32" s="888"/>
      <c r="HZ32" s="888"/>
      <c r="IA32" s="888"/>
      <c r="IB32" s="888"/>
      <c r="IC32" s="888"/>
      <c r="ID32" s="888"/>
      <c r="IE32" s="888"/>
      <c r="IF32" s="888"/>
      <c r="IG32" s="888"/>
      <c r="IH32" s="888"/>
      <c r="II32" s="888"/>
      <c r="IJ32" s="888"/>
      <c r="IK32" s="888"/>
      <c r="IL32" s="888"/>
      <c r="IM32" s="888"/>
      <c r="IN32" s="888"/>
      <c r="IO32" s="888"/>
      <c r="IP32" s="888"/>
      <c r="IQ32" s="888"/>
    </row>
    <row r="33" spans="1:252" s="960" customFormat="1" ht="12.6" customHeight="1">
      <c r="A33" s="957"/>
      <c r="B33" s="891" t="s">
        <v>676</v>
      </c>
      <c r="C33" s="978">
        <f ca="1">IF(ISERROR(SUM(C87:IV87)),"",SUM(C87:IV87))</f>
        <v>8604.6977527840263</v>
      </c>
      <c r="D33" s="888"/>
      <c r="E33" s="901" t="s">
        <v>687</v>
      </c>
      <c r="F33" s="984"/>
      <c r="G33" s="984"/>
      <c r="H33" s="985"/>
      <c r="I33" s="983">
        <f ca="1">IF(ISERROR(I32+C243-C244+C252),"",(I32+C243-C244+C252))</f>
        <v>8463.2688838670219</v>
      </c>
      <c r="J33" s="986"/>
      <c r="K33" s="958"/>
      <c r="L33" s="979"/>
      <c r="M33" s="962"/>
      <c r="N33" s="959"/>
      <c r="O33" s="959"/>
      <c r="Q33" s="845"/>
      <c r="R33" s="988"/>
      <c r="S33" s="951"/>
      <c r="T33" s="951"/>
      <c r="U33" s="989">
        <f>AD27</f>
        <v>-2800.3254076313087</v>
      </c>
      <c r="V33" s="951"/>
      <c r="W33" s="989">
        <f ca="1">IF(ISERROR(W32+C243-C244),"",(W32+C243-C244))</f>
        <v>8463.2688838670219</v>
      </c>
      <c r="X33" s="990"/>
      <c r="Y33" s="961"/>
      <c r="Z33" s="991"/>
      <c r="AA33" s="992"/>
      <c r="AB33" s="992" t="s">
        <v>688</v>
      </c>
      <c r="AC33" s="992"/>
      <c r="AD33" s="993" t="str">
        <f>AD32</f>
        <v>BURL.N</v>
      </c>
      <c r="AE33" s="994"/>
      <c r="AF33" s="995"/>
      <c r="AG33" s="995"/>
      <c r="AH33" s="995"/>
      <c r="AI33" s="995"/>
      <c r="AJ33" s="995"/>
      <c r="AK33" s="995"/>
      <c r="AL33" s="995"/>
      <c r="AM33" s="995"/>
      <c r="AN33" s="995"/>
      <c r="AO33" s="995"/>
      <c r="AP33" s="995"/>
      <c r="AQ33" s="888"/>
      <c r="AR33" s="888"/>
      <c r="AS33" s="888"/>
      <c r="AT33" s="888"/>
      <c r="AU33" s="888"/>
      <c r="AV33" s="888"/>
      <c r="AW33" s="888"/>
      <c r="AX33" s="888"/>
      <c r="AY33" s="888"/>
      <c r="AZ33" s="888"/>
      <c r="BA33" s="888"/>
      <c r="BB33" s="888"/>
      <c r="BC33" s="888"/>
      <c r="BD33" s="888"/>
      <c r="BE33" s="888"/>
      <c r="BF33" s="888"/>
      <c r="BG33" s="888"/>
      <c r="BH33" s="888"/>
      <c r="BI33" s="888"/>
      <c r="BJ33" s="888"/>
      <c r="BK33" s="888"/>
      <c r="BL33" s="888"/>
      <c r="BM33" s="888"/>
      <c r="BN33" s="888"/>
      <c r="BO33" s="888"/>
      <c r="BP33" s="888"/>
      <c r="BQ33" s="888"/>
      <c r="BR33" s="888"/>
      <c r="BS33" s="888"/>
      <c r="BT33" s="888"/>
      <c r="BU33" s="888"/>
      <c r="BV33" s="888"/>
      <c r="BW33" s="888"/>
      <c r="BX33" s="888"/>
      <c r="BY33" s="888"/>
      <c r="BZ33" s="888"/>
      <c r="CA33" s="888"/>
      <c r="CB33" s="888"/>
      <c r="CC33" s="888"/>
      <c r="CD33" s="888"/>
      <c r="CE33" s="888"/>
      <c r="CF33" s="888"/>
      <c r="CG33" s="888"/>
      <c r="CH33" s="888"/>
      <c r="CI33" s="888"/>
      <c r="CJ33" s="888"/>
      <c r="CK33" s="888"/>
      <c r="CL33" s="888"/>
      <c r="CM33" s="888"/>
      <c r="CN33" s="888"/>
      <c r="CO33" s="888"/>
      <c r="CP33" s="888"/>
      <c r="CQ33" s="888"/>
      <c r="CR33" s="888"/>
      <c r="CS33" s="888"/>
      <c r="CT33" s="888"/>
      <c r="CU33" s="888"/>
      <c r="CV33" s="888"/>
      <c r="CW33" s="888"/>
      <c r="CX33" s="888"/>
      <c r="CY33" s="888"/>
      <c r="CZ33" s="888"/>
      <c r="DA33" s="888"/>
      <c r="DB33" s="888"/>
      <c r="DC33" s="888"/>
      <c r="DD33" s="888"/>
      <c r="DE33" s="888"/>
      <c r="DF33" s="888"/>
      <c r="DG33" s="888"/>
      <c r="DH33" s="888"/>
      <c r="DI33" s="888"/>
      <c r="DJ33" s="888"/>
      <c r="DK33" s="888"/>
      <c r="DL33" s="888"/>
      <c r="DM33" s="888"/>
      <c r="DN33" s="888"/>
      <c r="DO33" s="888"/>
      <c r="DP33" s="888"/>
      <c r="DQ33" s="888"/>
      <c r="DR33" s="888"/>
      <c r="DS33" s="888"/>
      <c r="DT33" s="888"/>
      <c r="DU33" s="888"/>
      <c r="DV33" s="888"/>
      <c r="DW33" s="888"/>
      <c r="DX33" s="888"/>
      <c r="DY33" s="888"/>
      <c r="DZ33" s="888"/>
      <c r="EA33" s="888"/>
      <c r="EB33" s="888"/>
      <c r="EC33" s="888"/>
      <c r="ED33" s="888"/>
      <c r="EE33" s="888"/>
      <c r="EF33" s="888"/>
      <c r="EG33" s="888"/>
      <c r="EH33" s="888"/>
      <c r="EI33" s="888"/>
      <c r="EJ33" s="888"/>
      <c r="EK33" s="888"/>
      <c r="EL33" s="888"/>
      <c r="EM33" s="888"/>
      <c r="EN33" s="888"/>
      <c r="EO33" s="888"/>
      <c r="EP33" s="888"/>
      <c r="EQ33" s="888"/>
      <c r="ER33" s="888"/>
      <c r="ES33" s="888"/>
      <c r="ET33" s="888"/>
      <c r="EU33" s="888"/>
      <c r="EV33" s="888"/>
      <c r="EW33" s="888"/>
      <c r="EX33" s="888"/>
      <c r="EY33" s="888"/>
      <c r="EZ33" s="888"/>
      <c r="FA33" s="888"/>
      <c r="FB33" s="888"/>
      <c r="FC33" s="888"/>
      <c r="FD33" s="888"/>
      <c r="FE33" s="888"/>
      <c r="FF33" s="888"/>
      <c r="FG33" s="888"/>
      <c r="FH33" s="888"/>
      <c r="FI33" s="888"/>
      <c r="FJ33" s="888"/>
      <c r="FK33" s="888"/>
      <c r="FL33" s="888"/>
      <c r="FM33" s="888"/>
      <c r="FN33" s="888"/>
      <c r="FO33" s="888"/>
      <c r="FP33" s="888"/>
      <c r="FQ33" s="888"/>
      <c r="FR33" s="888"/>
      <c r="FS33" s="888"/>
      <c r="FT33" s="888"/>
      <c r="FU33" s="888"/>
      <c r="FV33" s="888"/>
      <c r="FW33" s="888"/>
      <c r="FX33" s="888"/>
      <c r="FY33" s="888"/>
      <c r="FZ33" s="888"/>
      <c r="GA33" s="888"/>
      <c r="GB33" s="888"/>
      <c r="GC33" s="888"/>
      <c r="GD33" s="888"/>
      <c r="GE33" s="888"/>
      <c r="GF33" s="888"/>
      <c r="GG33" s="888"/>
      <c r="GH33" s="888"/>
      <c r="GI33" s="888"/>
      <c r="GJ33" s="888"/>
      <c r="GK33" s="888"/>
      <c r="GL33" s="888"/>
      <c r="GM33" s="888"/>
      <c r="GN33" s="888"/>
      <c r="GO33" s="888"/>
      <c r="GP33" s="888"/>
      <c r="GQ33" s="888"/>
      <c r="GR33" s="888"/>
      <c r="GS33" s="888"/>
      <c r="GT33" s="888"/>
      <c r="GU33" s="888"/>
      <c r="GV33" s="888"/>
      <c r="GW33" s="888"/>
      <c r="GX33" s="888"/>
      <c r="GY33" s="888"/>
      <c r="GZ33" s="888"/>
      <c r="HA33" s="888"/>
      <c r="HB33" s="888"/>
      <c r="HC33" s="888"/>
      <c r="HD33" s="888"/>
      <c r="HE33" s="888"/>
      <c r="HF33" s="888"/>
      <c r="HG33" s="888"/>
      <c r="HH33" s="888"/>
      <c r="HI33" s="888"/>
      <c r="HJ33" s="888"/>
      <c r="HK33" s="888"/>
      <c r="HL33" s="888"/>
      <c r="HM33" s="888"/>
      <c r="HN33" s="888"/>
      <c r="HO33" s="888"/>
      <c r="HP33" s="888"/>
      <c r="HQ33" s="888"/>
      <c r="HR33" s="888"/>
      <c r="HS33" s="888"/>
      <c r="HT33" s="888"/>
      <c r="HU33" s="888"/>
      <c r="HV33" s="888"/>
      <c r="HW33" s="888"/>
      <c r="HX33" s="888"/>
      <c r="HY33" s="888"/>
      <c r="HZ33" s="888"/>
      <c r="IA33" s="888"/>
      <c r="IB33" s="888"/>
      <c r="IC33" s="888"/>
      <c r="ID33" s="888"/>
      <c r="IE33" s="888"/>
      <c r="IF33" s="888"/>
      <c r="IG33" s="888"/>
      <c r="IH33" s="888"/>
      <c r="II33" s="888"/>
      <c r="IJ33" s="888"/>
      <c r="IK33" s="888"/>
      <c r="IL33" s="888"/>
      <c r="IM33" s="888"/>
      <c r="IN33" s="888"/>
      <c r="IO33" s="888"/>
      <c r="IP33" s="888"/>
      <c r="IQ33" s="888"/>
    </row>
    <row r="34" spans="1:252" s="960" customFormat="1" ht="12.6" customHeight="1">
      <c r="A34" s="957"/>
      <c r="B34" s="982" t="s">
        <v>689</v>
      </c>
      <c r="C34" s="983">
        <f ca="1">IF(ISERROR(C32+C33+C243-C244+C252),"",C32+C33+C243-C244+C252)</f>
        <v>8463.2688838670292</v>
      </c>
      <c r="D34" s="888"/>
      <c r="E34" s="890"/>
      <c r="F34" s="890"/>
      <c r="G34" s="890"/>
      <c r="H34" s="888"/>
      <c r="I34" s="996"/>
      <c r="J34" s="888"/>
      <c r="K34" s="958"/>
      <c r="L34" s="979"/>
      <c r="M34" s="958"/>
      <c r="N34" s="959"/>
      <c r="O34" s="959"/>
      <c r="P34" s="959"/>
      <c r="Q34" s="961"/>
      <c r="R34" s="961"/>
      <c r="S34" s="961"/>
      <c r="T34" s="961"/>
      <c r="U34" s="961"/>
      <c r="V34" s="961"/>
      <c r="W34" s="849"/>
      <c r="X34" s="959"/>
      <c r="Y34" s="961"/>
      <c r="Z34" s="961"/>
      <c r="AA34" s="995"/>
      <c r="AB34" s="995"/>
      <c r="AC34" s="995"/>
      <c r="AD34" s="997" t="s">
        <v>690</v>
      </c>
      <c r="AE34" s="995"/>
      <c r="AF34" s="995"/>
      <c r="AG34" s="995"/>
      <c r="AH34" s="995"/>
      <c r="AI34" s="995"/>
      <c r="AJ34" s="995"/>
      <c r="AK34" s="995"/>
      <c r="AL34" s="995"/>
      <c r="AM34" s="995"/>
      <c r="AN34" s="995"/>
      <c r="AO34" s="995"/>
      <c r="AP34" s="995"/>
      <c r="AQ34" s="888"/>
      <c r="AR34" s="888"/>
      <c r="AS34" s="888"/>
      <c r="AT34" s="888"/>
      <c r="AU34" s="888"/>
      <c r="AV34" s="888"/>
      <c r="AW34" s="888"/>
      <c r="AX34" s="888"/>
      <c r="AY34" s="888"/>
      <c r="AZ34" s="888"/>
      <c r="BA34" s="888"/>
      <c r="BB34" s="888"/>
      <c r="BC34" s="888"/>
      <c r="BD34" s="888"/>
      <c r="BE34" s="888"/>
      <c r="BF34" s="888"/>
      <c r="BG34" s="888"/>
      <c r="BH34" s="888"/>
      <c r="BI34" s="888"/>
      <c r="BJ34" s="888"/>
      <c r="BK34" s="888"/>
      <c r="BL34" s="888"/>
      <c r="BM34" s="888"/>
      <c r="BN34" s="888"/>
      <c r="BO34" s="888"/>
      <c r="BP34" s="888"/>
      <c r="BQ34" s="888"/>
      <c r="BR34" s="888"/>
      <c r="BS34" s="888"/>
      <c r="BT34" s="888"/>
      <c r="BU34" s="888"/>
      <c r="BV34" s="888"/>
      <c r="BW34" s="888"/>
      <c r="BX34" s="888"/>
      <c r="BY34" s="888"/>
      <c r="BZ34" s="888"/>
      <c r="CA34" s="888"/>
      <c r="CB34" s="888"/>
      <c r="CC34" s="888"/>
      <c r="CD34" s="888"/>
      <c r="CE34" s="888"/>
      <c r="CF34" s="888"/>
      <c r="CG34" s="888"/>
      <c r="CH34" s="888"/>
      <c r="CI34" s="888"/>
      <c r="CJ34" s="888"/>
      <c r="CK34" s="888"/>
      <c r="CL34" s="888"/>
      <c r="CM34" s="888"/>
      <c r="CN34" s="888"/>
      <c r="CO34" s="888"/>
      <c r="CP34" s="888"/>
      <c r="CQ34" s="888"/>
      <c r="CR34" s="888"/>
      <c r="CS34" s="888"/>
      <c r="CT34" s="888"/>
      <c r="CU34" s="888"/>
      <c r="CV34" s="888"/>
      <c r="CW34" s="888"/>
      <c r="CX34" s="888"/>
      <c r="CY34" s="888"/>
      <c r="CZ34" s="888"/>
      <c r="DA34" s="888"/>
      <c r="DB34" s="888"/>
      <c r="DC34" s="888"/>
      <c r="DD34" s="888"/>
      <c r="DE34" s="888"/>
      <c r="DF34" s="888"/>
      <c r="DG34" s="888"/>
      <c r="DH34" s="888"/>
      <c r="DI34" s="888"/>
      <c r="DJ34" s="888"/>
      <c r="DK34" s="888"/>
      <c r="DL34" s="888"/>
      <c r="DM34" s="888"/>
      <c r="DN34" s="888"/>
      <c r="DO34" s="888"/>
      <c r="DP34" s="888"/>
      <c r="DQ34" s="888"/>
      <c r="DR34" s="888"/>
      <c r="DS34" s="888"/>
      <c r="DT34" s="888"/>
      <c r="DU34" s="888"/>
      <c r="DV34" s="888"/>
      <c r="DW34" s="888"/>
      <c r="DX34" s="888"/>
      <c r="DY34" s="888"/>
      <c r="DZ34" s="888"/>
      <c r="EA34" s="888"/>
      <c r="EB34" s="888"/>
      <c r="EC34" s="888"/>
      <c r="ED34" s="888"/>
      <c r="EE34" s="888"/>
      <c r="EF34" s="888"/>
      <c r="EG34" s="888"/>
      <c r="EH34" s="888"/>
      <c r="EI34" s="888"/>
      <c r="EJ34" s="888"/>
      <c r="EK34" s="888"/>
      <c r="EL34" s="888"/>
      <c r="EM34" s="888"/>
      <c r="EN34" s="888"/>
      <c r="EO34" s="888"/>
      <c r="EP34" s="888"/>
      <c r="EQ34" s="888"/>
      <c r="ER34" s="888"/>
      <c r="ES34" s="888"/>
      <c r="ET34" s="888"/>
      <c r="EU34" s="888"/>
      <c r="EV34" s="888"/>
      <c r="EW34" s="888"/>
      <c r="EX34" s="888"/>
      <c r="EY34" s="888"/>
      <c r="EZ34" s="888"/>
      <c r="FA34" s="888"/>
      <c r="FB34" s="888"/>
      <c r="FC34" s="888"/>
      <c r="FD34" s="888"/>
      <c r="FE34" s="888"/>
      <c r="FF34" s="888"/>
      <c r="FG34" s="888"/>
      <c r="FH34" s="888"/>
      <c r="FI34" s="888"/>
      <c r="FJ34" s="888"/>
      <c r="FK34" s="888"/>
      <c r="FL34" s="888"/>
      <c r="FM34" s="888"/>
      <c r="FN34" s="888"/>
      <c r="FO34" s="888"/>
      <c r="FP34" s="888"/>
      <c r="FQ34" s="888"/>
      <c r="FR34" s="888"/>
      <c r="FS34" s="888"/>
      <c r="FT34" s="888"/>
      <c r="FU34" s="888"/>
      <c r="FV34" s="888"/>
      <c r="FW34" s="888"/>
      <c r="FX34" s="888"/>
      <c r="FY34" s="888"/>
      <c r="FZ34" s="888"/>
      <c r="GA34" s="888"/>
      <c r="GB34" s="888"/>
      <c r="GC34" s="888"/>
      <c r="GD34" s="888"/>
      <c r="GE34" s="888"/>
      <c r="GF34" s="888"/>
      <c r="GG34" s="888"/>
      <c r="GH34" s="888"/>
      <c r="GI34" s="888"/>
      <c r="GJ34" s="888"/>
      <c r="GK34" s="888"/>
      <c r="GL34" s="888"/>
      <c r="GM34" s="888"/>
      <c r="GN34" s="888"/>
      <c r="GO34" s="888"/>
      <c r="GP34" s="888"/>
      <c r="GQ34" s="888"/>
      <c r="GR34" s="888"/>
      <c r="GS34" s="888"/>
      <c r="GT34" s="888"/>
      <c r="GU34" s="888"/>
      <c r="GV34" s="888"/>
      <c r="GW34" s="888"/>
      <c r="GX34" s="888"/>
      <c r="GY34" s="888"/>
      <c r="GZ34" s="888"/>
      <c r="HA34" s="888"/>
      <c r="HB34" s="888"/>
      <c r="HC34" s="888"/>
      <c r="HD34" s="888"/>
      <c r="HE34" s="888"/>
      <c r="HF34" s="888"/>
      <c r="HG34" s="888"/>
      <c r="HH34" s="888"/>
      <c r="HI34" s="888"/>
      <c r="HJ34" s="888"/>
      <c r="HK34" s="888"/>
      <c r="HL34" s="888"/>
      <c r="HM34" s="888"/>
      <c r="HN34" s="888"/>
      <c r="HO34" s="888"/>
      <c r="HP34" s="888"/>
      <c r="HQ34" s="888"/>
      <c r="HR34" s="888"/>
      <c r="HS34" s="888"/>
      <c r="HT34" s="888"/>
      <c r="HU34" s="888"/>
      <c r="HV34" s="888"/>
      <c r="HW34" s="888"/>
      <c r="HX34" s="888"/>
      <c r="HY34" s="888"/>
      <c r="HZ34" s="888"/>
      <c r="IA34" s="888"/>
      <c r="IB34" s="888"/>
      <c r="IC34" s="888"/>
      <c r="ID34" s="888"/>
      <c r="IE34" s="888"/>
      <c r="IF34" s="888"/>
      <c r="IG34" s="888"/>
      <c r="IH34" s="888"/>
      <c r="II34" s="888"/>
      <c r="IJ34" s="888"/>
      <c r="IK34" s="888"/>
      <c r="IL34" s="888"/>
      <c r="IM34" s="888"/>
      <c r="IN34" s="888"/>
      <c r="IO34" s="888"/>
      <c r="IP34" s="888"/>
      <c r="IQ34" s="888"/>
    </row>
    <row r="35" spans="1:252" s="960" customFormat="1" ht="12.6" customHeight="1">
      <c r="A35" s="957"/>
      <c r="B35" s="996"/>
      <c r="C35" s="888"/>
      <c r="D35" s="888"/>
      <c r="E35" s="888"/>
      <c r="F35" s="888"/>
      <c r="G35" s="888"/>
      <c r="H35" s="888"/>
      <c r="I35" s="888"/>
      <c r="J35" s="888"/>
      <c r="K35" s="958"/>
      <c r="L35" s="979"/>
      <c r="M35" s="958"/>
      <c r="N35" s="959"/>
      <c r="O35" s="959"/>
      <c r="P35" s="959"/>
      <c r="Q35" s="961"/>
      <c r="R35" s="961"/>
      <c r="S35" s="961"/>
      <c r="T35" s="961"/>
      <c r="U35" s="961"/>
      <c r="V35" s="961"/>
      <c r="W35" s="845"/>
      <c r="X35" s="959"/>
      <c r="Y35" s="961"/>
      <c r="Z35" s="961"/>
      <c r="AA35" s="995"/>
      <c r="AB35" s="995"/>
      <c r="AC35" s="995"/>
      <c r="AD35" s="995"/>
      <c r="AE35" s="995"/>
      <c r="AF35" s="995"/>
      <c r="AG35" s="995"/>
      <c r="AH35" s="995"/>
      <c r="AI35" s="995"/>
      <c r="AJ35" s="995"/>
      <c r="AK35" s="995"/>
      <c r="AL35" s="995"/>
      <c r="AM35" s="995"/>
      <c r="AN35" s="995"/>
      <c r="AO35" s="995"/>
      <c r="AP35" s="995"/>
      <c r="AQ35" s="888"/>
      <c r="AR35" s="888"/>
      <c r="AS35" s="888"/>
      <c r="AT35" s="888"/>
      <c r="AU35" s="888"/>
      <c r="AV35" s="888"/>
      <c r="AW35" s="888"/>
      <c r="AX35" s="888"/>
      <c r="AY35" s="888"/>
      <c r="AZ35" s="888"/>
      <c r="BA35" s="888"/>
      <c r="BB35" s="888"/>
      <c r="BC35" s="888"/>
      <c r="BD35" s="888"/>
      <c r="BE35" s="888"/>
      <c r="BF35" s="888"/>
      <c r="BG35" s="888"/>
      <c r="BH35" s="888"/>
      <c r="BI35" s="888"/>
      <c r="BJ35" s="888"/>
      <c r="BK35" s="888"/>
      <c r="BL35" s="888"/>
      <c r="BM35" s="888"/>
      <c r="BN35" s="888"/>
      <c r="BO35" s="888"/>
      <c r="BP35" s="888"/>
      <c r="BQ35" s="888"/>
      <c r="BR35" s="888"/>
      <c r="BS35" s="888"/>
      <c r="BT35" s="888"/>
      <c r="BU35" s="888"/>
      <c r="BV35" s="888"/>
      <c r="BW35" s="888"/>
      <c r="BX35" s="888"/>
      <c r="BY35" s="888"/>
      <c r="BZ35" s="888"/>
      <c r="CA35" s="888"/>
      <c r="CB35" s="888"/>
      <c r="CC35" s="888"/>
      <c r="CD35" s="888"/>
      <c r="CE35" s="888"/>
      <c r="CF35" s="888"/>
      <c r="CG35" s="888"/>
      <c r="CH35" s="888"/>
      <c r="CI35" s="888"/>
      <c r="CJ35" s="888"/>
      <c r="CK35" s="888"/>
      <c r="CL35" s="888"/>
      <c r="CM35" s="888"/>
      <c r="CN35" s="888"/>
      <c r="CO35" s="888"/>
      <c r="CP35" s="888"/>
      <c r="CQ35" s="888"/>
      <c r="CR35" s="888"/>
      <c r="CS35" s="888"/>
      <c r="CT35" s="888"/>
      <c r="CU35" s="888"/>
      <c r="CV35" s="888"/>
      <c r="CW35" s="888"/>
      <c r="CX35" s="888"/>
      <c r="CY35" s="888"/>
      <c r="CZ35" s="888"/>
      <c r="DA35" s="888"/>
      <c r="DB35" s="888"/>
      <c r="DC35" s="888"/>
      <c r="DD35" s="888"/>
      <c r="DE35" s="888"/>
      <c r="DF35" s="888"/>
      <c r="DG35" s="888"/>
      <c r="DH35" s="888"/>
      <c r="DI35" s="888"/>
      <c r="DJ35" s="888"/>
      <c r="DK35" s="888"/>
      <c r="DL35" s="888"/>
      <c r="DM35" s="888"/>
      <c r="DN35" s="888"/>
      <c r="DO35" s="888"/>
      <c r="DP35" s="888"/>
      <c r="DQ35" s="888"/>
      <c r="DR35" s="888"/>
      <c r="DS35" s="888"/>
      <c r="DT35" s="888"/>
      <c r="DU35" s="888"/>
      <c r="DV35" s="888"/>
      <c r="DW35" s="888"/>
      <c r="DX35" s="888"/>
      <c r="DY35" s="888"/>
      <c r="DZ35" s="888"/>
      <c r="EA35" s="888"/>
      <c r="EB35" s="888"/>
      <c r="EC35" s="888"/>
      <c r="ED35" s="888"/>
      <c r="EE35" s="888"/>
      <c r="EF35" s="888"/>
      <c r="EG35" s="888"/>
      <c r="EH35" s="888"/>
      <c r="EI35" s="888"/>
      <c r="EJ35" s="888"/>
      <c r="EK35" s="888"/>
      <c r="EL35" s="888"/>
      <c r="EM35" s="888"/>
      <c r="EN35" s="888"/>
      <c r="EO35" s="888"/>
      <c r="EP35" s="888"/>
      <c r="EQ35" s="888"/>
      <c r="ER35" s="888"/>
      <c r="ES35" s="888"/>
      <c r="ET35" s="888"/>
      <c r="EU35" s="888"/>
      <c r="EV35" s="888"/>
      <c r="EW35" s="888"/>
      <c r="EX35" s="888"/>
      <c r="EY35" s="888"/>
      <c r="EZ35" s="888"/>
      <c r="FA35" s="888"/>
      <c r="FB35" s="888"/>
      <c r="FC35" s="888"/>
      <c r="FD35" s="888"/>
      <c r="FE35" s="888"/>
      <c r="FF35" s="888"/>
      <c r="FG35" s="888"/>
      <c r="FH35" s="888"/>
      <c r="FI35" s="888"/>
      <c r="FJ35" s="888"/>
      <c r="FK35" s="888"/>
      <c r="FL35" s="888"/>
      <c r="FM35" s="888"/>
      <c r="FN35" s="888"/>
      <c r="FO35" s="888"/>
      <c r="FP35" s="888"/>
      <c r="FQ35" s="888"/>
      <c r="FR35" s="888"/>
      <c r="FS35" s="888"/>
      <c r="FT35" s="888"/>
      <c r="FU35" s="888"/>
      <c r="FV35" s="888"/>
      <c r="FW35" s="888"/>
      <c r="FX35" s="888"/>
      <c r="FY35" s="888"/>
      <c r="FZ35" s="888"/>
      <c r="GA35" s="888"/>
      <c r="GB35" s="888"/>
      <c r="GC35" s="888"/>
      <c r="GD35" s="888"/>
      <c r="GE35" s="888"/>
      <c r="GF35" s="888"/>
      <c r="GG35" s="888"/>
      <c r="GH35" s="888"/>
      <c r="GI35" s="888"/>
      <c r="GJ35" s="888"/>
      <c r="GK35" s="888"/>
      <c r="GL35" s="888"/>
      <c r="GM35" s="888"/>
      <c r="GN35" s="888"/>
      <c r="GO35" s="888"/>
      <c r="GP35" s="888"/>
      <c r="GQ35" s="888"/>
      <c r="GR35" s="888"/>
      <c r="GS35" s="888"/>
      <c r="GT35" s="888"/>
      <c r="GU35" s="888"/>
      <c r="GV35" s="888"/>
      <c r="GW35" s="888"/>
      <c r="GX35" s="888"/>
      <c r="GY35" s="888"/>
      <c r="GZ35" s="888"/>
      <c r="HA35" s="888"/>
      <c r="HB35" s="888"/>
      <c r="HC35" s="888"/>
      <c r="HD35" s="888"/>
      <c r="HE35" s="888"/>
      <c r="HF35" s="888"/>
      <c r="HG35" s="888"/>
      <c r="HH35" s="888"/>
      <c r="HI35" s="888"/>
      <c r="HJ35" s="888"/>
      <c r="HK35" s="888"/>
      <c r="HL35" s="888"/>
      <c r="HM35" s="888"/>
      <c r="HN35" s="888"/>
      <c r="HO35" s="888"/>
      <c r="HP35" s="888"/>
      <c r="HQ35" s="888"/>
      <c r="HR35" s="888"/>
      <c r="HS35" s="888"/>
      <c r="HT35" s="888"/>
      <c r="HU35" s="888"/>
      <c r="HV35" s="888"/>
      <c r="HW35" s="888"/>
      <c r="HX35" s="888"/>
      <c r="HY35" s="888"/>
      <c r="HZ35" s="888"/>
      <c r="IA35" s="888"/>
      <c r="IB35" s="888"/>
      <c r="IC35" s="888"/>
      <c r="ID35" s="888"/>
      <c r="IE35" s="888"/>
      <c r="IF35" s="888"/>
      <c r="IG35" s="888"/>
      <c r="IH35" s="888"/>
      <c r="II35" s="888"/>
      <c r="IJ35" s="888"/>
      <c r="IK35" s="888"/>
      <c r="IL35" s="888"/>
      <c r="IM35" s="888"/>
      <c r="IN35" s="888"/>
      <c r="IO35" s="888"/>
      <c r="IP35" s="888"/>
      <c r="IQ35" s="888"/>
    </row>
    <row r="36" spans="1:252" s="960" customFormat="1" ht="16.5" customHeight="1">
      <c r="A36" s="957"/>
      <c r="B36" s="998"/>
      <c r="C36" s="999"/>
      <c r="D36" s="958"/>
      <c r="E36" s="1000"/>
      <c r="F36" s="1001"/>
      <c r="G36" s="958"/>
      <c r="H36" s="958"/>
      <c r="I36" s="998"/>
      <c r="J36" s="958"/>
      <c r="K36" s="958"/>
      <c r="L36" s="979"/>
      <c r="M36" s="958"/>
      <c r="N36" s="959"/>
      <c r="O36" s="959"/>
      <c r="P36" s="959"/>
      <c r="Q36" s="961"/>
      <c r="R36" s="961"/>
      <c r="S36" s="961"/>
      <c r="T36" s="961"/>
      <c r="U36" s="961"/>
      <c r="V36" s="961"/>
      <c r="W36" s="845"/>
      <c r="X36" s="959"/>
      <c r="Y36" s="961"/>
      <c r="Z36" s="961"/>
      <c r="AA36" s="995"/>
      <c r="AB36" s="995"/>
      <c r="AC36" s="995"/>
      <c r="AD36" s="995"/>
      <c r="AE36" s="995"/>
      <c r="AF36" s="995"/>
      <c r="AG36" s="995"/>
      <c r="AH36" s="995"/>
      <c r="AI36" s="995"/>
      <c r="AJ36" s="995"/>
      <c r="AK36" s="995"/>
      <c r="AL36" s="995"/>
      <c r="AM36" s="995"/>
      <c r="AN36" s="995"/>
      <c r="AO36" s="995"/>
      <c r="AP36" s="995"/>
      <c r="AQ36" s="888"/>
      <c r="AR36" s="888"/>
      <c r="AS36" s="888"/>
      <c r="AT36" s="888"/>
      <c r="AU36" s="888"/>
      <c r="AV36" s="888"/>
      <c r="AW36" s="888"/>
      <c r="AX36" s="888"/>
      <c r="AY36" s="888"/>
      <c r="AZ36" s="888"/>
      <c r="BA36" s="888"/>
      <c r="BB36" s="888"/>
      <c r="BC36" s="888"/>
      <c r="BD36" s="888"/>
      <c r="BE36" s="888"/>
      <c r="BF36" s="888"/>
      <c r="BG36" s="888"/>
      <c r="BH36" s="888"/>
      <c r="BI36" s="888"/>
      <c r="BJ36" s="888"/>
      <c r="BK36" s="888"/>
      <c r="BL36" s="888"/>
      <c r="BM36" s="888"/>
      <c r="BN36" s="888"/>
      <c r="BO36" s="888"/>
      <c r="BP36" s="888"/>
      <c r="BQ36" s="888"/>
      <c r="BR36" s="888"/>
      <c r="BS36" s="888"/>
      <c r="BT36" s="888"/>
      <c r="BU36" s="888"/>
      <c r="BV36" s="888"/>
      <c r="BW36" s="888"/>
      <c r="BX36" s="888"/>
      <c r="BY36" s="888"/>
      <c r="BZ36" s="888"/>
      <c r="CA36" s="888"/>
      <c r="CB36" s="888"/>
      <c r="CC36" s="888"/>
      <c r="CD36" s="888"/>
      <c r="CE36" s="888"/>
      <c r="CF36" s="888"/>
      <c r="CG36" s="888"/>
      <c r="CH36" s="888"/>
      <c r="CI36" s="888"/>
      <c r="CJ36" s="888"/>
      <c r="CK36" s="888"/>
      <c r="CL36" s="888"/>
      <c r="CM36" s="888"/>
      <c r="CN36" s="888"/>
      <c r="CO36" s="888"/>
      <c r="CP36" s="888"/>
      <c r="CQ36" s="888"/>
      <c r="CR36" s="888"/>
      <c r="CS36" s="888"/>
      <c r="CT36" s="888"/>
      <c r="CU36" s="888"/>
      <c r="CV36" s="888"/>
      <c r="CW36" s="888"/>
      <c r="CX36" s="888"/>
      <c r="CY36" s="888"/>
      <c r="CZ36" s="888"/>
      <c r="DA36" s="888"/>
      <c r="DB36" s="888"/>
      <c r="DC36" s="888"/>
      <c r="DD36" s="888"/>
      <c r="DE36" s="888"/>
      <c r="DF36" s="888"/>
      <c r="DG36" s="888"/>
      <c r="DH36" s="888"/>
      <c r="DI36" s="888"/>
      <c r="DJ36" s="888"/>
      <c r="DK36" s="888"/>
      <c r="DL36" s="888"/>
      <c r="DM36" s="888"/>
      <c r="DN36" s="888"/>
      <c r="DO36" s="888"/>
      <c r="DP36" s="888"/>
      <c r="DQ36" s="888"/>
      <c r="DR36" s="888"/>
      <c r="DS36" s="888"/>
      <c r="DT36" s="888"/>
      <c r="DU36" s="888"/>
      <c r="DV36" s="888"/>
      <c r="DW36" s="888"/>
      <c r="DX36" s="888"/>
      <c r="DY36" s="888"/>
      <c r="DZ36" s="888"/>
      <c r="EA36" s="888"/>
      <c r="EB36" s="888"/>
      <c r="EC36" s="888"/>
      <c r="ED36" s="888"/>
      <c r="EE36" s="888"/>
      <c r="EF36" s="888"/>
      <c r="EG36" s="888"/>
      <c r="EH36" s="888"/>
      <c r="EI36" s="888"/>
      <c r="EJ36" s="888"/>
      <c r="EK36" s="888"/>
      <c r="EL36" s="888"/>
      <c r="EM36" s="888"/>
      <c r="EN36" s="888"/>
      <c r="EO36" s="888"/>
      <c r="EP36" s="888"/>
      <c r="EQ36" s="888"/>
      <c r="ER36" s="888"/>
      <c r="ES36" s="888"/>
      <c r="ET36" s="888"/>
      <c r="EU36" s="888"/>
      <c r="EV36" s="888"/>
      <c r="EW36" s="888"/>
      <c r="EX36" s="888"/>
      <c r="EY36" s="888"/>
      <c r="EZ36" s="888"/>
      <c r="FA36" s="888"/>
      <c r="FB36" s="888"/>
      <c r="FC36" s="888"/>
      <c r="FD36" s="888"/>
      <c r="FE36" s="888"/>
      <c r="FF36" s="888"/>
      <c r="FG36" s="888"/>
      <c r="FH36" s="888"/>
      <c r="FI36" s="888"/>
      <c r="FJ36" s="888"/>
      <c r="FK36" s="888"/>
      <c r="FL36" s="888"/>
      <c r="FM36" s="888"/>
      <c r="FN36" s="888"/>
      <c r="FO36" s="888"/>
      <c r="FP36" s="888"/>
      <c r="FQ36" s="888"/>
      <c r="FR36" s="888"/>
      <c r="FS36" s="888"/>
      <c r="FT36" s="888"/>
      <c r="FU36" s="888"/>
      <c r="FV36" s="888"/>
      <c r="FW36" s="888"/>
      <c r="FX36" s="888"/>
      <c r="FY36" s="888"/>
      <c r="FZ36" s="888"/>
      <c r="GA36" s="888"/>
      <c r="GB36" s="888"/>
      <c r="GC36" s="888"/>
      <c r="GD36" s="888"/>
      <c r="GE36" s="888"/>
      <c r="GF36" s="888"/>
      <c r="GG36" s="888"/>
      <c r="GH36" s="888"/>
      <c r="GI36" s="888"/>
      <c r="GJ36" s="888"/>
      <c r="GK36" s="888"/>
      <c r="GL36" s="888"/>
      <c r="GM36" s="888"/>
      <c r="GN36" s="888"/>
      <c r="GO36" s="888"/>
      <c r="GP36" s="888"/>
      <c r="GQ36" s="888"/>
      <c r="GR36" s="888"/>
      <c r="GS36" s="888"/>
      <c r="GT36" s="888"/>
      <c r="GU36" s="888"/>
      <c r="GV36" s="888"/>
      <c r="GW36" s="888"/>
      <c r="GX36" s="888"/>
      <c r="GY36" s="888"/>
      <c r="GZ36" s="888"/>
      <c r="HA36" s="888"/>
      <c r="HB36" s="888"/>
      <c r="HC36" s="888"/>
      <c r="HD36" s="888"/>
      <c r="HE36" s="888"/>
      <c r="HF36" s="888"/>
      <c r="HG36" s="888"/>
      <c r="HH36" s="888"/>
      <c r="HI36" s="888"/>
      <c r="HJ36" s="888"/>
      <c r="HK36" s="888"/>
      <c r="HL36" s="888"/>
      <c r="HM36" s="888"/>
      <c r="HN36" s="888"/>
      <c r="HO36" s="888"/>
      <c r="HP36" s="888"/>
      <c r="HQ36" s="888"/>
      <c r="HR36" s="888"/>
      <c r="HS36" s="888"/>
      <c r="HT36" s="888"/>
      <c r="HU36" s="888"/>
      <c r="HV36" s="888"/>
      <c r="HW36" s="888"/>
      <c r="HX36" s="888"/>
      <c r="HY36" s="888"/>
      <c r="HZ36" s="888"/>
      <c r="IA36" s="888"/>
      <c r="IB36" s="888"/>
      <c r="IC36" s="888"/>
      <c r="ID36" s="888"/>
      <c r="IE36" s="888"/>
      <c r="IF36" s="888"/>
      <c r="IG36" s="888"/>
      <c r="IH36" s="888"/>
      <c r="II36" s="888"/>
      <c r="IJ36" s="888"/>
      <c r="IK36" s="888"/>
      <c r="IL36" s="888"/>
      <c r="IM36" s="888"/>
      <c r="IN36" s="888"/>
      <c r="IO36" s="888"/>
      <c r="IP36" s="888"/>
      <c r="IQ36" s="888"/>
    </row>
    <row r="37" spans="1:252" s="960" customFormat="1" ht="21" customHeight="1" thickBot="1">
      <c r="B37" s="1002" t="s">
        <v>691</v>
      </c>
      <c r="C37" s="999"/>
      <c r="D37" s="910"/>
      <c r="E37" s="929"/>
      <c r="F37" s="1003"/>
      <c r="G37" s="888"/>
      <c r="H37" s="1004"/>
      <c r="I37" s="996"/>
      <c r="J37" s="888"/>
      <c r="K37" s="888"/>
      <c r="L37" s="979"/>
      <c r="M37" s="888"/>
      <c r="N37" s="888"/>
      <c r="O37" s="888"/>
      <c r="P37" s="888"/>
      <c r="Q37" s="888"/>
      <c r="R37" s="888"/>
      <c r="S37" s="888"/>
      <c r="T37" s="888"/>
      <c r="U37" s="888"/>
      <c r="V37" s="1005"/>
      <c r="W37" s="871"/>
      <c r="X37" s="1006"/>
      <c r="Y37" s="995"/>
      <c r="Z37" s="995"/>
      <c r="AA37" s="995"/>
      <c r="AB37" s="995"/>
      <c r="AC37" s="995"/>
      <c r="AD37" s="995"/>
      <c r="AE37" s="995"/>
      <c r="AF37" s="995"/>
      <c r="AG37" s="995"/>
      <c r="AH37" s="995"/>
      <c r="AI37" s="995"/>
      <c r="AJ37" s="995"/>
      <c r="AK37" s="995"/>
      <c r="AL37" s="995"/>
      <c r="AM37" s="995"/>
      <c r="AN37" s="995"/>
      <c r="AO37" s="995"/>
      <c r="AP37" s="995"/>
      <c r="AQ37" s="888"/>
      <c r="AR37" s="888"/>
      <c r="AS37" s="888"/>
      <c r="AT37" s="888"/>
      <c r="AU37" s="888"/>
      <c r="AV37" s="888"/>
      <c r="AW37" s="888"/>
      <c r="AX37" s="888"/>
      <c r="AY37" s="888"/>
      <c r="AZ37" s="888"/>
      <c r="BA37" s="888"/>
      <c r="BB37" s="888"/>
      <c r="BC37" s="888"/>
      <c r="BD37" s="888"/>
      <c r="BE37" s="888"/>
      <c r="BF37" s="888"/>
      <c r="BG37" s="888"/>
      <c r="BH37" s="888"/>
      <c r="BI37" s="888"/>
      <c r="BJ37" s="888"/>
      <c r="BK37" s="888"/>
      <c r="BL37" s="888"/>
      <c r="BM37" s="888"/>
      <c r="BN37" s="888"/>
      <c r="BO37" s="888"/>
      <c r="BP37" s="888"/>
      <c r="BQ37" s="888"/>
      <c r="BR37" s="888"/>
      <c r="BS37" s="888"/>
      <c r="BT37" s="888"/>
      <c r="BU37" s="888"/>
      <c r="BV37" s="888"/>
      <c r="BW37" s="888"/>
      <c r="BX37" s="888"/>
      <c r="BY37" s="888"/>
      <c r="BZ37" s="888"/>
      <c r="CA37" s="888"/>
      <c r="CB37" s="888"/>
      <c r="CC37" s="888"/>
      <c r="CD37" s="888"/>
      <c r="CE37" s="888"/>
      <c r="CF37" s="888"/>
      <c r="CG37" s="888"/>
      <c r="CH37" s="888"/>
      <c r="CI37" s="888"/>
      <c r="CJ37" s="888"/>
      <c r="CK37" s="888"/>
      <c r="CL37" s="888"/>
      <c r="CM37" s="888"/>
      <c r="CN37" s="888"/>
      <c r="CO37" s="888"/>
      <c r="CP37" s="888"/>
      <c r="CQ37" s="888"/>
      <c r="CR37" s="888"/>
      <c r="CS37" s="888"/>
      <c r="CT37" s="888"/>
      <c r="CU37" s="888"/>
      <c r="CV37" s="888"/>
      <c r="CW37" s="888"/>
      <c r="CX37" s="888"/>
      <c r="CY37" s="888"/>
      <c r="CZ37" s="888"/>
      <c r="DA37" s="888"/>
      <c r="DB37" s="888"/>
      <c r="DC37" s="888"/>
      <c r="DD37" s="888"/>
      <c r="DE37" s="888"/>
      <c r="DF37" s="888"/>
      <c r="DG37" s="888"/>
      <c r="DH37" s="888"/>
      <c r="DI37" s="888"/>
      <c r="DJ37" s="888"/>
      <c r="DK37" s="888"/>
      <c r="DL37" s="888"/>
      <c r="DM37" s="888"/>
      <c r="DN37" s="888"/>
      <c r="DO37" s="888"/>
      <c r="DP37" s="888"/>
      <c r="DQ37" s="888"/>
      <c r="DR37" s="888"/>
      <c r="DS37" s="888"/>
      <c r="DT37" s="888"/>
      <c r="DU37" s="888"/>
      <c r="DV37" s="888"/>
      <c r="DW37" s="888"/>
      <c r="DX37" s="888"/>
      <c r="DY37" s="888"/>
      <c r="DZ37" s="888"/>
      <c r="EA37" s="888"/>
      <c r="EB37" s="888"/>
      <c r="EC37" s="888"/>
      <c r="ED37" s="888"/>
      <c r="EE37" s="888"/>
      <c r="EF37" s="888"/>
      <c r="EG37" s="888"/>
      <c r="EH37" s="888"/>
      <c r="EI37" s="888"/>
      <c r="EJ37" s="888"/>
      <c r="EK37" s="888"/>
      <c r="EL37" s="888"/>
      <c r="EM37" s="888"/>
      <c r="EN37" s="888"/>
      <c r="EO37" s="888"/>
      <c r="EP37" s="888"/>
      <c r="EQ37" s="888"/>
      <c r="ER37" s="888"/>
      <c r="ES37" s="888"/>
      <c r="ET37" s="888"/>
      <c r="EU37" s="888"/>
      <c r="EV37" s="888"/>
      <c r="EW37" s="888"/>
      <c r="EX37" s="888"/>
      <c r="EY37" s="888"/>
      <c r="EZ37" s="888"/>
      <c r="FA37" s="888"/>
      <c r="FB37" s="888"/>
      <c r="FC37" s="888"/>
      <c r="FD37" s="888"/>
      <c r="FE37" s="888"/>
      <c r="FF37" s="888"/>
      <c r="FG37" s="888"/>
      <c r="FH37" s="888"/>
      <c r="FI37" s="888"/>
      <c r="FJ37" s="888"/>
      <c r="FK37" s="888"/>
      <c r="FL37" s="888"/>
      <c r="FM37" s="888"/>
      <c r="FN37" s="888"/>
      <c r="FO37" s="888"/>
      <c r="FP37" s="888"/>
      <c r="FQ37" s="888"/>
      <c r="FR37" s="888"/>
      <c r="FS37" s="888"/>
      <c r="FT37" s="888"/>
      <c r="FU37" s="888"/>
      <c r="FV37" s="888"/>
      <c r="FW37" s="888"/>
      <c r="FX37" s="888"/>
      <c r="FY37" s="888"/>
      <c r="FZ37" s="888"/>
      <c r="GA37" s="888"/>
      <c r="GB37" s="888"/>
      <c r="GC37" s="888"/>
      <c r="GD37" s="888"/>
      <c r="GE37" s="888"/>
      <c r="GF37" s="888"/>
      <c r="GG37" s="888"/>
      <c r="GH37" s="888"/>
      <c r="GI37" s="888"/>
      <c r="GJ37" s="888"/>
      <c r="GK37" s="888"/>
      <c r="GL37" s="888"/>
      <c r="GM37" s="888"/>
      <c r="GN37" s="888"/>
      <c r="GO37" s="888"/>
      <c r="GP37" s="888"/>
      <c r="GQ37" s="888"/>
      <c r="GR37" s="888"/>
      <c r="GS37" s="888"/>
      <c r="GT37" s="888"/>
      <c r="GU37" s="888"/>
      <c r="GV37" s="888"/>
      <c r="GW37" s="888"/>
      <c r="GX37" s="888"/>
      <c r="GY37" s="888"/>
      <c r="GZ37" s="888"/>
      <c r="HA37" s="888"/>
      <c r="HB37" s="888"/>
      <c r="HC37" s="888"/>
      <c r="HD37" s="888"/>
      <c r="HE37" s="888"/>
      <c r="HF37" s="888"/>
      <c r="HG37" s="888"/>
      <c r="HH37" s="888"/>
      <c r="HI37" s="888"/>
      <c r="HJ37" s="888"/>
      <c r="HK37" s="888"/>
      <c r="HL37" s="888"/>
      <c r="HM37" s="888"/>
      <c r="HN37" s="888"/>
      <c r="HO37" s="888"/>
      <c r="HP37" s="888"/>
      <c r="HQ37" s="888"/>
      <c r="HR37" s="888"/>
      <c r="HS37" s="888"/>
      <c r="HT37" s="888"/>
      <c r="HU37" s="888"/>
      <c r="HV37" s="888"/>
      <c r="HW37" s="888"/>
      <c r="HX37" s="888"/>
      <c r="HY37" s="888"/>
      <c r="HZ37" s="888"/>
      <c r="IA37" s="888"/>
      <c r="IB37" s="888"/>
      <c r="IC37" s="888"/>
      <c r="ID37" s="888"/>
      <c r="IE37" s="888"/>
      <c r="IF37" s="888"/>
      <c r="IG37" s="888"/>
      <c r="IH37" s="888"/>
      <c r="II37" s="888"/>
      <c r="IJ37" s="888"/>
      <c r="IK37" s="888"/>
      <c r="IL37" s="888"/>
      <c r="IM37" s="888"/>
      <c r="IN37" s="888"/>
      <c r="IO37" s="888"/>
      <c r="IP37" s="888"/>
      <c r="IQ37" s="888"/>
    </row>
    <row r="38" spans="1:252" s="1007" customFormat="1" ht="11.25" hidden="1" customHeight="1" outlineLevel="1">
      <c r="B38" s="1008" t="s">
        <v>579</v>
      </c>
      <c r="C38" s="1009" t="str">
        <f t="shared" ref="C38:BN38" si="2">C333&amp;"-FY"</f>
        <v>2015-FY</v>
      </c>
      <c r="D38" s="1009" t="str">
        <f t="shared" si="2"/>
        <v>2016-FY</v>
      </c>
      <c r="E38" s="1009" t="str">
        <f t="shared" si="2"/>
        <v>2017-FY</v>
      </c>
      <c r="F38" s="1009" t="str">
        <f t="shared" si="2"/>
        <v>2018-FY</v>
      </c>
      <c r="G38" s="1009" t="str">
        <f t="shared" si="2"/>
        <v>2019-FY</v>
      </c>
      <c r="H38" s="1009" t="str">
        <f t="shared" si="2"/>
        <v>2020-FY</v>
      </c>
      <c r="I38" s="1009" t="str">
        <f t="shared" si="2"/>
        <v>2021-FY</v>
      </c>
      <c r="J38" s="1009" t="str">
        <f t="shared" si="2"/>
        <v>2022-FY</v>
      </c>
      <c r="K38" s="1009" t="str">
        <f t="shared" si="2"/>
        <v>2023-FY</v>
      </c>
      <c r="L38" s="1009" t="str">
        <f t="shared" si="2"/>
        <v>2024-FY</v>
      </c>
      <c r="M38" s="1009" t="str">
        <f t="shared" si="2"/>
        <v>2025-FY</v>
      </c>
      <c r="N38" s="1009" t="str">
        <f t="shared" si="2"/>
        <v>2026-FY</v>
      </c>
      <c r="O38" s="1009" t="str">
        <f t="shared" si="2"/>
        <v>2027-FY</v>
      </c>
      <c r="P38" s="1009" t="str">
        <f t="shared" si="2"/>
        <v>2028-FY</v>
      </c>
      <c r="Q38" s="1009" t="str">
        <f t="shared" si="2"/>
        <v>2029-FY</v>
      </c>
      <c r="R38" s="1009" t="str">
        <f t="shared" si="2"/>
        <v>2030-FY</v>
      </c>
      <c r="S38" s="1009" t="str">
        <f t="shared" si="2"/>
        <v>2031-FY</v>
      </c>
      <c r="T38" s="1009" t="str">
        <f t="shared" si="2"/>
        <v>2032-FY</v>
      </c>
      <c r="U38" s="1009" t="str">
        <f t="shared" si="2"/>
        <v>2033-FY</v>
      </c>
      <c r="V38" s="1009" t="str">
        <f t="shared" si="2"/>
        <v>2034-FY</v>
      </c>
      <c r="W38" s="1010" t="str">
        <f t="shared" si="2"/>
        <v>2035-FY</v>
      </c>
      <c r="X38" s="1009" t="str">
        <f t="shared" si="2"/>
        <v>2036-FY</v>
      </c>
      <c r="Y38" s="1009" t="str">
        <f t="shared" si="2"/>
        <v>2037-FY</v>
      </c>
      <c r="Z38" s="1009" t="str">
        <f t="shared" si="2"/>
        <v>2038-FY</v>
      </c>
      <c r="AA38" s="1009" t="str">
        <f t="shared" si="2"/>
        <v>2039-FY</v>
      </c>
      <c r="AB38" s="1009" t="str">
        <f t="shared" si="2"/>
        <v>2040-FY</v>
      </c>
      <c r="AC38" s="1009" t="str">
        <f t="shared" si="2"/>
        <v>2041-FY</v>
      </c>
      <c r="AD38" s="1009" t="str">
        <f t="shared" si="2"/>
        <v>2042-FY</v>
      </c>
      <c r="AE38" s="1009" t="str">
        <f t="shared" si="2"/>
        <v>2043-FY</v>
      </c>
      <c r="AF38" s="1009" t="str">
        <f t="shared" si="2"/>
        <v>2044-FY</v>
      </c>
      <c r="AG38" s="1009" t="str">
        <f t="shared" si="2"/>
        <v>2045-FY</v>
      </c>
      <c r="AH38" s="1009" t="str">
        <f t="shared" si="2"/>
        <v>2046-FY</v>
      </c>
      <c r="AI38" s="1009" t="str">
        <f t="shared" si="2"/>
        <v>2047-FY</v>
      </c>
      <c r="AJ38" s="1009" t="str">
        <f t="shared" si="2"/>
        <v>2048-FY</v>
      </c>
      <c r="AK38" s="1009" t="str">
        <f t="shared" si="2"/>
        <v>2049-FY</v>
      </c>
      <c r="AL38" s="1009" t="str">
        <f t="shared" si="2"/>
        <v>2050-FY</v>
      </c>
      <c r="AM38" s="1009" t="str">
        <f t="shared" si="2"/>
        <v>2051-FY</v>
      </c>
      <c r="AN38" s="1009" t="str">
        <f t="shared" si="2"/>
        <v>2052-FY</v>
      </c>
      <c r="AO38" s="1009" t="str">
        <f t="shared" si="2"/>
        <v>2053-FY</v>
      </c>
      <c r="AP38" s="1009" t="str">
        <f t="shared" si="2"/>
        <v>2054-FY</v>
      </c>
      <c r="AQ38" s="1009" t="str">
        <f t="shared" si="2"/>
        <v>2055-FY</v>
      </c>
      <c r="AR38" s="1009" t="str">
        <f t="shared" si="2"/>
        <v>2056-FY</v>
      </c>
      <c r="AS38" s="1009" t="str">
        <f t="shared" si="2"/>
        <v>2057-FY</v>
      </c>
      <c r="AT38" s="1009" t="str">
        <f t="shared" si="2"/>
        <v>2058-FY</v>
      </c>
      <c r="AU38" s="1009" t="str">
        <f t="shared" si="2"/>
        <v>2059-FY</v>
      </c>
      <c r="AV38" s="1009" t="str">
        <f t="shared" si="2"/>
        <v>2060-FY</v>
      </c>
      <c r="AW38" s="1009" t="str">
        <f t="shared" si="2"/>
        <v>2061-FY</v>
      </c>
      <c r="AX38" s="1009" t="str">
        <f t="shared" si="2"/>
        <v>2062-FY</v>
      </c>
      <c r="AY38" s="1009" t="str">
        <f t="shared" si="2"/>
        <v>2063-FY</v>
      </c>
      <c r="AZ38" s="1009" t="str">
        <f t="shared" si="2"/>
        <v>2064-FY</v>
      </c>
      <c r="BA38" s="1009" t="str">
        <f t="shared" si="2"/>
        <v>2065-FY</v>
      </c>
      <c r="BB38" s="1009" t="str">
        <f t="shared" si="2"/>
        <v>2066-FY</v>
      </c>
      <c r="BC38" s="1009" t="str">
        <f t="shared" si="2"/>
        <v>2067-FY</v>
      </c>
      <c r="BD38" s="1009" t="str">
        <f t="shared" si="2"/>
        <v>2068-FY</v>
      </c>
      <c r="BE38" s="1009" t="str">
        <f t="shared" si="2"/>
        <v>2069-FY</v>
      </c>
      <c r="BF38" s="1009" t="str">
        <f t="shared" si="2"/>
        <v>2070-FY</v>
      </c>
      <c r="BG38" s="1009" t="str">
        <f t="shared" si="2"/>
        <v>2071-FY</v>
      </c>
      <c r="BH38" s="1009" t="str">
        <f t="shared" si="2"/>
        <v>2072-FY</v>
      </c>
      <c r="BI38" s="1009" t="str">
        <f t="shared" si="2"/>
        <v>2073-FY</v>
      </c>
      <c r="BJ38" s="1009" t="str">
        <f t="shared" si="2"/>
        <v>2074-FY</v>
      </c>
      <c r="BK38" s="1009" t="str">
        <f t="shared" si="2"/>
        <v>2075-FY</v>
      </c>
      <c r="BL38" s="1009" t="str">
        <f t="shared" si="2"/>
        <v>2076-FY</v>
      </c>
      <c r="BM38" s="1009" t="str">
        <f t="shared" si="2"/>
        <v>2077-FY</v>
      </c>
      <c r="BN38" s="1009" t="str">
        <f t="shared" si="2"/>
        <v>2078-FY</v>
      </c>
      <c r="BO38" s="1009" t="str">
        <f t="shared" ref="BO38:DZ38" si="3">BO333&amp;"-FY"</f>
        <v>2079-FY</v>
      </c>
      <c r="BP38" s="1009" t="str">
        <f t="shared" si="3"/>
        <v>2080-FY</v>
      </c>
      <c r="BQ38" s="1009" t="str">
        <f t="shared" si="3"/>
        <v>2081-FY</v>
      </c>
      <c r="BR38" s="1009" t="str">
        <f t="shared" si="3"/>
        <v>2082-FY</v>
      </c>
      <c r="BS38" s="1009" t="str">
        <f t="shared" si="3"/>
        <v>2083-FY</v>
      </c>
      <c r="BT38" s="1009" t="str">
        <f t="shared" si="3"/>
        <v>2084-FY</v>
      </c>
      <c r="BU38" s="1009" t="str">
        <f t="shared" si="3"/>
        <v>2085-FY</v>
      </c>
      <c r="BV38" s="1009" t="str">
        <f t="shared" si="3"/>
        <v>2086-FY</v>
      </c>
      <c r="BW38" s="1009" t="str">
        <f t="shared" si="3"/>
        <v>2087-FY</v>
      </c>
      <c r="BX38" s="1009" t="str">
        <f t="shared" si="3"/>
        <v>2088-FY</v>
      </c>
      <c r="BY38" s="1009" t="str">
        <f t="shared" si="3"/>
        <v>2089-FY</v>
      </c>
      <c r="BZ38" s="1009" t="str">
        <f t="shared" si="3"/>
        <v>2090-FY</v>
      </c>
      <c r="CA38" s="1009" t="str">
        <f t="shared" si="3"/>
        <v>2091-FY</v>
      </c>
      <c r="CB38" s="1009" t="str">
        <f t="shared" si="3"/>
        <v>2092-FY</v>
      </c>
      <c r="CC38" s="1009" t="str">
        <f t="shared" si="3"/>
        <v>2093-FY</v>
      </c>
      <c r="CD38" s="1009" t="str">
        <f t="shared" si="3"/>
        <v>2094-FY</v>
      </c>
      <c r="CE38" s="1009" t="str">
        <f t="shared" si="3"/>
        <v>2095-FY</v>
      </c>
      <c r="CF38" s="1009" t="str">
        <f t="shared" si="3"/>
        <v>2096-FY</v>
      </c>
      <c r="CG38" s="1009" t="str">
        <f t="shared" si="3"/>
        <v>2097-FY</v>
      </c>
      <c r="CH38" s="1009" t="str">
        <f t="shared" si="3"/>
        <v>2098-FY</v>
      </c>
      <c r="CI38" s="1009" t="str">
        <f t="shared" si="3"/>
        <v>2099-FY</v>
      </c>
      <c r="CJ38" s="1009" t="str">
        <f t="shared" si="3"/>
        <v>2100-FY</v>
      </c>
      <c r="CK38" s="1009" t="str">
        <f t="shared" si="3"/>
        <v>2101-FY</v>
      </c>
      <c r="CL38" s="1009" t="str">
        <f t="shared" si="3"/>
        <v>2102-FY</v>
      </c>
      <c r="CM38" s="1009" t="str">
        <f t="shared" si="3"/>
        <v>2103-FY</v>
      </c>
      <c r="CN38" s="1009" t="str">
        <f t="shared" si="3"/>
        <v>2104-FY</v>
      </c>
      <c r="CO38" s="1009" t="str">
        <f t="shared" si="3"/>
        <v>2105-FY</v>
      </c>
      <c r="CP38" s="1009" t="str">
        <f t="shared" si="3"/>
        <v>2106-FY</v>
      </c>
      <c r="CQ38" s="1009" t="str">
        <f t="shared" si="3"/>
        <v>2107-FY</v>
      </c>
      <c r="CR38" s="1009" t="str">
        <f t="shared" si="3"/>
        <v>2108-FY</v>
      </c>
      <c r="CS38" s="1009" t="str">
        <f t="shared" si="3"/>
        <v>2109-FY</v>
      </c>
      <c r="CT38" s="1009" t="str">
        <f t="shared" si="3"/>
        <v>2110-FY</v>
      </c>
      <c r="CU38" s="1009" t="str">
        <f t="shared" si="3"/>
        <v>2111-FY</v>
      </c>
      <c r="CV38" s="1009" t="str">
        <f t="shared" si="3"/>
        <v>2112-FY</v>
      </c>
      <c r="CW38" s="1009" t="str">
        <f t="shared" si="3"/>
        <v>2113-FY</v>
      </c>
      <c r="CX38" s="1009" t="str">
        <f t="shared" si="3"/>
        <v>2114-FY</v>
      </c>
      <c r="CY38" s="1009" t="str">
        <f t="shared" si="3"/>
        <v>2115-FY</v>
      </c>
      <c r="CZ38" s="1009" t="str">
        <f t="shared" si="3"/>
        <v>2116-FY</v>
      </c>
      <c r="DA38" s="1009" t="str">
        <f t="shared" si="3"/>
        <v>2117-FY</v>
      </c>
      <c r="DB38" s="1009" t="str">
        <f t="shared" si="3"/>
        <v>2118-FY</v>
      </c>
      <c r="DC38" s="1009" t="str">
        <f t="shared" si="3"/>
        <v>2119-FY</v>
      </c>
      <c r="DD38" s="1009" t="str">
        <f t="shared" si="3"/>
        <v>2120-FY</v>
      </c>
      <c r="DE38" s="1009" t="str">
        <f t="shared" si="3"/>
        <v>2121-FY</v>
      </c>
      <c r="DF38" s="1009" t="str">
        <f t="shared" si="3"/>
        <v>2122-FY</v>
      </c>
      <c r="DG38" s="1009" t="str">
        <f t="shared" si="3"/>
        <v>2123-FY</v>
      </c>
      <c r="DH38" s="1009" t="str">
        <f t="shared" si="3"/>
        <v>2124-FY</v>
      </c>
      <c r="DI38" s="1009" t="str">
        <f t="shared" si="3"/>
        <v>2125-FY</v>
      </c>
      <c r="DJ38" s="1009" t="str">
        <f t="shared" si="3"/>
        <v>2126-FY</v>
      </c>
      <c r="DK38" s="1009" t="str">
        <f t="shared" si="3"/>
        <v>2127-FY</v>
      </c>
      <c r="DL38" s="1009" t="str">
        <f t="shared" si="3"/>
        <v>2128-FY</v>
      </c>
      <c r="DM38" s="1009" t="str">
        <f t="shared" si="3"/>
        <v>2129-FY</v>
      </c>
      <c r="DN38" s="1009" t="str">
        <f t="shared" si="3"/>
        <v>2130-FY</v>
      </c>
      <c r="DO38" s="1009" t="str">
        <f t="shared" si="3"/>
        <v>2131-FY</v>
      </c>
      <c r="DP38" s="1009" t="str">
        <f t="shared" si="3"/>
        <v>2132-FY</v>
      </c>
      <c r="DQ38" s="1009" t="str">
        <f t="shared" si="3"/>
        <v>2133-FY</v>
      </c>
      <c r="DR38" s="1009" t="str">
        <f t="shared" si="3"/>
        <v>2134-FY</v>
      </c>
      <c r="DS38" s="1009" t="str">
        <f t="shared" si="3"/>
        <v>2135-FY</v>
      </c>
      <c r="DT38" s="1009" t="str">
        <f t="shared" si="3"/>
        <v>2136-FY</v>
      </c>
      <c r="DU38" s="1009" t="str">
        <f t="shared" si="3"/>
        <v>2137-FY</v>
      </c>
      <c r="DV38" s="1009" t="str">
        <f t="shared" si="3"/>
        <v>2138-FY</v>
      </c>
      <c r="DW38" s="1009" t="str">
        <f t="shared" si="3"/>
        <v>2139-FY</v>
      </c>
      <c r="DX38" s="1009" t="str">
        <f t="shared" si="3"/>
        <v>2140-FY</v>
      </c>
      <c r="DY38" s="1009" t="str">
        <f t="shared" si="3"/>
        <v>2141-FY</v>
      </c>
      <c r="DZ38" s="1009" t="str">
        <f t="shared" si="3"/>
        <v>2142-FY</v>
      </c>
      <c r="EA38" s="1009" t="str">
        <f t="shared" ref="EA38:GL38" si="4">EA333&amp;"-FY"</f>
        <v>2143-FY</v>
      </c>
      <c r="EB38" s="1009" t="str">
        <f t="shared" si="4"/>
        <v>2144-FY</v>
      </c>
      <c r="EC38" s="1009" t="str">
        <f t="shared" si="4"/>
        <v>2145-FY</v>
      </c>
      <c r="ED38" s="1009" t="str">
        <f t="shared" si="4"/>
        <v>2146-FY</v>
      </c>
      <c r="EE38" s="1009" t="str">
        <f t="shared" si="4"/>
        <v>2147-FY</v>
      </c>
      <c r="EF38" s="1009" t="str">
        <f t="shared" si="4"/>
        <v>2148-FY</v>
      </c>
      <c r="EG38" s="1009" t="str">
        <f t="shared" si="4"/>
        <v>2149-FY</v>
      </c>
      <c r="EH38" s="1009" t="str">
        <f t="shared" si="4"/>
        <v>2150-FY</v>
      </c>
      <c r="EI38" s="1009" t="str">
        <f t="shared" si="4"/>
        <v>2151-FY</v>
      </c>
      <c r="EJ38" s="1009" t="str">
        <f t="shared" si="4"/>
        <v>2152-FY</v>
      </c>
      <c r="EK38" s="1009" t="str">
        <f t="shared" si="4"/>
        <v>2153-FY</v>
      </c>
      <c r="EL38" s="1009" t="str">
        <f t="shared" si="4"/>
        <v>2154-FY</v>
      </c>
      <c r="EM38" s="1009" t="str">
        <f t="shared" si="4"/>
        <v>2155-FY</v>
      </c>
      <c r="EN38" s="1009" t="str">
        <f t="shared" si="4"/>
        <v>2156-FY</v>
      </c>
      <c r="EO38" s="1009" t="str">
        <f t="shared" si="4"/>
        <v>2157-FY</v>
      </c>
      <c r="EP38" s="1009" t="str">
        <f t="shared" si="4"/>
        <v>2158-FY</v>
      </c>
      <c r="EQ38" s="1009" t="str">
        <f t="shared" si="4"/>
        <v>2159-FY</v>
      </c>
      <c r="ER38" s="1009" t="str">
        <f t="shared" si="4"/>
        <v>2160-FY</v>
      </c>
      <c r="ES38" s="1009" t="str">
        <f t="shared" si="4"/>
        <v>2161-FY</v>
      </c>
      <c r="ET38" s="1009" t="str">
        <f t="shared" si="4"/>
        <v>2162-FY</v>
      </c>
      <c r="EU38" s="1009" t="str">
        <f t="shared" si="4"/>
        <v>2163-FY</v>
      </c>
      <c r="EV38" s="1009" t="str">
        <f t="shared" si="4"/>
        <v>2164-FY</v>
      </c>
      <c r="EW38" s="1009" t="str">
        <f t="shared" si="4"/>
        <v>2165-FY</v>
      </c>
      <c r="EX38" s="1009" t="str">
        <f t="shared" si="4"/>
        <v>2166-FY</v>
      </c>
      <c r="EY38" s="1009" t="str">
        <f t="shared" si="4"/>
        <v>2167-FY</v>
      </c>
      <c r="EZ38" s="1009" t="str">
        <f t="shared" si="4"/>
        <v>2168-FY</v>
      </c>
      <c r="FA38" s="1009" t="str">
        <f t="shared" si="4"/>
        <v>2169-FY</v>
      </c>
      <c r="FB38" s="1009" t="str">
        <f t="shared" si="4"/>
        <v>2170-FY</v>
      </c>
      <c r="FC38" s="1009" t="str">
        <f t="shared" si="4"/>
        <v>2171-FY</v>
      </c>
      <c r="FD38" s="1009" t="str">
        <f t="shared" si="4"/>
        <v>2172-FY</v>
      </c>
      <c r="FE38" s="1009" t="str">
        <f t="shared" si="4"/>
        <v>2173-FY</v>
      </c>
      <c r="FF38" s="1009" t="str">
        <f t="shared" si="4"/>
        <v>2174-FY</v>
      </c>
      <c r="FG38" s="1009" t="str">
        <f t="shared" si="4"/>
        <v>2175-FY</v>
      </c>
      <c r="FH38" s="1009" t="str">
        <f t="shared" si="4"/>
        <v>2176-FY</v>
      </c>
      <c r="FI38" s="1009" t="str">
        <f t="shared" si="4"/>
        <v>2177-FY</v>
      </c>
      <c r="FJ38" s="1009" t="str">
        <f t="shared" si="4"/>
        <v>2178-FY</v>
      </c>
      <c r="FK38" s="1009" t="str">
        <f t="shared" si="4"/>
        <v>2179-FY</v>
      </c>
      <c r="FL38" s="1009" t="str">
        <f t="shared" si="4"/>
        <v>2180-FY</v>
      </c>
      <c r="FM38" s="1009" t="str">
        <f t="shared" si="4"/>
        <v>2181-FY</v>
      </c>
      <c r="FN38" s="1009" t="str">
        <f t="shared" si="4"/>
        <v>2182-FY</v>
      </c>
      <c r="FO38" s="1009" t="str">
        <f t="shared" si="4"/>
        <v>2183-FY</v>
      </c>
      <c r="FP38" s="1009" t="str">
        <f t="shared" si="4"/>
        <v>2184-FY</v>
      </c>
      <c r="FQ38" s="1009" t="str">
        <f t="shared" si="4"/>
        <v>2185-FY</v>
      </c>
      <c r="FR38" s="1009" t="str">
        <f t="shared" si="4"/>
        <v>2186-FY</v>
      </c>
      <c r="FS38" s="1009" t="str">
        <f t="shared" si="4"/>
        <v>2187-FY</v>
      </c>
      <c r="FT38" s="1009" t="str">
        <f t="shared" si="4"/>
        <v>2188-FY</v>
      </c>
      <c r="FU38" s="1009" t="str">
        <f t="shared" si="4"/>
        <v>2189-FY</v>
      </c>
      <c r="FV38" s="1009" t="str">
        <f t="shared" si="4"/>
        <v>2190-FY</v>
      </c>
      <c r="FW38" s="1009" t="str">
        <f t="shared" si="4"/>
        <v>2191-FY</v>
      </c>
      <c r="FX38" s="1009" t="str">
        <f t="shared" si="4"/>
        <v>2192-FY</v>
      </c>
      <c r="FY38" s="1009" t="str">
        <f t="shared" si="4"/>
        <v>2193-FY</v>
      </c>
      <c r="FZ38" s="1009" t="str">
        <f t="shared" si="4"/>
        <v>2194-FY</v>
      </c>
      <c r="GA38" s="1009" t="str">
        <f t="shared" si="4"/>
        <v>2195-FY</v>
      </c>
      <c r="GB38" s="1009" t="str">
        <f t="shared" si="4"/>
        <v>2196-FY</v>
      </c>
      <c r="GC38" s="1009" t="str">
        <f t="shared" si="4"/>
        <v>2197-FY</v>
      </c>
      <c r="GD38" s="1009" t="str">
        <f t="shared" si="4"/>
        <v>2198-FY</v>
      </c>
      <c r="GE38" s="1009" t="str">
        <f t="shared" si="4"/>
        <v>2199-FY</v>
      </c>
      <c r="GF38" s="1009" t="str">
        <f t="shared" si="4"/>
        <v>2200-FY</v>
      </c>
      <c r="GG38" s="1009" t="str">
        <f t="shared" si="4"/>
        <v>2201-FY</v>
      </c>
      <c r="GH38" s="1009" t="str">
        <f t="shared" si="4"/>
        <v>2202-FY</v>
      </c>
      <c r="GI38" s="1009" t="str">
        <f t="shared" si="4"/>
        <v>2203-FY</v>
      </c>
      <c r="GJ38" s="1009" t="str">
        <f t="shared" si="4"/>
        <v>2204-FY</v>
      </c>
      <c r="GK38" s="1009" t="str">
        <f t="shared" si="4"/>
        <v>2205-FY</v>
      </c>
      <c r="GL38" s="1009" t="str">
        <f t="shared" si="4"/>
        <v>2206-FY</v>
      </c>
      <c r="GM38" s="1009" t="str">
        <f t="shared" ref="GM38:IR38" si="5">GM333&amp;"-FY"</f>
        <v>2207-FY</v>
      </c>
      <c r="GN38" s="1009" t="str">
        <f t="shared" si="5"/>
        <v>2208-FY</v>
      </c>
      <c r="GO38" s="1009" t="str">
        <f t="shared" si="5"/>
        <v>2209-FY</v>
      </c>
      <c r="GP38" s="1009" t="str">
        <f t="shared" si="5"/>
        <v>2210-FY</v>
      </c>
      <c r="GQ38" s="1009" t="str">
        <f t="shared" si="5"/>
        <v>2211-FY</v>
      </c>
      <c r="GR38" s="1009" t="str">
        <f t="shared" si="5"/>
        <v>2212-FY</v>
      </c>
      <c r="GS38" s="1009" t="str">
        <f t="shared" si="5"/>
        <v>2213-FY</v>
      </c>
      <c r="GT38" s="1009" t="str">
        <f t="shared" si="5"/>
        <v>2214-FY</v>
      </c>
      <c r="GU38" s="1009" t="str">
        <f t="shared" si="5"/>
        <v>2215-FY</v>
      </c>
      <c r="GV38" s="1009" t="str">
        <f t="shared" si="5"/>
        <v>2216-FY</v>
      </c>
      <c r="GW38" s="1009" t="str">
        <f t="shared" si="5"/>
        <v>2217-FY</v>
      </c>
      <c r="GX38" s="1009" t="str">
        <f t="shared" si="5"/>
        <v>2218-FY</v>
      </c>
      <c r="GY38" s="1009" t="str">
        <f t="shared" si="5"/>
        <v>2219-FY</v>
      </c>
      <c r="GZ38" s="1009" t="str">
        <f t="shared" si="5"/>
        <v>2220-FY</v>
      </c>
      <c r="HA38" s="1009" t="str">
        <f t="shared" si="5"/>
        <v>2221-FY</v>
      </c>
      <c r="HB38" s="1009" t="str">
        <f t="shared" si="5"/>
        <v>2222-FY</v>
      </c>
      <c r="HC38" s="1009" t="str">
        <f t="shared" si="5"/>
        <v>2223-FY</v>
      </c>
      <c r="HD38" s="1009" t="str">
        <f t="shared" si="5"/>
        <v>2224-FY</v>
      </c>
      <c r="HE38" s="1009" t="str">
        <f t="shared" si="5"/>
        <v>2225-FY</v>
      </c>
      <c r="HF38" s="1009" t="str">
        <f t="shared" si="5"/>
        <v>2226-FY</v>
      </c>
      <c r="HG38" s="1009" t="str">
        <f t="shared" si="5"/>
        <v>2227-FY</v>
      </c>
      <c r="HH38" s="1009" t="str">
        <f t="shared" si="5"/>
        <v>2228-FY</v>
      </c>
      <c r="HI38" s="1009" t="str">
        <f t="shared" si="5"/>
        <v>2229-FY</v>
      </c>
      <c r="HJ38" s="1009" t="str">
        <f t="shared" si="5"/>
        <v>2230-FY</v>
      </c>
      <c r="HK38" s="1009" t="str">
        <f t="shared" si="5"/>
        <v>2231-FY</v>
      </c>
      <c r="HL38" s="1009" t="str">
        <f t="shared" si="5"/>
        <v>2232-FY</v>
      </c>
      <c r="HM38" s="1009" t="str">
        <f t="shared" si="5"/>
        <v>2233-FY</v>
      </c>
      <c r="HN38" s="1009" t="str">
        <f t="shared" si="5"/>
        <v>2234-FY</v>
      </c>
      <c r="HO38" s="1009" t="str">
        <f t="shared" si="5"/>
        <v>2235-FY</v>
      </c>
      <c r="HP38" s="1009" t="str">
        <f t="shared" si="5"/>
        <v>2236-FY</v>
      </c>
      <c r="HQ38" s="1009" t="str">
        <f t="shared" si="5"/>
        <v>2237-FY</v>
      </c>
      <c r="HR38" s="1009" t="str">
        <f t="shared" si="5"/>
        <v>2238-FY</v>
      </c>
      <c r="HS38" s="1009" t="str">
        <f t="shared" si="5"/>
        <v>2239-FY</v>
      </c>
      <c r="HT38" s="1009" t="str">
        <f t="shared" si="5"/>
        <v>2240-FY</v>
      </c>
      <c r="HU38" s="1009" t="str">
        <f t="shared" si="5"/>
        <v>2241-FY</v>
      </c>
      <c r="HV38" s="1009" t="str">
        <f t="shared" si="5"/>
        <v>2242-FY</v>
      </c>
      <c r="HW38" s="1009" t="str">
        <f t="shared" si="5"/>
        <v>2243-FY</v>
      </c>
      <c r="HX38" s="1009" t="str">
        <f t="shared" si="5"/>
        <v>2244-FY</v>
      </c>
      <c r="HY38" s="1009" t="str">
        <f t="shared" si="5"/>
        <v>2245-FY</v>
      </c>
      <c r="HZ38" s="1009" t="str">
        <f t="shared" si="5"/>
        <v>2246-FY</v>
      </c>
      <c r="IA38" s="1009" t="str">
        <f t="shared" si="5"/>
        <v>2247-FY</v>
      </c>
      <c r="IB38" s="1009" t="str">
        <f t="shared" si="5"/>
        <v>2248-FY</v>
      </c>
      <c r="IC38" s="1009" t="str">
        <f t="shared" si="5"/>
        <v>2249-FY</v>
      </c>
      <c r="ID38" s="1009" t="str">
        <f t="shared" si="5"/>
        <v>2250-FY</v>
      </c>
      <c r="IE38" s="1009" t="str">
        <f t="shared" si="5"/>
        <v>2251-FY</v>
      </c>
      <c r="IF38" s="1009" t="str">
        <f t="shared" si="5"/>
        <v>2252-FY</v>
      </c>
      <c r="IG38" s="1009" t="str">
        <f t="shared" si="5"/>
        <v>2253-FY</v>
      </c>
      <c r="IH38" s="1009" t="str">
        <f t="shared" si="5"/>
        <v>2254-FY</v>
      </c>
      <c r="II38" s="1009" t="str">
        <f t="shared" si="5"/>
        <v>2255-FY</v>
      </c>
      <c r="IJ38" s="1009" t="str">
        <f t="shared" si="5"/>
        <v>2256-FY</v>
      </c>
      <c r="IK38" s="1009" t="str">
        <f t="shared" si="5"/>
        <v>2257-FY</v>
      </c>
      <c r="IL38" s="1009" t="str">
        <f t="shared" si="5"/>
        <v>2258-FY</v>
      </c>
      <c r="IM38" s="1009" t="str">
        <f t="shared" si="5"/>
        <v>2259-FY</v>
      </c>
      <c r="IN38" s="1009" t="str">
        <f t="shared" si="5"/>
        <v>2260-FY</v>
      </c>
      <c r="IO38" s="1009" t="str">
        <f t="shared" si="5"/>
        <v>2261-FY</v>
      </c>
      <c r="IP38" s="1009" t="str">
        <f t="shared" si="5"/>
        <v>2262-FY</v>
      </c>
      <c r="IQ38" s="1009" t="str">
        <f t="shared" si="5"/>
        <v>2263-FY</v>
      </c>
      <c r="IR38" s="1009" t="str">
        <f t="shared" si="5"/>
        <v>2264-FY</v>
      </c>
    </row>
    <row r="39" spans="1:252" s="1011" customFormat="1" ht="11.25" hidden="1" customHeight="1" outlineLevel="1" thickBot="1">
      <c r="B39" s="835"/>
      <c r="C39" s="1012">
        <f>VALUE(LEFT(C38,4))</f>
        <v>2015</v>
      </c>
      <c r="D39" s="1012">
        <f t="shared" ref="D39:BO39" si="6">VALUE(LEFT(D38,4))</f>
        <v>2016</v>
      </c>
      <c r="E39" s="1012">
        <f t="shared" si="6"/>
        <v>2017</v>
      </c>
      <c r="F39" s="1012">
        <f t="shared" si="6"/>
        <v>2018</v>
      </c>
      <c r="G39" s="1012">
        <f t="shared" si="6"/>
        <v>2019</v>
      </c>
      <c r="H39" s="1012">
        <f t="shared" si="6"/>
        <v>2020</v>
      </c>
      <c r="I39" s="1012">
        <f t="shared" si="6"/>
        <v>2021</v>
      </c>
      <c r="J39" s="1012">
        <f t="shared" si="6"/>
        <v>2022</v>
      </c>
      <c r="K39" s="1012">
        <f t="shared" si="6"/>
        <v>2023</v>
      </c>
      <c r="L39" s="1012">
        <f t="shared" si="6"/>
        <v>2024</v>
      </c>
      <c r="M39" s="1012">
        <f t="shared" si="6"/>
        <v>2025</v>
      </c>
      <c r="N39" s="1012">
        <f t="shared" si="6"/>
        <v>2026</v>
      </c>
      <c r="O39" s="1012">
        <f t="shared" si="6"/>
        <v>2027</v>
      </c>
      <c r="P39" s="1012">
        <f t="shared" si="6"/>
        <v>2028</v>
      </c>
      <c r="Q39" s="1012">
        <f t="shared" si="6"/>
        <v>2029</v>
      </c>
      <c r="R39" s="1012">
        <f t="shared" si="6"/>
        <v>2030</v>
      </c>
      <c r="S39" s="1012">
        <f t="shared" si="6"/>
        <v>2031</v>
      </c>
      <c r="T39" s="1012">
        <f t="shared" si="6"/>
        <v>2032</v>
      </c>
      <c r="U39" s="1012">
        <f t="shared" si="6"/>
        <v>2033</v>
      </c>
      <c r="V39" s="1012">
        <f t="shared" si="6"/>
        <v>2034</v>
      </c>
      <c r="W39" s="1012">
        <f t="shared" si="6"/>
        <v>2035</v>
      </c>
      <c r="X39" s="1012">
        <f t="shared" si="6"/>
        <v>2036</v>
      </c>
      <c r="Y39" s="1012">
        <f t="shared" si="6"/>
        <v>2037</v>
      </c>
      <c r="Z39" s="1012">
        <f t="shared" si="6"/>
        <v>2038</v>
      </c>
      <c r="AA39" s="1012">
        <f t="shared" si="6"/>
        <v>2039</v>
      </c>
      <c r="AB39" s="1012">
        <f t="shared" si="6"/>
        <v>2040</v>
      </c>
      <c r="AC39" s="1012">
        <f t="shared" si="6"/>
        <v>2041</v>
      </c>
      <c r="AD39" s="1012">
        <f t="shared" si="6"/>
        <v>2042</v>
      </c>
      <c r="AE39" s="1012">
        <f t="shared" si="6"/>
        <v>2043</v>
      </c>
      <c r="AF39" s="1012">
        <f t="shared" si="6"/>
        <v>2044</v>
      </c>
      <c r="AG39" s="1012">
        <f t="shared" si="6"/>
        <v>2045</v>
      </c>
      <c r="AH39" s="1012">
        <f t="shared" si="6"/>
        <v>2046</v>
      </c>
      <c r="AI39" s="1012">
        <f t="shared" si="6"/>
        <v>2047</v>
      </c>
      <c r="AJ39" s="1012">
        <f t="shared" si="6"/>
        <v>2048</v>
      </c>
      <c r="AK39" s="1012">
        <f t="shared" si="6"/>
        <v>2049</v>
      </c>
      <c r="AL39" s="1012">
        <f t="shared" si="6"/>
        <v>2050</v>
      </c>
      <c r="AM39" s="1012">
        <f t="shared" si="6"/>
        <v>2051</v>
      </c>
      <c r="AN39" s="1012">
        <f t="shared" si="6"/>
        <v>2052</v>
      </c>
      <c r="AO39" s="1012">
        <f t="shared" si="6"/>
        <v>2053</v>
      </c>
      <c r="AP39" s="1012">
        <f t="shared" si="6"/>
        <v>2054</v>
      </c>
      <c r="AQ39" s="1012">
        <f t="shared" si="6"/>
        <v>2055</v>
      </c>
      <c r="AR39" s="1012">
        <f t="shared" si="6"/>
        <v>2056</v>
      </c>
      <c r="AS39" s="1012">
        <f t="shared" si="6"/>
        <v>2057</v>
      </c>
      <c r="AT39" s="1012">
        <f t="shared" si="6"/>
        <v>2058</v>
      </c>
      <c r="AU39" s="1012">
        <f t="shared" si="6"/>
        <v>2059</v>
      </c>
      <c r="AV39" s="1012">
        <f t="shared" si="6"/>
        <v>2060</v>
      </c>
      <c r="AW39" s="1012">
        <f t="shared" si="6"/>
        <v>2061</v>
      </c>
      <c r="AX39" s="1012">
        <f t="shared" si="6"/>
        <v>2062</v>
      </c>
      <c r="AY39" s="1012">
        <f t="shared" si="6"/>
        <v>2063</v>
      </c>
      <c r="AZ39" s="1012">
        <f t="shared" si="6"/>
        <v>2064</v>
      </c>
      <c r="BA39" s="1012">
        <f t="shared" si="6"/>
        <v>2065</v>
      </c>
      <c r="BB39" s="1012">
        <f t="shared" si="6"/>
        <v>2066</v>
      </c>
      <c r="BC39" s="1012">
        <f t="shared" si="6"/>
        <v>2067</v>
      </c>
      <c r="BD39" s="1012">
        <f t="shared" si="6"/>
        <v>2068</v>
      </c>
      <c r="BE39" s="1012">
        <f t="shared" si="6"/>
        <v>2069</v>
      </c>
      <c r="BF39" s="1012">
        <f t="shared" si="6"/>
        <v>2070</v>
      </c>
      <c r="BG39" s="1012">
        <f t="shared" si="6"/>
        <v>2071</v>
      </c>
      <c r="BH39" s="1012">
        <f t="shared" si="6"/>
        <v>2072</v>
      </c>
      <c r="BI39" s="1012">
        <f t="shared" si="6"/>
        <v>2073</v>
      </c>
      <c r="BJ39" s="1012">
        <f t="shared" si="6"/>
        <v>2074</v>
      </c>
      <c r="BK39" s="1012">
        <f t="shared" si="6"/>
        <v>2075</v>
      </c>
      <c r="BL39" s="1012">
        <f t="shared" si="6"/>
        <v>2076</v>
      </c>
      <c r="BM39" s="1012">
        <f t="shared" si="6"/>
        <v>2077</v>
      </c>
      <c r="BN39" s="1012">
        <f t="shared" si="6"/>
        <v>2078</v>
      </c>
      <c r="BO39" s="1012">
        <f t="shared" si="6"/>
        <v>2079</v>
      </c>
      <c r="BP39" s="1012">
        <f t="shared" ref="BP39:EA39" si="7">VALUE(LEFT(BP38,4))</f>
        <v>2080</v>
      </c>
      <c r="BQ39" s="1012">
        <f t="shared" si="7"/>
        <v>2081</v>
      </c>
      <c r="BR39" s="1012">
        <f t="shared" si="7"/>
        <v>2082</v>
      </c>
      <c r="BS39" s="1012">
        <f t="shared" si="7"/>
        <v>2083</v>
      </c>
      <c r="BT39" s="1012">
        <f t="shared" si="7"/>
        <v>2084</v>
      </c>
      <c r="BU39" s="1012">
        <f t="shared" si="7"/>
        <v>2085</v>
      </c>
      <c r="BV39" s="1012">
        <f t="shared" si="7"/>
        <v>2086</v>
      </c>
      <c r="BW39" s="1012">
        <f t="shared" si="7"/>
        <v>2087</v>
      </c>
      <c r="BX39" s="1012">
        <f t="shared" si="7"/>
        <v>2088</v>
      </c>
      <c r="BY39" s="1012">
        <f t="shared" si="7"/>
        <v>2089</v>
      </c>
      <c r="BZ39" s="1012">
        <f t="shared" si="7"/>
        <v>2090</v>
      </c>
      <c r="CA39" s="1012">
        <f t="shared" si="7"/>
        <v>2091</v>
      </c>
      <c r="CB39" s="1012">
        <f t="shared" si="7"/>
        <v>2092</v>
      </c>
      <c r="CC39" s="1012">
        <f t="shared" si="7"/>
        <v>2093</v>
      </c>
      <c r="CD39" s="1012">
        <f t="shared" si="7"/>
        <v>2094</v>
      </c>
      <c r="CE39" s="1012">
        <f t="shared" si="7"/>
        <v>2095</v>
      </c>
      <c r="CF39" s="1012">
        <f t="shared" si="7"/>
        <v>2096</v>
      </c>
      <c r="CG39" s="1012">
        <f t="shared" si="7"/>
        <v>2097</v>
      </c>
      <c r="CH39" s="1012">
        <f t="shared" si="7"/>
        <v>2098</v>
      </c>
      <c r="CI39" s="1012">
        <f t="shared" si="7"/>
        <v>2099</v>
      </c>
      <c r="CJ39" s="1012">
        <f t="shared" si="7"/>
        <v>2100</v>
      </c>
      <c r="CK39" s="1012">
        <f t="shared" si="7"/>
        <v>2101</v>
      </c>
      <c r="CL39" s="1012">
        <f t="shared" si="7"/>
        <v>2102</v>
      </c>
      <c r="CM39" s="1012">
        <f t="shared" si="7"/>
        <v>2103</v>
      </c>
      <c r="CN39" s="1012">
        <f t="shared" si="7"/>
        <v>2104</v>
      </c>
      <c r="CO39" s="1012">
        <f t="shared" si="7"/>
        <v>2105</v>
      </c>
      <c r="CP39" s="1012">
        <f t="shared" si="7"/>
        <v>2106</v>
      </c>
      <c r="CQ39" s="1012">
        <f t="shared" si="7"/>
        <v>2107</v>
      </c>
      <c r="CR39" s="1012">
        <f t="shared" si="7"/>
        <v>2108</v>
      </c>
      <c r="CS39" s="1012">
        <f t="shared" si="7"/>
        <v>2109</v>
      </c>
      <c r="CT39" s="1012">
        <f t="shared" si="7"/>
        <v>2110</v>
      </c>
      <c r="CU39" s="1012">
        <f t="shared" si="7"/>
        <v>2111</v>
      </c>
      <c r="CV39" s="1012">
        <f t="shared" si="7"/>
        <v>2112</v>
      </c>
      <c r="CW39" s="1012">
        <f t="shared" si="7"/>
        <v>2113</v>
      </c>
      <c r="CX39" s="1012">
        <f t="shared" si="7"/>
        <v>2114</v>
      </c>
      <c r="CY39" s="1012">
        <f t="shared" si="7"/>
        <v>2115</v>
      </c>
      <c r="CZ39" s="1012">
        <f t="shared" si="7"/>
        <v>2116</v>
      </c>
      <c r="DA39" s="1012">
        <f t="shared" si="7"/>
        <v>2117</v>
      </c>
      <c r="DB39" s="1012">
        <f t="shared" si="7"/>
        <v>2118</v>
      </c>
      <c r="DC39" s="1012">
        <f t="shared" si="7"/>
        <v>2119</v>
      </c>
      <c r="DD39" s="1012">
        <f t="shared" si="7"/>
        <v>2120</v>
      </c>
      <c r="DE39" s="1012">
        <f t="shared" si="7"/>
        <v>2121</v>
      </c>
      <c r="DF39" s="1012">
        <f t="shared" si="7"/>
        <v>2122</v>
      </c>
      <c r="DG39" s="1012">
        <f t="shared" si="7"/>
        <v>2123</v>
      </c>
      <c r="DH39" s="1012">
        <f t="shared" si="7"/>
        <v>2124</v>
      </c>
      <c r="DI39" s="1012">
        <f t="shared" si="7"/>
        <v>2125</v>
      </c>
      <c r="DJ39" s="1012">
        <f t="shared" si="7"/>
        <v>2126</v>
      </c>
      <c r="DK39" s="1012">
        <f t="shared" si="7"/>
        <v>2127</v>
      </c>
      <c r="DL39" s="1012">
        <f t="shared" si="7"/>
        <v>2128</v>
      </c>
      <c r="DM39" s="1012">
        <f t="shared" si="7"/>
        <v>2129</v>
      </c>
      <c r="DN39" s="1012">
        <f t="shared" si="7"/>
        <v>2130</v>
      </c>
      <c r="DO39" s="1012">
        <f t="shared" si="7"/>
        <v>2131</v>
      </c>
      <c r="DP39" s="1012">
        <f t="shared" si="7"/>
        <v>2132</v>
      </c>
      <c r="DQ39" s="1012">
        <f t="shared" si="7"/>
        <v>2133</v>
      </c>
      <c r="DR39" s="1012">
        <f t="shared" si="7"/>
        <v>2134</v>
      </c>
      <c r="DS39" s="1012">
        <f t="shared" si="7"/>
        <v>2135</v>
      </c>
      <c r="DT39" s="1012">
        <f t="shared" si="7"/>
        <v>2136</v>
      </c>
      <c r="DU39" s="1012">
        <f t="shared" si="7"/>
        <v>2137</v>
      </c>
      <c r="DV39" s="1012">
        <f t="shared" si="7"/>
        <v>2138</v>
      </c>
      <c r="DW39" s="1012">
        <f t="shared" si="7"/>
        <v>2139</v>
      </c>
      <c r="DX39" s="1012">
        <f t="shared" si="7"/>
        <v>2140</v>
      </c>
      <c r="DY39" s="1012">
        <f t="shared" si="7"/>
        <v>2141</v>
      </c>
      <c r="DZ39" s="1012">
        <f t="shared" si="7"/>
        <v>2142</v>
      </c>
      <c r="EA39" s="1012">
        <f t="shared" si="7"/>
        <v>2143</v>
      </c>
      <c r="EB39" s="1012">
        <f t="shared" ref="EB39:GM39" si="8">VALUE(LEFT(EB38,4))</f>
        <v>2144</v>
      </c>
      <c r="EC39" s="1012">
        <f t="shared" si="8"/>
        <v>2145</v>
      </c>
      <c r="ED39" s="1012">
        <f t="shared" si="8"/>
        <v>2146</v>
      </c>
      <c r="EE39" s="1012">
        <f t="shared" si="8"/>
        <v>2147</v>
      </c>
      <c r="EF39" s="1012">
        <f t="shared" si="8"/>
        <v>2148</v>
      </c>
      <c r="EG39" s="1012">
        <f t="shared" si="8"/>
        <v>2149</v>
      </c>
      <c r="EH39" s="1012">
        <f t="shared" si="8"/>
        <v>2150</v>
      </c>
      <c r="EI39" s="1012">
        <f t="shared" si="8"/>
        <v>2151</v>
      </c>
      <c r="EJ39" s="1012">
        <f t="shared" si="8"/>
        <v>2152</v>
      </c>
      <c r="EK39" s="1012">
        <f t="shared" si="8"/>
        <v>2153</v>
      </c>
      <c r="EL39" s="1012">
        <f t="shared" si="8"/>
        <v>2154</v>
      </c>
      <c r="EM39" s="1012">
        <f t="shared" si="8"/>
        <v>2155</v>
      </c>
      <c r="EN39" s="1012">
        <f t="shared" si="8"/>
        <v>2156</v>
      </c>
      <c r="EO39" s="1012">
        <f t="shared" si="8"/>
        <v>2157</v>
      </c>
      <c r="EP39" s="1012">
        <f t="shared" si="8"/>
        <v>2158</v>
      </c>
      <c r="EQ39" s="1012">
        <f t="shared" si="8"/>
        <v>2159</v>
      </c>
      <c r="ER39" s="1012">
        <f t="shared" si="8"/>
        <v>2160</v>
      </c>
      <c r="ES39" s="1012">
        <f t="shared" si="8"/>
        <v>2161</v>
      </c>
      <c r="ET39" s="1012">
        <f t="shared" si="8"/>
        <v>2162</v>
      </c>
      <c r="EU39" s="1012">
        <f t="shared" si="8"/>
        <v>2163</v>
      </c>
      <c r="EV39" s="1012">
        <f t="shared" si="8"/>
        <v>2164</v>
      </c>
      <c r="EW39" s="1012">
        <f t="shared" si="8"/>
        <v>2165</v>
      </c>
      <c r="EX39" s="1012">
        <f t="shared" si="8"/>
        <v>2166</v>
      </c>
      <c r="EY39" s="1012">
        <f t="shared" si="8"/>
        <v>2167</v>
      </c>
      <c r="EZ39" s="1012">
        <f t="shared" si="8"/>
        <v>2168</v>
      </c>
      <c r="FA39" s="1012">
        <f t="shared" si="8"/>
        <v>2169</v>
      </c>
      <c r="FB39" s="1012">
        <f t="shared" si="8"/>
        <v>2170</v>
      </c>
      <c r="FC39" s="1012">
        <f t="shared" si="8"/>
        <v>2171</v>
      </c>
      <c r="FD39" s="1012">
        <f t="shared" si="8"/>
        <v>2172</v>
      </c>
      <c r="FE39" s="1012">
        <f t="shared" si="8"/>
        <v>2173</v>
      </c>
      <c r="FF39" s="1012">
        <f t="shared" si="8"/>
        <v>2174</v>
      </c>
      <c r="FG39" s="1012">
        <f t="shared" si="8"/>
        <v>2175</v>
      </c>
      <c r="FH39" s="1012">
        <f t="shared" si="8"/>
        <v>2176</v>
      </c>
      <c r="FI39" s="1012">
        <f t="shared" si="8"/>
        <v>2177</v>
      </c>
      <c r="FJ39" s="1012">
        <f t="shared" si="8"/>
        <v>2178</v>
      </c>
      <c r="FK39" s="1012">
        <f t="shared" si="8"/>
        <v>2179</v>
      </c>
      <c r="FL39" s="1012">
        <f t="shared" si="8"/>
        <v>2180</v>
      </c>
      <c r="FM39" s="1012">
        <f t="shared" si="8"/>
        <v>2181</v>
      </c>
      <c r="FN39" s="1012">
        <f t="shared" si="8"/>
        <v>2182</v>
      </c>
      <c r="FO39" s="1012">
        <f t="shared" si="8"/>
        <v>2183</v>
      </c>
      <c r="FP39" s="1012">
        <f t="shared" si="8"/>
        <v>2184</v>
      </c>
      <c r="FQ39" s="1012">
        <f t="shared" si="8"/>
        <v>2185</v>
      </c>
      <c r="FR39" s="1012">
        <f t="shared" si="8"/>
        <v>2186</v>
      </c>
      <c r="FS39" s="1012">
        <f t="shared" si="8"/>
        <v>2187</v>
      </c>
      <c r="FT39" s="1012">
        <f t="shared" si="8"/>
        <v>2188</v>
      </c>
      <c r="FU39" s="1012">
        <f t="shared" si="8"/>
        <v>2189</v>
      </c>
      <c r="FV39" s="1012">
        <f t="shared" si="8"/>
        <v>2190</v>
      </c>
      <c r="FW39" s="1012">
        <f t="shared" si="8"/>
        <v>2191</v>
      </c>
      <c r="FX39" s="1012">
        <f t="shared" si="8"/>
        <v>2192</v>
      </c>
      <c r="FY39" s="1012">
        <f t="shared" si="8"/>
        <v>2193</v>
      </c>
      <c r="FZ39" s="1012">
        <f t="shared" si="8"/>
        <v>2194</v>
      </c>
      <c r="GA39" s="1012">
        <f t="shared" si="8"/>
        <v>2195</v>
      </c>
      <c r="GB39" s="1012">
        <f t="shared" si="8"/>
        <v>2196</v>
      </c>
      <c r="GC39" s="1012">
        <f t="shared" si="8"/>
        <v>2197</v>
      </c>
      <c r="GD39" s="1012">
        <f t="shared" si="8"/>
        <v>2198</v>
      </c>
      <c r="GE39" s="1012">
        <f t="shared" si="8"/>
        <v>2199</v>
      </c>
      <c r="GF39" s="1012">
        <f t="shared" si="8"/>
        <v>2200</v>
      </c>
      <c r="GG39" s="1012">
        <f t="shared" si="8"/>
        <v>2201</v>
      </c>
      <c r="GH39" s="1012">
        <f t="shared" si="8"/>
        <v>2202</v>
      </c>
      <c r="GI39" s="1012">
        <f t="shared" si="8"/>
        <v>2203</v>
      </c>
      <c r="GJ39" s="1012">
        <f t="shared" si="8"/>
        <v>2204</v>
      </c>
      <c r="GK39" s="1012">
        <f t="shared" si="8"/>
        <v>2205</v>
      </c>
      <c r="GL39" s="1012">
        <f t="shared" si="8"/>
        <v>2206</v>
      </c>
      <c r="GM39" s="1012">
        <f t="shared" si="8"/>
        <v>2207</v>
      </c>
      <c r="GN39" s="1012">
        <f t="shared" ref="GN39:IR39" si="9">VALUE(LEFT(GN38,4))</f>
        <v>2208</v>
      </c>
      <c r="GO39" s="1012">
        <f t="shared" si="9"/>
        <v>2209</v>
      </c>
      <c r="GP39" s="1012">
        <f t="shared" si="9"/>
        <v>2210</v>
      </c>
      <c r="GQ39" s="1012">
        <f t="shared" si="9"/>
        <v>2211</v>
      </c>
      <c r="GR39" s="1012">
        <f t="shared" si="9"/>
        <v>2212</v>
      </c>
      <c r="GS39" s="1012">
        <f t="shared" si="9"/>
        <v>2213</v>
      </c>
      <c r="GT39" s="1012">
        <f t="shared" si="9"/>
        <v>2214</v>
      </c>
      <c r="GU39" s="1012">
        <f t="shared" si="9"/>
        <v>2215</v>
      </c>
      <c r="GV39" s="1012">
        <f t="shared" si="9"/>
        <v>2216</v>
      </c>
      <c r="GW39" s="1012">
        <f t="shared" si="9"/>
        <v>2217</v>
      </c>
      <c r="GX39" s="1012">
        <f t="shared" si="9"/>
        <v>2218</v>
      </c>
      <c r="GY39" s="1012">
        <f t="shared" si="9"/>
        <v>2219</v>
      </c>
      <c r="GZ39" s="1012">
        <f t="shared" si="9"/>
        <v>2220</v>
      </c>
      <c r="HA39" s="1012">
        <f t="shared" si="9"/>
        <v>2221</v>
      </c>
      <c r="HB39" s="1012">
        <f t="shared" si="9"/>
        <v>2222</v>
      </c>
      <c r="HC39" s="1012">
        <f t="shared" si="9"/>
        <v>2223</v>
      </c>
      <c r="HD39" s="1012">
        <f t="shared" si="9"/>
        <v>2224</v>
      </c>
      <c r="HE39" s="1012">
        <f t="shared" si="9"/>
        <v>2225</v>
      </c>
      <c r="HF39" s="1012">
        <f t="shared" si="9"/>
        <v>2226</v>
      </c>
      <c r="HG39" s="1012">
        <f t="shared" si="9"/>
        <v>2227</v>
      </c>
      <c r="HH39" s="1012">
        <f t="shared" si="9"/>
        <v>2228</v>
      </c>
      <c r="HI39" s="1012">
        <f t="shared" si="9"/>
        <v>2229</v>
      </c>
      <c r="HJ39" s="1012">
        <f t="shared" si="9"/>
        <v>2230</v>
      </c>
      <c r="HK39" s="1012">
        <f t="shared" si="9"/>
        <v>2231</v>
      </c>
      <c r="HL39" s="1012">
        <f t="shared" si="9"/>
        <v>2232</v>
      </c>
      <c r="HM39" s="1012">
        <f t="shared" si="9"/>
        <v>2233</v>
      </c>
      <c r="HN39" s="1012">
        <f t="shared" si="9"/>
        <v>2234</v>
      </c>
      <c r="HO39" s="1012">
        <f t="shared" si="9"/>
        <v>2235</v>
      </c>
      <c r="HP39" s="1012">
        <f t="shared" si="9"/>
        <v>2236</v>
      </c>
      <c r="HQ39" s="1012">
        <f t="shared" si="9"/>
        <v>2237</v>
      </c>
      <c r="HR39" s="1012">
        <f t="shared" si="9"/>
        <v>2238</v>
      </c>
      <c r="HS39" s="1012">
        <f t="shared" si="9"/>
        <v>2239</v>
      </c>
      <c r="HT39" s="1012">
        <f t="shared" si="9"/>
        <v>2240</v>
      </c>
      <c r="HU39" s="1012">
        <f t="shared" si="9"/>
        <v>2241</v>
      </c>
      <c r="HV39" s="1012">
        <f t="shared" si="9"/>
        <v>2242</v>
      </c>
      <c r="HW39" s="1012">
        <f t="shared" si="9"/>
        <v>2243</v>
      </c>
      <c r="HX39" s="1012">
        <f t="shared" si="9"/>
        <v>2244</v>
      </c>
      <c r="HY39" s="1012">
        <f t="shared" si="9"/>
        <v>2245</v>
      </c>
      <c r="HZ39" s="1012">
        <f t="shared" si="9"/>
        <v>2246</v>
      </c>
      <c r="IA39" s="1012">
        <f t="shared" si="9"/>
        <v>2247</v>
      </c>
      <c r="IB39" s="1012">
        <f t="shared" si="9"/>
        <v>2248</v>
      </c>
      <c r="IC39" s="1012">
        <f t="shared" si="9"/>
        <v>2249</v>
      </c>
      <c r="ID39" s="1012">
        <f t="shared" si="9"/>
        <v>2250</v>
      </c>
      <c r="IE39" s="1012">
        <f t="shared" si="9"/>
        <v>2251</v>
      </c>
      <c r="IF39" s="1012">
        <f t="shared" si="9"/>
        <v>2252</v>
      </c>
      <c r="IG39" s="1012">
        <f t="shared" si="9"/>
        <v>2253</v>
      </c>
      <c r="IH39" s="1012">
        <f t="shared" si="9"/>
        <v>2254</v>
      </c>
      <c r="II39" s="1012">
        <f t="shared" si="9"/>
        <v>2255</v>
      </c>
      <c r="IJ39" s="1012">
        <f t="shared" si="9"/>
        <v>2256</v>
      </c>
      <c r="IK39" s="1012">
        <f t="shared" si="9"/>
        <v>2257</v>
      </c>
      <c r="IL39" s="1012">
        <f t="shared" si="9"/>
        <v>2258</v>
      </c>
      <c r="IM39" s="1012">
        <f t="shared" si="9"/>
        <v>2259</v>
      </c>
      <c r="IN39" s="1012">
        <f t="shared" si="9"/>
        <v>2260</v>
      </c>
      <c r="IO39" s="1012">
        <f t="shared" si="9"/>
        <v>2261</v>
      </c>
      <c r="IP39" s="1012">
        <f t="shared" si="9"/>
        <v>2262</v>
      </c>
      <c r="IQ39" s="1012">
        <f t="shared" si="9"/>
        <v>2263</v>
      </c>
      <c r="IR39" s="1012">
        <f t="shared" si="9"/>
        <v>2264</v>
      </c>
    </row>
    <row r="40" spans="1:252" s="1013" customFormat="1" ht="13.5" customHeight="1" collapsed="1" thickBot="1">
      <c r="B40" s="1014"/>
      <c r="C40" s="1015" t="str">
        <f t="shared" ref="C40:BN40" si="10">IF($B$333="NJ","F"&amp;C$333&amp;"e",IF(AND($B$333="J",$B$335=$J$5),C$334,IF(AND($B$333="J",$B$335=$BJ$7),C$335)))</f>
        <v>F2015e</v>
      </c>
      <c r="D40" s="1015" t="str">
        <f t="shared" si="10"/>
        <v>F2016e</v>
      </c>
      <c r="E40" s="1015" t="str">
        <f t="shared" si="10"/>
        <v>F2017e</v>
      </c>
      <c r="F40" s="1015" t="str">
        <f t="shared" si="10"/>
        <v>F2018e</v>
      </c>
      <c r="G40" s="1015" t="str">
        <f t="shared" si="10"/>
        <v>F2019e</v>
      </c>
      <c r="H40" s="1015" t="str">
        <f t="shared" si="10"/>
        <v>F2020e</v>
      </c>
      <c r="I40" s="1015" t="str">
        <f t="shared" si="10"/>
        <v>F2021e</v>
      </c>
      <c r="J40" s="1015" t="str">
        <f t="shared" si="10"/>
        <v>F2022e</v>
      </c>
      <c r="K40" s="1015" t="str">
        <f t="shared" si="10"/>
        <v>F2023e</v>
      </c>
      <c r="L40" s="1015" t="str">
        <f t="shared" si="10"/>
        <v>F2024e</v>
      </c>
      <c r="M40" s="1015" t="str">
        <f t="shared" si="10"/>
        <v>F2025e</v>
      </c>
      <c r="N40" s="1015" t="str">
        <f t="shared" si="10"/>
        <v>F2026e</v>
      </c>
      <c r="O40" s="1015" t="str">
        <f t="shared" si="10"/>
        <v>F2027e</v>
      </c>
      <c r="P40" s="1015" t="str">
        <f t="shared" si="10"/>
        <v>F2028e</v>
      </c>
      <c r="Q40" s="1015" t="str">
        <f t="shared" si="10"/>
        <v>F2029e</v>
      </c>
      <c r="R40" s="1015" t="str">
        <f t="shared" si="10"/>
        <v>F2030e</v>
      </c>
      <c r="S40" s="1015" t="str">
        <f t="shared" si="10"/>
        <v>F2031e</v>
      </c>
      <c r="T40" s="1015" t="str">
        <f t="shared" si="10"/>
        <v>F2032e</v>
      </c>
      <c r="U40" s="1015" t="str">
        <f t="shared" si="10"/>
        <v>F2033e</v>
      </c>
      <c r="V40" s="1015" t="str">
        <f t="shared" si="10"/>
        <v>F2034e</v>
      </c>
      <c r="W40" s="1015" t="str">
        <f t="shared" si="10"/>
        <v>F2035e</v>
      </c>
      <c r="X40" s="1015" t="str">
        <f t="shared" si="10"/>
        <v>F2036e</v>
      </c>
      <c r="Y40" s="1015" t="str">
        <f t="shared" si="10"/>
        <v>F2037e</v>
      </c>
      <c r="Z40" s="1015" t="str">
        <f t="shared" si="10"/>
        <v>F2038e</v>
      </c>
      <c r="AA40" s="1015" t="str">
        <f t="shared" si="10"/>
        <v>F2039e</v>
      </c>
      <c r="AB40" s="1015" t="str">
        <f t="shared" si="10"/>
        <v>F2040e</v>
      </c>
      <c r="AC40" s="1015" t="str">
        <f t="shared" si="10"/>
        <v>F2041e</v>
      </c>
      <c r="AD40" s="1015" t="str">
        <f t="shared" si="10"/>
        <v>F2042e</v>
      </c>
      <c r="AE40" s="1015" t="str">
        <f t="shared" si="10"/>
        <v>F2043e</v>
      </c>
      <c r="AF40" s="1015" t="str">
        <f t="shared" si="10"/>
        <v>F2044e</v>
      </c>
      <c r="AG40" s="1015" t="str">
        <f t="shared" si="10"/>
        <v>F2045e</v>
      </c>
      <c r="AH40" s="1015" t="str">
        <f t="shared" si="10"/>
        <v>F2046e</v>
      </c>
      <c r="AI40" s="1015" t="str">
        <f t="shared" si="10"/>
        <v>F2047e</v>
      </c>
      <c r="AJ40" s="1015" t="str">
        <f t="shared" si="10"/>
        <v>F2048e</v>
      </c>
      <c r="AK40" s="1015" t="str">
        <f t="shared" si="10"/>
        <v>F2049e</v>
      </c>
      <c r="AL40" s="1015" t="str">
        <f t="shared" si="10"/>
        <v>F2050e</v>
      </c>
      <c r="AM40" s="1015" t="str">
        <f t="shared" si="10"/>
        <v>F2051e</v>
      </c>
      <c r="AN40" s="1015" t="str">
        <f t="shared" si="10"/>
        <v>F2052e</v>
      </c>
      <c r="AO40" s="1015" t="str">
        <f t="shared" si="10"/>
        <v>F2053e</v>
      </c>
      <c r="AP40" s="1015" t="str">
        <f t="shared" si="10"/>
        <v>F2054e</v>
      </c>
      <c r="AQ40" s="1015" t="str">
        <f t="shared" si="10"/>
        <v>F2055e</v>
      </c>
      <c r="AR40" s="1015" t="str">
        <f t="shared" si="10"/>
        <v>F2056e</v>
      </c>
      <c r="AS40" s="1015" t="str">
        <f t="shared" si="10"/>
        <v>F2057e</v>
      </c>
      <c r="AT40" s="1015" t="str">
        <f t="shared" si="10"/>
        <v>F2058e</v>
      </c>
      <c r="AU40" s="1015" t="str">
        <f t="shared" si="10"/>
        <v>F2059e</v>
      </c>
      <c r="AV40" s="1015" t="str">
        <f t="shared" si="10"/>
        <v>F2060e</v>
      </c>
      <c r="AW40" s="1015" t="str">
        <f t="shared" si="10"/>
        <v>F2061e</v>
      </c>
      <c r="AX40" s="1015" t="str">
        <f t="shared" si="10"/>
        <v>F2062e</v>
      </c>
      <c r="AY40" s="1015" t="str">
        <f t="shared" si="10"/>
        <v>F2063e</v>
      </c>
      <c r="AZ40" s="1015" t="str">
        <f t="shared" si="10"/>
        <v>F2064e</v>
      </c>
      <c r="BA40" s="1015" t="str">
        <f t="shared" si="10"/>
        <v>F2065e</v>
      </c>
      <c r="BB40" s="1015" t="str">
        <f t="shared" si="10"/>
        <v>F2066e</v>
      </c>
      <c r="BC40" s="1015" t="str">
        <f t="shared" si="10"/>
        <v>F2067e</v>
      </c>
      <c r="BD40" s="1015" t="str">
        <f t="shared" si="10"/>
        <v>F2068e</v>
      </c>
      <c r="BE40" s="1015" t="str">
        <f t="shared" si="10"/>
        <v>F2069e</v>
      </c>
      <c r="BF40" s="1015" t="str">
        <f t="shared" si="10"/>
        <v>F2070e</v>
      </c>
      <c r="BG40" s="1015" t="str">
        <f t="shared" si="10"/>
        <v>F2071e</v>
      </c>
      <c r="BH40" s="1015" t="str">
        <f t="shared" si="10"/>
        <v>F2072e</v>
      </c>
      <c r="BI40" s="1015" t="str">
        <f t="shared" si="10"/>
        <v>F2073e</v>
      </c>
      <c r="BJ40" s="1015" t="str">
        <f t="shared" si="10"/>
        <v>F2074e</v>
      </c>
      <c r="BK40" s="1015" t="str">
        <f t="shared" si="10"/>
        <v>F2075e</v>
      </c>
      <c r="BL40" s="1015" t="str">
        <f t="shared" si="10"/>
        <v>F2076e</v>
      </c>
      <c r="BM40" s="1015" t="str">
        <f t="shared" si="10"/>
        <v>F2077e</v>
      </c>
      <c r="BN40" s="1015" t="str">
        <f t="shared" si="10"/>
        <v>F2078e</v>
      </c>
      <c r="BO40" s="1015" t="str">
        <f t="shared" ref="BO40:DZ40" si="11">IF($B$333="NJ","F"&amp;BO$333&amp;"e",IF(AND($B$333="J",$B$335=$J$5),BO$334,IF(AND($B$333="J",$B$335=$BJ$7),BO$335)))</f>
        <v>F2079e</v>
      </c>
      <c r="BP40" s="1015" t="str">
        <f t="shared" si="11"/>
        <v>F2080e</v>
      </c>
      <c r="BQ40" s="1015" t="str">
        <f t="shared" si="11"/>
        <v>F2081e</v>
      </c>
      <c r="BR40" s="1015" t="str">
        <f t="shared" si="11"/>
        <v>F2082e</v>
      </c>
      <c r="BS40" s="1015" t="str">
        <f t="shared" si="11"/>
        <v>F2083e</v>
      </c>
      <c r="BT40" s="1015" t="str">
        <f t="shared" si="11"/>
        <v>F2084e</v>
      </c>
      <c r="BU40" s="1015" t="str">
        <f t="shared" si="11"/>
        <v>F2085e</v>
      </c>
      <c r="BV40" s="1015" t="str">
        <f t="shared" si="11"/>
        <v>F2086e</v>
      </c>
      <c r="BW40" s="1015" t="str">
        <f t="shared" si="11"/>
        <v>F2087e</v>
      </c>
      <c r="BX40" s="1016" t="str">
        <f t="shared" si="11"/>
        <v>F2088e</v>
      </c>
      <c r="BY40" s="1015" t="str">
        <f t="shared" si="11"/>
        <v>F2089e</v>
      </c>
      <c r="BZ40" s="1015" t="str">
        <f t="shared" si="11"/>
        <v>F2090e</v>
      </c>
      <c r="CA40" s="1015" t="str">
        <f t="shared" si="11"/>
        <v>F2091e</v>
      </c>
      <c r="CB40" s="1015" t="str">
        <f t="shared" si="11"/>
        <v>F2092e</v>
      </c>
      <c r="CC40" s="1015" t="str">
        <f t="shared" si="11"/>
        <v>F2093e</v>
      </c>
      <c r="CD40" s="1015" t="str">
        <f t="shared" si="11"/>
        <v>F2094e</v>
      </c>
      <c r="CE40" s="1015" t="str">
        <f t="shared" si="11"/>
        <v>F2095e</v>
      </c>
      <c r="CF40" s="1015" t="str">
        <f t="shared" si="11"/>
        <v>F2096e</v>
      </c>
      <c r="CG40" s="1015" t="str">
        <f t="shared" si="11"/>
        <v>F2097e</v>
      </c>
      <c r="CH40" s="1015" t="str">
        <f t="shared" si="11"/>
        <v>F2098e</v>
      </c>
      <c r="CI40" s="1015" t="str">
        <f t="shared" si="11"/>
        <v>F2099e</v>
      </c>
      <c r="CJ40" s="1015" t="str">
        <f t="shared" si="11"/>
        <v>F2100e</v>
      </c>
      <c r="CK40" s="1015" t="str">
        <f t="shared" si="11"/>
        <v>F2101e</v>
      </c>
      <c r="CL40" s="1015" t="str">
        <f t="shared" si="11"/>
        <v>F2102e</v>
      </c>
      <c r="CM40" s="1015" t="str">
        <f t="shared" si="11"/>
        <v>F2103e</v>
      </c>
      <c r="CN40" s="1015" t="str">
        <f t="shared" si="11"/>
        <v>F2104e</v>
      </c>
      <c r="CO40" s="1015" t="str">
        <f t="shared" si="11"/>
        <v>F2105e</v>
      </c>
      <c r="CP40" s="1015" t="str">
        <f t="shared" si="11"/>
        <v>F2106e</v>
      </c>
      <c r="CQ40" s="1015" t="str">
        <f t="shared" si="11"/>
        <v>F2107e</v>
      </c>
      <c r="CR40" s="1015" t="str">
        <f t="shared" si="11"/>
        <v>F2108e</v>
      </c>
      <c r="CS40" s="1015" t="str">
        <f t="shared" si="11"/>
        <v>F2109e</v>
      </c>
      <c r="CT40" s="1015" t="str">
        <f t="shared" si="11"/>
        <v>F2110e</v>
      </c>
      <c r="CU40" s="1015" t="str">
        <f t="shared" si="11"/>
        <v>F2111e</v>
      </c>
      <c r="CV40" s="1015" t="str">
        <f t="shared" si="11"/>
        <v>F2112e</v>
      </c>
      <c r="CW40" s="1015" t="str">
        <f t="shared" si="11"/>
        <v>F2113e</v>
      </c>
      <c r="CX40" s="1015" t="str">
        <f t="shared" si="11"/>
        <v>F2114e</v>
      </c>
      <c r="CY40" s="1015" t="str">
        <f t="shared" si="11"/>
        <v>F2115e</v>
      </c>
      <c r="CZ40" s="1015" t="str">
        <f t="shared" si="11"/>
        <v>F2116e</v>
      </c>
      <c r="DA40" s="1015" t="str">
        <f t="shared" si="11"/>
        <v>F2117e</v>
      </c>
      <c r="DB40" s="1015" t="str">
        <f t="shared" si="11"/>
        <v>F2118e</v>
      </c>
      <c r="DC40" s="1015" t="str">
        <f t="shared" si="11"/>
        <v>F2119e</v>
      </c>
      <c r="DD40" s="1015" t="str">
        <f t="shared" si="11"/>
        <v>F2120e</v>
      </c>
      <c r="DE40" s="1015" t="str">
        <f t="shared" si="11"/>
        <v>F2121e</v>
      </c>
      <c r="DF40" s="1015" t="str">
        <f t="shared" si="11"/>
        <v>F2122e</v>
      </c>
      <c r="DG40" s="1015" t="str">
        <f t="shared" si="11"/>
        <v>F2123e</v>
      </c>
      <c r="DH40" s="1015" t="str">
        <f t="shared" si="11"/>
        <v>F2124e</v>
      </c>
      <c r="DI40" s="1015" t="str">
        <f t="shared" si="11"/>
        <v>F2125e</v>
      </c>
      <c r="DJ40" s="1015" t="str">
        <f t="shared" si="11"/>
        <v>F2126e</v>
      </c>
      <c r="DK40" s="1015" t="str">
        <f t="shared" si="11"/>
        <v>F2127e</v>
      </c>
      <c r="DL40" s="1015" t="str">
        <f t="shared" si="11"/>
        <v>F2128e</v>
      </c>
      <c r="DM40" s="1015" t="str">
        <f t="shared" si="11"/>
        <v>F2129e</v>
      </c>
      <c r="DN40" s="1015" t="str">
        <f t="shared" si="11"/>
        <v>F2130e</v>
      </c>
      <c r="DO40" s="1015" t="str">
        <f t="shared" si="11"/>
        <v>F2131e</v>
      </c>
      <c r="DP40" s="1015" t="str">
        <f t="shared" si="11"/>
        <v>F2132e</v>
      </c>
      <c r="DQ40" s="1015" t="str">
        <f t="shared" si="11"/>
        <v>F2133e</v>
      </c>
      <c r="DR40" s="1015" t="str">
        <f t="shared" si="11"/>
        <v>F2134e</v>
      </c>
      <c r="DS40" s="1015" t="str">
        <f t="shared" si="11"/>
        <v>F2135e</v>
      </c>
      <c r="DT40" s="1015" t="str">
        <f t="shared" si="11"/>
        <v>F2136e</v>
      </c>
      <c r="DU40" s="1015" t="str">
        <f t="shared" si="11"/>
        <v>F2137e</v>
      </c>
      <c r="DV40" s="1015" t="str">
        <f t="shared" si="11"/>
        <v>F2138e</v>
      </c>
      <c r="DW40" s="1015" t="str">
        <f t="shared" si="11"/>
        <v>F2139e</v>
      </c>
      <c r="DX40" s="1015" t="str">
        <f t="shared" si="11"/>
        <v>F2140e</v>
      </c>
      <c r="DY40" s="1015" t="str">
        <f t="shared" si="11"/>
        <v>F2141e</v>
      </c>
      <c r="DZ40" s="1015" t="str">
        <f t="shared" si="11"/>
        <v>F2142e</v>
      </c>
      <c r="EA40" s="1015" t="str">
        <f t="shared" ref="EA40:GL40" si="12">IF($B$333="NJ","F"&amp;EA$333&amp;"e",IF(AND($B$333="J",$B$335=$J$5),EA$334,IF(AND($B$333="J",$B$335=$BJ$7),EA$335)))</f>
        <v>F2143e</v>
      </c>
      <c r="EB40" s="1015" t="str">
        <f t="shared" si="12"/>
        <v>F2144e</v>
      </c>
      <c r="EC40" s="1015" t="str">
        <f t="shared" si="12"/>
        <v>F2145e</v>
      </c>
      <c r="ED40" s="1015" t="str">
        <f t="shared" si="12"/>
        <v>F2146e</v>
      </c>
      <c r="EE40" s="1015" t="str">
        <f t="shared" si="12"/>
        <v>F2147e</v>
      </c>
      <c r="EF40" s="1015" t="str">
        <f t="shared" si="12"/>
        <v>F2148e</v>
      </c>
      <c r="EG40" s="1015" t="str">
        <f t="shared" si="12"/>
        <v>F2149e</v>
      </c>
      <c r="EH40" s="1015" t="str">
        <f t="shared" si="12"/>
        <v>F2150e</v>
      </c>
      <c r="EI40" s="1015" t="str">
        <f t="shared" si="12"/>
        <v>F2151e</v>
      </c>
      <c r="EJ40" s="1015" t="str">
        <f t="shared" si="12"/>
        <v>F2152e</v>
      </c>
      <c r="EK40" s="1015" t="str">
        <f t="shared" si="12"/>
        <v>F2153e</v>
      </c>
      <c r="EL40" s="1015" t="str">
        <f t="shared" si="12"/>
        <v>F2154e</v>
      </c>
      <c r="EM40" s="1015" t="str">
        <f t="shared" si="12"/>
        <v>F2155e</v>
      </c>
      <c r="EN40" s="1015" t="str">
        <f t="shared" si="12"/>
        <v>F2156e</v>
      </c>
      <c r="EO40" s="1015" t="str">
        <f t="shared" si="12"/>
        <v>F2157e</v>
      </c>
      <c r="EP40" s="1015" t="str">
        <f t="shared" si="12"/>
        <v>F2158e</v>
      </c>
      <c r="EQ40" s="1015" t="str">
        <f t="shared" si="12"/>
        <v>F2159e</v>
      </c>
      <c r="ER40" s="1015" t="str">
        <f t="shared" si="12"/>
        <v>F2160e</v>
      </c>
      <c r="ES40" s="1015" t="str">
        <f t="shared" si="12"/>
        <v>F2161e</v>
      </c>
      <c r="ET40" s="1015" t="str">
        <f t="shared" si="12"/>
        <v>F2162e</v>
      </c>
      <c r="EU40" s="1015" t="str">
        <f t="shared" si="12"/>
        <v>F2163e</v>
      </c>
      <c r="EV40" s="1015" t="str">
        <f t="shared" si="12"/>
        <v>F2164e</v>
      </c>
      <c r="EW40" s="1015" t="str">
        <f t="shared" si="12"/>
        <v>F2165e</v>
      </c>
      <c r="EX40" s="1015" t="str">
        <f t="shared" si="12"/>
        <v>F2166e</v>
      </c>
      <c r="EY40" s="1015" t="str">
        <f t="shared" si="12"/>
        <v>F2167e</v>
      </c>
      <c r="EZ40" s="1015" t="str">
        <f t="shared" si="12"/>
        <v>F2168e</v>
      </c>
      <c r="FA40" s="1015" t="str">
        <f t="shared" si="12"/>
        <v>F2169e</v>
      </c>
      <c r="FB40" s="1015" t="str">
        <f t="shared" si="12"/>
        <v>F2170e</v>
      </c>
      <c r="FC40" s="1015" t="str">
        <f t="shared" si="12"/>
        <v>F2171e</v>
      </c>
      <c r="FD40" s="1015" t="str">
        <f t="shared" si="12"/>
        <v>F2172e</v>
      </c>
      <c r="FE40" s="1015" t="str">
        <f t="shared" si="12"/>
        <v>F2173e</v>
      </c>
      <c r="FF40" s="1015" t="str">
        <f t="shared" si="12"/>
        <v>F2174e</v>
      </c>
      <c r="FG40" s="1015" t="str">
        <f t="shared" si="12"/>
        <v>F2175e</v>
      </c>
      <c r="FH40" s="1015" t="str">
        <f t="shared" si="12"/>
        <v>F2176e</v>
      </c>
      <c r="FI40" s="1015" t="str">
        <f t="shared" si="12"/>
        <v>F2177e</v>
      </c>
      <c r="FJ40" s="1015" t="str">
        <f t="shared" si="12"/>
        <v>F2178e</v>
      </c>
      <c r="FK40" s="1015" t="str">
        <f t="shared" si="12"/>
        <v>F2179e</v>
      </c>
      <c r="FL40" s="1015" t="str">
        <f t="shared" si="12"/>
        <v>F2180e</v>
      </c>
      <c r="FM40" s="1015" t="str">
        <f t="shared" si="12"/>
        <v>F2181e</v>
      </c>
      <c r="FN40" s="1015" t="str">
        <f t="shared" si="12"/>
        <v>F2182e</v>
      </c>
      <c r="FO40" s="1015" t="str">
        <f t="shared" si="12"/>
        <v>F2183e</v>
      </c>
      <c r="FP40" s="1015" t="str">
        <f t="shared" si="12"/>
        <v>F2184e</v>
      </c>
      <c r="FQ40" s="1015" t="str">
        <f t="shared" si="12"/>
        <v>F2185e</v>
      </c>
      <c r="FR40" s="1015" t="str">
        <f t="shared" si="12"/>
        <v>F2186e</v>
      </c>
      <c r="FS40" s="1015" t="str">
        <f t="shared" si="12"/>
        <v>F2187e</v>
      </c>
      <c r="FT40" s="1015" t="str">
        <f t="shared" si="12"/>
        <v>F2188e</v>
      </c>
      <c r="FU40" s="1015" t="str">
        <f t="shared" si="12"/>
        <v>F2189e</v>
      </c>
      <c r="FV40" s="1015" t="str">
        <f t="shared" si="12"/>
        <v>F2190e</v>
      </c>
      <c r="FW40" s="1015" t="str">
        <f t="shared" si="12"/>
        <v>F2191e</v>
      </c>
      <c r="FX40" s="1015" t="str">
        <f t="shared" si="12"/>
        <v>F2192e</v>
      </c>
      <c r="FY40" s="1015" t="str">
        <f t="shared" si="12"/>
        <v>F2193e</v>
      </c>
      <c r="FZ40" s="1015" t="str">
        <f t="shared" si="12"/>
        <v>F2194e</v>
      </c>
      <c r="GA40" s="1015" t="str">
        <f t="shared" si="12"/>
        <v>F2195e</v>
      </c>
      <c r="GB40" s="1015" t="str">
        <f t="shared" si="12"/>
        <v>F2196e</v>
      </c>
      <c r="GC40" s="1015" t="str">
        <f t="shared" si="12"/>
        <v>F2197e</v>
      </c>
      <c r="GD40" s="1015" t="str">
        <f t="shared" si="12"/>
        <v>F2198e</v>
      </c>
      <c r="GE40" s="1015" t="str">
        <f t="shared" si="12"/>
        <v>F2199e</v>
      </c>
      <c r="GF40" s="1015" t="str">
        <f t="shared" si="12"/>
        <v>F2200e</v>
      </c>
      <c r="GG40" s="1015" t="str">
        <f t="shared" si="12"/>
        <v>F2201e</v>
      </c>
      <c r="GH40" s="1015" t="str">
        <f t="shared" si="12"/>
        <v>F2202e</v>
      </c>
      <c r="GI40" s="1015" t="str">
        <f t="shared" si="12"/>
        <v>F2203e</v>
      </c>
      <c r="GJ40" s="1015" t="str">
        <f t="shared" si="12"/>
        <v>F2204e</v>
      </c>
      <c r="GK40" s="1015" t="str">
        <f t="shared" si="12"/>
        <v>F2205e</v>
      </c>
      <c r="GL40" s="1015" t="str">
        <f t="shared" si="12"/>
        <v>F2206e</v>
      </c>
      <c r="GM40" s="1015" t="str">
        <f t="shared" ref="GM40:IR40" si="13">IF($B$333="NJ","F"&amp;GM$333&amp;"e",IF(AND($B$333="J",$B$335=$J$5),GM$334,IF(AND($B$333="J",$B$335=$BJ$7),GM$335)))</f>
        <v>F2207e</v>
      </c>
      <c r="GN40" s="1015" t="str">
        <f t="shared" si="13"/>
        <v>F2208e</v>
      </c>
      <c r="GO40" s="1015" t="str">
        <f t="shared" si="13"/>
        <v>F2209e</v>
      </c>
      <c r="GP40" s="1015" t="str">
        <f t="shared" si="13"/>
        <v>F2210e</v>
      </c>
      <c r="GQ40" s="1015" t="str">
        <f t="shared" si="13"/>
        <v>F2211e</v>
      </c>
      <c r="GR40" s="1015" t="str">
        <f t="shared" si="13"/>
        <v>F2212e</v>
      </c>
      <c r="GS40" s="1015" t="str">
        <f t="shared" si="13"/>
        <v>F2213e</v>
      </c>
      <c r="GT40" s="1015" t="str">
        <f t="shared" si="13"/>
        <v>F2214e</v>
      </c>
      <c r="GU40" s="1015" t="str">
        <f t="shared" si="13"/>
        <v>F2215e</v>
      </c>
      <c r="GV40" s="1015" t="str">
        <f t="shared" si="13"/>
        <v>F2216e</v>
      </c>
      <c r="GW40" s="1015" t="str">
        <f t="shared" si="13"/>
        <v>F2217e</v>
      </c>
      <c r="GX40" s="1015" t="str">
        <f t="shared" si="13"/>
        <v>F2218e</v>
      </c>
      <c r="GY40" s="1015" t="str">
        <f t="shared" si="13"/>
        <v>F2219e</v>
      </c>
      <c r="GZ40" s="1015" t="str">
        <f t="shared" si="13"/>
        <v>F2220e</v>
      </c>
      <c r="HA40" s="1015" t="str">
        <f t="shared" si="13"/>
        <v>F2221e</v>
      </c>
      <c r="HB40" s="1015" t="str">
        <f t="shared" si="13"/>
        <v>F2222e</v>
      </c>
      <c r="HC40" s="1015" t="str">
        <f t="shared" si="13"/>
        <v>F2223e</v>
      </c>
      <c r="HD40" s="1015" t="str">
        <f t="shared" si="13"/>
        <v>F2224e</v>
      </c>
      <c r="HE40" s="1015" t="str">
        <f t="shared" si="13"/>
        <v>F2225e</v>
      </c>
      <c r="HF40" s="1015" t="str">
        <f t="shared" si="13"/>
        <v>F2226e</v>
      </c>
      <c r="HG40" s="1015" t="str">
        <f t="shared" si="13"/>
        <v>F2227e</v>
      </c>
      <c r="HH40" s="1015" t="str">
        <f t="shared" si="13"/>
        <v>F2228e</v>
      </c>
      <c r="HI40" s="1015" t="str">
        <f t="shared" si="13"/>
        <v>F2229e</v>
      </c>
      <c r="HJ40" s="1015" t="str">
        <f t="shared" si="13"/>
        <v>F2230e</v>
      </c>
      <c r="HK40" s="1015" t="str">
        <f t="shared" si="13"/>
        <v>F2231e</v>
      </c>
      <c r="HL40" s="1015" t="str">
        <f t="shared" si="13"/>
        <v>F2232e</v>
      </c>
      <c r="HM40" s="1015" t="str">
        <f t="shared" si="13"/>
        <v>F2233e</v>
      </c>
      <c r="HN40" s="1015" t="str">
        <f t="shared" si="13"/>
        <v>F2234e</v>
      </c>
      <c r="HO40" s="1015" t="str">
        <f t="shared" si="13"/>
        <v>F2235e</v>
      </c>
      <c r="HP40" s="1015" t="str">
        <f t="shared" si="13"/>
        <v>F2236e</v>
      </c>
      <c r="HQ40" s="1015" t="str">
        <f t="shared" si="13"/>
        <v>F2237e</v>
      </c>
      <c r="HR40" s="1015" t="str">
        <f t="shared" si="13"/>
        <v>F2238e</v>
      </c>
      <c r="HS40" s="1015" t="str">
        <f t="shared" si="13"/>
        <v>F2239e</v>
      </c>
      <c r="HT40" s="1015" t="str">
        <f t="shared" si="13"/>
        <v>F2240e</v>
      </c>
      <c r="HU40" s="1015" t="str">
        <f t="shared" si="13"/>
        <v>F2241e</v>
      </c>
      <c r="HV40" s="1015" t="str">
        <f t="shared" si="13"/>
        <v>F2242e</v>
      </c>
      <c r="HW40" s="1015" t="str">
        <f t="shared" si="13"/>
        <v>F2243e</v>
      </c>
      <c r="HX40" s="1015" t="str">
        <f t="shared" si="13"/>
        <v>F2244e</v>
      </c>
      <c r="HY40" s="1015" t="str">
        <f t="shared" si="13"/>
        <v>F2245e</v>
      </c>
      <c r="HZ40" s="1015" t="str">
        <f t="shared" si="13"/>
        <v>F2246e</v>
      </c>
      <c r="IA40" s="1015" t="str">
        <f t="shared" si="13"/>
        <v>F2247e</v>
      </c>
      <c r="IB40" s="1015" t="str">
        <f t="shared" si="13"/>
        <v>F2248e</v>
      </c>
      <c r="IC40" s="1015" t="str">
        <f t="shared" si="13"/>
        <v>F2249e</v>
      </c>
      <c r="ID40" s="1015" t="str">
        <f t="shared" si="13"/>
        <v>F2250e</v>
      </c>
      <c r="IE40" s="1015" t="str">
        <f t="shared" si="13"/>
        <v>F2251e</v>
      </c>
      <c r="IF40" s="1015" t="str">
        <f t="shared" si="13"/>
        <v>F2252e</v>
      </c>
      <c r="IG40" s="1015" t="str">
        <f t="shared" si="13"/>
        <v>F2253e</v>
      </c>
      <c r="IH40" s="1015" t="str">
        <f t="shared" si="13"/>
        <v>F2254e</v>
      </c>
      <c r="II40" s="1015" t="str">
        <f t="shared" si="13"/>
        <v>F2255e</v>
      </c>
      <c r="IJ40" s="1015" t="str">
        <f t="shared" si="13"/>
        <v>F2256e</v>
      </c>
      <c r="IK40" s="1015" t="str">
        <f t="shared" si="13"/>
        <v>F2257e</v>
      </c>
      <c r="IL40" s="1015" t="str">
        <f t="shared" si="13"/>
        <v>F2258e</v>
      </c>
      <c r="IM40" s="1015" t="str">
        <f t="shared" si="13"/>
        <v>F2259e</v>
      </c>
      <c r="IN40" s="1015" t="str">
        <f t="shared" si="13"/>
        <v>F2260e</v>
      </c>
      <c r="IO40" s="1015" t="str">
        <f t="shared" si="13"/>
        <v>F2261e</v>
      </c>
      <c r="IP40" s="1015" t="str">
        <f t="shared" si="13"/>
        <v>F2262e</v>
      </c>
      <c r="IQ40" s="1015" t="str">
        <f t="shared" si="13"/>
        <v>F2263e</v>
      </c>
      <c r="IR40" s="1015" t="str">
        <f t="shared" si="13"/>
        <v>F2264e</v>
      </c>
    </row>
    <row r="41" spans="1:252" s="960" customFormat="1" ht="15" hidden="1" outlineLevel="1">
      <c r="B41" s="1017" t="s">
        <v>185</v>
      </c>
      <c r="C41" s="1018"/>
      <c r="D41" s="1018"/>
      <c r="E41" s="1018"/>
      <c r="F41" s="1018"/>
      <c r="G41" s="1018"/>
      <c r="H41" s="1018"/>
      <c r="I41" s="1018"/>
      <c r="J41" s="1018"/>
      <c r="K41" s="1018"/>
      <c r="L41" s="1018"/>
      <c r="M41" s="1018"/>
      <c r="N41" s="1018"/>
      <c r="O41" s="1018"/>
      <c r="P41" s="1018"/>
      <c r="Q41" s="1018"/>
      <c r="R41" s="1018"/>
      <c r="S41" s="1018"/>
      <c r="T41" s="1018"/>
      <c r="U41" s="1018"/>
      <c r="V41" s="1018"/>
      <c r="W41" s="1019"/>
      <c r="X41" s="1020"/>
      <c r="Y41" s="1018"/>
      <c r="Z41" s="1018"/>
      <c r="AA41" s="1018"/>
      <c r="AB41" s="1018"/>
      <c r="AC41" s="1018"/>
      <c r="AD41" s="1018"/>
      <c r="AE41" s="1018"/>
      <c r="AF41" s="1018"/>
      <c r="AG41" s="1018"/>
      <c r="AH41" s="1018"/>
      <c r="AI41" s="1018"/>
      <c r="AJ41" s="1018"/>
      <c r="AK41" s="1018"/>
      <c r="AL41" s="1018"/>
      <c r="AM41" s="1018"/>
      <c r="AN41" s="1018"/>
      <c r="AO41" s="1018"/>
      <c r="AP41" s="1018"/>
      <c r="AQ41" s="1018"/>
      <c r="AR41" s="1018"/>
      <c r="AS41" s="1018"/>
      <c r="AT41" s="1018"/>
      <c r="AU41" s="1018"/>
      <c r="AV41" s="1018"/>
      <c r="AW41" s="1018"/>
      <c r="AX41" s="1018"/>
      <c r="AY41" s="1018"/>
      <c r="AZ41" s="1018"/>
      <c r="BA41" s="1018"/>
      <c r="BB41" s="1018"/>
      <c r="BC41" s="1018"/>
      <c r="BD41" s="1018"/>
      <c r="BE41" s="1018"/>
      <c r="BF41" s="1018"/>
      <c r="BG41" s="1018"/>
      <c r="BH41" s="1018"/>
      <c r="BI41" s="1018"/>
      <c r="BJ41" s="1018"/>
      <c r="BK41" s="1018"/>
      <c r="BL41" s="1018"/>
      <c r="BM41" s="1018"/>
      <c r="BN41" s="1018"/>
      <c r="BO41" s="1018"/>
      <c r="BP41" s="1018"/>
      <c r="BQ41" s="1018"/>
      <c r="BR41" s="1018"/>
      <c r="BS41" s="1018"/>
      <c r="BT41" s="1018"/>
      <c r="BU41" s="1018"/>
      <c r="BV41" s="1018"/>
      <c r="BW41" s="1018"/>
      <c r="BX41" s="1018"/>
      <c r="BY41" s="1018"/>
      <c r="BZ41" s="1018"/>
      <c r="CA41" s="1018"/>
      <c r="CB41" s="1018"/>
      <c r="CC41" s="1018"/>
      <c r="CD41" s="1018"/>
      <c r="CE41" s="1018"/>
      <c r="CF41" s="1018"/>
      <c r="CG41" s="1018"/>
      <c r="CH41" s="1018"/>
      <c r="CI41" s="1018"/>
      <c r="CJ41" s="1018"/>
      <c r="CK41" s="1018"/>
      <c r="CL41" s="1018"/>
      <c r="CM41" s="1018"/>
      <c r="CN41" s="1018"/>
      <c r="CO41" s="1018"/>
      <c r="CP41" s="1018"/>
      <c r="CQ41" s="1018"/>
      <c r="CR41" s="1018"/>
      <c r="CS41" s="1018"/>
      <c r="CT41" s="1018"/>
      <c r="CU41" s="1018"/>
      <c r="CV41" s="1018"/>
      <c r="CW41" s="1018"/>
      <c r="CX41" s="1018"/>
      <c r="CY41" s="1018"/>
      <c r="CZ41" s="1018"/>
      <c r="DA41" s="1018"/>
      <c r="DB41" s="1018"/>
      <c r="DC41" s="1018"/>
      <c r="DD41" s="1018"/>
      <c r="DE41" s="1018"/>
      <c r="DF41" s="1018"/>
      <c r="DG41" s="1018"/>
      <c r="DH41" s="1018"/>
      <c r="DI41" s="1018"/>
      <c r="DJ41" s="1018"/>
      <c r="DK41" s="1018"/>
      <c r="DL41" s="1018"/>
      <c r="DM41" s="1018"/>
      <c r="DN41" s="1018"/>
      <c r="DO41" s="1018"/>
      <c r="DP41" s="1018"/>
      <c r="DQ41" s="1018"/>
      <c r="DR41" s="1018"/>
      <c r="DS41" s="1018"/>
      <c r="DT41" s="1018"/>
      <c r="DU41" s="1018"/>
      <c r="DV41" s="1018"/>
      <c r="DW41" s="1018"/>
      <c r="DX41" s="1018"/>
      <c r="DY41" s="1018"/>
      <c r="DZ41" s="1018"/>
      <c r="EA41" s="1018"/>
      <c r="EB41" s="1018"/>
      <c r="EC41" s="1018"/>
      <c r="ED41" s="1018"/>
      <c r="EE41" s="1018"/>
      <c r="EF41" s="1018"/>
      <c r="EG41" s="1018"/>
      <c r="EH41" s="1018"/>
      <c r="EI41" s="1018"/>
      <c r="EJ41" s="1018"/>
      <c r="EK41" s="1018"/>
      <c r="EL41" s="1018"/>
      <c r="EM41" s="1018"/>
      <c r="EN41" s="1018"/>
      <c r="EO41" s="1018"/>
      <c r="EP41" s="1018"/>
      <c r="EQ41" s="1018"/>
      <c r="ER41" s="1018"/>
      <c r="ES41" s="1018"/>
      <c r="ET41" s="1018"/>
      <c r="EU41" s="1018"/>
      <c r="EV41" s="1018"/>
      <c r="EW41" s="1018"/>
      <c r="EX41" s="1018"/>
      <c r="EY41" s="1018"/>
      <c r="EZ41" s="1018"/>
      <c r="FA41" s="1018"/>
      <c r="FB41" s="1018"/>
      <c r="FC41" s="1018"/>
      <c r="FD41" s="1018"/>
      <c r="FE41" s="1018"/>
      <c r="FF41" s="1018"/>
      <c r="FG41" s="1018"/>
      <c r="FH41" s="1018"/>
      <c r="FI41" s="1018"/>
      <c r="FJ41" s="1018"/>
      <c r="FK41" s="1018"/>
      <c r="FL41" s="1018"/>
      <c r="FM41" s="1018"/>
      <c r="FN41" s="1018"/>
      <c r="FO41" s="1018"/>
      <c r="FP41" s="1018"/>
      <c r="FQ41" s="1018"/>
      <c r="FR41" s="1018"/>
      <c r="FS41" s="1018"/>
      <c r="FT41" s="1018"/>
      <c r="FU41" s="1018"/>
      <c r="FV41" s="1018"/>
      <c r="FW41" s="1018"/>
      <c r="FX41" s="1018"/>
      <c r="FY41" s="1018"/>
      <c r="FZ41" s="1018"/>
      <c r="GA41" s="1018"/>
      <c r="GB41" s="1018"/>
      <c r="GC41" s="1018"/>
      <c r="GD41" s="1018"/>
      <c r="GE41" s="1018"/>
      <c r="GF41" s="1018"/>
      <c r="GG41" s="1018"/>
      <c r="GH41" s="1018"/>
      <c r="GI41" s="1018"/>
      <c r="GJ41" s="1018"/>
      <c r="GK41" s="1018"/>
      <c r="GL41" s="1018"/>
      <c r="GM41" s="1018"/>
      <c r="GN41" s="1018"/>
      <c r="GO41" s="1018"/>
      <c r="GP41" s="1018"/>
      <c r="GQ41" s="1018"/>
      <c r="GR41" s="1018"/>
      <c r="GS41" s="1018"/>
      <c r="GT41" s="1018"/>
      <c r="GU41" s="1018"/>
      <c r="GV41" s="1018"/>
      <c r="GW41" s="1018"/>
      <c r="GX41" s="1018"/>
      <c r="GY41" s="1018"/>
      <c r="GZ41" s="1018"/>
      <c r="HA41" s="1018"/>
      <c r="HB41" s="1018"/>
      <c r="HC41" s="1018"/>
      <c r="HD41" s="1018"/>
      <c r="HE41" s="1018"/>
      <c r="HF41" s="1018"/>
      <c r="HG41" s="1018"/>
      <c r="HH41" s="1018"/>
      <c r="HI41" s="1018"/>
      <c r="HJ41" s="1018"/>
      <c r="HK41" s="1018"/>
      <c r="HL41" s="1018"/>
      <c r="HM41" s="1018"/>
      <c r="HN41" s="1018"/>
      <c r="HO41" s="1018"/>
      <c r="HP41" s="1018"/>
      <c r="HQ41" s="1018"/>
      <c r="HR41" s="1018"/>
      <c r="HS41" s="1018"/>
      <c r="HT41" s="1018"/>
      <c r="HU41" s="1018"/>
      <c r="HV41" s="1018"/>
      <c r="HW41" s="1018"/>
      <c r="HX41" s="1018"/>
      <c r="HY41" s="1018"/>
      <c r="HZ41" s="1018"/>
      <c r="IA41" s="1018"/>
      <c r="IB41" s="1018"/>
      <c r="IC41" s="1018"/>
      <c r="ID41" s="1018"/>
      <c r="IE41" s="1018"/>
      <c r="IF41" s="1018"/>
      <c r="IG41" s="1018"/>
      <c r="IH41" s="1018"/>
      <c r="II41" s="1018"/>
      <c r="IJ41" s="1018"/>
      <c r="IK41" s="1018"/>
      <c r="IL41" s="1018"/>
      <c r="IM41" s="1018"/>
      <c r="IN41" s="1018"/>
      <c r="IO41" s="1018"/>
      <c r="IP41" s="1018"/>
      <c r="IQ41" s="1018"/>
      <c r="IR41" s="1018"/>
    </row>
    <row r="42" spans="1:252" s="960" customFormat="1" ht="14.25" hidden="1" customHeight="1" outlineLevel="1">
      <c r="B42" s="1021" t="s">
        <v>692</v>
      </c>
      <c r="C42" s="1022">
        <f>((sumry!BR10))*$V$23</f>
        <v>5098.9319999999998</v>
      </c>
      <c r="D42" s="1022">
        <f>((sumry!BS10))*$V$23</f>
        <v>5566.0379999999996</v>
      </c>
      <c r="E42" s="1022">
        <f>((sumry!BT10))*$V$23</f>
        <v>6084.7659999999996</v>
      </c>
      <c r="F42" s="1022">
        <f>((sumry!BU10))*$V$23</f>
        <v>6587.3821933692661</v>
      </c>
      <c r="G42" s="1022">
        <f t="shared" ref="G42:P45" si="14">(0)*$V$23</f>
        <v>0</v>
      </c>
      <c r="H42" s="1022">
        <f t="shared" si="14"/>
        <v>0</v>
      </c>
      <c r="I42" s="1022">
        <f t="shared" si="14"/>
        <v>0</v>
      </c>
      <c r="J42" s="1022">
        <f t="shared" si="14"/>
        <v>0</v>
      </c>
      <c r="K42" s="1022">
        <f t="shared" si="14"/>
        <v>0</v>
      </c>
      <c r="L42" s="1022">
        <f t="shared" si="14"/>
        <v>0</v>
      </c>
      <c r="M42" s="1022">
        <f t="shared" si="14"/>
        <v>0</v>
      </c>
      <c r="N42" s="1022">
        <f t="shared" si="14"/>
        <v>0</v>
      </c>
      <c r="O42" s="1022">
        <f t="shared" si="14"/>
        <v>0</v>
      </c>
      <c r="P42" s="1022">
        <f t="shared" si="14"/>
        <v>0</v>
      </c>
      <c r="Q42" s="1022">
        <f t="shared" ref="Q42:AB45" si="15">(0)*$V$23</f>
        <v>0</v>
      </c>
      <c r="R42" s="1022">
        <f t="shared" si="15"/>
        <v>0</v>
      </c>
      <c r="S42" s="1022">
        <f t="shared" si="15"/>
        <v>0</v>
      </c>
      <c r="T42" s="1022">
        <f t="shared" si="15"/>
        <v>0</v>
      </c>
      <c r="U42" s="1022">
        <f t="shared" si="15"/>
        <v>0</v>
      </c>
      <c r="V42" s="1022">
        <f t="shared" si="15"/>
        <v>0</v>
      </c>
      <c r="W42" s="1022">
        <f t="shared" si="15"/>
        <v>0</v>
      </c>
      <c r="X42" s="1022">
        <f t="shared" si="15"/>
        <v>0</v>
      </c>
      <c r="Y42" s="1022">
        <f t="shared" si="15"/>
        <v>0</v>
      </c>
      <c r="Z42" s="1022">
        <f t="shared" si="15"/>
        <v>0</v>
      </c>
      <c r="AA42" s="1022">
        <f t="shared" si="15"/>
        <v>0</v>
      </c>
      <c r="AB42" s="1022">
        <f t="shared" si="15"/>
        <v>0</v>
      </c>
      <c r="AC42" s="1022">
        <f>0</f>
        <v>0</v>
      </c>
      <c r="AD42" s="1022">
        <f>0</f>
        <v>0</v>
      </c>
      <c r="AE42" s="1022">
        <f>0</f>
        <v>0</v>
      </c>
      <c r="AF42" s="1022">
        <f>0</f>
        <v>0</v>
      </c>
      <c r="AG42" s="1022">
        <f>0</f>
        <v>0</v>
      </c>
      <c r="AH42" s="1022">
        <f>0</f>
        <v>0</v>
      </c>
      <c r="AI42" s="1022">
        <f>0</f>
        <v>0</v>
      </c>
      <c r="AJ42" s="1022">
        <f>0</f>
        <v>0</v>
      </c>
      <c r="AK42" s="1022">
        <f>0</f>
        <v>0</v>
      </c>
      <c r="AL42" s="1022">
        <f>0</f>
        <v>0</v>
      </c>
      <c r="AM42" s="1022">
        <f>0</f>
        <v>0</v>
      </c>
      <c r="AN42" s="1022">
        <f>0</f>
        <v>0</v>
      </c>
      <c r="AO42" s="1022">
        <f>0</f>
        <v>0</v>
      </c>
      <c r="AP42" s="1022">
        <f>0</f>
        <v>0</v>
      </c>
      <c r="AQ42" s="1022">
        <f>0</f>
        <v>0</v>
      </c>
      <c r="AR42" s="1022">
        <f>0</f>
        <v>0</v>
      </c>
      <c r="AS42" s="1022">
        <f>0</f>
        <v>0</v>
      </c>
      <c r="AT42" s="1022">
        <f>0</f>
        <v>0</v>
      </c>
      <c r="AU42" s="1022">
        <f>0</f>
        <v>0</v>
      </c>
      <c r="AV42" s="1022">
        <f>0</f>
        <v>0</v>
      </c>
      <c r="AW42" s="1022">
        <f>0</f>
        <v>0</v>
      </c>
      <c r="AX42" s="1022">
        <f>0</f>
        <v>0</v>
      </c>
      <c r="AY42" s="1022">
        <f>0</f>
        <v>0</v>
      </c>
      <c r="AZ42" s="1022">
        <f>0</f>
        <v>0</v>
      </c>
      <c r="BA42" s="1022">
        <f>0</f>
        <v>0</v>
      </c>
      <c r="BB42" s="1022">
        <f>0</f>
        <v>0</v>
      </c>
      <c r="BC42" s="1022">
        <f>0</f>
        <v>0</v>
      </c>
      <c r="BD42" s="1022">
        <f>0</f>
        <v>0</v>
      </c>
      <c r="BE42" s="1022">
        <f>0</f>
        <v>0</v>
      </c>
      <c r="BF42" s="1022">
        <f>0</f>
        <v>0</v>
      </c>
      <c r="BG42" s="1022">
        <f>0</f>
        <v>0</v>
      </c>
      <c r="BH42" s="1022">
        <f>0</f>
        <v>0</v>
      </c>
      <c r="BI42" s="1022">
        <f>0</f>
        <v>0</v>
      </c>
      <c r="BJ42" s="1022">
        <f>0</f>
        <v>0</v>
      </c>
      <c r="BK42" s="1022">
        <f>0</f>
        <v>0</v>
      </c>
      <c r="BL42" s="1022">
        <f>0</f>
        <v>0</v>
      </c>
      <c r="BM42" s="1022">
        <f>0</f>
        <v>0</v>
      </c>
      <c r="BN42" s="1022">
        <f>0</f>
        <v>0</v>
      </c>
      <c r="BO42" s="1022">
        <f>0</f>
        <v>0</v>
      </c>
      <c r="BP42" s="1022">
        <f>0</f>
        <v>0</v>
      </c>
      <c r="BQ42" s="1022">
        <f>0</f>
        <v>0</v>
      </c>
      <c r="BR42" s="1022">
        <f>0</f>
        <v>0</v>
      </c>
      <c r="BS42" s="1022">
        <f>0</f>
        <v>0</v>
      </c>
      <c r="BT42" s="1022">
        <f>0</f>
        <v>0</v>
      </c>
      <c r="BU42" s="1022">
        <f>0</f>
        <v>0</v>
      </c>
      <c r="BV42" s="1022">
        <f>0</f>
        <v>0</v>
      </c>
      <c r="BW42" s="1022">
        <f>0</f>
        <v>0</v>
      </c>
      <c r="BX42" s="1022">
        <f>0</f>
        <v>0</v>
      </c>
      <c r="BY42" s="1022">
        <f>0</f>
        <v>0</v>
      </c>
      <c r="BZ42" s="1022">
        <f>0</f>
        <v>0</v>
      </c>
      <c r="CA42" s="1022">
        <f>0</f>
        <v>0</v>
      </c>
      <c r="CB42" s="1022">
        <f>0</f>
        <v>0</v>
      </c>
      <c r="CC42" s="1022">
        <f>0</f>
        <v>0</v>
      </c>
      <c r="CD42" s="1022">
        <f>0</f>
        <v>0</v>
      </c>
      <c r="CE42" s="1022">
        <f>0</f>
        <v>0</v>
      </c>
      <c r="CF42" s="1022">
        <f>0</f>
        <v>0</v>
      </c>
      <c r="CG42" s="1022">
        <f>0</f>
        <v>0</v>
      </c>
      <c r="CH42" s="1022">
        <f>0</f>
        <v>0</v>
      </c>
      <c r="CI42" s="1022">
        <f>0</f>
        <v>0</v>
      </c>
      <c r="CJ42" s="1022">
        <f>0</f>
        <v>0</v>
      </c>
      <c r="CK42" s="1022">
        <f>0</f>
        <v>0</v>
      </c>
      <c r="CL42" s="1022">
        <f>0</f>
        <v>0</v>
      </c>
      <c r="CM42" s="1022">
        <f>0</f>
        <v>0</v>
      </c>
      <c r="CN42" s="1022">
        <f>0</f>
        <v>0</v>
      </c>
      <c r="CO42" s="1022">
        <f>0</f>
        <v>0</v>
      </c>
      <c r="CP42" s="1022">
        <f>0</f>
        <v>0</v>
      </c>
      <c r="CQ42" s="1022">
        <f>0</f>
        <v>0</v>
      </c>
      <c r="CR42" s="1022">
        <f>0</f>
        <v>0</v>
      </c>
      <c r="CS42" s="1022">
        <f>0</f>
        <v>0</v>
      </c>
      <c r="CT42" s="1022">
        <f>0</f>
        <v>0</v>
      </c>
      <c r="CU42" s="1022">
        <f>0</f>
        <v>0</v>
      </c>
      <c r="CV42" s="1023">
        <f>0</f>
        <v>0</v>
      </c>
      <c r="CW42" s="1023">
        <f>0</f>
        <v>0</v>
      </c>
      <c r="CX42" s="1023">
        <f>0</f>
        <v>0</v>
      </c>
      <c r="CY42" s="1023">
        <f>0</f>
        <v>0</v>
      </c>
      <c r="CZ42" s="1023">
        <f>0</f>
        <v>0</v>
      </c>
      <c r="DA42" s="1023">
        <f>0</f>
        <v>0</v>
      </c>
      <c r="DB42" s="1023">
        <f>0</f>
        <v>0</v>
      </c>
      <c r="DC42" s="1023">
        <f>0</f>
        <v>0</v>
      </c>
      <c r="DD42" s="1023">
        <f>0</f>
        <v>0</v>
      </c>
      <c r="DE42" s="1023">
        <f>0</f>
        <v>0</v>
      </c>
      <c r="DF42" s="1023">
        <f>0</f>
        <v>0</v>
      </c>
      <c r="DG42" s="1023">
        <f>0</f>
        <v>0</v>
      </c>
      <c r="DH42" s="1023">
        <f>0</f>
        <v>0</v>
      </c>
      <c r="DI42" s="1023">
        <f>0</f>
        <v>0</v>
      </c>
      <c r="DJ42" s="1023">
        <f>0</f>
        <v>0</v>
      </c>
      <c r="DK42" s="1023">
        <f>0</f>
        <v>0</v>
      </c>
      <c r="DL42" s="1023">
        <f>0</f>
        <v>0</v>
      </c>
      <c r="DM42" s="1023">
        <f>0</f>
        <v>0</v>
      </c>
      <c r="DN42" s="1023">
        <f>0</f>
        <v>0</v>
      </c>
      <c r="DO42" s="1023">
        <f>0</f>
        <v>0</v>
      </c>
      <c r="DP42" s="1023">
        <f>0</f>
        <v>0</v>
      </c>
      <c r="DQ42" s="1023">
        <f>0</f>
        <v>0</v>
      </c>
      <c r="DR42" s="1023">
        <f>0</f>
        <v>0</v>
      </c>
      <c r="DS42" s="1023">
        <f>0</f>
        <v>0</v>
      </c>
      <c r="DT42" s="1023">
        <f>0</f>
        <v>0</v>
      </c>
      <c r="DU42" s="1023">
        <f>0</f>
        <v>0</v>
      </c>
      <c r="DV42" s="1023">
        <f>0</f>
        <v>0</v>
      </c>
      <c r="DW42" s="1023">
        <f>0</f>
        <v>0</v>
      </c>
      <c r="DX42" s="1023">
        <f>0</f>
        <v>0</v>
      </c>
      <c r="DY42" s="1023">
        <f>0</f>
        <v>0</v>
      </c>
      <c r="DZ42" s="1023">
        <f>0</f>
        <v>0</v>
      </c>
      <c r="EA42" s="1023">
        <f>0</f>
        <v>0</v>
      </c>
      <c r="EB42" s="1023">
        <f>0</f>
        <v>0</v>
      </c>
      <c r="EC42" s="1023">
        <f>0</f>
        <v>0</v>
      </c>
      <c r="ED42" s="1023">
        <f>0</f>
        <v>0</v>
      </c>
      <c r="EE42" s="1023">
        <f>0</f>
        <v>0</v>
      </c>
      <c r="EF42" s="1023">
        <f>0</f>
        <v>0</v>
      </c>
      <c r="EG42" s="1023">
        <f>0</f>
        <v>0</v>
      </c>
      <c r="EH42" s="1023">
        <f>0</f>
        <v>0</v>
      </c>
      <c r="EI42" s="1023">
        <f>0</f>
        <v>0</v>
      </c>
      <c r="EJ42" s="1023">
        <f>0</f>
        <v>0</v>
      </c>
      <c r="EK42" s="1023">
        <f>0</f>
        <v>0</v>
      </c>
      <c r="EL42" s="1023">
        <f>0</f>
        <v>0</v>
      </c>
      <c r="EM42" s="1023">
        <f>0</f>
        <v>0</v>
      </c>
      <c r="EN42" s="1023">
        <f>0</f>
        <v>0</v>
      </c>
      <c r="EO42" s="1023">
        <f>0</f>
        <v>0</v>
      </c>
      <c r="EP42" s="1023">
        <f>0</f>
        <v>0</v>
      </c>
      <c r="EQ42" s="1023">
        <f>0</f>
        <v>0</v>
      </c>
      <c r="ER42" s="1023">
        <f>0</f>
        <v>0</v>
      </c>
      <c r="ES42" s="1023">
        <f>0</f>
        <v>0</v>
      </c>
      <c r="ET42" s="1023">
        <f>0</f>
        <v>0</v>
      </c>
      <c r="EU42" s="1023">
        <f>0</f>
        <v>0</v>
      </c>
      <c r="EV42" s="1023">
        <f>0</f>
        <v>0</v>
      </c>
      <c r="EW42" s="1023">
        <f>0</f>
        <v>0</v>
      </c>
      <c r="EX42" s="1023">
        <f>0</f>
        <v>0</v>
      </c>
      <c r="EY42" s="1023">
        <f>0</f>
        <v>0</v>
      </c>
      <c r="EZ42" s="1023">
        <f>0</f>
        <v>0</v>
      </c>
      <c r="FA42" s="1023">
        <f>0</f>
        <v>0</v>
      </c>
      <c r="FB42" s="1023">
        <f>0</f>
        <v>0</v>
      </c>
      <c r="FC42" s="1023">
        <f>0</f>
        <v>0</v>
      </c>
      <c r="FD42" s="1023">
        <f>0</f>
        <v>0</v>
      </c>
      <c r="FE42" s="1023">
        <f>0</f>
        <v>0</v>
      </c>
      <c r="FF42" s="1023">
        <f>0</f>
        <v>0</v>
      </c>
      <c r="FG42" s="1023">
        <f>0</f>
        <v>0</v>
      </c>
      <c r="FH42" s="1023">
        <f>0</f>
        <v>0</v>
      </c>
      <c r="FI42" s="1023">
        <f>0</f>
        <v>0</v>
      </c>
      <c r="FJ42" s="1023">
        <f>0</f>
        <v>0</v>
      </c>
      <c r="FK42" s="1023">
        <f>0</f>
        <v>0</v>
      </c>
      <c r="FL42" s="1023">
        <f>0</f>
        <v>0</v>
      </c>
      <c r="FM42" s="1023">
        <f>0</f>
        <v>0</v>
      </c>
      <c r="FN42" s="1023">
        <f>0</f>
        <v>0</v>
      </c>
      <c r="FO42" s="1023">
        <f>0</f>
        <v>0</v>
      </c>
      <c r="FP42" s="1023">
        <f>0</f>
        <v>0</v>
      </c>
      <c r="FQ42" s="1023">
        <f>0</f>
        <v>0</v>
      </c>
      <c r="FR42" s="1023">
        <f>0</f>
        <v>0</v>
      </c>
      <c r="FS42" s="1023">
        <f>0</f>
        <v>0</v>
      </c>
      <c r="FT42" s="1023">
        <f>0</f>
        <v>0</v>
      </c>
      <c r="FU42" s="1023">
        <f>0</f>
        <v>0</v>
      </c>
      <c r="FV42" s="1023">
        <f>0</f>
        <v>0</v>
      </c>
      <c r="FW42" s="1023">
        <f>0</f>
        <v>0</v>
      </c>
      <c r="FX42" s="1023">
        <f>0</f>
        <v>0</v>
      </c>
      <c r="FY42" s="1023">
        <f>0</f>
        <v>0</v>
      </c>
      <c r="FZ42" s="1023">
        <f>0</f>
        <v>0</v>
      </c>
      <c r="GA42" s="1023">
        <f>0</f>
        <v>0</v>
      </c>
      <c r="GB42" s="1023">
        <f>0</f>
        <v>0</v>
      </c>
      <c r="GC42" s="1023">
        <f>0</f>
        <v>0</v>
      </c>
      <c r="GD42" s="1023">
        <f>0</f>
        <v>0</v>
      </c>
      <c r="GE42" s="1023">
        <f>0</f>
        <v>0</v>
      </c>
      <c r="GF42" s="1023">
        <f>0</f>
        <v>0</v>
      </c>
      <c r="GG42" s="1023">
        <f>0</f>
        <v>0</v>
      </c>
      <c r="GH42" s="1023">
        <f>0</f>
        <v>0</v>
      </c>
      <c r="GI42" s="1023">
        <f>0</f>
        <v>0</v>
      </c>
      <c r="GJ42" s="1023">
        <f>0</f>
        <v>0</v>
      </c>
      <c r="GK42" s="1023">
        <f>0</f>
        <v>0</v>
      </c>
      <c r="GL42" s="1023">
        <f>0</f>
        <v>0</v>
      </c>
      <c r="GM42" s="1023">
        <f>0</f>
        <v>0</v>
      </c>
      <c r="GN42" s="1023">
        <f>0</f>
        <v>0</v>
      </c>
      <c r="GO42" s="1023">
        <f>0</f>
        <v>0</v>
      </c>
      <c r="GP42" s="1023">
        <f>0</f>
        <v>0</v>
      </c>
      <c r="GQ42" s="1023">
        <f>0</f>
        <v>0</v>
      </c>
      <c r="GR42" s="1023">
        <f>0</f>
        <v>0</v>
      </c>
      <c r="GS42" s="1023">
        <f>0</f>
        <v>0</v>
      </c>
      <c r="GT42" s="1023">
        <f>0</f>
        <v>0</v>
      </c>
      <c r="GU42" s="1023">
        <f>0</f>
        <v>0</v>
      </c>
      <c r="GV42" s="1023">
        <f>0</f>
        <v>0</v>
      </c>
      <c r="GW42" s="1023">
        <f>0</f>
        <v>0</v>
      </c>
      <c r="GX42" s="1023">
        <f>0</f>
        <v>0</v>
      </c>
      <c r="GY42" s="1023">
        <f>0</f>
        <v>0</v>
      </c>
      <c r="GZ42" s="1023">
        <f>0</f>
        <v>0</v>
      </c>
      <c r="HA42" s="1023">
        <f>0</f>
        <v>0</v>
      </c>
      <c r="HB42" s="1023">
        <f>0</f>
        <v>0</v>
      </c>
      <c r="HC42" s="1023">
        <f>0</f>
        <v>0</v>
      </c>
      <c r="HD42" s="1023">
        <f>0</f>
        <v>0</v>
      </c>
      <c r="HE42" s="1023">
        <f>0</f>
        <v>0</v>
      </c>
      <c r="HF42" s="1023">
        <f>0</f>
        <v>0</v>
      </c>
      <c r="HG42" s="1023">
        <f>0</f>
        <v>0</v>
      </c>
      <c r="HH42" s="1023">
        <f>0</f>
        <v>0</v>
      </c>
      <c r="HI42" s="1023">
        <f>0</f>
        <v>0</v>
      </c>
      <c r="HJ42" s="1023">
        <f>0</f>
        <v>0</v>
      </c>
      <c r="HK42" s="1023">
        <f>0</f>
        <v>0</v>
      </c>
      <c r="HL42" s="1023">
        <f>0</f>
        <v>0</v>
      </c>
      <c r="HM42" s="1023">
        <f>0</f>
        <v>0</v>
      </c>
      <c r="HN42" s="1023">
        <f>0</f>
        <v>0</v>
      </c>
      <c r="HO42" s="1023">
        <f>0</f>
        <v>0</v>
      </c>
      <c r="HP42" s="1023">
        <f>0</f>
        <v>0</v>
      </c>
      <c r="HQ42" s="1023">
        <f>0</f>
        <v>0</v>
      </c>
      <c r="HR42" s="1023">
        <f>0</f>
        <v>0</v>
      </c>
      <c r="HS42" s="1023">
        <f>0</f>
        <v>0</v>
      </c>
      <c r="HT42" s="1023">
        <f>0</f>
        <v>0</v>
      </c>
      <c r="HU42" s="1023">
        <f>0</f>
        <v>0</v>
      </c>
      <c r="HV42" s="1023">
        <f>0</f>
        <v>0</v>
      </c>
      <c r="HW42" s="1023">
        <f>0</f>
        <v>0</v>
      </c>
      <c r="HX42" s="1023">
        <f>0</f>
        <v>0</v>
      </c>
      <c r="HY42" s="1023">
        <f>0</f>
        <v>0</v>
      </c>
      <c r="HZ42" s="1023">
        <f>0</f>
        <v>0</v>
      </c>
      <c r="IA42" s="1023">
        <f>0</f>
        <v>0</v>
      </c>
      <c r="IB42" s="1023">
        <f>0</f>
        <v>0</v>
      </c>
      <c r="IC42" s="1023">
        <f>0</f>
        <v>0</v>
      </c>
      <c r="ID42" s="1023">
        <f>0</f>
        <v>0</v>
      </c>
      <c r="IE42" s="1023">
        <f>0</f>
        <v>0</v>
      </c>
      <c r="IF42" s="1023">
        <f>0</f>
        <v>0</v>
      </c>
      <c r="IG42" s="1023">
        <f>0</f>
        <v>0</v>
      </c>
      <c r="IH42" s="1023">
        <f>0</f>
        <v>0</v>
      </c>
      <c r="II42" s="1023">
        <f>0</f>
        <v>0</v>
      </c>
      <c r="IJ42" s="1023">
        <f>0</f>
        <v>0</v>
      </c>
      <c r="IK42" s="1023">
        <f>0</f>
        <v>0</v>
      </c>
      <c r="IL42" s="1023">
        <f>0</f>
        <v>0</v>
      </c>
      <c r="IM42" s="1023">
        <f>0</f>
        <v>0</v>
      </c>
      <c r="IN42" s="1023">
        <f>0</f>
        <v>0</v>
      </c>
      <c r="IO42" s="1023">
        <f>0</f>
        <v>0</v>
      </c>
      <c r="IP42" s="1023">
        <f>0</f>
        <v>0</v>
      </c>
      <c r="IQ42" s="1023">
        <f>0</f>
        <v>0</v>
      </c>
      <c r="IR42" s="1023">
        <f>0</f>
        <v>0</v>
      </c>
    </row>
    <row r="43" spans="1:252" s="960" customFormat="1" ht="11.25" hidden="1" customHeight="1" outlineLevel="1">
      <c r="B43" s="1024" t="s">
        <v>693</v>
      </c>
      <c r="C43" s="1022">
        <f>((sumry!BR12+sumry!BR15+sumry!BR17+sumry!BR18+(-'MWA Lease'!Q12-'MWA Lease'!Q11)))*$V$23</f>
        <v>4793.4351391528771</v>
      </c>
      <c r="D43" s="1022">
        <f>((sumry!BS12+sumry!BS15+sumry!BS17+sumry!BS18+(-'MWA Lease'!R12-'MWA Lease'!R11)))*$V$23</f>
        <v>5237.3344070474832</v>
      </c>
      <c r="E43" s="1022">
        <f>((sumry!BT12+sumry!BT15+sumry!BT17+sumry!BT18+(-'MWA Lease'!S12-'MWA Lease'!S11)))*$V$23</f>
        <v>5736.7079040999824</v>
      </c>
      <c r="F43" s="1022">
        <f>((sumry!BU12+sumry!BU15+sumry!BU17+sumry!BU18+(-'MWA Lease'!T12-'MWA Lease'!T11)))*$V$23</f>
        <v>6198.2125212861156</v>
      </c>
      <c r="G43" s="1022">
        <f t="shared" si="14"/>
        <v>0</v>
      </c>
      <c r="H43" s="1022">
        <f t="shared" si="14"/>
        <v>0</v>
      </c>
      <c r="I43" s="1022">
        <f t="shared" si="14"/>
        <v>0</v>
      </c>
      <c r="J43" s="1022">
        <f t="shared" si="14"/>
        <v>0</v>
      </c>
      <c r="K43" s="1022">
        <f t="shared" si="14"/>
        <v>0</v>
      </c>
      <c r="L43" s="1022">
        <f t="shared" si="14"/>
        <v>0</v>
      </c>
      <c r="M43" s="1022">
        <f t="shared" si="14"/>
        <v>0</v>
      </c>
      <c r="N43" s="1022">
        <f t="shared" si="14"/>
        <v>0</v>
      </c>
      <c r="O43" s="1022">
        <f t="shared" si="14"/>
        <v>0</v>
      </c>
      <c r="P43" s="1022">
        <f t="shared" si="14"/>
        <v>0</v>
      </c>
      <c r="Q43" s="1022">
        <f t="shared" si="15"/>
        <v>0</v>
      </c>
      <c r="R43" s="1022">
        <f t="shared" si="15"/>
        <v>0</v>
      </c>
      <c r="S43" s="1022">
        <f t="shared" si="15"/>
        <v>0</v>
      </c>
      <c r="T43" s="1022">
        <f t="shared" si="15"/>
        <v>0</v>
      </c>
      <c r="U43" s="1022">
        <f t="shared" si="15"/>
        <v>0</v>
      </c>
      <c r="V43" s="1022">
        <f t="shared" si="15"/>
        <v>0</v>
      </c>
      <c r="W43" s="1022">
        <f t="shared" si="15"/>
        <v>0</v>
      </c>
      <c r="X43" s="1022">
        <f t="shared" si="15"/>
        <v>0</v>
      </c>
      <c r="Y43" s="1022">
        <f t="shared" si="15"/>
        <v>0</v>
      </c>
      <c r="Z43" s="1022">
        <f t="shared" si="15"/>
        <v>0</v>
      </c>
      <c r="AA43" s="1022">
        <f t="shared" si="15"/>
        <v>0</v>
      </c>
      <c r="AB43" s="1022">
        <f t="shared" si="15"/>
        <v>0</v>
      </c>
      <c r="AC43" s="1022">
        <f>0</f>
        <v>0</v>
      </c>
      <c r="AD43" s="1022">
        <f>0</f>
        <v>0</v>
      </c>
      <c r="AE43" s="1022">
        <f>0</f>
        <v>0</v>
      </c>
      <c r="AF43" s="1022">
        <f>0</f>
        <v>0</v>
      </c>
      <c r="AG43" s="1022">
        <f>0</f>
        <v>0</v>
      </c>
      <c r="AH43" s="1022">
        <f>0</f>
        <v>0</v>
      </c>
      <c r="AI43" s="1022">
        <f>0</f>
        <v>0</v>
      </c>
      <c r="AJ43" s="1022">
        <f>0</f>
        <v>0</v>
      </c>
      <c r="AK43" s="1022">
        <f>0</f>
        <v>0</v>
      </c>
      <c r="AL43" s="1022">
        <f>0</f>
        <v>0</v>
      </c>
      <c r="AM43" s="1022">
        <f>0</f>
        <v>0</v>
      </c>
      <c r="AN43" s="1022">
        <f>0</f>
        <v>0</v>
      </c>
      <c r="AO43" s="1022">
        <f>0</f>
        <v>0</v>
      </c>
      <c r="AP43" s="1022">
        <f>0</f>
        <v>0</v>
      </c>
      <c r="AQ43" s="1022">
        <f>0</f>
        <v>0</v>
      </c>
      <c r="AR43" s="1022">
        <f>0</f>
        <v>0</v>
      </c>
      <c r="AS43" s="1022">
        <f>0</f>
        <v>0</v>
      </c>
      <c r="AT43" s="1022">
        <f>0</f>
        <v>0</v>
      </c>
      <c r="AU43" s="1022">
        <f>0</f>
        <v>0</v>
      </c>
      <c r="AV43" s="1022">
        <f>0</f>
        <v>0</v>
      </c>
      <c r="AW43" s="1022">
        <f>0</f>
        <v>0</v>
      </c>
      <c r="AX43" s="1022">
        <f>0</f>
        <v>0</v>
      </c>
      <c r="AY43" s="1022">
        <f>0</f>
        <v>0</v>
      </c>
      <c r="AZ43" s="1022">
        <f>0</f>
        <v>0</v>
      </c>
      <c r="BA43" s="1022">
        <f>0</f>
        <v>0</v>
      </c>
      <c r="BB43" s="1022">
        <f>0</f>
        <v>0</v>
      </c>
      <c r="BC43" s="1022">
        <f>0</f>
        <v>0</v>
      </c>
      <c r="BD43" s="1022">
        <f>0</f>
        <v>0</v>
      </c>
      <c r="BE43" s="1022">
        <f>0</f>
        <v>0</v>
      </c>
      <c r="BF43" s="1022">
        <f>0</f>
        <v>0</v>
      </c>
      <c r="BG43" s="1022">
        <f>0</f>
        <v>0</v>
      </c>
      <c r="BH43" s="1022">
        <f>0</f>
        <v>0</v>
      </c>
      <c r="BI43" s="1022">
        <f>0</f>
        <v>0</v>
      </c>
      <c r="BJ43" s="1022">
        <f>0</f>
        <v>0</v>
      </c>
      <c r="BK43" s="1022">
        <f>0</f>
        <v>0</v>
      </c>
      <c r="BL43" s="1022">
        <f>0</f>
        <v>0</v>
      </c>
      <c r="BM43" s="1022">
        <f>0</f>
        <v>0</v>
      </c>
      <c r="BN43" s="1022">
        <f>0</f>
        <v>0</v>
      </c>
      <c r="BO43" s="1022">
        <f>0</f>
        <v>0</v>
      </c>
      <c r="BP43" s="1022">
        <f>0</f>
        <v>0</v>
      </c>
      <c r="BQ43" s="1022">
        <f>0</f>
        <v>0</v>
      </c>
      <c r="BR43" s="1022">
        <f>0</f>
        <v>0</v>
      </c>
      <c r="BS43" s="1022">
        <f>0</f>
        <v>0</v>
      </c>
      <c r="BT43" s="1022">
        <f>0</f>
        <v>0</v>
      </c>
      <c r="BU43" s="1022">
        <f>0</f>
        <v>0</v>
      </c>
      <c r="BV43" s="1022">
        <f>0</f>
        <v>0</v>
      </c>
      <c r="BW43" s="1022">
        <f>0</f>
        <v>0</v>
      </c>
      <c r="BX43" s="1022">
        <f>0</f>
        <v>0</v>
      </c>
      <c r="BY43" s="1022">
        <f>0</f>
        <v>0</v>
      </c>
      <c r="BZ43" s="1022">
        <f>0</f>
        <v>0</v>
      </c>
      <c r="CA43" s="1022">
        <f>0</f>
        <v>0</v>
      </c>
      <c r="CB43" s="1022">
        <f>0</f>
        <v>0</v>
      </c>
      <c r="CC43" s="1022">
        <f>0</f>
        <v>0</v>
      </c>
      <c r="CD43" s="1022">
        <f>0</f>
        <v>0</v>
      </c>
      <c r="CE43" s="1022">
        <f>0</f>
        <v>0</v>
      </c>
      <c r="CF43" s="1022">
        <f>0</f>
        <v>0</v>
      </c>
      <c r="CG43" s="1022">
        <f>0</f>
        <v>0</v>
      </c>
      <c r="CH43" s="1022">
        <f>0</f>
        <v>0</v>
      </c>
      <c r="CI43" s="1022">
        <f>0</f>
        <v>0</v>
      </c>
      <c r="CJ43" s="1022">
        <f>0</f>
        <v>0</v>
      </c>
      <c r="CK43" s="1022">
        <f>0</f>
        <v>0</v>
      </c>
      <c r="CL43" s="1022">
        <f>0</f>
        <v>0</v>
      </c>
      <c r="CM43" s="1022">
        <f>0</f>
        <v>0</v>
      </c>
      <c r="CN43" s="1022">
        <f>0</f>
        <v>0</v>
      </c>
      <c r="CO43" s="1022">
        <f>0</f>
        <v>0</v>
      </c>
      <c r="CP43" s="1022">
        <f>0</f>
        <v>0</v>
      </c>
      <c r="CQ43" s="1022">
        <f>0</f>
        <v>0</v>
      </c>
      <c r="CR43" s="1022">
        <f>0</f>
        <v>0</v>
      </c>
      <c r="CS43" s="1022">
        <f>0</f>
        <v>0</v>
      </c>
      <c r="CT43" s="1022">
        <f>0</f>
        <v>0</v>
      </c>
      <c r="CU43" s="1022">
        <f>0</f>
        <v>0</v>
      </c>
      <c r="CV43" s="1023">
        <f>0</f>
        <v>0</v>
      </c>
      <c r="CW43" s="1023">
        <f>0</f>
        <v>0</v>
      </c>
      <c r="CX43" s="1023">
        <f>0</f>
        <v>0</v>
      </c>
      <c r="CY43" s="1023">
        <f>0</f>
        <v>0</v>
      </c>
      <c r="CZ43" s="1023">
        <f>0</f>
        <v>0</v>
      </c>
      <c r="DA43" s="1023">
        <f>0</f>
        <v>0</v>
      </c>
      <c r="DB43" s="1023">
        <f>0</f>
        <v>0</v>
      </c>
      <c r="DC43" s="1023">
        <f>0</f>
        <v>0</v>
      </c>
      <c r="DD43" s="1023">
        <f>0</f>
        <v>0</v>
      </c>
      <c r="DE43" s="1023">
        <f>0</f>
        <v>0</v>
      </c>
      <c r="DF43" s="1023">
        <f>0</f>
        <v>0</v>
      </c>
      <c r="DG43" s="1023">
        <f>0</f>
        <v>0</v>
      </c>
      <c r="DH43" s="1023">
        <f>0</f>
        <v>0</v>
      </c>
      <c r="DI43" s="1023">
        <f>0</f>
        <v>0</v>
      </c>
      <c r="DJ43" s="1023">
        <f>0</f>
        <v>0</v>
      </c>
      <c r="DK43" s="1023">
        <f>0</f>
        <v>0</v>
      </c>
      <c r="DL43" s="1023">
        <f>0</f>
        <v>0</v>
      </c>
      <c r="DM43" s="1023">
        <f>0</f>
        <v>0</v>
      </c>
      <c r="DN43" s="1023">
        <f>0</f>
        <v>0</v>
      </c>
      <c r="DO43" s="1023">
        <f>0</f>
        <v>0</v>
      </c>
      <c r="DP43" s="1023">
        <f>0</f>
        <v>0</v>
      </c>
      <c r="DQ43" s="1023">
        <f>0</f>
        <v>0</v>
      </c>
      <c r="DR43" s="1023">
        <f>0</f>
        <v>0</v>
      </c>
      <c r="DS43" s="1023">
        <f>0</f>
        <v>0</v>
      </c>
      <c r="DT43" s="1023">
        <f>0</f>
        <v>0</v>
      </c>
      <c r="DU43" s="1023">
        <f>0</f>
        <v>0</v>
      </c>
      <c r="DV43" s="1023">
        <f>0</f>
        <v>0</v>
      </c>
      <c r="DW43" s="1023">
        <f>0</f>
        <v>0</v>
      </c>
      <c r="DX43" s="1023">
        <f>0</f>
        <v>0</v>
      </c>
      <c r="DY43" s="1023">
        <f>0</f>
        <v>0</v>
      </c>
      <c r="DZ43" s="1023">
        <f>0</f>
        <v>0</v>
      </c>
      <c r="EA43" s="1023">
        <f>0</f>
        <v>0</v>
      </c>
      <c r="EB43" s="1023">
        <f>0</f>
        <v>0</v>
      </c>
      <c r="EC43" s="1023">
        <f>0</f>
        <v>0</v>
      </c>
      <c r="ED43" s="1023">
        <f>0</f>
        <v>0</v>
      </c>
      <c r="EE43" s="1023">
        <f>0</f>
        <v>0</v>
      </c>
      <c r="EF43" s="1023">
        <f>0</f>
        <v>0</v>
      </c>
      <c r="EG43" s="1023">
        <f>0</f>
        <v>0</v>
      </c>
      <c r="EH43" s="1023">
        <f>0</f>
        <v>0</v>
      </c>
      <c r="EI43" s="1023">
        <f>0</f>
        <v>0</v>
      </c>
      <c r="EJ43" s="1023">
        <f>0</f>
        <v>0</v>
      </c>
      <c r="EK43" s="1023">
        <f>0</f>
        <v>0</v>
      </c>
      <c r="EL43" s="1023">
        <f>0</f>
        <v>0</v>
      </c>
      <c r="EM43" s="1023">
        <f>0</f>
        <v>0</v>
      </c>
      <c r="EN43" s="1023">
        <f>0</f>
        <v>0</v>
      </c>
      <c r="EO43" s="1023">
        <f>0</f>
        <v>0</v>
      </c>
      <c r="EP43" s="1023">
        <f>0</f>
        <v>0</v>
      </c>
      <c r="EQ43" s="1023">
        <f>0</f>
        <v>0</v>
      </c>
      <c r="ER43" s="1023">
        <f>0</f>
        <v>0</v>
      </c>
      <c r="ES43" s="1023">
        <f>0</f>
        <v>0</v>
      </c>
      <c r="ET43" s="1023">
        <f>0</f>
        <v>0</v>
      </c>
      <c r="EU43" s="1023">
        <f>0</f>
        <v>0</v>
      </c>
      <c r="EV43" s="1023">
        <f>0</f>
        <v>0</v>
      </c>
      <c r="EW43" s="1023">
        <f>0</f>
        <v>0</v>
      </c>
      <c r="EX43" s="1023">
        <f>0</f>
        <v>0</v>
      </c>
      <c r="EY43" s="1023">
        <f>0</f>
        <v>0</v>
      </c>
      <c r="EZ43" s="1023">
        <f>0</f>
        <v>0</v>
      </c>
      <c r="FA43" s="1023">
        <f>0</f>
        <v>0</v>
      </c>
      <c r="FB43" s="1023">
        <f>0</f>
        <v>0</v>
      </c>
      <c r="FC43" s="1023">
        <f>0</f>
        <v>0</v>
      </c>
      <c r="FD43" s="1023">
        <f>0</f>
        <v>0</v>
      </c>
      <c r="FE43" s="1023">
        <f>0</f>
        <v>0</v>
      </c>
      <c r="FF43" s="1023">
        <f>0</f>
        <v>0</v>
      </c>
      <c r="FG43" s="1023">
        <f>0</f>
        <v>0</v>
      </c>
      <c r="FH43" s="1023">
        <f>0</f>
        <v>0</v>
      </c>
      <c r="FI43" s="1023">
        <f>0</f>
        <v>0</v>
      </c>
      <c r="FJ43" s="1023">
        <f>0</f>
        <v>0</v>
      </c>
      <c r="FK43" s="1023">
        <f>0</f>
        <v>0</v>
      </c>
      <c r="FL43" s="1023">
        <f>0</f>
        <v>0</v>
      </c>
      <c r="FM43" s="1023">
        <f>0</f>
        <v>0</v>
      </c>
      <c r="FN43" s="1023">
        <f>0</f>
        <v>0</v>
      </c>
      <c r="FO43" s="1023">
        <f>0</f>
        <v>0</v>
      </c>
      <c r="FP43" s="1023">
        <f>0</f>
        <v>0</v>
      </c>
      <c r="FQ43" s="1023">
        <f>0</f>
        <v>0</v>
      </c>
      <c r="FR43" s="1023">
        <f>0</f>
        <v>0</v>
      </c>
      <c r="FS43" s="1023">
        <f>0</f>
        <v>0</v>
      </c>
      <c r="FT43" s="1023">
        <f>0</f>
        <v>0</v>
      </c>
      <c r="FU43" s="1023">
        <f>0</f>
        <v>0</v>
      </c>
      <c r="FV43" s="1023">
        <f>0</f>
        <v>0</v>
      </c>
      <c r="FW43" s="1023">
        <f>0</f>
        <v>0</v>
      </c>
      <c r="FX43" s="1023">
        <f>0</f>
        <v>0</v>
      </c>
      <c r="FY43" s="1023">
        <f>0</f>
        <v>0</v>
      </c>
      <c r="FZ43" s="1023">
        <f>0</f>
        <v>0</v>
      </c>
      <c r="GA43" s="1023">
        <f>0</f>
        <v>0</v>
      </c>
      <c r="GB43" s="1023">
        <f>0</f>
        <v>0</v>
      </c>
      <c r="GC43" s="1023">
        <f>0</f>
        <v>0</v>
      </c>
      <c r="GD43" s="1023">
        <f>0</f>
        <v>0</v>
      </c>
      <c r="GE43" s="1023">
        <f>0</f>
        <v>0</v>
      </c>
      <c r="GF43" s="1023">
        <f>0</f>
        <v>0</v>
      </c>
      <c r="GG43" s="1023">
        <f>0</f>
        <v>0</v>
      </c>
      <c r="GH43" s="1023">
        <f>0</f>
        <v>0</v>
      </c>
      <c r="GI43" s="1023">
        <f>0</f>
        <v>0</v>
      </c>
      <c r="GJ43" s="1023">
        <f>0</f>
        <v>0</v>
      </c>
      <c r="GK43" s="1023">
        <f>0</f>
        <v>0</v>
      </c>
      <c r="GL43" s="1023">
        <f>0</f>
        <v>0</v>
      </c>
      <c r="GM43" s="1023">
        <f>0</f>
        <v>0</v>
      </c>
      <c r="GN43" s="1023">
        <f>0</f>
        <v>0</v>
      </c>
      <c r="GO43" s="1023">
        <f>0</f>
        <v>0</v>
      </c>
      <c r="GP43" s="1023">
        <f>0</f>
        <v>0</v>
      </c>
      <c r="GQ43" s="1023">
        <f>0</f>
        <v>0</v>
      </c>
      <c r="GR43" s="1023">
        <f>0</f>
        <v>0</v>
      </c>
      <c r="GS43" s="1023">
        <f>0</f>
        <v>0</v>
      </c>
      <c r="GT43" s="1023">
        <f>0</f>
        <v>0</v>
      </c>
      <c r="GU43" s="1023">
        <f>0</f>
        <v>0</v>
      </c>
      <c r="GV43" s="1023">
        <f>0</f>
        <v>0</v>
      </c>
      <c r="GW43" s="1023">
        <f>0</f>
        <v>0</v>
      </c>
      <c r="GX43" s="1023">
        <f>0</f>
        <v>0</v>
      </c>
      <c r="GY43" s="1023">
        <f>0</f>
        <v>0</v>
      </c>
      <c r="GZ43" s="1023">
        <f>0</f>
        <v>0</v>
      </c>
      <c r="HA43" s="1023">
        <f>0</f>
        <v>0</v>
      </c>
      <c r="HB43" s="1023">
        <f>0</f>
        <v>0</v>
      </c>
      <c r="HC43" s="1023">
        <f>0</f>
        <v>0</v>
      </c>
      <c r="HD43" s="1023">
        <f>0</f>
        <v>0</v>
      </c>
      <c r="HE43" s="1023">
        <f>0</f>
        <v>0</v>
      </c>
      <c r="HF43" s="1023">
        <f>0</f>
        <v>0</v>
      </c>
      <c r="HG43" s="1023">
        <f>0</f>
        <v>0</v>
      </c>
      <c r="HH43" s="1023">
        <f>0</f>
        <v>0</v>
      </c>
      <c r="HI43" s="1023">
        <f>0</f>
        <v>0</v>
      </c>
      <c r="HJ43" s="1023">
        <f>0</f>
        <v>0</v>
      </c>
      <c r="HK43" s="1023">
        <f>0</f>
        <v>0</v>
      </c>
      <c r="HL43" s="1023">
        <f>0</f>
        <v>0</v>
      </c>
      <c r="HM43" s="1023">
        <f>0</f>
        <v>0</v>
      </c>
      <c r="HN43" s="1023">
        <f>0</f>
        <v>0</v>
      </c>
      <c r="HO43" s="1023">
        <f>0</f>
        <v>0</v>
      </c>
      <c r="HP43" s="1023">
        <f>0</f>
        <v>0</v>
      </c>
      <c r="HQ43" s="1023">
        <f>0</f>
        <v>0</v>
      </c>
      <c r="HR43" s="1023">
        <f>0</f>
        <v>0</v>
      </c>
      <c r="HS43" s="1023">
        <f>0</f>
        <v>0</v>
      </c>
      <c r="HT43" s="1023">
        <f>0</f>
        <v>0</v>
      </c>
      <c r="HU43" s="1023">
        <f>0</f>
        <v>0</v>
      </c>
      <c r="HV43" s="1023">
        <f>0</f>
        <v>0</v>
      </c>
      <c r="HW43" s="1023">
        <f>0</f>
        <v>0</v>
      </c>
      <c r="HX43" s="1023">
        <f>0</f>
        <v>0</v>
      </c>
      <c r="HY43" s="1023">
        <f>0</f>
        <v>0</v>
      </c>
      <c r="HZ43" s="1023">
        <f>0</f>
        <v>0</v>
      </c>
      <c r="IA43" s="1023">
        <f>0</f>
        <v>0</v>
      </c>
      <c r="IB43" s="1023">
        <f>0</f>
        <v>0</v>
      </c>
      <c r="IC43" s="1023">
        <f>0</f>
        <v>0</v>
      </c>
      <c r="ID43" s="1023">
        <f>0</f>
        <v>0</v>
      </c>
      <c r="IE43" s="1023">
        <f>0</f>
        <v>0</v>
      </c>
      <c r="IF43" s="1023">
        <f>0</f>
        <v>0</v>
      </c>
      <c r="IG43" s="1023">
        <f>0</f>
        <v>0</v>
      </c>
      <c r="IH43" s="1023">
        <f>0</f>
        <v>0</v>
      </c>
      <c r="II43" s="1023">
        <f>0</f>
        <v>0</v>
      </c>
      <c r="IJ43" s="1023">
        <f>0</f>
        <v>0</v>
      </c>
      <c r="IK43" s="1023">
        <f>0</f>
        <v>0</v>
      </c>
      <c r="IL43" s="1023">
        <f>0</f>
        <v>0</v>
      </c>
      <c r="IM43" s="1023">
        <f>0</f>
        <v>0</v>
      </c>
      <c r="IN43" s="1023">
        <f>0</f>
        <v>0</v>
      </c>
      <c r="IO43" s="1023">
        <f>0</f>
        <v>0</v>
      </c>
      <c r="IP43" s="1023">
        <f>0</f>
        <v>0</v>
      </c>
      <c r="IQ43" s="1023">
        <f>0</f>
        <v>0</v>
      </c>
      <c r="IR43" s="1023">
        <f>0</f>
        <v>0</v>
      </c>
    </row>
    <row r="44" spans="1:252" s="960" customFormat="1" ht="11.25" hidden="1" customHeight="1" outlineLevel="1">
      <c r="B44" s="1024" t="s">
        <v>694</v>
      </c>
      <c r="C44" s="1022">
        <f>(0)*$V$23</f>
        <v>0</v>
      </c>
      <c r="D44" s="1022">
        <f>(0)*$V$23</f>
        <v>0</v>
      </c>
      <c r="E44" s="1022">
        <f>(0)*$V$23</f>
        <v>0</v>
      </c>
      <c r="F44" s="1022">
        <f>(0)*$V$23</f>
        <v>0</v>
      </c>
      <c r="G44" s="1022">
        <f t="shared" si="14"/>
        <v>0</v>
      </c>
      <c r="H44" s="1022">
        <f t="shared" si="14"/>
        <v>0</v>
      </c>
      <c r="I44" s="1022">
        <f t="shared" si="14"/>
        <v>0</v>
      </c>
      <c r="J44" s="1022">
        <f t="shared" si="14"/>
        <v>0</v>
      </c>
      <c r="K44" s="1022">
        <f t="shared" si="14"/>
        <v>0</v>
      </c>
      <c r="L44" s="1022">
        <f t="shared" si="14"/>
        <v>0</v>
      </c>
      <c r="M44" s="1022">
        <f t="shared" si="14"/>
        <v>0</v>
      </c>
      <c r="N44" s="1022">
        <f t="shared" si="14"/>
        <v>0</v>
      </c>
      <c r="O44" s="1022">
        <f t="shared" si="14"/>
        <v>0</v>
      </c>
      <c r="P44" s="1022">
        <f t="shared" si="14"/>
        <v>0</v>
      </c>
      <c r="Q44" s="1022">
        <f t="shared" si="15"/>
        <v>0</v>
      </c>
      <c r="R44" s="1022">
        <f t="shared" si="15"/>
        <v>0</v>
      </c>
      <c r="S44" s="1022">
        <f t="shared" si="15"/>
        <v>0</v>
      </c>
      <c r="T44" s="1022">
        <f t="shared" si="15"/>
        <v>0</v>
      </c>
      <c r="U44" s="1022">
        <f t="shared" si="15"/>
        <v>0</v>
      </c>
      <c r="V44" s="1022">
        <f t="shared" si="15"/>
        <v>0</v>
      </c>
      <c r="W44" s="1022">
        <f t="shared" si="15"/>
        <v>0</v>
      </c>
      <c r="X44" s="1022">
        <f t="shared" si="15"/>
        <v>0</v>
      </c>
      <c r="Y44" s="1022">
        <f t="shared" si="15"/>
        <v>0</v>
      </c>
      <c r="Z44" s="1022">
        <f t="shared" si="15"/>
        <v>0</v>
      </c>
      <c r="AA44" s="1022">
        <f t="shared" si="15"/>
        <v>0</v>
      </c>
      <c r="AB44" s="1022">
        <f t="shared" si="15"/>
        <v>0</v>
      </c>
      <c r="AC44" s="1022">
        <f>0</f>
        <v>0</v>
      </c>
      <c r="AD44" s="1022">
        <f>0</f>
        <v>0</v>
      </c>
      <c r="AE44" s="1022">
        <f>0</f>
        <v>0</v>
      </c>
      <c r="AF44" s="1022">
        <f>0</f>
        <v>0</v>
      </c>
      <c r="AG44" s="1022">
        <f>0</f>
        <v>0</v>
      </c>
      <c r="AH44" s="1022">
        <f>0</f>
        <v>0</v>
      </c>
      <c r="AI44" s="1022">
        <f>0</f>
        <v>0</v>
      </c>
      <c r="AJ44" s="1022">
        <f>0</f>
        <v>0</v>
      </c>
      <c r="AK44" s="1022">
        <f>0</f>
        <v>0</v>
      </c>
      <c r="AL44" s="1022">
        <f>0</f>
        <v>0</v>
      </c>
      <c r="AM44" s="1022">
        <f>0</f>
        <v>0</v>
      </c>
      <c r="AN44" s="1022">
        <f>0</f>
        <v>0</v>
      </c>
      <c r="AO44" s="1022">
        <f>0</f>
        <v>0</v>
      </c>
      <c r="AP44" s="1022">
        <f>0</f>
        <v>0</v>
      </c>
      <c r="AQ44" s="1022">
        <f>0</f>
        <v>0</v>
      </c>
      <c r="AR44" s="1022">
        <f>0</f>
        <v>0</v>
      </c>
      <c r="AS44" s="1022">
        <f>0</f>
        <v>0</v>
      </c>
      <c r="AT44" s="1022">
        <f>0</f>
        <v>0</v>
      </c>
      <c r="AU44" s="1022">
        <f>0</f>
        <v>0</v>
      </c>
      <c r="AV44" s="1022">
        <f>0</f>
        <v>0</v>
      </c>
      <c r="AW44" s="1022">
        <f>0</f>
        <v>0</v>
      </c>
      <c r="AX44" s="1022">
        <f>0</f>
        <v>0</v>
      </c>
      <c r="AY44" s="1022">
        <f>0</f>
        <v>0</v>
      </c>
      <c r="AZ44" s="1022">
        <f>0</f>
        <v>0</v>
      </c>
      <c r="BA44" s="1022">
        <f>0</f>
        <v>0</v>
      </c>
      <c r="BB44" s="1022">
        <f>0</f>
        <v>0</v>
      </c>
      <c r="BC44" s="1022">
        <f>0</f>
        <v>0</v>
      </c>
      <c r="BD44" s="1022">
        <f>0</f>
        <v>0</v>
      </c>
      <c r="BE44" s="1022">
        <f>0</f>
        <v>0</v>
      </c>
      <c r="BF44" s="1022">
        <f>0</f>
        <v>0</v>
      </c>
      <c r="BG44" s="1022">
        <f>0</f>
        <v>0</v>
      </c>
      <c r="BH44" s="1022">
        <f>0</f>
        <v>0</v>
      </c>
      <c r="BI44" s="1022">
        <f>0</f>
        <v>0</v>
      </c>
      <c r="BJ44" s="1022">
        <f>0</f>
        <v>0</v>
      </c>
      <c r="BK44" s="1022">
        <f>0</f>
        <v>0</v>
      </c>
      <c r="BL44" s="1022">
        <f>0</f>
        <v>0</v>
      </c>
      <c r="BM44" s="1022">
        <f>0</f>
        <v>0</v>
      </c>
      <c r="BN44" s="1022">
        <f>0</f>
        <v>0</v>
      </c>
      <c r="BO44" s="1022">
        <f>0</f>
        <v>0</v>
      </c>
      <c r="BP44" s="1022">
        <f>0</f>
        <v>0</v>
      </c>
      <c r="BQ44" s="1022">
        <f>0</f>
        <v>0</v>
      </c>
      <c r="BR44" s="1022">
        <f>0</f>
        <v>0</v>
      </c>
      <c r="BS44" s="1022">
        <f>0</f>
        <v>0</v>
      </c>
      <c r="BT44" s="1022">
        <f>0</f>
        <v>0</v>
      </c>
      <c r="BU44" s="1022">
        <f>0</f>
        <v>0</v>
      </c>
      <c r="BV44" s="1022">
        <f>0</f>
        <v>0</v>
      </c>
      <c r="BW44" s="1022">
        <f>0</f>
        <v>0</v>
      </c>
      <c r="BX44" s="1022">
        <f>0</f>
        <v>0</v>
      </c>
      <c r="BY44" s="1022">
        <f>0</f>
        <v>0</v>
      </c>
      <c r="BZ44" s="1022">
        <f>0</f>
        <v>0</v>
      </c>
      <c r="CA44" s="1022">
        <f>0</f>
        <v>0</v>
      </c>
      <c r="CB44" s="1022">
        <f>0</f>
        <v>0</v>
      </c>
      <c r="CC44" s="1022">
        <f>0</f>
        <v>0</v>
      </c>
      <c r="CD44" s="1022">
        <f>0</f>
        <v>0</v>
      </c>
      <c r="CE44" s="1022">
        <f>0</f>
        <v>0</v>
      </c>
      <c r="CF44" s="1022">
        <f>0</f>
        <v>0</v>
      </c>
      <c r="CG44" s="1022">
        <f>0</f>
        <v>0</v>
      </c>
      <c r="CH44" s="1022">
        <f>0</f>
        <v>0</v>
      </c>
      <c r="CI44" s="1022">
        <f>0</f>
        <v>0</v>
      </c>
      <c r="CJ44" s="1022">
        <f>0</f>
        <v>0</v>
      </c>
      <c r="CK44" s="1022">
        <f>0</f>
        <v>0</v>
      </c>
      <c r="CL44" s="1022">
        <f>0</f>
        <v>0</v>
      </c>
      <c r="CM44" s="1022">
        <f>0</f>
        <v>0</v>
      </c>
      <c r="CN44" s="1022">
        <f>0</f>
        <v>0</v>
      </c>
      <c r="CO44" s="1022">
        <f>0</f>
        <v>0</v>
      </c>
      <c r="CP44" s="1022">
        <f>0</f>
        <v>0</v>
      </c>
      <c r="CQ44" s="1022">
        <f>0</f>
        <v>0</v>
      </c>
      <c r="CR44" s="1022">
        <f>0</f>
        <v>0</v>
      </c>
      <c r="CS44" s="1022">
        <f>0</f>
        <v>0</v>
      </c>
      <c r="CT44" s="1022">
        <f>0</f>
        <v>0</v>
      </c>
      <c r="CU44" s="1022">
        <f>0</f>
        <v>0</v>
      </c>
      <c r="CV44" s="1023">
        <f>0</f>
        <v>0</v>
      </c>
      <c r="CW44" s="1023">
        <f>0</f>
        <v>0</v>
      </c>
      <c r="CX44" s="1023">
        <f>0</f>
        <v>0</v>
      </c>
      <c r="CY44" s="1023">
        <f>0</f>
        <v>0</v>
      </c>
      <c r="CZ44" s="1023">
        <f>0</f>
        <v>0</v>
      </c>
      <c r="DA44" s="1023">
        <f>0</f>
        <v>0</v>
      </c>
      <c r="DB44" s="1023">
        <f>0</f>
        <v>0</v>
      </c>
      <c r="DC44" s="1023">
        <f>0</f>
        <v>0</v>
      </c>
      <c r="DD44" s="1023">
        <f>0</f>
        <v>0</v>
      </c>
      <c r="DE44" s="1023">
        <f>0</f>
        <v>0</v>
      </c>
      <c r="DF44" s="1023">
        <f>0</f>
        <v>0</v>
      </c>
      <c r="DG44" s="1023">
        <f>0</f>
        <v>0</v>
      </c>
      <c r="DH44" s="1023">
        <f>0</f>
        <v>0</v>
      </c>
      <c r="DI44" s="1023">
        <f>0</f>
        <v>0</v>
      </c>
      <c r="DJ44" s="1023">
        <f>0</f>
        <v>0</v>
      </c>
      <c r="DK44" s="1023">
        <f>0</f>
        <v>0</v>
      </c>
      <c r="DL44" s="1023">
        <f>0</f>
        <v>0</v>
      </c>
      <c r="DM44" s="1023">
        <f>0</f>
        <v>0</v>
      </c>
      <c r="DN44" s="1023">
        <f>0</f>
        <v>0</v>
      </c>
      <c r="DO44" s="1023">
        <f>0</f>
        <v>0</v>
      </c>
      <c r="DP44" s="1023">
        <f>0</f>
        <v>0</v>
      </c>
      <c r="DQ44" s="1023">
        <f>0</f>
        <v>0</v>
      </c>
      <c r="DR44" s="1023">
        <f>0</f>
        <v>0</v>
      </c>
      <c r="DS44" s="1023">
        <f>0</f>
        <v>0</v>
      </c>
      <c r="DT44" s="1023">
        <f>0</f>
        <v>0</v>
      </c>
      <c r="DU44" s="1023">
        <f>0</f>
        <v>0</v>
      </c>
      <c r="DV44" s="1023">
        <f>0</f>
        <v>0</v>
      </c>
      <c r="DW44" s="1023">
        <f>0</f>
        <v>0</v>
      </c>
      <c r="DX44" s="1023">
        <f>0</f>
        <v>0</v>
      </c>
      <c r="DY44" s="1023">
        <f>0</f>
        <v>0</v>
      </c>
      <c r="DZ44" s="1023">
        <f>0</f>
        <v>0</v>
      </c>
      <c r="EA44" s="1023">
        <f>0</f>
        <v>0</v>
      </c>
      <c r="EB44" s="1023">
        <f>0</f>
        <v>0</v>
      </c>
      <c r="EC44" s="1023">
        <f>0</f>
        <v>0</v>
      </c>
      <c r="ED44" s="1023">
        <f>0</f>
        <v>0</v>
      </c>
      <c r="EE44" s="1023">
        <f>0</f>
        <v>0</v>
      </c>
      <c r="EF44" s="1023">
        <f>0</f>
        <v>0</v>
      </c>
      <c r="EG44" s="1023">
        <f>0</f>
        <v>0</v>
      </c>
      <c r="EH44" s="1023">
        <f>0</f>
        <v>0</v>
      </c>
      <c r="EI44" s="1023">
        <f>0</f>
        <v>0</v>
      </c>
      <c r="EJ44" s="1023">
        <f>0</f>
        <v>0</v>
      </c>
      <c r="EK44" s="1023">
        <f>0</f>
        <v>0</v>
      </c>
      <c r="EL44" s="1023">
        <f>0</f>
        <v>0</v>
      </c>
      <c r="EM44" s="1023">
        <f>0</f>
        <v>0</v>
      </c>
      <c r="EN44" s="1023">
        <f>0</f>
        <v>0</v>
      </c>
      <c r="EO44" s="1023">
        <f>0</f>
        <v>0</v>
      </c>
      <c r="EP44" s="1023">
        <f>0</f>
        <v>0</v>
      </c>
      <c r="EQ44" s="1023">
        <f>0</f>
        <v>0</v>
      </c>
      <c r="ER44" s="1023">
        <f>0</f>
        <v>0</v>
      </c>
      <c r="ES44" s="1023">
        <f>0</f>
        <v>0</v>
      </c>
      <c r="ET44" s="1023">
        <f>0</f>
        <v>0</v>
      </c>
      <c r="EU44" s="1023">
        <f>0</f>
        <v>0</v>
      </c>
      <c r="EV44" s="1023">
        <f>0</f>
        <v>0</v>
      </c>
      <c r="EW44" s="1023">
        <f>0</f>
        <v>0</v>
      </c>
      <c r="EX44" s="1023">
        <f>0</f>
        <v>0</v>
      </c>
      <c r="EY44" s="1023">
        <f>0</f>
        <v>0</v>
      </c>
      <c r="EZ44" s="1023">
        <f>0</f>
        <v>0</v>
      </c>
      <c r="FA44" s="1023">
        <f>0</f>
        <v>0</v>
      </c>
      <c r="FB44" s="1023">
        <f>0</f>
        <v>0</v>
      </c>
      <c r="FC44" s="1023">
        <f>0</f>
        <v>0</v>
      </c>
      <c r="FD44" s="1023">
        <f>0</f>
        <v>0</v>
      </c>
      <c r="FE44" s="1023">
        <f>0</f>
        <v>0</v>
      </c>
      <c r="FF44" s="1023">
        <f>0</f>
        <v>0</v>
      </c>
      <c r="FG44" s="1023">
        <f>0</f>
        <v>0</v>
      </c>
      <c r="FH44" s="1023">
        <f>0</f>
        <v>0</v>
      </c>
      <c r="FI44" s="1023">
        <f>0</f>
        <v>0</v>
      </c>
      <c r="FJ44" s="1023">
        <f>0</f>
        <v>0</v>
      </c>
      <c r="FK44" s="1023">
        <f>0</f>
        <v>0</v>
      </c>
      <c r="FL44" s="1023">
        <f>0</f>
        <v>0</v>
      </c>
      <c r="FM44" s="1023">
        <f>0</f>
        <v>0</v>
      </c>
      <c r="FN44" s="1023">
        <f>0</f>
        <v>0</v>
      </c>
      <c r="FO44" s="1023">
        <f>0</f>
        <v>0</v>
      </c>
      <c r="FP44" s="1023">
        <f>0</f>
        <v>0</v>
      </c>
      <c r="FQ44" s="1023">
        <f>0</f>
        <v>0</v>
      </c>
      <c r="FR44" s="1023">
        <f>0</f>
        <v>0</v>
      </c>
      <c r="FS44" s="1023">
        <f>0</f>
        <v>0</v>
      </c>
      <c r="FT44" s="1023">
        <f>0</f>
        <v>0</v>
      </c>
      <c r="FU44" s="1023">
        <f>0</f>
        <v>0</v>
      </c>
      <c r="FV44" s="1023">
        <f>0</f>
        <v>0</v>
      </c>
      <c r="FW44" s="1023">
        <f>0</f>
        <v>0</v>
      </c>
      <c r="FX44" s="1023">
        <f>0</f>
        <v>0</v>
      </c>
      <c r="FY44" s="1023">
        <f>0</f>
        <v>0</v>
      </c>
      <c r="FZ44" s="1023">
        <f>0</f>
        <v>0</v>
      </c>
      <c r="GA44" s="1023">
        <f>0</f>
        <v>0</v>
      </c>
      <c r="GB44" s="1023">
        <f>0</f>
        <v>0</v>
      </c>
      <c r="GC44" s="1023">
        <f>0</f>
        <v>0</v>
      </c>
      <c r="GD44" s="1023">
        <f>0</f>
        <v>0</v>
      </c>
      <c r="GE44" s="1023">
        <f>0</f>
        <v>0</v>
      </c>
      <c r="GF44" s="1023">
        <f>0</f>
        <v>0</v>
      </c>
      <c r="GG44" s="1023">
        <f>0</f>
        <v>0</v>
      </c>
      <c r="GH44" s="1023">
        <f>0</f>
        <v>0</v>
      </c>
      <c r="GI44" s="1023">
        <f>0</f>
        <v>0</v>
      </c>
      <c r="GJ44" s="1023">
        <f>0</f>
        <v>0</v>
      </c>
      <c r="GK44" s="1023">
        <f>0</f>
        <v>0</v>
      </c>
      <c r="GL44" s="1023">
        <f>0</f>
        <v>0</v>
      </c>
      <c r="GM44" s="1023">
        <f>0</f>
        <v>0</v>
      </c>
      <c r="GN44" s="1023">
        <f>0</f>
        <v>0</v>
      </c>
      <c r="GO44" s="1023">
        <f>0</f>
        <v>0</v>
      </c>
      <c r="GP44" s="1023">
        <f>0</f>
        <v>0</v>
      </c>
      <c r="GQ44" s="1023">
        <f>0</f>
        <v>0</v>
      </c>
      <c r="GR44" s="1023">
        <f>0</f>
        <v>0</v>
      </c>
      <c r="GS44" s="1023">
        <f>0</f>
        <v>0</v>
      </c>
      <c r="GT44" s="1023">
        <f>0</f>
        <v>0</v>
      </c>
      <c r="GU44" s="1023">
        <f>0</f>
        <v>0</v>
      </c>
      <c r="GV44" s="1023">
        <f>0</f>
        <v>0</v>
      </c>
      <c r="GW44" s="1023">
        <f>0</f>
        <v>0</v>
      </c>
      <c r="GX44" s="1023">
        <f>0</f>
        <v>0</v>
      </c>
      <c r="GY44" s="1023">
        <f>0</f>
        <v>0</v>
      </c>
      <c r="GZ44" s="1023">
        <f>0</f>
        <v>0</v>
      </c>
      <c r="HA44" s="1023">
        <f>0</f>
        <v>0</v>
      </c>
      <c r="HB44" s="1023">
        <f>0</f>
        <v>0</v>
      </c>
      <c r="HC44" s="1023">
        <f>0</f>
        <v>0</v>
      </c>
      <c r="HD44" s="1023">
        <f>0</f>
        <v>0</v>
      </c>
      <c r="HE44" s="1023">
        <f>0</f>
        <v>0</v>
      </c>
      <c r="HF44" s="1023">
        <f>0</f>
        <v>0</v>
      </c>
      <c r="HG44" s="1023">
        <f>0</f>
        <v>0</v>
      </c>
      <c r="HH44" s="1023">
        <f>0</f>
        <v>0</v>
      </c>
      <c r="HI44" s="1023">
        <f>0</f>
        <v>0</v>
      </c>
      <c r="HJ44" s="1023">
        <f>0</f>
        <v>0</v>
      </c>
      <c r="HK44" s="1023">
        <f>0</f>
        <v>0</v>
      </c>
      <c r="HL44" s="1023">
        <f>0</f>
        <v>0</v>
      </c>
      <c r="HM44" s="1023">
        <f>0</f>
        <v>0</v>
      </c>
      <c r="HN44" s="1023">
        <f>0</f>
        <v>0</v>
      </c>
      <c r="HO44" s="1023">
        <f>0</f>
        <v>0</v>
      </c>
      <c r="HP44" s="1023">
        <f>0</f>
        <v>0</v>
      </c>
      <c r="HQ44" s="1023">
        <f>0</f>
        <v>0</v>
      </c>
      <c r="HR44" s="1023">
        <f>0</f>
        <v>0</v>
      </c>
      <c r="HS44" s="1023">
        <f>0</f>
        <v>0</v>
      </c>
      <c r="HT44" s="1023">
        <f>0</f>
        <v>0</v>
      </c>
      <c r="HU44" s="1023">
        <f>0</f>
        <v>0</v>
      </c>
      <c r="HV44" s="1023">
        <f>0</f>
        <v>0</v>
      </c>
      <c r="HW44" s="1023">
        <f>0</f>
        <v>0</v>
      </c>
      <c r="HX44" s="1023">
        <f>0</f>
        <v>0</v>
      </c>
      <c r="HY44" s="1023">
        <f>0</f>
        <v>0</v>
      </c>
      <c r="HZ44" s="1023">
        <f>0</f>
        <v>0</v>
      </c>
      <c r="IA44" s="1023">
        <f>0</f>
        <v>0</v>
      </c>
      <c r="IB44" s="1023">
        <f>0</f>
        <v>0</v>
      </c>
      <c r="IC44" s="1023">
        <f>0</f>
        <v>0</v>
      </c>
      <c r="ID44" s="1023">
        <f>0</f>
        <v>0</v>
      </c>
      <c r="IE44" s="1023">
        <f>0</f>
        <v>0</v>
      </c>
      <c r="IF44" s="1023">
        <f>0</f>
        <v>0</v>
      </c>
      <c r="IG44" s="1023">
        <f>0</f>
        <v>0</v>
      </c>
      <c r="IH44" s="1023">
        <f>0</f>
        <v>0</v>
      </c>
      <c r="II44" s="1023">
        <f>0</f>
        <v>0</v>
      </c>
      <c r="IJ44" s="1023">
        <f>0</f>
        <v>0</v>
      </c>
      <c r="IK44" s="1023">
        <f>0</f>
        <v>0</v>
      </c>
      <c r="IL44" s="1023">
        <f>0</f>
        <v>0</v>
      </c>
      <c r="IM44" s="1023">
        <f>0</f>
        <v>0</v>
      </c>
      <c r="IN44" s="1023">
        <f>0</f>
        <v>0</v>
      </c>
      <c r="IO44" s="1023">
        <f>0</f>
        <v>0</v>
      </c>
      <c r="IP44" s="1023">
        <f>0</f>
        <v>0</v>
      </c>
      <c r="IQ44" s="1023">
        <f>0</f>
        <v>0</v>
      </c>
      <c r="IR44" s="1023">
        <f>0</f>
        <v>0</v>
      </c>
    </row>
    <row r="45" spans="1:252" s="960" customFormat="1" ht="11.25" hidden="1" customHeight="1" outlineLevel="1">
      <c r="B45" s="1024" t="s">
        <v>695</v>
      </c>
      <c r="C45" s="1022">
        <f>(((((sumry!BR10)-(sumry!BR12+sumry!BR15+sumry!BR17+sumry!BR18+(-'MWA Lease'!Q12-'MWA Lease'!Q11))))*sumry!BR83))*$V$23</f>
        <v>119.14377573037784</v>
      </c>
      <c r="D45" s="1022">
        <f>(((((sumry!BS10)-(sumry!BS12+sumry!BS15+sumry!BS17+sumry!BS18+(-'MWA Lease'!R12-'MWA Lease'!R11))))*sumry!BS83))*$V$23</f>
        <v>128.19440125148139</v>
      </c>
      <c r="E45" s="1022">
        <f>(((((sumry!BT10)-(sumry!BT12+sumry!BT15+sumry!BT17+sumry!BT18+(-'MWA Lease'!S12-'MWA Lease'!S11))))*sumry!BT83))*$V$23</f>
        <v>135.74265740100671</v>
      </c>
      <c r="F45" s="1022">
        <f>(((((sumry!BU10)-(sumry!BU12+sumry!BU15+sumry!BU17+sumry!BU18+(-'MWA Lease'!T12-'MWA Lease'!T11))))*sumry!BU83))*$V$23</f>
        <v>151.77617211242872</v>
      </c>
      <c r="G45" s="1022">
        <f t="shared" si="14"/>
        <v>0</v>
      </c>
      <c r="H45" s="1022">
        <f t="shared" si="14"/>
        <v>0</v>
      </c>
      <c r="I45" s="1022">
        <f t="shared" si="14"/>
        <v>0</v>
      </c>
      <c r="J45" s="1022">
        <f t="shared" si="14"/>
        <v>0</v>
      </c>
      <c r="K45" s="1022">
        <f t="shared" si="14"/>
        <v>0</v>
      </c>
      <c r="L45" s="1022">
        <f t="shared" si="14"/>
        <v>0</v>
      </c>
      <c r="M45" s="1022">
        <f t="shared" si="14"/>
        <v>0</v>
      </c>
      <c r="N45" s="1022">
        <f t="shared" si="14"/>
        <v>0</v>
      </c>
      <c r="O45" s="1022">
        <f t="shared" si="14"/>
        <v>0</v>
      </c>
      <c r="P45" s="1022">
        <f t="shared" si="14"/>
        <v>0</v>
      </c>
      <c r="Q45" s="1022">
        <f t="shared" si="15"/>
        <v>0</v>
      </c>
      <c r="R45" s="1022">
        <f t="shared" si="15"/>
        <v>0</v>
      </c>
      <c r="S45" s="1022">
        <f t="shared" si="15"/>
        <v>0</v>
      </c>
      <c r="T45" s="1022">
        <f t="shared" si="15"/>
        <v>0</v>
      </c>
      <c r="U45" s="1022">
        <f t="shared" si="15"/>
        <v>0</v>
      </c>
      <c r="V45" s="1022">
        <f t="shared" si="15"/>
        <v>0</v>
      </c>
      <c r="W45" s="1022">
        <f t="shared" si="15"/>
        <v>0</v>
      </c>
      <c r="X45" s="1022">
        <f t="shared" si="15"/>
        <v>0</v>
      </c>
      <c r="Y45" s="1022">
        <f t="shared" si="15"/>
        <v>0</v>
      </c>
      <c r="Z45" s="1022">
        <f t="shared" si="15"/>
        <v>0</v>
      </c>
      <c r="AA45" s="1022">
        <f t="shared" si="15"/>
        <v>0</v>
      </c>
      <c r="AB45" s="1022">
        <f t="shared" si="15"/>
        <v>0</v>
      </c>
      <c r="AC45" s="1022">
        <f>0</f>
        <v>0</v>
      </c>
      <c r="AD45" s="1022">
        <f>0</f>
        <v>0</v>
      </c>
      <c r="AE45" s="1022">
        <f>0</f>
        <v>0</v>
      </c>
      <c r="AF45" s="1022">
        <f>0</f>
        <v>0</v>
      </c>
      <c r="AG45" s="1022">
        <f>0</f>
        <v>0</v>
      </c>
      <c r="AH45" s="1022">
        <f>0</f>
        <v>0</v>
      </c>
      <c r="AI45" s="1022">
        <f>0</f>
        <v>0</v>
      </c>
      <c r="AJ45" s="1022">
        <f>0</f>
        <v>0</v>
      </c>
      <c r="AK45" s="1022">
        <f>0</f>
        <v>0</v>
      </c>
      <c r="AL45" s="1022">
        <f>0</f>
        <v>0</v>
      </c>
      <c r="AM45" s="1022">
        <f>0</f>
        <v>0</v>
      </c>
      <c r="AN45" s="1022">
        <f>0</f>
        <v>0</v>
      </c>
      <c r="AO45" s="1022">
        <f>0</f>
        <v>0</v>
      </c>
      <c r="AP45" s="1022">
        <f>0</f>
        <v>0</v>
      </c>
      <c r="AQ45" s="1022">
        <f>0</f>
        <v>0</v>
      </c>
      <c r="AR45" s="1022">
        <f>0</f>
        <v>0</v>
      </c>
      <c r="AS45" s="1022">
        <f>0</f>
        <v>0</v>
      </c>
      <c r="AT45" s="1022">
        <f>0</f>
        <v>0</v>
      </c>
      <c r="AU45" s="1022">
        <f>0</f>
        <v>0</v>
      </c>
      <c r="AV45" s="1022">
        <f>0</f>
        <v>0</v>
      </c>
      <c r="AW45" s="1022">
        <f>0</f>
        <v>0</v>
      </c>
      <c r="AX45" s="1022">
        <f>0</f>
        <v>0</v>
      </c>
      <c r="AY45" s="1022">
        <f>0</f>
        <v>0</v>
      </c>
      <c r="AZ45" s="1022">
        <f>0</f>
        <v>0</v>
      </c>
      <c r="BA45" s="1022">
        <f>0</f>
        <v>0</v>
      </c>
      <c r="BB45" s="1022">
        <f>0</f>
        <v>0</v>
      </c>
      <c r="BC45" s="1022">
        <f>0</f>
        <v>0</v>
      </c>
      <c r="BD45" s="1022">
        <f>0</f>
        <v>0</v>
      </c>
      <c r="BE45" s="1022">
        <f>0</f>
        <v>0</v>
      </c>
      <c r="BF45" s="1022">
        <f>0</f>
        <v>0</v>
      </c>
      <c r="BG45" s="1022">
        <f>0</f>
        <v>0</v>
      </c>
      <c r="BH45" s="1022">
        <f>0</f>
        <v>0</v>
      </c>
      <c r="BI45" s="1022">
        <f>0</f>
        <v>0</v>
      </c>
      <c r="BJ45" s="1022">
        <f>0</f>
        <v>0</v>
      </c>
      <c r="BK45" s="1022">
        <f>0</f>
        <v>0</v>
      </c>
      <c r="BL45" s="1022">
        <f>0</f>
        <v>0</v>
      </c>
      <c r="BM45" s="1022">
        <f>0</f>
        <v>0</v>
      </c>
      <c r="BN45" s="1022">
        <f>0</f>
        <v>0</v>
      </c>
      <c r="BO45" s="1022">
        <f>0</f>
        <v>0</v>
      </c>
      <c r="BP45" s="1022">
        <f>0</f>
        <v>0</v>
      </c>
      <c r="BQ45" s="1022">
        <f>0</f>
        <v>0</v>
      </c>
      <c r="BR45" s="1022">
        <f>0</f>
        <v>0</v>
      </c>
      <c r="BS45" s="1022">
        <f>0</f>
        <v>0</v>
      </c>
      <c r="BT45" s="1022">
        <f>0</f>
        <v>0</v>
      </c>
      <c r="BU45" s="1022">
        <f>0</f>
        <v>0</v>
      </c>
      <c r="BV45" s="1022">
        <f>0</f>
        <v>0</v>
      </c>
      <c r="BW45" s="1022">
        <f>0</f>
        <v>0</v>
      </c>
      <c r="BX45" s="1022">
        <f>0</f>
        <v>0</v>
      </c>
      <c r="BY45" s="1022">
        <f>0</f>
        <v>0</v>
      </c>
      <c r="BZ45" s="1022">
        <f>0</f>
        <v>0</v>
      </c>
      <c r="CA45" s="1022">
        <f>0</f>
        <v>0</v>
      </c>
      <c r="CB45" s="1022">
        <f>0</f>
        <v>0</v>
      </c>
      <c r="CC45" s="1022">
        <f>0</f>
        <v>0</v>
      </c>
      <c r="CD45" s="1022">
        <f>0</f>
        <v>0</v>
      </c>
      <c r="CE45" s="1022">
        <f>0</f>
        <v>0</v>
      </c>
      <c r="CF45" s="1022">
        <f>0</f>
        <v>0</v>
      </c>
      <c r="CG45" s="1022">
        <f>0</f>
        <v>0</v>
      </c>
      <c r="CH45" s="1022">
        <f>0</f>
        <v>0</v>
      </c>
      <c r="CI45" s="1022">
        <f>0</f>
        <v>0</v>
      </c>
      <c r="CJ45" s="1022">
        <f>0</f>
        <v>0</v>
      </c>
      <c r="CK45" s="1022">
        <f>0</f>
        <v>0</v>
      </c>
      <c r="CL45" s="1022">
        <f>0</f>
        <v>0</v>
      </c>
      <c r="CM45" s="1022">
        <f>0</f>
        <v>0</v>
      </c>
      <c r="CN45" s="1022">
        <f>0</f>
        <v>0</v>
      </c>
      <c r="CO45" s="1022">
        <f>0</f>
        <v>0</v>
      </c>
      <c r="CP45" s="1022">
        <f>0</f>
        <v>0</v>
      </c>
      <c r="CQ45" s="1022">
        <f>0</f>
        <v>0</v>
      </c>
      <c r="CR45" s="1022">
        <f>0</f>
        <v>0</v>
      </c>
      <c r="CS45" s="1022">
        <f>0</f>
        <v>0</v>
      </c>
      <c r="CT45" s="1022">
        <f>0</f>
        <v>0</v>
      </c>
      <c r="CU45" s="1022">
        <f>0</f>
        <v>0</v>
      </c>
      <c r="CV45" s="1023">
        <f>0</f>
        <v>0</v>
      </c>
      <c r="CW45" s="1023">
        <f>0</f>
        <v>0</v>
      </c>
      <c r="CX45" s="1023">
        <f>0</f>
        <v>0</v>
      </c>
      <c r="CY45" s="1023">
        <f>0</f>
        <v>0</v>
      </c>
      <c r="CZ45" s="1023">
        <f>0</f>
        <v>0</v>
      </c>
      <c r="DA45" s="1023">
        <f>0</f>
        <v>0</v>
      </c>
      <c r="DB45" s="1023">
        <f>0</f>
        <v>0</v>
      </c>
      <c r="DC45" s="1023">
        <f>0</f>
        <v>0</v>
      </c>
      <c r="DD45" s="1023">
        <f>0</f>
        <v>0</v>
      </c>
      <c r="DE45" s="1023">
        <f>0</f>
        <v>0</v>
      </c>
      <c r="DF45" s="1023">
        <f>0</f>
        <v>0</v>
      </c>
      <c r="DG45" s="1023">
        <f>0</f>
        <v>0</v>
      </c>
      <c r="DH45" s="1023">
        <f>0</f>
        <v>0</v>
      </c>
      <c r="DI45" s="1023">
        <f>0</f>
        <v>0</v>
      </c>
      <c r="DJ45" s="1023">
        <f>0</f>
        <v>0</v>
      </c>
      <c r="DK45" s="1023">
        <f>0</f>
        <v>0</v>
      </c>
      <c r="DL45" s="1023">
        <f>0</f>
        <v>0</v>
      </c>
      <c r="DM45" s="1023">
        <f>0</f>
        <v>0</v>
      </c>
      <c r="DN45" s="1023">
        <f>0</f>
        <v>0</v>
      </c>
      <c r="DO45" s="1023">
        <f>0</f>
        <v>0</v>
      </c>
      <c r="DP45" s="1023">
        <f>0</f>
        <v>0</v>
      </c>
      <c r="DQ45" s="1023">
        <f>0</f>
        <v>0</v>
      </c>
      <c r="DR45" s="1023">
        <f>0</f>
        <v>0</v>
      </c>
      <c r="DS45" s="1023">
        <f>0</f>
        <v>0</v>
      </c>
      <c r="DT45" s="1023">
        <f>0</f>
        <v>0</v>
      </c>
      <c r="DU45" s="1023">
        <f>0</f>
        <v>0</v>
      </c>
      <c r="DV45" s="1023">
        <f>0</f>
        <v>0</v>
      </c>
      <c r="DW45" s="1023">
        <f>0</f>
        <v>0</v>
      </c>
      <c r="DX45" s="1023">
        <f>0</f>
        <v>0</v>
      </c>
      <c r="DY45" s="1023">
        <f>0</f>
        <v>0</v>
      </c>
      <c r="DZ45" s="1023">
        <f>0</f>
        <v>0</v>
      </c>
      <c r="EA45" s="1023">
        <f>0</f>
        <v>0</v>
      </c>
      <c r="EB45" s="1023">
        <f>0</f>
        <v>0</v>
      </c>
      <c r="EC45" s="1023">
        <f>0</f>
        <v>0</v>
      </c>
      <c r="ED45" s="1023">
        <f>0</f>
        <v>0</v>
      </c>
      <c r="EE45" s="1023">
        <f>0</f>
        <v>0</v>
      </c>
      <c r="EF45" s="1023">
        <f>0</f>
        <v>0</v>
      </c>
      <c r="EG45" s="1023">
        <f>0</f>
        <v>0</v>
      </c>
      <c r="EH45" s="1023">
        <f>0</f>
        <v>0</v>
      </c>
      <c r="EI45" s="1023">
        <f>0</f>
        <v>0</v>
      </c>
      <c r="EJ45" s="1023">
        <f>0</f>
        <v>0</v>
      </c>
      <c r="EK45" s="1023">
        <f>0</f>
        <v>0</v>
      </c>
      <c r="EL45" s="1023">
        <f>0</f>
        <v>0</v>
      </c>
      <c r="EM45" s="1023">
        <f>0</f>
        <v>0</v>
      </c>
      <c r="EN45" s="1023">
        <f>0</f>
        <v>0</v>
      </c>
      <c r="EO45" s="1023">
        <f>0</f>
        <v>0</v>
      </c>
      <c r="EP45" s="1023">
        <f>0</f>
        <v>0</v>
      </c>
      <c r="EQ45" s="1023">
        <f>0</f>
        <v>0</v>
      </c>
      <c r="ER45" s="1023">
        <f>0</f>
        <v>0</v>
      </c>
      <c r="ES45" s="1023">
        <f>0</f>
        <v>0</v>
      </c>
      <c r="ET45" s="1023">
        <f>0</f>
        <v>0</v>
      </c>
      <c r="EU45" s="1023">
        <f>0</f>
        <v>0</v>
      </c>
      <c r="EV45" s="1023">
        <f>0</f>
        <v>0</v>
      </c>
      <c r="EW45" s="1023">
        <f>0</f>
        <v>0</v>
      </c>
      <c r="EX45" s="1023">
        <f>0</f>
        <v>0</v>
      </c>
      <c r="EY45" s="1023">
        <f>0</f>
        <v>0</v>
      </c>
      <c r="EZ45" s="1023">
        <f>0</f>
        <v>0</v>
      </c>
      <c r="FA45" s="1023">
        <f>0</f>
        <v>0</v>
      </c>
      <c r="FB45" s="1023">
        <f>0</f>
        <v>0</v>
      </c>
      <c r="FC45" s="1023">
        <f>0</f>
        <v>0</v>
      </c>
      <c r="FD45" s="1023">
        <f>0</f>
        <v>0</v>
      </c>
      <c r="FE45" s="1023">
        <f>0</f>
        <v>0</v>
      </c>
      <c r="FF45" s="1023">
        <f>0</f>
        <v>0</v>
      </c>
      <c r="FG45" s="1023">
        <f>0</f>
        <v>0</v>
      </c>
      <c r="FH45" s="1023">
        <f>0</f>
        <v>0</v>
      </c>
      <c r="FI45" s="1023">
        <f>0</f>
        <v>0</v>
      </c>
      <c r="FJ45" s="1023">
        <f>0</f>
        <v>0</v>
      </c>
      <c r="FK45" s="1023">
        <f>0</f>
        <v>0</v>
      </c>
      <c r="FL45" s="1023">
        <f>0</f>
        <v>0</v>
      </c>
      <c r="FM45" s="1023">
        <f>0</f>
        <v>0</v>
      </c>
      <c r="FN45" s="1023">
        <f>0</f>
        <v>0</v>
      </c>
      <c r="FO45" s="1023">
        <f>0</f>
        <v>0</v>
      </c>
      <c r="FP45" s="1023">
        <f>0</f>
        <v>0</v>
      </c>
      <c r="FQ45" s="1023">
        <f>0</f>
        <v>0</v>
      </c>
      <c r="FR45" s="1023">
        <f>0</f>
        <v>0</v>
      </c>
      <c r="FS45" s="1023">
        <f>0</f>
        <v>0</v>
      </c>
      <c r="FT45" s="1023">
        <f>0</f>
        <v>0</v>
      </c>
      <c r="FU45" s="1023">
        <f>0</f>
        <v>0</v>
      </c>
      <c r="FV45" s="1023">
        <f>0</f>
        <v>0</v>
      </c>
      <c r="FW45" s="1023">
        <f>0</f>
        <v>0</v>
      </c>
      <c r="FX45" s="1023">
        <f>0</f>
        <v>0</v>
      </c>
      <c r="FY45" s="1023">
        <f>0</f>
        <v>0</v>
      </c>
      <c r="FZ45" s="1023">
        <f>0</f>
        <v>0</v>
      </c>
      <c r="GA45" s="1023">
        <f>0</f>
        <v>0</v>
      </c>
      <c r="GB45" s="1023">
        <f>0</f>
        <v>0</v>
      </c>
      <c r="GC45" s="1023">
        <f>0</f>
        <v>0</v>
      </c>
      <c r="GD45" s="1023">
        <f>0</f>
        <v>0</v>
      </c>
      <c r="GE45" s="1023">
        <f>0</f>
        <v>0</v>
      </c>
      <c r="GF45" s="1023">
        <f>0</f>
        <v>0</v>
      </c>
      <c r="GG45" s="1023">
        <f>0</f>
        <v>0</v>
      </c>
      <c r="GH45" s="1023">
        <f>0</f>
        <v>0</v>
      </c>
      <c r="GI45" s="1023">
        <f>0</f>
        <v>0</v>
      </c>
      <c r="GJ45" s="1023">
        <f>0</f>
        <v>0</v>
      </c>
      <c r="GK45" s="1023">
        <f>0</f>
        <v>0</v>
      </c>
      <c r="GL45" s="1023">
        <f>0</f>
        <v>0</v>
      </c>
      <c r="GM45" s="1023">
        <f>0</f>
        <v>0</v>
      </c>
      <c r="GN45" s="1023">
        <f>0</f>
        <v>0</v>
      </c>
      <c r="GO45" s="1023">
        <f>0</f>
        <v>0</v>
      </c>
      <c r="GP45" s="1023">
        <f>0</f>
        <v>0</v>
      </c>
      <c r="GQ45" s="1023">
        <f>0</f>
        <v>0</v>
      </c>
      <c r="GR45" s="1023">
        <f>0</f>
        <v>0</v>
      </c>
      <c r="GS45" s="1023">
        <f>0</f>
        <v>0</v>
      </c>
      <c r="GT45" s="1023">
        <f>0</f>
        <v>0</v>
      </c>
      <c r="GU45" s="1023">
        <f>0</f>
        <v>0</v>
      </c>
      <c r="GV45" s="1023">
        <f>0</f>
        <v>0</v>
      </c>
      <c r="GW45" s="1023">
        <f>0</f>
        <v>0</v>
      </c>
      <c r="GX45" s="1023">
        <f>0</f>
        <v>0</v>
      </c>
      <c r="GY45" s="1023">
        <f>0</f>
        <v>0</v>
      </c>
      <c r="GZ45" s="1023">
        <f>0</f>
        <v>0</v>
      </c>
      <c r="HA45" s="1023">
        <f>0</f>
        <v>0</v>
      </c>
      <c r="HB45" s="1023">
        <f>0</f>
        <v>0</v>
      </c>
      <c r="HC45" s="1023">
        <f>0</f>
        <v>0</v>
      </c>
      <c r="HD45" s="1023">
        <f>0</f>
        <v>0</v>
      </c>
      <c r="HE45" s="1023">
        <f>0</f>
        <v>0</v>
      </c>
      <c r="HF45" s="1023">
        <f>0</f>
        <v>0</v>
      </c>
      <c r="HG45" s="1023">
        <f>0</f>
        <v>0</v>
      </c>
      <c r="HH45" s="1023">
        <f>0</f>
        <v>0</v>
      </c>
      <c r="HI45" s="1023">
        <f>0</f>
        <v>0</v>
      </c>
      <c r="HJ45" s="1023">
        <f>0</f>
        <v>0</v>
      </c>
      <c r="HK45" s="1023">
        <f>0</f>
        <v>0</v>
      </c>
      <c r="HL45" s="1023">
        <f>0</f>
        <v>0</v>
      </c>
      <c r="HM45" s="1023">
        <f>0</f>
        <v>0</v>
      </c>
      <c r="HN45" s="1023">
        <f>0</f>
        <v>0</v>
      </c>
      <c r="HO45" s="1023">
        <f>0</f>
        <v>0</v>
      </c>
      <c r="HP45" s="1023">
        <f>0</f>
        <v>0</v>
      </c>
      <c r="HQ45" s="1023">
        <f>0</f>
        <v>0</v>
      </c>
      <c r="HR45" s="1023">
        <f>0</f>
        <v>0</v>
      </c>
      <c r="HS45" s="1023">
        <f>0</f>
        <v>0</v>
      </c>
      <c r="HT45" s="1023">
        <f>0</f>
        <v>0</v>
      </c>
      <c r="HU45" s="1023">
        <f>0</f>
        <v>0</v>
      </c>
      <c r="HV45" s="1023">
        <f>0</f>
        <v>0</v>
      </c>
      <c r="HW45" s="1023">
        <f>0</f>
        <v>0</v>
      </c>
      <c r="HX45" s="1023">
        <f>0</f>
        <v>0</v>
      </c>
      <c r="HY45" s="1023">
        <f>0</f>
        <v>0</v>
      </c>
      <c r="HZ45" s="1023">
        <f>0</f>
        <v>0</v>
      </c>
      <c r="IA45" s="1023">
        <f>0</f>
        <v>0</v>
      </c>
      <c r="IB45" s="1023">
        <f>0</f>
        <v>0</v>
      </c>
      <c r="IC45" s="1023">
        <f>0</f>
        <v>0</v>
      </c>
      <c r="ID45" s="1023">
        <f>0</f>
        <v>0</v>
      </c>
      <c r="IE45" s="1023">
        <f>0</f>
        <v>0</v>
      </c>
      <c r="IF45" s="1023">
        <f>0</f>
        <v>0</v>
      </c>
      <c r="IG45" s="1023">
        <f>0</f>
        <v>0</v>
      </c>
      <c r="IH45" s="1023">
        <f>0</f>
        <v>0</v>
      </c>
      <c r="II45" s="1023">
        <f>0</f>
        <v>0</v>
      </c>
      <c r="IJ45" s="1023">
        <f>0</f>
        <v>0</v>
      </c>
      <c r="IK45" s="1023">
        <f>0</f>
        <v>0</v>
      </c>
      <c r="IL45" s="1023">
        <f>0</f>
        <v>0</v>
      </c>
      <c r="IM45" s="1023">
        <f>0</f>
        <v>0</v>
      </c>
      <c r="IN45" s="1023">
        <f>0</f>
        <v>0</v>
      </c>
      <c r="IO45" s="1023">
        <f>0</f>
        <v>0</v>
      </c>
      <c r="IP45" s="1023">
        <f>0</f>
        <v>0</v>
      </c>
      <c r="IQ45" s="1023">
        <f>0</f>
        <v>0</v>
      </c>
      <c r="IR45" s="1023">
        <f>0</f>
        <v>0</v>
      </c>
    </row>
    <row r="46" spans="1:252" s="960" customFormat="1" ht="11.25" hidden="1" customHeight="1" outlineLevel="1">
      <c r="B46" s="1025" t="s">
        <v>696</v>
      </c>
      <c r="C46" s="1026">
        <f>C42-C43+C44-C45-C164</f>
        <v>186.35308511674481</v>
      </c>
      <c r="D46" s="1026">
        <f t="shared" ref="D46:V46" si="16">D42-D43+D44-D45-D164</f>
        <v>200.50919170103498</v>
      </c>
      <c r="E46" s="1026">
        <f t="shared" si="16"/>
        <v>212.31543849901047</v>
      </c>
      <c r="F46" s="1026">
        <f t="shared" si="16"/>
        <v>237.39349997072182</v>
      </c>
      <c r="G46" s="1026">
        <f t="shared" si="16"/>
        <v>0</v>
      </c>
      <c r="H46" s="1026">
        <f t="shared" si="16"/>
        <v>0</v>
      </c>
      <c r="I46" s="1026">
        <f t="shared" si="16"/>
        <v>0</v>
      </c>
      <c r="J46" s="1026">
        <f t="shared" si="16"/>
        <v>0</v>
      </c>
      <c r="K46" s="1026">
        <f t="shared" si="16"/>
        <v>0</v>
      </c>
      <c r="L46" s="1026">
        <f t="shared" si="16"/>
        <v>0</v>
      </c>
      <c r="M46" s="1026">
        <f t="shared" si="16"/>
        <v>0</v>
      </c>
      <c r="N46" s="1026">
        <f t="shared" si="16"/>
        <v>0</v>
      </c>
      <c r="O46" s="1026">
        <f t="shared" si="16"/>
        <v>0</v>
      </c>
      <c r="P46" s="1026">
        <f t="shared" si="16"/>
        <v>0</v>
      </c>
      <c r="Q46" s="1026">
        <f t="shared" si="16"/>
        <v>0</v>
      </c>
      <c r="R46" s="1026">
        <f t="shared" si="16"/>
        <v>0</v>
      </c>
      <c r="S46" s="1026">
        <f t="shared" si="16"/>
        <v>0</v>
      </c>
      <c r="T46" s="1026">
        <f t="shared" si="16"/>
        <v>0</v>
      </c>
      <c r="U46" s="1026">
        <f t="shared" si="16"/>
        <v>0</v>
      </c>
      <c r="V46" s="1026">
        <f t="shared" si="16"/>
        <v>0</v>
      </c>
      <c r="W46" s="1027">
        <f t="shared" ref="W46:CH46" si="17">W42-W43+W44-W45</f>
        <v>0</v>
      </c>
      <c r="X46" s="1028">
        <f t="shared" si="17"/>
        <v>0</v>
      </c>
      <c r="Y46" s="1026">
        <f t="shared" si="17"/>
        <v>0</v>
      </c>
      <c r="Z46" s="1026">
        <f t="shared" si="17"/>
        <v>0</v>
      </c>
      <c r="AA46" s="1026">
        <f t="shared" si="17"/>
        <v>0</v>
      </c>
      <c r="AB46" s="1026">
        <f t="shared" si="17"/>
        <v>0</v>
      </c>
      <c r="AC46" s="1026">
        <f t="shared" si="17"/>
        <v>0</v>
      </c>
      <c r="AD46" s="1026">
        <f t="shared" si="17"/>
        <v>0</v>
      </c>
      <c r="AE46" s="1026">
        <f t="shared" si="17"/>
        <v>0</v>
      </c>
      <c r="AF46" s="1026">
        <f t="shared" si="17"/>
        <v>0</v>
      </c>
      <c r="AG46" s="1026">
        <f t="shared" si="17"/>
        <v>0</v>
      </c>
      <c r="AH46" s="1026">
        <f t="shared" si="17"/>
        <v>0</v>
      </c>
      <c r="AI46" s="1026">
        <f t="shared" si="17"/>
        <v>0</v>
      </c>
      <c r="AJ46" s="1026">
        <f t="shared" si="17"/>
        <v>0</v>
      </c>
      <c r="AK46" s="1026">
        <f t="shared" si="17"/>
        <v>0</v>
      </c>
      <c r="AL46" s="1026">
        <f t="shared" si="17"/>
        <v>0</v>
      </c>
      <c r="AM46" s="1026">
        <f t="shared" si="17"/>
        <v>0</v>
      </c>
      <c r="AN46" s="1026">
        <f t="shared" si="17"/>
        <v>0</v>
      </c>
      <c r="AO46" s="1026">
        <f t="shared" si="17"/>
        <v>0</v>
      </c>
      <c r="AP46" s="1026">
        <f t="shared" si="17"/>
        <v>0</v>
      </c>
      <c r="AQ46" s="1026">
        <f t="shared" si="17"/>
        <v>0</v>
      </c>
      <c r="AR46" s="1026">
        <f t="shared" si="17"/>
        <v>0</v>
      </c>
      <c r="AS46" s="1026">
        <f t="shared" si="17"/>
        <v>0</v>
      </c>
      <c r="AT46" s="1026">
        <f t="shared" si="17"/>
        <v>0</v>
      </c>
      <c r="AU46" s="1026">
        <f t="shared" si="17"/>
        <v>0</v>
      </c>
      <c r="AV46" s="1026">
        <f t="shared" si="17"/>
        <v>0</v>
      </c>
      <c r="AW46" s="1026">
        <f t="shared" si="17"/>
        <v>0</v>
      </c>
      <c r="AX46" s="1026">
        <f t="shared" si="17"/>
        <v>0</v>
      </c>
      <c r="AY46" s="1026">
        <f t="shared" si="17"/>
        <v>0</v>
      </c>
      <c r="AZ46" s="1026">
        <f t="shared" si="17"/>
        <v>0</v>
      </c>
      <c r="BA46" s="1026">
        <f t="shared" si="17"/>
        <v>0</v>
      </c>
      <c r="BB46" s="1026">
        <f t="shared" si="17"/>
        <v>0</v>
      </c>
      <c r="BC46" s="1026">
        <f t="shared" si="17"/>
        <v>0</v>
      </c>
      <c r="BD46" s="1026">
        <f t="shared" si="17"/>
        <v>0</v>
      </c>
      <c r="BE46" s="1026">
        <f t="shared" si="17"/>
        <v>0</v>
      </c>
      <c r="BF46" s="1026">
        <f t="shared" si="17"/>
        <v>0</v>
      </c>
      <c r="BG46" s="1026">
        <f t="shared" si="17"/>
        <v>0</v>
      </c>
      <c r="BH46" s="1026">
        <f t="shared" si="17"/>
        <v>0</v>
      </c>
      <c r="BI46" s="1026">
        <f t="shared" si="17"/>
        <v>0</v>
      </c>
      <c r="BJ46" s="1026">
        <f t="shared" si="17"/>
        <v>0</v>
      </c>
      <c r="BK46" s="1026">
        <f t="shared" si="17"/>
        <v>0</v>
      </c>
      <c r="BL46" s="1026">
        <f t="shared" si="17"/>
        <v>0</v>
      </c>
      <c r="BM46" s="1026">
        <f t="shared" si="17"/>
        <v>0</v>
      </c>
      <c r="BN46" s="1026">
        <f t="shared" si="17"/>
        <v>0</v>
      </c>
      <c r="BO46" s="1026">
        <f t="shared" si="17"/>
        <v>0</v>
      </c>
      <c r="BP46" s="1026">
        <f t="shared" si="17"/>
        <v>0</v>
      </c>
      <c r="BQ46" s="1026">
        <f t="shared" si="17"/>
        <v>0</v>
      </c>
      <c r="BR46" s="1026">
        <f t="shared" si="17"/>
        <v>0</v>
      </c>
      <c r="BS46" s="1026">
        <f t="shared" si="17"/>
        <v>0</v>
      </c>
      <c r="BT46" s="1026">
        <f t="shared" si="17"/>
        <v>0</v>
      </c>
      <c r="BU46" s="1026">
        <f t="shared" si="17"/>
        <v>0</v>
      </c>
      <c r="BV46" s="1026">
        <f t="shared" si="17"/>
        <v>0</v>
      </c>
      <c r="BW46" s="1026">
        <f t="shared" si="17"/>
        <v>0</v>
      </c>
      <c r="BX46" s="1026">
        <f t="shared" si="17"/>
        <v>0</v>
      </c>
      <c r="BY46" s="1026">
        <f t="shared" si="17"/>
        <v>0</v>
      </c>
      <c r="BZ46" s="1026">
        <f t="shared" si="17"/>
        <v>0</v>
      </c>
      <c r="CA46" s="1026">
        <f t="shared" si="17"/>
        <v>0</v>
      </c>
      <c r="CB46" s="1026">
        <f t="shared" si="17"/>
        <v>0</v>
      </c>
      <c r="CC46" s="1026">
        <f t="shared" si="17"/>
        <v>0</v>
      </c>
      <c r="CD46" s="1026">
        <f t="shared" si="17"/>
        <v>0</v>
      </c>
      <c r="CE46" s="1026">
        <f t="shared" si="17"/>
        <v>0</v>
      </c>
      <c r="CF46" s="1026">
        <f t="shared" si="17"/>
        <v>0</v>
      </c>
      <c r="CG46" s="1026">
        <f t="shared" si="17"/>
        <v>0</v>
      </c>
      <c r="CH46" s="1026">
        <f t="shared" si="17"/>
        <v>0</v>
      </c>
      <c r="CI46" s="1026">
        <f t="shared" ref="CI46:ET46" si="18">CI42-CI43+CI44-CI45</f>
        <v>0</v>
      </c>
      <c r="CJ46" s="1026">
        <f t="shared" si="18"/>
        <v>0</v>
      </c>
      <c r="CK46" s="1026">
        <f t="shared" si="18"/>
        <v>0</v>
      </c>
      <c r="CL46" s="1026">
        <f t="shared" si="18"/>
        <v>0</v>
      </c>
      <c r="CM46" s="1026">
        <f t="shared" si="18"/>
        <v>0</v>
      </c>
      <c r="CN46" s="1026">
        <f t="shared" si="18"/>
        <v>0</v>
      </c>
      <c r="CO46" s="1026">
        <f t="shared" si="18"/>
        <v>0</v>
      </c>
      <c r="CP46" s="1026">
        <f t="shared" si="18"/>
        <v>0</v>
      </c>
      <c r="CQ46" s="1026">
        <f t="shared" si="18"/>
        <v>0</v>
      </c>
      <c r="CR46" s="1026">
        <f t="shared" si="18"/>
        <v>0</v>
      </c>
      <c r="CS46" s="1026">
        <f t="shared" si="18"/>
        <v>0</v>
      </c>
      <c r="CT46" s="1026">
        <f t="shared" si="18"/>
        <v>0</v>
      </c>
      <c r="CU46" s="1026">
        <f t="shared" si="18"/>
        <v>0</v>
      </c>
      <c r="CV46" s="1026">
        <f t="shared" si="18"/>
        <v>0</v>
      </c>
      <c r="CW46" s="1026">
        <f t="shared" si="18"/>
        <v>0</v>
      </c>
      <c r="CX46" s="1026">
        <f t="shared" si="18"/>
        <v>0</v>
      </c>
      <c r="CY46" s="1026">
        <f t="shared" si="18"/>
        <v>0</v>
      </c>
      <c r="CZ46" s="1026">
        <f t="shared" si="18"/>
        <v>0</v>
      </c>
      <c r="DA46" s="1026">
        <f t="shared" si="18"/>
        <v>0</v>
      </c>
      <c r="DB46" s="1026">
        <f t="shared" si="18"/>
        <v>0</v>
      </c>
      <c r="DC46" s="1026">
        <f t="shared" si="18"/>
        <v>0</v>
      </c>
      <c r="DD46" s="1026">
        <f t="shared" si="18"/>
        <v>0</v>
      </c>
      <c r="DE46" s="1026">
        <f t="shared" si="18"/>
        <v>0</v>
      </c>
      <c r="DF46" s="1026">
        <f t="shared" si="18"/>
        <v>0</v>
      </c>
      <c r="DG46" s="1026">
        <f t="shared" si="18"/>
        <v>0</v>
      </c>
      <c r="DH46" s="1026">
        <f t="shared" si="18"/>
        <v>0</v>
      </c>
      <c r="DI46" s="1026">
        <f t="shared" si="18"/>
        <v>0</v>
      </c>
      <c r="DJ46" s="1026">
        <f t="shared" si="18"/>
        <v>0</v>
      </c>
      <c r="DK46" s="1026">
        <f t="shared" si="18"/>
        <v>0</v>
      </c>
      <c r="DL46" s="1026">
        <f t="shared" si="18"/>
        <v>0</v>
      </c>
      <c r="DM46" s="1026">
        <f t="shared" si="18"/>
        <v>0</v>
      </c>
      <c r="DN46" s="1026">
        <f t="shared" si="18"/>
        <v>0</v>
      </c>
      <c r="DO46" s="1026">
        <f t="shared" si="18"/>
        <v>0</v>
      </c>
      <c r="DP46" s="1026">
        <f t="shared" si="18"/>
        <v>0</v>
      </c>
      <c r="DQ46" s="1026">
        <f t="shared" si="18"/>
        <v>0</v>
      </c>
      <c r="DR46" s="1026">
        <f t="shared" si="18"/>
        <v>0</v>
      </c>
      <c r="DS46" s="1026">
        <f t="shared" si="18"/>
        <v>0</v>
      </c>
      <c r="DT46" s="1026">
        <f t="shared" si="18"/>
        <v>0</v>
      </c>
      <c r="DU46" s="1026">
        <f t="shared" si="18"/>
        <v>0</v>
      </c>
      <c r="DV46" s="1026">
        <f t="shared" si="18"/>
        <v>0</v>
      </c>
      <c r="DW46" s="1026">
        <f t="shared" si="18"/>
        <v>0</v>
      </c>
      <c r="DX46" s="1026">
        <f t="shared" si="18"/>
        <v>0</v>
      </c>
      <c r="DY46" s="1026">
        <f t="shared" si="18"/>
        <v>0</v>
      </c>
      <c r="DZ46" s="1026">
        <f t="shared" si="18"/>
        <v>0</v>
      </c>
      <c r="EA46" s="1026">
        <f t="shared" si="18"/>
        <v>0</v>
      </c>
      <c r="EB46" s="1026">
        <f t="shared" si="18"/>
        <v>0</v>
      </c>
      <c r="EC46" s="1026">
        <f t="shared" si="18"/>
        <v>0</v>
      </c>
      <c r="ED46" s="1026">
        <f t="shared" si="18"/>
        <v>0</v>
      </c>
      <c r="EE46" s="1026">
        <f t="shared" si="18"/>
        <v>0</v>
      </c>
      <c r="EF46" s="1026">
        <f t="shared" si="18"/>
        <v>0</v>
      </c>
      <c r="EG46" s="1026">
        <f t="shared" si="18"/>
        <v>0</v>
      </c>
      <c r="EH46" s="1026">
        <f t="shared" si="18"/>
        <v>0</v>
      </c>
      <c r="EI46" s="1026">
        <f t="shared" si="18"/>
        <v>0</v>
      </c>
      <c r="EJ46" s="1026">
        <f t="shared" si="18"/>
        <v>0</v>
      </c>
      <c r="EK46" s="1026">
        <f t="shared" si="18"/>
        <v>0</v>
      </c>
      <c r="EL46" s="1026">
        <f t="shared" si="18"/>
        <v>0</v>
      </c>
      <c r="EM46" s="1026">
        <f t="shared" si="18"/>
        <v>0</v>
      </c>
      <c r="EN46" s="1026">
        <f t="shared" si="18"/>
        <v>0</v>
      </c>
      <c r="EO46" s="1026">
        <f t="shared" si="18"/>
        <v>0</v>
      </c>
      <c r="EP46" s="1026">
        <f t="shared" si="18"/>
        <v>0</v>
      </c>
      <c r="EQ46" s="1026">
        <f t="shared" si="18"/>
        <v>0</v>
      </c>
      <c r="ER46" s="1026">
        <f t="shared" si="18"/>
        <v>0</v>
      </c>
      <c r="ES46" s="1026">
        <f t="shared" si="18"/>
        <v>0</v>
      </c>
      <c r="ET46" s="1026">
        <f t="shared" si="18"/>
        <v>0</v>
      </c>
      <c r="EU46" s="1026">
        <f t="shared" ref="EU46:HF46" si="19">EU42-EU43+EU44-EU45</f>
        <v>0</v>
      </c>
      <c r="EV46" s="1026">
        <f t="shared" si="19"/>
        <v>0</v>
      </c>
      <c r="EW46" s="1026">
        <f t="shared" si="19"/>
        <v>0</v>
      </c>
      <c r="EX46" s="1026">
        <f t="shared" si="19"/>
        <v>0</v>
      </c>
      <c r="EY46" s="1026">
        <f t="shared" si="19"/>
        <v>0</v>
      </c>
      <c r="EZ46" s="1026">
        <f t="shared" si="19"/>
        <v>0</v>
      </c>
      <c r="FA46" s="1026">
        <f t="shared" si="19"/>
        <v>0</v>
      </c>
      <c r="FB46" s="1026">
        <f t="shared" si="19"/>
        <v>0</v>
      </c>
      <c r="FC46" s="1026">
        <f t="shared" si="19"/>
        <v>0</v>
      </c>
      <c r="FD46" s="1026">
        <f t="shared" si="19"/>
        <v>0</v>
      </c>
      <c r="FE46" s="1026">
        <f t="shared" si="19"/>
        <v>0</v>
      </c>
      <c r="FF46" s="1026">
        <f t="shared" si="19"/>
        <v>0</v>
      </c>
      <c r="FG46" s="1026">
        <f t="shared" si="19"/>
        <v>0</v>
      </c>
      <c r="FH46" s="1026">
        <f t="shared" si="19"/>
        <v>0</v>
      </c>
      <c r="FI46" s="1026">
        <f t="shared" si="19"/>
        <v>0</v>
      </c>
      <c r="FJ46" s="1026">
        <f t="shared" si="19"/>
        <v>0</v>
      </c>
      <c r="FK46" s="1026">
        <f t="shared" si="19"/>
        <v>0</v>
      </c>
      <c r="FL46" s="1026">
        <f t="shared" si="19"/>
        <v>0</v>
      </c>
      <c r="FM46" s="1026">
        <f t="shared" si="19"/>
        <v>0</v>
      </c>
      <c r="FN46" s="1026">
        <f t="shared" si="19"/>
        <v>0</v>
      </c>
      <c r="FO46" s="1026">
        <f t="shared" si="19"/>
        <v>0</v>
      </c>
      <c r="FP46" s="1026">
        <f t="shared" si="19"/>
        <v>0</v>
      </c>
      <c r="FQ46" s="1026">
        <f t="shared" si="19"/>
        <v>0</v>
      </c>
      <c r="FR46" s="1026">
        <f t="shared" si="19"/>
        <v>0</v>
      </c>
      <c r="FS46" s="1026">
        <f t="shared" si="19"/>
        <v>0</v>
      </c>
      <c r="FT46" s="1026">
        <f t="shared" si="19"/>
        <v>0</v>
      </c>
      <c r="FU46" s="1026">
        <f t="shared" si="19"/>
        <v>0</v>
      </c>
      <c r="FV46" s="1026">
        <f t="shared" si="19"/>
        <v>0</v>
      </c>
      <c r="FW46" s="1026">
        <f t="shared" si="19"/>
        <v>0</v>
      </c>
      <c r="FX46" s="1026">
        <f t="shared" si="19"/>
        <v>0</v>
      </c>
      <c r="FY46" s="1026">
        <f t="shared" si="19"/>
        <v>0</v>
      </c>
      <c r="FZ46" s="1026">
        <f t="shared" si="19"/>
        <v>0</v>
      </c>
      <c r="GA46" s="1026">
        <f t="shared" si="19"/>
        <v>0</v>
      </c>
      <c r="GB46" s="1026">
        <f t="shared" si="19"/>
        <v>0</v>
      </c>
      <c r="GC46" s="1026">
        <f t="shared" si="19"/>
        <v>0</v>
      </c>
      <c r="GD46" s="1026">
        <f t="shared" si="19"/>
        <v>0</v>
      </c>
      <c r="GE46" s="1026">
        <f t="shared" si="19"/>
        <v>0</v>
      </c>
      <c r="GF46" s="1026">
        <f t="shared" si="19"/>
        <v>0</v>
      </c>
      <c r="GG46" s="1026">
        <f t="shared" si="19"/>
        <v>0</v>
      </c>
      <c r="GH46" s="1026">
        <f t="shared" si="19"/>
        <v>0</v>
      </c>
      <c r="GI46" s="1026">
        <f t="shared" si="19"/>
        <v>0</v>
      </c>
      <c r="GJ46" s="1026">
        <f t="shared" si="19"/>
        <v>0</v>
      </c>
      <c r="GK46" s="1026">
        <f t="shared" si="19"/>
        <v>0</v>
      </c>
      <c r="GL46" s="1026">
        <f t="shared" si="19"/>
        <v>0</v>
      </c>
      <c r="GM46" s="1026">
        <f t="shared" si="19"/>
        <v>0</v>
      </c>
      <c r="GN46" s="1026">
        <f t="shared" si="19"/>
        <v>0</v>
      </c>
      <c r="GO46" s="1026">
        <f t="shared" si="19"/>
        <v>0</v>
      </c>
      <c r="GP46" s="1026">
        <f t="shared" si="19"/>
        <v>0</v>
      </c>
      <c r="GQ46" s="1026">
        <f t="shared" si="19"/>
        <v>0</v>
      </c>
      <c r="GR46" s="1026">
        <f t="shared" si="19"/>
        <v>0</v>
      </c>
      <c r="GS46" s="1026">
        <f t="shared" si="19"/>
        <v>0</v>
      </c>
      <c r="GT46" s="1026">
        <f t="shared" si="19"/>
        <v>0</v>
      </c>
      <c r="GU46" s="1026">
        <f t="shared" si="19"/>
        <v>0</v>
      </c>
      <c r="GV46" s="1026">
        <f t="shared" si="19"/>
        <v>0</v>
      </c>
      <c r="GW46" s="1026">
        <f t="shared" si="19"/>
        <v>0</v>
      </c>
      <c r="GX46" s="1026">
        <f t="shared" si="19"/>
        <v>0</v>
      </c>
      <c r="GY46" s="1026">
        <f t="shared" si="19"/>
        <v>0</v>
      </c>
      <c r="GZ46" s="1026">
        <f t="shared" si="19"/>
        <v>0</v>
      </c>
      <c r="HA46" s="1026">
        <f t="shared" si="19"/>
        <v>0</v>
      </c>
      <c r="HB46" s="1026">
        <f t="shared" si="19"/>
        <v>0</v>
      </c>
      <c r="HC46" s="1026">
        <f t="shared" si="19"/>
        <v>0</v>
      </c>
      <c r="HD46" s="1026">
        <f t="shared" si="19"/>
        <v>0</v>
      </c>
      <c r="HE46" s="1026">
        <f t="shared" si="19"/>
        <v>0</v>
      </c>
      <c r="HF46" s="1026">
        <f t="shared" si="19"/>
        <v>0</v>
      </c>
      <c r="HG46" s="1026">
        <f t="shared" ref="HG46:IR46" si="20">HG42-HG43+HG44-HG45</f>
        <v>0</v>
      </c>
      <c r="HH46" s="1026">
        <f t="shared" si="20"/>
        <v>0</v>
      </c>
      <c r="HI46" s="1026">
        <f t="shared" si="20"/>
        <v>0</v>
      </c>
      <c r="HJ46" s="1026">
        <f t="shared" si="20"/>
        <v>0</v>
      </c>
      <c r="HK46" s="1026">
        <f t="shared" si="20"/>
        <v>0</v>
      </c>
      <c r="HL46" s="1026">
        <f t="shared" si="20"/>
        <v>0</v>
      </c>
      <c r="HM46" s="1026">
        <f t="shared" si="20"/>
        <v>0</v>
      </c>
      <c r="HN46" s="1026">
        <f t="shared" si="20"/>
        <v>0</v>
      </c>
      <c r="HO46" s="1026">
        <f t="shared" si="20"/>
        <v>0</v>
      </c>
      <c r="HP46" s="1026">
        <f t="shared" si="20"/>
        <v>0</v>
      </c>
      <c r="HQ46" s="1026">
        <f t="shared" si="20"/>
        <v>0</v>
      </c>
      <c r="HR46" s="1026">
        <f t="shared" si="20"/>
        <v>0</v>
      </c>
      <c r="HS46" s="1026">
        <f t="shared" si="20"/>
        <v>0</v>
      </c>
      <c r="HT46" s="1026">
        <f t="shared" si="20"/>
        <v>0</v>
      </c>
      <c r="HU46" s="1026">
        <f t="shared" si="20"/>
        <v>0</v>
      </c>
      <c r="HV46" s="1026">
        <f t="shared" si="20"/>
        <v>0</v>
      </c>
      <c r="HW46" s="1026">
        <f t="shared" si="20"/>
        <v>0</v>
      </c>
      <c r="HX46" s="1026">
        <f t="shared" si="20"/>
        <v>0</v>
      </c>
      <c r="HY46" s="1026">
        <f t="shared" si="20"/>
        <v>0</v>
      </c>
      <c r="HZ46" s="1026">
        <f t="shared" si="20"/>
        <v>0</v>
      </c>
      <c r="IA46" s="1026">
        <f t="shared" si="20"/>
        <v>0</v>
      </c>
      <c r="IB46" s="1026">
        <f t="shared" si="20"/>
        <v>0</v>
      </c>
      <c r="IC46" s="1026">
        <f t="shared" si="20"/>
        <v>0</v>
      </c>
      <c r="ID46" s="1026">
        <f t="shared" si="20"/>
        <v>0</v>
      </c>
      <c r="IE46" s="1026">
        <f t="shared" si="20"/>
        <v>0</v>
      </c>
      <c r="IF46" s="1026">
        <f t="shared" si="20"/>
        <v>0</v>
      </c>
      <c r="IG46" s="1026">
        <f t="shared" si="20"/>
        <v>0</v>
      </c>
      <c r="IH46" s="1026">
        <f t="shared" si="20"/>
        <v>0</v>
      </c>
      <c r="II46" s="1026">
        <f t="shared" si="20"/>
        <v>0</v>
      </c>
      <c r="IJ46" s="1026">
        <f t="shared" si="20"/>
        <v>0</v>
      </c>
      <c r="IK46" s="1026">
        <f t="shared" si="20"/>
        <v>0</v>
      </c>
      <c r="IL46" s="1026">
        <f t="shared" si="20"/>
        <v>0</v>
      </c>
      <c r="IM46" s="1026">
        <f t="shared" si="20"/>
        <v>0</v>
      </c>
      <c r="IN46" s="1026">
        <f t="shared" si="20"/>
        <v>0</v>
      </c>
      <c r="IO46" s="1026">
        <f t="shared" si="20"/>
        <v>0</v>
      </c>
      <c r="IP46" s="1026">
        <f t="shared" si="20"/>
        <v>0</v>
      </c>
      <c r="IQ46" s="1026">
        <f t="shared" si="20"/>
        <v>0</v>
      </c>
      <c r="IR46" s="1026">
        <f t="shared" si="20"/>
        <v>0</v>
      </c>
    </row>
    <row r="47" spans="1:252" s="960" customFormat="1" ht="11.25" hidden="1" customHeight="1" outlineLevel="1">
      <c r="B47" s="1021" t="s">
        <v>697</v>
      </c>
      <c r="C47" s="1022">
        <f>C309+C175+IF($E$190&lt;&gt;0,C205,0)-C223+C232-IF(C98="E",$C$251,0)</f>
        <v>-108.56715376418965</v>
      </c>
      <c r="D47" s="1022">
        <f t="shared" ref="D47:Q47" si="21">D309+D175+IF($E$190&lt;&gt;0,D205,0)-D223+D232-IF(D98="E",$C$251,0)</f>
        <v>-102.62650998353591</v>
      </c>
      <c r="E47" s="1022">
        <f t="shared" si="21"/>
        <v>-99.654102495731024</v>
      </c>
      <c r="F47" s="1022">
        <f t="shared" si="21"/>
        <v>-95.66711413079571</v>
      </c>
      <c r="G47" s="1022">
        <f t="shared" si="21"/>
        <v>0</v>
      </c>
      <c r="H47" s="1022">
        <f t="shared" si="21"/>
        <v>0</v>
      </c>
      <c r="I47" s="1022">
        <f t="shared" si="21"/>
        <v>0</v>
      </c>
      <c r="J47" s="1022">
        <f t="shared" si="21"/>
        <v>0</v>
      </c>
      <c r="K47" s="1022">
        <f t="shared" si="21"/>
        <v>0</v>
      </c>
      <c r="L47" s="1022">
        <f t="shared" si="21"/>
        <v>0</v>
      </c>
      <c r="M47" s="1022">
        <f t="shared" si="21"/>
        <v>0</v>
      </c>
      <c r="N47" s="1022">
        <f t="shared" si="21"/>
        <v>0</v>
      </c>
      <c r="O47" s="1022">
        <f t="shared" si="21"/>
        <v>0</v>
      </c>
      <c r="P47" s="1022">
        <f t="shared" si="21"/>
        <v>0</v>
      </c>
      <c r="Q47" s="1022">
        <f t="shared" si="21"/>
        <v>0</v>
      </c>
      <c r="R47" s="1022">
        <f t="shared" ref="R47:CC47" si="22">R309+R175+IF($E$190&lt;&gt;0,R205,0)-R223+R232</f>
        <v>0</v>
      </c>
      <c r="S47" s="1022">
        <f t="shared" si="22"/>
        <v>0</v>
      </c>
      <c r="T47" s="1022">
        <f t="shared" si="22"/>
        <v>0</v>
      </c>
      <c r="U47" s="1022">
        <f t="shared" si="22"/>
        <v>0</v>
      </c>
      <c r="V47" s="1022">
        <f t="shared" si="22"/>
        <v>0</v>
      </c>
      <c r="W47" s="1022">
        <f t="shared" si="22"/>
        <v>0</v>
      </c>
      <c r="X47" s="1022">
        <f t="shared" si="22"/>
        <v>0</v>
      </c>
      <c r="Y47" s="1022">
        <f t="shared" si="22"/>
        <v>0</v>
      </c>
      <c r="Z47" s="1022">
        <f t="shared" si="22"/>
        <v>0</v>
      </c>
      <c r="AA47" s="1022">
        <f t="shared" si="22"/>
        <v>0</v>
      </c>
      <c r="AB47" s="1022">
        <f t="shared" si="22"/>
        <v>0</v>
      </c>
      <c r="AC47" s="1022">
        <f t="shared" si="22"/>
        <v>0</v>
      </c>
      <c r="AD47" s="1022">
        <f t="shared" si="22"/>
        <v>0</v>
      </c>
      <c r="AE47" s="1022">
        <f t="shared" si="22"/>
        <v>0</v>
      </c>
      <c r="AF47" s="1022">
        <f t="shared" si="22"/>
        <v>0</v>
      </c>
      <c r="AG47" s="1022">
        <f t="shared" si="22"/>
        <v>0</v>
      </c>
      <c r="AH47" s="1022">
        <f t="shared" si="22"/>
        <v>0</v>
      </c>
      <c r="AI47" s="1022">
        <f t="shared" si="22"/>
        <v>0</v>
      </c>
      <c r="AJ47" s="1022">
        <f t="shared" si="22"/>
        <v>0</v>
      </c>
      <c r="AK47" s="1022">
        <f t="shared" si="22"/>
        <v>0</v>
      </c>
      <c r="AL47" s="1022">
        <f t="shared" si="22"/>
        <v>0</v>
      </c>
      <c r="AM47" s="1022">
        <f t="shared" si="22"/>
        <v>0</v>
      </c>
      <c r="AN47" s="1022">
        <f t="shared" si="22"/>
        <v>0</v>
      </c>
      <c r="AO47" s="1022">
        <f t="shared" si="22"/>
        <v>0</v>
      </c>
      <c r="AP47" s="1022">
        <f t="shared" si="22"/>
        <v>0</v>
      </c>
      <c r="AQ47" s="1022">
        <f t="shared" si="22"/>
        <v>0</v>
      </c>
      <c r="AR47" s="1022">
        <f t="shared" si="22"/>
        <v>0</v>
      </c>
      <c r="AS47" s="1022">
        <f t="shared" si="22"/>
        <v>0</v>
      </c>
      <c r="AT47" s="1022">
        <f t="shared" si="22"/>
        <v>0</v>
      </c>
      <c r="AU47" s="1022">
        <f t="shared" si="22"/>
        <v>0</v>
      </c>
      <c r="AV47" s="1022">
        <f t="shared" si="22"/>
        <v>0</v>
      </c>
      <c r="AW47" s="1022">
        <f t="shared" si="22"/>
        <v>0</v>
      </c>
      <c r="AX47" s="1022">
        <f t="shared" si="22"/>
        <v>0</v>
      </c>
      <c r="AY47" s="1022">
        <f t="shared" si="22"/>
        <v>0</v>
      </c>
      <c r="AZ47" s="1022">
        <f t="shared" si="22"/>
        <v>0</v>
      </c>
      <c r="BA47" s="1022">
        <f t="shared" si="22"/>
        <v>0</v>
      </c>
      <c r="BB47" s="1022">
        <f t="shared" si="22"/>
        <v>0</v>
      </c>
      <c r="BC47" s="1022">
        <f t="shared" si="22"/>
        <v>0</v>
      </c>
      <c r="BD47" s="1022">
        <f t="shared" si="22"/>
        <v>0</v>
      </c>
      <c r="BE47" s="1022">
        <f t="shared" si="22"/>
        <v>0</v>
      </c>
      <c r="BF47" s="1022">
        <f t="shared" si="22"/>
        <v>0</v>
      </c>
      <c r="BG47" s="1022">
        <f t="shared" si="22"/>
        <v>0</v>
      </c>
      <c r="BH47" s="1022">
        <f t="shared" si="22"/>
        <v>0</v>
      </c>
      <c r="BI47" s="1022">
        <f t="shared" si="22"/>
        <v>0</v>
      </c>
      <c r="BJ47" s="1022">
        <f t="shared" si="22"/>
        <v>0</v>
      </c>
      <c r="BK47" s="1022">
        <f t="shared" si="22"/>
        <v>0</v>
      </c>
      <c r="BL47" s="1022">
        <f t="shared" si="22"/>
        <v>0</v>
      </c>
      <c r="BM47" s="1022">
        <f t="shared" si="22"/>
        <v>0</v>
      </c>
      <c r="BN47" s="1022">
        <f t="shared" si="22"/>
        <v>0</v>
      </c>
      <c r="BO47" s="1022">
        <f t="shared" si="22"/>
        <v>0</v>
      </c>
      <c r="BP47" s="1022">
        <f t="shared" si="22"/>
        <v>0</v>
      </c>
      <c r="BQ47" s="1022">
        <f t="shared" si="22"/>
        <v>0</v>
      </c>
      <c r="BR47" s="1022">
        <f t="shared" si="22"/>
        <v>0</v>
      </c>
      <c r="BS47" s="1022">
        <f t="shared" si="22"/>
        <v>0</v>
      </c>
      <c r="BT47" s="1022">
        <f t="shared" si="22"/>
        <v>0</v>
      </c>
      <c r="BU47" s="1022">
        <f t="shared" si="22"/>
        <v>0</v>
      </c>
      <c r="BV47" s="1022">
        <f t="shared" si="22"/>
        <v>0</v>
      </c>
      <c r="BW47" s="1022">
        <f t="shared" si="22"/>
        <v>0</v>
      </c>
      <c r="BX47" s="1022">
        <f t="shared" si="22"/>
        <v>0</v>
      </c>
      <c r="BY47" s="1022">
        <f t="shared" si="22"/>
        <v>0</v>
      </c>
      <c r="BZ47" s="1022">
        <f t="shared" si="22"/>
        <v>0</v>
      </c>
      <c r="CA47" s="1022">
        <f t="shared" si="22"/>
        <v>0</v>
      </c>
      <c r="CB47" s="1022">
        <f t="shared" si="22"/>
        <v>0</v>
      </c>
      <c r="CC47" s="1022">
        <f t="shared" si="22"/>
        <v>0</v>
      </c>
      <c r="CD47" s="1022">
        <f t="shared" ref="CD47:EO47" si="23">CD309+CD175+IF($E$190&lt;&gt;0,CD205,0)-CD223+CD232</f>
        <v>0</v>
      </c>
      <c r="CE47" s="1022">
        <f t="shared" si="23"/>
        <v>0</v>
      </c>
      <c r="CF47" s="1022">
        <f t="shared" si="23"/>
        <v>0</v>
      </c>
      <c r="CG47" s="1022">
        <f t="shared" si="23"/>
        <v>0</v>
      </c>
      <c r="CH47" s="1022">
        <f t="shared" si="23"/>
        <v>0</v>
      </c>
      <c r="CI47" s="1022">
        <f t="shared" si="23"/>
        <v>0</v>
      </c>
      <c r="CJ47" s="1022">
        <f t="shared" si="23"/>
        <v>0</v>
      </c>
      <c r="CK47" s="1022">
        <f t="shared" si="23"/>
        <v>0</v>
      </c>
      <c r="CL47" s="1022">
        <f t="shared" si="23"/>
        <v>0</v>
      </c>
      <c r="CM47" s="1022">
        <f t="shared" si="23"/>
        <v>0</v>
      </c>
      <c r="CN47" s="1022">
        <f t="shared" si="23"/>
        <v>0</v>
      </c>
      <c r="CO47" s="1022">
        <f t="shared" si="23"/>
        <v>0</v>
      </c>
      <c r="CP47" s="1022">
        <f t="shared" si="23"/>
        <v>0</v>
      </c>
      <c r="CQ47" s="1022">
        <f t="shared" si="23"/>
        <v>0</v>
      </c>
      <c r="CR47" s="1022">
        <f t="shared" si="23"/>
        <v>0</v>
      </c>
      <c r="CS47" s="1022">
        <f t="shared" si="23"/>
        <v>0</v>
      </c>
      <c r="CT47" s="1022">
        <f t="shared" si="23"/>
        <v>0</v>
      </c>
      <c r="CU47" s="1022">
        <f t="shared" si="23"/>
        <v>0</v>
      </c>
      <c r="CV47" s="1023">
        <f t="shared" si="23"/>
        <v>0</v>
      </c>
      <c r="CW47" s="1023">
        <f t="shared" si="23"/>
        <v>0</v>
      </c>
      <c r="CX47" s="1023">
        <f t="shared" si="23"/>
        <v>0</v>
      </c>
      <c r="CY47" s="1023">
        <f t="shared" si="23"/>
        <v>0</v>
      </c>
      <c r="CZ47" s="1023">
        <f t="shared" si="23"/>
        <v>0</v>
      </c>
      <c r="DA47" s="1023">
        <f t="shared" si="23"/>
        <v>0</v>
      </c>
      <c r="DB47" s="1023">
        <f t="shared" si="23"/>
        <v>0</v>
      </c>
      <c r="DC47" s="1023">
        <f t="shared" si="23"/>
        <v>0</v>
      </c>
      <c r="DD47" s="1023">
        <f t="shared" si="23"/>
        <v>0</v>
      </c>
      <c r="DE47" s="1023">
        <f t="shared" si="23"/>
        <v>0</v>
      </c>
      <c r="DF47" s="1023">
        <f t="shared" si="23"/>
        <v>0</v>
      </c>
      <c r="DG47" s="1023">
        <f t="shared" si="23"/>
        <v>0</v>
      </c>
      <c r="DH47" s="1023">
        <f t="shared" si="23"/>
        <v>0</v>
      </c>
      <c r="DI47" s="1023">
        <f t="shared" si="23"/>
        <v>0</v>
      </c>
      <c r="DJ47" s="1023">
        <f t="shared" si="23"/>
        <v>0</v>
      </c>
      <c r="DK47" s="1023">
        <f t="shared" si="23"/>
        <v>0</v>
      </c>
      <c r="DL47" s="1023">
        <f t="shared" si="23"/>
        <v>0</v>
      </c>
      <c r="DM47" s="1023">
        <f t="shared" si="23"/>
        <v>0</v>
      </c>
      <c r="DN47" s="1023">
        <f t="shared" si="23"/>
        <v>0</v>
      </c>
      <c r="DO47" s="1023">
        <f t="shared" si="23"/>
        <v>0</v>
      </c>
      <c r="DP47" s="1023">
        <f t="shared" si="23"/>
        <v>0</v>
      </c>
      <c r="DQ47" s="1023">
        <f t="shared" si="23"/>
        <v>0</v>
      </c>
      <c r="DR47" s="1023">
        <f t="shared" si="23"/>
        <v>0</v>
      </c>
      <c r="DS47" s="1023">
        <f t="shared" si="23"/>
        <v>0</v>
      </c>
      <c r="DT47" s="1023">
        <f t="shared" si="23"/>
        <v>0</v>
      </c>
      <c r="DU47" s="1023">
        <f t="shared" si="23"/>
        <v>0</v>
      </c>
      <c r="DV47" s="1023">
        <f t="shared" si="23"/>
        <v>0</v>
      </c>
      <c r="DW47" s="1023">
        <f t="shared" si="23"/>
        <v>0</v>
      </c>
      <c r="DX47" s="1023">
        <f t="shared" si="23"/>
        <v>0</v>
      </c>
      <c r="DY47" s="1023">
        <f t="shared" si="23"/>
        <v>0</v>
      </c>
      <c r="DZ47" s="1023">
        <f t="shared" si="23"/>
        <v>0</v>
      </c>
      <c r="EA47" s="1023">
        <f t="shared" si="23"/>
        <v>0</v>
      </c>
      <c r="EB47" s="1023">
        <f t="shared" si="23"/>
        <v>0</v>
      </c>
      <c r="EC47" s="1023">
        <f t="shared" si="23"/>
        <v>0</v>
      </c>
      <c r="ED47" s="1023">
        <f t="shared" si="23"/>
        <v>0</v>
      </c>
      <c r="EE47" s="1023">
        <f t="shared" si="23"/>
        <v>0</v>
      </c>
      <c r="EF47" s="1023">
        <f t="shared" si="23"/>
        <v>0</v>
      </c>
      <c r="EG47" s="1023">
        <f t="shared" si="23"/>
        <v>0</v>
      </c>
      <c r="EH47" s="1023">
        <f t="shared" si="23"/>
        <v>0</v>
      </c>
      <c r="EI47" s="1023">
        <f t="shared" si="23"/>
        <v>0</v>
      </c>
      <c r="EJ47" s="1023">
        <f t="shared" si="23"/>
        <v>0</v>
      </c>
      <c r="EK47" s="1023">
        <f t="shared" si="23"/>
        <v>0</v>
      </c>
      <c r="EL47" s="1023">
        <f t="shared" si="23"/>
        <v>0</v>
      </c>
      <c r="EM47" s="1023">
        <f t="shared" si="23"/>
        <v>0</v>
      </c>
      <c r="EN47" s="1023">
        <f t="shared" si="23"/>
        <v>0</v>
      </c>
      <c r="EO47" s="1023">
        <f t="shared" si="23"/>
        <v>0</v>
      </c>
      <c r="EP47" s="1023">
        <f t="shared" ref="EP47:HA47" si="24">EP309+EP175+IF($E$190&lt;&gt;0,EP205,0)-EP223+EP232</f>
        <v>0</v>
      </c>
      <c r="EQ47" s="1023">
        <f t="shared" si="24"/>
        <v>0</v>
      </c>
      <c r="ER47" s="1023">
        <f t="shared" si="24"/>
        <v>0</v>
      </c>
      <c r="ES47" s="1023">
        <f t="shared" si="24"/>
        <v>0</v>
      </c>
      <c r="ET47" s="1023">
        <f t="shared" si="24"/>
        <v>0</v>
      </c>
      <c r="EU47" s="1023">
        <f t="shared" si="24"/>
        <v>0</v>
      </c>
      <c r="EV47" s="1023">
        <f t="shared" si="24"/>
        <v>0</v>
      </c>
      <c r="EW47" s="1023">
        <f t="shared" si="24"/>
        <v>0</v>
      </c>
      <c r="EX47" s="1023">
        <f t="shared" si="24"/>
        <v>0</v>
      </c>
      <c r="EY47" s="1023">
        <f t="shared" si="24"/>
        <v>0</v>
      </c>
      <c r="EZ47" s="1023">
        <f t="shared" si="24"/>
        <v>0</v>
      </c>
      <c r="FA47" s="1023">
        <f t="shared" si="24"/>
        <v>0</v>
      </c>
      <c r="FB47" s="1023">
        <f t="shared" si="24"/>
        <v>0</v>
      </c>
      <c r="FC47" s="1023">
        <f t="shared" si="24"/>
        <v>0</v>
      </c>
      <c r="FD47" s="1023">
        <f t="shared" si="24"/>
        <v>0</v>
      </c>
      <c r="FE47" s="1023">
        <f t="shared" si="24"/>
        <v>0</v>
      </c>
      <c r="FF47" s="1023">
        <f t="shared" si="24"/>
        <v>0</v>
      </c>
      <c r="FG47" s="1023">
        <f t="shared" si="24"/>
        <v>0</v>
      </c>
      <c r="FH47" s="1023">
        <f t="shared" si="24"/>
        <v>0</v>
      </c>
      <c r="FI47" s="1023">
        <f t="shared" si="24"/>
        <v>0</v>
      </c>
      <c r="FJ47" s="1023">
        <f t="shared" si="24"/>
        <v>0</v>
      </c>
      <c r="FK47" s="1023">
        <f t="shared" si="24"/>
        <v>0</v>
      </c>
      <c r="FL47" s="1023">
        <f t="shared" si="24"/>
        <v>0</v>
      </c>
      <c r="FM47" s="1023">
        <f t="shared" si="24"/>
        <v>0</v>
      </c>
      <c r="FN47" s="1023">
        <f t="shared" si="24"/>
        <v>0</v>
      </c>
      <c r="FO47" s="1023">
        <f t="shared" si="24"/>
        <v>0</v>
      </c>
      <c r="FP47" s="1023">
        <f t="shared" si="24"/>
        <v>0</v>
      </c>
      <c r="FQ47" s="1023">
        <f t="shared" si="24"/>
        <v>0</v>
      </c>
      <c r="FR47" s="1023">
        <f t="shared" si="24"/>
        <v>0</v>
      </c>
      <c r="FS47" s="1023">
        <f t="shared" si="24"/>
        <v>0</v>
      </c>
      <c r="FT47" s="1023">
        <f t="shared" si="24"/>
        <v>0</v>
      </c>
      <c r="FU47" s="1023">
        <f t="shared" si="24"/>
        <v>0</v>
      </c>
      <c r="FV47" s="1023">
        <f t="shared" si="24"/>
        <v>0</v>
      </c>
      <c r="FW47" s="1023">
        <f t="shared" si="24"/>
        <v>0</v>
      </c>
      <c r="FX47" s="1023">
        <f t="shared" si="24"/>
        <v>0</v>
      </c>
      <c r="FY47" s="1023">
        <f t="shared" si="24"/>
        <v>0</v>
      </c>
      <c r="FZ47" s="1023">
        <f t="shared" si="24"/>
        <v>0</v>
      </c>
      <c r="GA47" s="1023">
        <f t="shared" si="24"/>
        <v>0</v>
      </c>
      <c r="GB47" s="1023">
        <f t="shared" si="24"/>
        <v>0</v>
      </c>
      <c r="GC47" s="1023">
        <f t="shared" si="24"/>
        <v>0</v>
      </c>
      <c r="GD47" s="1023">
        <f t="shared" si="24"/>
        <v>0</v>
      </c>
      <c r="GE47" s="1023">
        <f t="shared" si="24"/>
        <v>0</v>
      </c>
      <c r="GF47" s="1023">
        <f t="shared" si="24"/>
        <v>0</v>
      </c>
      <c r="GG47" s="1023">
        <f t="shared" si="24"/>
        <v>0</v>
      </c>
      <c r="GH47" s="1023">
        <f t="shared" si="24"/>
        <v>0</v>
      </c>
      <c r="GI47" s="1023">
        <f t="shared" si="24"/>
        <v>0</v>
      </c>
      <c r="GJ47" s="1023">
        <f t="shared" si="24"/>
        <v>0</v>
      </c>
      <c r="GK47" s="1023">
        <f t="shared" si="24"/>
        <v>0</v>
      </c>
      <c r="GL47" s="1023">
        <f t="shared" si="24"/>
        <v>0</v>
      </c>
      <c r="GM47" s="1023">
        <f t="shared" si="24"/>
        <v>0</v>
      </c>
      <c r="GN47" s="1023">
        <f t="shared" si="24"/>
        <v>0</v>
      </c>
      <c r="GO47" s="1023">
        <f t="shared" si="24"/>
        <v>0</v>
      </c>
      <c r="GP47" s="1023">
        <f t="shared" si="24"/>
        <v>0</v>
      </c>
      <c r="GQ47" s="1023">
        <f t="shared" si="24"/>
        <v>0</v>
      </c>
      <c r="GR47" s="1023">
        <f t="shared" si="24"/>
        <v>0</v>
      </c>
      <c r="GS47" s="1023">
        <f t="shared" si="24"/>
        <v>0</v>
      </c>
      <c r="GT47" s="1023">
        <f t="shared" si="24"/>
        <v>0</v>
      </c>
      <c r="GU47" s="1023">
        <f t="shared" si="24"/>
        <v>0</v>
      </c>
      <c r="GV47" s="1023">
        <f t="shared" si="24"/>
        <v>0</v>
      </c>
      <c r="GW47" s="1023">
        <f t="shared" si="24"/>
        <v>0</v>
      </c>
      <c r="GX47" s="1023">
        <f t="shared" si="24"/>
        <v>0</v>
      </c>
      <c r="GY47" s="1023">
        <f t="shared" si="24"/>
        <v>0</v>
      </c>
      <c r="GZ47" s="1023">
        <f t="shared" si="24"/>
        <v>0</v>
      </c>
      <c r="HA47" s="1023">
        <f t="shared" si="24"/>
        <v>0</v>
      </c>
      <c r="HB47" s="1023">
        <f t="shared" ref="HB47:IR47" si="25">HB309+HB175+IF($E$190&lt;&gt;0,HB205,0)-HB223+HB232</f>
        <v>0</v>
      </c>
      <c r="HC47" s="1023">
        <f t="shared" si="25"/>
        <v>0</v>
      </c>
      <c r="HD47" s="1023">
        <f t="shared" si="25"/>
        <v>0</v>
      </c>
      <c r="HE47" s="1023">
        <f t="shared" si="25"/>
        <v>0</v>
      </c>
      <c r="HF47" s="1023">
        <f t="shared" si="25"/>
        <v>0</v>
      </c>
      <c r="HG47" s="1023">
        <f t="shared" si="25"/>
        <v>0</v>
      </c>
      <c r="HH47" s="1023">
        <f t="shared" si="25"/>
        <v>0</v>
      </c>
      <c r="HI47" s="1023">
        <f t="shared" si="25"/>
        <v>0</v>
      </c>
      <c r="HJ47" s="1023">
        <f t="shared" si="25"/>
        <v>0</v>
      </c>
      <c r="HK47" s="1023">
        <f t="shared" si="25"/>
        <v>0</v>
      </c>
      <c r="HL47" s="1023">
        <f t="shared" si="25"/>
        <v>0</v>
      </c>
      <c r="HM47" s="1023">
        <f t="shared" si="25"/>
        <v>0</v>
      </c>
      <c r="HN47" s="1023">
        <f t="shared" si="25"/>
        <v>0</v>
      </c>
      <c r="HO47" s="1023">
        <f t="shared" si="25"/>
        <v>0</v>
      </c>
      <c r="HP47" s="1023">
        <f t="shared" si="25"/>
        <v>0</v>
      </c>
      <c r="HQ47" s="1023">
        <f t="shared" si="25"/>
        <v>0</v>
      </c>
      <c r="HR47" s="1023">
        <f t="shared" si="25"/>
        <v>0</v>
      </c>
      <c r="HS47" s="1023">
        <f t="shared" si="25"/>
        <v>0</v>
      </c>
      <c r="HT47" s="1023">
        <f t="shared" si="25"/>
        <v>0</v>
      </c>
      <c r="HU47" s="1023">
        <f t="shared" si="25"/>
        <v>0</v>
      </c>
      <c r="HV47" s="1023">
        <f t="shared" si="25"/>
        <v>0</v>
      </c>
      <c r="HW47" s="1023">
        <f t="shared" si="25"/>
        <v>0</v>
      </c>
      <c r="HX47" s="1023">
        <f t="shared" si="25"/>
        <v>0</v>
      </c>
      <c r="HY47" s="1023">
        <f t="shared" si="25"/>
        <v>0</v>
      </c>
      <c r="HZ47" s="1023">
        <f t="shared" si="25"/>
        <v>0</v>
      </c>
      <c r="IA47" s="1023">
        <f t="shared" si="25"/>
        <v>0</v>
      </c>
      <c r="IB47" s="1023">
        <f t="shared" si="25"/>
        <v>0</v>
      </c>
      <c r="IC47" s="1023">
        <f t="shared" si="25"/>
        <v>0</v>
      </c>
      <c r="ID47" s="1023">
        <f t="shared" si="25"/>
        <v>0</v>
      </c>
      <c r="IE47" s="1023">
        <f t="shared" si="25"/>
        <v>0</v>
      </c>
      <c r="IF47" s="1023">
        <f t="shared" si="25"/>
        <v>0</v>
      </c>
      <c r="IG47" s="1023">
        <f t="shared" si="25"/>
        <v>0</v>
      </c>
      <c r="IH47" s="1023">
        <f t="shared" si="25"/>
        <v>0</v>
      </c>
      <c r="II47" s="1023">
        <f t="shared" si="25"/>
        <v>0</v>
      </c>
      <c r="IJ47" s="1023">
        <f t="shared" si="25"/>
        <v>0</v>
      </c>
      <c r="IK47" s="1023">
        <f t="shared" si="25"/>
        <v>0</v>
      </c>
      <c r="IL47" s="1023">
        <f t="shared" si="25"/>
        <v>0</v>
      </c>
      <c r="IM47" s="1023">
        <f t="shared" si="25"/>
        <v>0</v>
      </c>
      <c r="IN47" s="1023">
        <f t="shared" si="25"/>
        <v>0</v>
      </c>
      <c r="IO47" s="1023">
        <f t="shared" si="25"/>
        <v>0</v>
      </c>
      <c r="IP47" s="1023">
        <f t="shared" si="25"/>
        <v>0</v>
      </c>
      <c r="IQ47" s="1023">
        <f t="shared" si="25"/>
        <v>0</v>
      </c>
      <c r="IR47" s="1023">
        <f t="shared" si="25"/>
        <v>0</v>
      </c>
    </row>
    <row r="48" spans="1:252" s="960" customFormat="1" ht="11.25" hidden="1" customHeight="1" outlineLevel="1">
      <c r="B48" s="1021" t="s">
        <v>698</v>
      </c>
      <c r="C48" s="1023">
        <f t="shared" ref="C48:AB48" si="26">C310-C194</f>
        <v>24.830345757199993</v>
      </c>
      <c r="D48" s="1023">
        <f t="shared" si="26"/>
        <v>27.069507715539444</v>
      </c>
      <c r="E48" s="1023">
        <f t="shared" si="26"/>
        <v>29.619041611513545</v>
      </c>
      <c r="F48" s="1023">
        <f t="shared" si="26"/>
        <v>31.635997197332507</v>
      </c>
      <c r="G48" s="1023">
        <f t="shared" si="26"/>
        <v>0</v>
      </c>
      <c r="H48" s="1023">
        <f t="shared" si="26"/>
        <v>0</v>
      </c>
      <c r="I48" s="1023">
        <f t="shared" si="26"/>
        <v>0</v>
      </c>
      <c r="J48" s="1023">
        <f t="shared" si="26"/>
        <v>0</v>
      </c>
      <c r="K48" s="1023">
        <f t="shared" si="26"/>
        <v>0</v>
      </c>
      <c r="L48" s="1023">
        <f t="shared" si="26"/>
        <v>0</v>
      </c>
      <c r="M48" s="1023">
        <f t="shared" si="26"/>
        <v>0</v>
      </c>
      <c r="N48" s="1023">
        <f t="shared" si="26"/>
        <v>0</v>
      </c>
      <c r="O48" s="1023">
        <f t="shared" si="26"/>
        <v>0</v>
      </c>
      <c r="P48" s="1023">
        <f t="shared" si="26"/>
        <v>0</v>
      </c>
      <c r="Q48" s="1023">
        <f t="shared" si="26"/>
        <v>0</v>
      </c>
      <c r="R48" s="1023">
        <f t="shared" si="26"/>
        <v>0</v>
      </c>
      <c r="S48" s="1023">
        <f t="shared" si="26"/>
        <v>0</v>
      </c>
      <c r="T48" s="1023">
        <f t="shared" si="26"/>
        <v>0</v>
      </c>
      <c r="U48" s="1023">
        <f t="shared" si="26"/>
        <v>0</v>
      </c>
      <c r="V48" s="1023">
        <f t="shared" si="26"/>
        <v>0</v>
      </c>
      <c r="W48" s="1023">
        <f t="shared" si="26"/>
        <v>0</v>
      </c>
      <c r="X48" s="1023">
        <f t="shared" si="26"/>
        <v>0</v>
      </c>
      <c r="Y48" s="1023">
        <f t="shared" si="26"/>
        <v>0</v>
      </c>
      <c r="Z48" s="1023">
        <f t="shared" si="26"/>
        <v>0</v>
      </c>
      <c r="AA48" s="1023">
        <f t="shared" si="26"/>
        <v>0</v>
      </c>
      <c r="AB48" s="1023">
        <f t="shared" si="26"/>
        <v>0</v>
      </c>
      <c r="AC48" s="1023">
        <f t="shared" ref="AC48:CN48" si="27">-(0)</f>
        <v>0</v>
      </c>
      <c r="AD48" s="1023">
        <f t="shared" si="27"/>
        <v>0</v>
      </c>
      <c r="AE48" s="1023">
        <f t="shared" si="27"/>
        <v>0</v>
      </c>
      <c r="AF48" s="1023">
        <f t="shared" si="27"/>
        <v>0</v>
      </c>
      <c r="AG48" s="1023">
        <f t="shared" si="27"/>
        <v>0</v>
      </c>
      <c r="AH48" s="1023">
        <f t="shared" si="27"/>
        <v>0</v>
      </c>
      <c r="AI48" s="1023">
        <f t="shared" si="27"/>
        <v>0</v>
      </c>
      <c r="AJ48" s="1023">
        <f t="shared" si="27"/>
        <v>0</v>
      </c>
      <c r="AK48" s="1023">
        <f t="shared" si="27"/>
        <v>0</v>
      </c>
      <c r="AL48" s="1023">
        <f t="shared" si="27"/>
        <v>0</v>
      </c>
      <c r="AM48" s="1023">
        <f t="shared" si="27"/>
        <v>0</v>
      </c>
      <c r="AN48" s="1023">
        <f t="shared" si="27"/>
        <v>0</v>
      </c>
      <c r="AO48" s="1023">
        <f t="shared" si="27"/>
        <v>0</v>
      </c>
      <c r="AP48" s="1023">
        <f t="shared" si="27"/>
        <v>0</v>
      </c>
      <c r="AQ48" s="1023">
        <f t="shared" si="27"/>
        <v>0</v>
      </c>
      <c r="AR48" s="1023">
        <f t="shared" si="27"/>
        <v>0</v>
      </c>
      <c r="AS48" s="1023">
        <f t="shared" si="27"/>
        <v>0</v>
      </c>
      <c r="AT48" s="1023">
        <f t="shared" si="27"/>
        <v>0</v>
      </c>
      <c r="AU48" s="1023">
        <f t="shared" si="27"/>
        <v>0</v>
      </c>
      <c r="AV48" s="1023">
        <f t="shared" si="27"/>
        <v>0</v>
      </c>
      <c r="AW48" s="1023">
        <f t="shared" si="27"/>
        <v>0</v>
      </c>
      <c r="AX48" s="1023">
        <f t="shared" si="27"/>
        <v>0</v>
      </c>
      <c r="AY48" s="1023">
        <f t="shared" si="27"/>
        <v>0</v>
      </c>
      <c r="AZ48" s="1023">
        <f t="shared" si="27"/>
        <v>0</v>
      </c>
      <c r="BA48" s="1023">
        <f t="shared" si="27"/>
        <v>0</v>
      </c>
      <c r="BB48" s="1023">
        <f t="shared" si="27"/>
        <v>0</v>
      </c>
      <c r="BC48" s="1023">
        <f t="shared" si="27"/>
        <v>0</v>
      </c>
      <c r="BD48" s="1023">
        <f t="shared" si="27"/>
        <v>0</v>
      </c>
      <c r="BE48" s="1023">
        <f t="shared" si="27"/>
        <v>0</v>
      </c>
      <c r="BF48" s="1023">
        <f t="shared" si="27"/>
        <v>0</v>
      </c>
      <c r="BG48" s="1023">
        <f t="shared" si="27"/>
        <v>0</v>
      </c>
      <c r="BH48" s="1023">
        <f t="shared" si="27"/>
        <v>0</v>
      </c>
      <c r="BI48" s="1023">
        <f t="shared" si="27"/>
        <v>0</v>
      </c>
      <c r="BJ48" s="1023">
        <f t="shared" si="27"/>
        <v>0</v>
      </c>
      <c r="BK48" s="1023">
        <f t="shared" si="27"/>
        <v>0</v>
      </c>
      <c r="BL48" s="1023">
        <f t="shared" si="27"/>
        <v>0</v>
      </c>
      <c r="BM48" s="1023">
        <f t="shared" si="27"/>
        <v>0</v>
      </c>
      <c r="BN48" s="1023">
        <f t="shared" si="27"/>
        <v>0</v>
      </c>
      <c r="BO48" s="1023">
        <f t="shared" si="27"/>
        <v>0</v>
      </c>
      <c r="BP48" s="1023">
        <f t="shared" si="27"/>
        <v>0</v>
      </c>
      <c r="BQ48" s="1023">
        <f t="shared" si="27"/>
        <v>0</v>
      </c>
      <c r="BR48" s="1023">
        <f t="shared" si="27"/>
        <v>0</v>
      </c>
      <c r="BS48" s="1023">
        <f t="shared" si="27"/>
        <v>0</v>
      </c>
      <c r="BT48" s="1023">
        <f t="shared" si="27"/>
        <v>0</v>
      </c>
      <c r="BU48" s="1023">
        <f t="shared" si="27"/>
        <v>0</v>
      </c>
      <c r="BV48" s="1023">
        <f t="shared" si="27"/>
        <v>0</v>
      </c>
      <c r="BW48" s="1023">
        <f t="shared" si="27"/>
        <v>0</v>
      </c>
      <c r="BX48" s="1023">
        <f t="shared" si="27"/>
        <v>0</v>
      </c>
      <c r="BY48" s="1023">
        <f t="shared" si="27"/>
        <v>0</v>
      </c>
      <c r="BZ48" s="1023">
        <f t="shared" si="27"/>
        <v>0</v>
      </c>
      <c r="CA48" s="1023">
        <f t="shared" si="27"/>
        <v>0</v>
      </c>
      <c r="CB48" s="1023">
        <f t="shared" si="27"/>
        <v>0</v>
      </c>
      <c r="CC48" s="1023">
        <f t="shared" si="27"/>
        <v>0</v>
      </c>
      <c r="CD48" s="1023">
        <f t="shared" si="27"/>
        <v>0</v>
      </c>
      <c r="CE48" s="1023">
        <f t="shared" si="27"/>
        <v>0</v>
      </c>
      <c r="CF48" s="1023">
        <f t="shared" si="27"/>
        <v>0</v>
      </c>
      <c r="CG48" s="1023">
        <f t="shared" si="27"/>
        <v>0</v>
      </c>
      <c r="CH48" s="1023">
        <f t="shared" si="27"/>
        <v>0</v>
      </c>
      <c r="CI48" s="1023">
        <f t="shared" si="27"/>
        <v>0</v>
      </c>
      <c r="CJ48" s="1023">
        <f t="shared" si="27"/>
        <v>0</v>
      </c>
      <c r="CK48" s="1023">
        <f t="shared" si="27"/>
        <v>0</v>
      </c>
      <c r="CL48" s="1023">
        <f t="shared" si="27"/>
        <v>0</v>
      </c>
      <c r="CM48" s="1023">
        <f t="shared" si="27"/>
        <v>0</v>
      </c>
      <c r="CN48" s="1023">
        <f t="shared" si="27"/>
        <v>0</v>
      </c>
      <c r="CO48" s="1023">
        <f t="shared" ref="CO48:EZ48" si="28">-(0)</f>
        <v>0</v>
      </c>
      <c r="CP48" s="1023">
        <f t="shared" si="28"/>
        <v>0</v>
      </c>
      <c r="CQ48" s="1023">
        <f t="shared" si="28"/>
        <v>0</v>
      </c>
      <c r="CR48" s="1023">
        <f t="shared" si="28"/>
        <v>0</v>
      </c>
      <c r="CS48" s="1023">
        <f t="shared" si="28"/>
        <v>0</v>
      </c>
      <c r="CT48" s="1023">
        <f t="shared" si="28"/>
        <v>0</v>
      </c>
      <c r="CU48" s="1023">
        <f t="shared" si="28"/>
        <v>0</v>
      </c>
      <c r="CV48" s="1023">
        <f t="shared" si="28"/>
        <v>0</v>
      </c>
      <c r="CW48" s="1023">
        <f t="shared" si="28"/>
        <v>0</v>
      </c>
      <c r="CX48" s="1023">
        <f t="shared" si="28"/>
        <v>0</v>
      </c>
      <c r="CY48" s="1023">
        <f t="shared" si="28"/>
        <v>0</v>
      </c>
      <c r="CZ48" s="1023">
        <f t="shared" si="28"/>
        <v>0</v>
      </c>
      <c r="DA48" s="1023">
        <f t="shared" si="28"/>
        <v>0</v>
      </c>
      <c r="DB48" s="1023">
        <f t="shared" si="28"/>
        <v>0</v>
      </c>
      <c r="DC48" s="1023">
        <f t="shared" si="28"/>
        <v>0</v>
      </c>
      <c r="DD48" s="1023">
        <f t="shared" si="28"/>
        <v>0</v>
      </c>
      <c r="DE48" s="1023">
        <f t="shared" si="28"/>
        <v>0</v>
      </c>
      <c r="DF48" s="1023">
        <f t="shared" si="28"/>
        <v>0</v>
      </c>
      <c r="DG48" s="1023">
        <f t="shared" si="28"/>
        <v>0</v>
      </c>
      <c r="DH48" s="1023">
        <f t="shared" si="28"/>
        <v>0</v>
      </c>
      <c r="DI48" s="1023">
        <f t="shared" si="28"/>
        <v>0</v>
      </c>
      <c r="DJ48" s="1023">
        <f t="shared" si="28"/>
        <v>0</v>
      </c>
      <c r="DK48" s="1023">
        <f t="shared" si="28"/>
        <v>0</v>
      </c>
      <c r="DL48" s="1023">
        <f t="shared" si="28"/>
        <v>0</v>
      </c>
      <c r="DM48" s="1023">
        <f t="shared" si="28"/>
        <v>0</v>
      </c>
      <c r="DN48" s="1023">
        <f t="shared" si="28"/>
        <v>0</v>
      </c>
      <c r="DO48" s="1023">
        <f t="shared" si="28"/>
        <v>0</v>
      </c>
      <c r="DP48" s="1023">
        <f t="shared" si="28"/>
        <v>0</v>
      </c>
      <c r="DQ48" s="1023">
        <f t="shared" si="28"/>
        <v>0</v>
      </c>
      <c r="DR48" s="1023">
        <f t="shared" si="28"/>
        <v>0</v>
      </c>
      <c r="DS48" s="1023">
        <f t="shared" si="28"/>
        <v>0</v>
      </c>
      <c r="DT48" s="1023">
        <f t="shared" si="28"/>
        <v>0</v>
      </c>
      <c r="DU48" s="1023">
        <f t="shared" si="28"/>
        <v>0</v>
      </c>
      <c r="DV48" s="1023">
        <f t="shared" si="28"/>
        <v>0</v>
      </c>
      <c r="DW48" s="1023">
        <f t="shared" si="28"/>
        <v>0</v>
      </c>
      <c r="DX48" s="1023">
        <f t="shared" si="28"/>
        <v>0</v>
      </c>
      <c r="DY48" s="1023">
        <f t="shared" si="28"/>
        <v>0</v>
      </c>
      <c r="DZ48" s="1023">
        <f t="shared" si="28"/>
        <v>0</v>
      </c>
      <c r="EA48" s="1023">
        <f t="shared" si="28"/>
        <v>0</v>
      </c>
      <c r="EB48" s="1023">
        <f t="shared" si="28"/>
        <v>0</v>
      </c>
      <c r="EC48" s="1023">
        <f t="shared" si="28"/>
        <v>0</v>
      </c>
      <c r="ED48" s="1023">
        <f t="shared" si="28"/>
        <v>0</v>
      </c>
      <c r="EE48" s="1023">
        <f t="shared" si="28"/>
        <v>0</v>
      </c>
      <c r="EF48" s="1023">
        <f t="shared" si="28"/>
        <v>0</v>
      </c>
      <c r="EG48" s="1023">
        <f t="shared" si="28"/>
        <v>0</v>
      </c>
      <c r="EH48" s="1023">
        <f t="shared" si="28"/>
        <v>0</v>
      </c>
      <c r="EI48" s="1023">
        <f t="shared" si="28"/>
        <v>0</v>
      </c>
      <c r="EJ48" s="1023">
        <f t="shared" si="28"/>
        <v>0</v>
      </c>
      <c r="EK48" s="1023">
        <f t="shared" si="28"/>
        <v>0</v>
      </c>
      <c r="EL48" s="1023">
        <f t="shared" si="28"/>
        <v>0</v>
      </c>
      <c r="EM48" s="1023">
        <f t="shared" si="28"/>
        <v>0</v>
      </c>
      <c r="EN48" s="1023">
        <f t="shared" si="28"/>
        <v>0</v>
      </c>
      <c r="EO48" s="1023">
        <f t="shared" si="28"/>
        <v>0</v>
      </c>
      <c r="EP48" s="1023">
        <f t="shared" si="28"/>
        <v>0</v>
      </c>
      <c r="EQ48" s="1023">
        <f t="shared" si="28"/>
        <v>0</v>
      </c>
      <c r="ER48" s="1023">
        <f t="shared" si="28"/>
        <v>0</v>
      </c>
      <c r="ES48" s="1023">
        <f t="shared" si="28"/>
        <v>0</v>
      </c>
      <c r="ET48" s="1023">
        <f t="shared" si="28"/>
        <v>0</v>
      </c>
      <c r="EU48" s="1023">
        <f t="shared" si="28"/>
        <v>0</v>
      </c>
      <c r="EV48" s="1023">
        <f t="shared" si="28"/>
        <v>0</v>
      </c>
      <c r="EW48" s="1023">
        <f t="shared" si="28"/>
        <v>0</v>
      </c>
      <c r="EX48" s="1023">
        <f t="shared" si="28"/>
        <v>0</v>
      </c>
      <c r="EY48" s="1023">
        <f t="shared" si="28"/>
        <v>0</v>
      </c>
      <c r="EZ48" s="1023">
        <f t="shared" si="28"/>
        <v>0</v>
      </c>
      <c r="FA48" s="1023">
        <f t="shared" ref="FA48:HL48" si="29">-(0)</f>
        <v>0</v>
      </c>
      <c r="FB48" s="1023">
        <f t="shared" si="29"/>
        <v>0</v>
      </c>
      <c r="FC48" s="1023">
        <f t="shared" si="29"/>
        <v>0</v>
      </c>
      <c r="FD48" s="1023">
        <f t="shared" si="29"/>
        <v>0</v>
      </c>
      <c r="FE48" s="1023">
        <f t="shared" si="29"/>
        <v>0</v>
      </c>
      <c r="FF48" s="1023">
        <f t="shared" si="29"/>
        <v>0</v>
      </c>
      <c r="FG48" s="1023">
        <f t="shared" si="29"/>
        <v>0</v>
      </c>
      <c r="FH48" s="1023">
        <f t="shared" si="29"/>
        <v>0</v>
      </c>
      <c r="FI48" s="1023">
        <f t="shared" si="29"/>
        <v>0</v>
      </c>
      <c r="FJ48" s="1023">
        <f t="shared" si="29"/>
        <v>0</v>
      </c>
      <c r="FK48" s="1023">
        <f t="shared" si="29"/>
        <v>0</v>
      </c>
      <c r="FL48" s="1023">
        <f t="shared" si="29"/>
        <v>0</v>
      </c>
      <c r="FM48" s="1023">
        <f t="shared" si="29"/>
        <v>0</v>
      </c>
      <c r="FN48" s="1023">
        <f t="shared" si="29"/>
        <v>0</v>
      </c>
      <c r="FO48" s="1023">
        <f t="shared" si="29"/>
        <v>0</v>
      </c>
      <c r="FP48" s="1023">
        <f t="shared" si="29"/>
        <v>0</v>
      </c>
      <c r="FQ48" s="1023">
        <f t="shared" si="29"/>
        <v>0</v>
      </c>
      <c r="FR48" s="1023">
        <f t="shared" si="29"/>
        <v>0</v>
      </c>
      <c r="FS48" s="1023">
        <f t="shared" si="29"/>
        <v>0</v>
      </c>
      <c r="FT48" s="1023">
        <f t="shared" si="29"/>
        <v>0</v>
      </c>
      <c r="FU48" s="1023">
        <f t="shared" si="29"/>
        <v>0</v>
      </c>
      <c r="FV48" s="1023">
        <f t="shared" si="29"/>
        <v>0</v>
      </c>
      <c r="FW48" s="1023">
        <f t="shared" si="29"/>
        <v>0</v>
      </c>
      <c r="FX48" s="1023">
        <f t="shared" si="29"/>
        <v>0</v>
      </c>
      <c r="FY48" s="1023">
        <f t="shared" si="29"/>
        <v>0</v>
      </c>
      <c r="FZ48" s="1023">
        <f t="shared" si="29"/>
        <v>0</v>
      </c>
      <c r="GA48" s="1023">
        <f t="shared" si="29"/>
        <v>0</v>
      </c>
      <c r="GB48" s="1023">
        <f t="shared" si="29"/>
        <v>0</v>
      </c>
      <c r="GC48" s="1023">
        <f t="shared" si="29"/>
        <v>0</v>
      </c>
      <c r="GD48" s="1023">
        <f t="shared" si="29"/>
        <v>0</v>
      </c>
      <c r="GE48" s="1023">
        <f t="shared" si="29"/>
        <v>0</v>
      </c>
      <c r="GF48" s="1023">
        <f t="shared" si="29"/>
        <v>0</v>
      </c>
      <c r="GG48" s="1023">
        <f t="shared" si="29"/>
        <v>0</v>
      </c>
      <c r="GH48" s="1023">
        <f t="shared" si="29"/>
        <v>0</v>
      </c>
      <c r="GI48" s="1023">
        <f t="shared" si="29"/>
        <v>0</v>
      </c>
      <c r="GJ48" s="1023">
        <f t="shared" si="29"/>
        <v>0</v>
      </c>
      <c r="GK48" s="1023">
        <f t="shared" si="29"/>
        <v>0</v>
      </c>
      <c r="GL48" s="1023">
        <f t="shared" si="29"/>
        <v>0</v>
      </c>
      <c r="GM48" s="1023">
        <f t="shared" si="29"/>
        <v>0</v>
      </c>
      <c r="GN48" s="1023">
        <f t="shared" si="29"/>
        <v>0</v>
      </c>
      <c r="GO48" s="1023">
        <f t="shared" si="29"/>
        <v>0</v>
      </c>
      <c r="GP48" s="1023">
        <f t="shared" si="29"/>
        <v>0</v>
      </c>
      <c r="GQ48" s="1023">
        <f t="shared" si="29"/>
        <v>0</v>
      </c>
      <c r="GR48" s="1023">
        <f t="shared" si="29"/>
        <v>0</v>
      </c>
      <c r="GS48" s="1023">
        <f t="shared" si="29"/>
        <v>0</v>
      </c>
      <c r="GT48" s="1023">
        <f t="shared" si="29"/>
        <v>0</v>
      </c>
      <c r="GU48" s="1023">
        <f t="shared" si="29"/>
        <v>0</v>
      </c>
      <c r="GV48" s="1023">
        <f t="shared" si="29"/>
        <v>0</v>
      </c>
      <c r="GW48" s="1023">
        <f t="shared" si="29"/>
        <v>0</v>
      </c>
      <c r="GX48" s="1023">
        <f t="shared" si="29"/>
        <v>0</v>
      </c>
      <c r="GY48" s="1023">
        <f t="shared" si="29"/>
        <v>0</v>
      </c>
      <c r="GZ48" s="1023">
        <f t="shared" si="29"/>
        <v>0</v>
      </c>
      <c r="HA48" s="1023">
        <f t="shared" si="29"/>
        <v>0</v>
      </c>
      <c r="HB48" s="1023">
        <f t="shared" si="29"/>
        <v>0</v>
      </c>
      <c r="HC48" s="1023">
        <f t="shared" si="29"/>
        <v>0</v>
      </c>
      <c r="HD48" s="1023">
        <f t="shared" si="29"/>
        <v>0</v>
      </c>
      <c r="HE48" s="1023">
        <f t="shared" si="29"/>
        <v>0</v>
      </c>
      <c r="HF48" s="1023">
        <f t="shared" si="29"/>
        <v>0</v>
      </c>
      <c r="HG48" s="1023">
        <f t="shared" si="29"/>
        <v>0</v>
      </c>
      <c r="HH48" s="1023">
        <f t="shared" si="29"/>
        <v>0</v>
      </c>
      <c r="HI48" s="1023">
        <f t="shared" si="29"/>
        <v>0</v>
      </c>
      <c r="HJ48" s="1023">
        <f t="shared" si="29"/>
        <v>0</v>
      </c>
      <c r="HK48" s="1023">
        <f t="shared" si="29"/>
        <v>0</v>
      </c>
      <c r="HL48" s="1023">
        <f t="shared" si="29"/>
        <v>0</v>
      </c>
      <c r="HM48" s="1023">
        <f t="shared" ref="HM48:IR48" si="30">-(0)</f>
        <v>0</v>
      </c>
      <c r="HN48" s="1023">
        <f t="shared" si="30"/>
        <v>0</v>
      </c>
      <c r="HO48" s="1023">
        <f t="shared" si="30"/>
        <v>0</v>
      </c>
      <c r="HP48" s="1023">
        <f t="shared" si="30"/>
        <v>0</v>
      </c>
      <c r="HQ48" s="1023">
        <f t="shared" si="30"/>
        <v>0</v>
      </c>
      <c r="HR48" s="1023">
        <f t="shared" si="30"/>
        <v>0</v>
      </c>
      <c r="HS48" s="1023">
        <f t="shared" si="30"/>
        <v>0</v>
      </c>
      <c r="HT48" s="1023">
        <f t="shared" si="30"/>
        <v>0</v>
      </c>
      <c r="HU48" s="1023">
        <f t="shared" si="30"/>
        <v>0</v>
      </c>
      <c r="HV48" s="1023">
        <f t="shared" si="30"/>
        <v>0</v>
      </c>
      <c r="HW48" s="1023">
        <f t="shared" si="30"/>
        <v>0</v>
      </c>
      <c r="HX48" s="1023">
        <f t="shared" si="30"/>
        <v>0</v>
      </c>
      <c r="HY48" s="1023">
        <f t="shared" si="30"/>
        <v>0</v>
      </c>
      <c r="HZ48" s="1023">
        <f t="shared" si="30"/>
        <v>0</v>
      </c>
      <c r="IA48" s="1023">
        <f t="shared" si="30"/>
        <v>0</v>
      </c>
      <c r="IB48" s="1023">
        <f t="shared" si="30"/>
        <v>0</v>
      </c>
      <c r="IC48" s="1023">
        <f t="shared" si="30"/>
        <v>0</v>
      </c>
      <c r="ID48" s="1023">
        <f t="shared" si="30"/>
        <v>0</v>
      </c>
      <c r="IE48" s="1023">
        <f t="shared" si="30"/>
        <v>0</v>
      </c>
      <c r="IF48" s="1023">
        <f t="shared" si="30"/>
        <v>0</v>
      </c>
      <c r="IG48" s="1023">
        <f t="shared" si="30"/>
        <v>0</v>
      </c>
      <c r="IH48" s="1023">
        <f t="shared" si="30"/>
        <v>0</v>
      </c>
      <c r="II48" s="1023">
        <f t="shared" si="30"/>
        <v>0</v>
      </c>
      <c r="IJ48" s="1023">
        <f t="shared" si="30"/>
        <v>0</v>
      </c>
      <c r="IK48" s="1023">
        <f t="shared" si="30"/>
        <v>0</v>
      </c>
      <c r="IL48" s="1023">
        <f t="shared" si="30"/>
        <v>0</v>
      </c>
      <c r="IM48" s="1023">
        <f t="shared" si="30"/>
        <v>0</v>
      </c>
      <c r="IN48" s="1023">
        <f t="shared" si="30"/>
        <v>0</v>
      </c>
      <c r="IO48" s="1023">
        <f t="shared" si="30"/>
        <v>0</v>
      </c>
      <c r="IP48" s="1023">
        <f t="shared" si="30"/>
        <v>0</v>
      </c>
      <c r="IQ48" s="1023">
        <f t="shared" si="30"/>
        <v>0</v>
      </c>
      <c r="IR48" s="1023">
        <f t="shared" si="30"/>
        <v>0</v>
      </c>
    </row>
    <row r="49" spans="2:254" s="960" customFormat="1" ht="11.25" hidden="1" customHeight="1" outlineLevel="1">
      <c r="B49" s="1025" t="s">
        <v>158</v>
      </c>
      <c r="C49" s="1026">
        <f t="shared" ref="C49:BN49" si="31">C46+C47+C48</f>
        <v>102.61627710975515</v>
      </c>
      <c r="D49" s="1026">
        <f t="shared" si="31"/>
        <v>124.95218943303851</v>
      </c>
      <c r="E49" s="1026">
        <f t="shared" si="31"/>
        <v>142.280377614793</v>
      </c>
      <c r="F49" s="1026">
        <f t="shared" si="31"/>
        <v>173.36238303725861</v>
      </c>
      <c r="G49" s="1026">
        <f t="shared" si="31"/>
        <v>0</v>
      </c>
      <c r="H49" s="1026">
        <f t="shared" si="31"/>
        <v>0</v>
      </c>
      <c r="I49" s="1026">
        <f t="shared" si="31"/>
        <v>0</v>
      </c>
      <c r="J49" s="1026">
        <f t="shared" si="31"/>
        <v>0</v>
      </c>
      <c r="K49" s="1026">
        <f t="shared" si="31"/>
        <v>0</v>
      </c>
      <c r="L49" s="1026">
        <f t="shared" si="31"/>
        <v>0</v>
      </c>
      <c r="M49" s="1026">
        <f t="shared" si="31"/>
        <v>0</v>
      </c>
      <c r="N49" s="1026">
        <f t="shared" si="31"/>
        <v>0</v>
      </c>
      <c r="O49" s="1026">
        <f t="shared" si="31"/>
        <v>0</v>
      </c>
      <c r="P49" s="1026">
        <f t="shared" si="31"/>
        <v>0</v>
      </c>
      <c r="Q49" s="1026">
        <f t="shared" si="31"/>
        <v>0</v>
      </c>
      <c r="R49" s="1026">
        <f t="shared" si="31"/>
        <v>0</v>
      </c>
      <c r="S49" s="1026">
        <f t="shared" si="31"/>
        <v>0</v>
      </c>
      <c r="T49" s="1026">
        <f t="shared" si="31"/>
        <v>0</v>
      </c>
      <c r="U49" s="1026">
        <f t="shared" si="31"/>
        <v>0</v>
      </c>
      <c r="V49" s="1026">
        <f t="shared" si="31"/>
        <v>0</v>
      </c>
      <c r="W49" s="1027">
        <f t="shared" si="31"/>
        <v>0</v>
      </c>
      <c r="X49" s="1028">
        <f t="shared" si="31"/>
        <v>0</v>
      </c>
      <c r="Y49" s="1026">
        <f t="shared" si="31"/>
        <v>0</v>
      </c>
      <c r="Z49" s="1026">
        <f t="shared" si="31"/>
        <v>0</v>
      </c>
      <c r="AA49" s="1026">
        <f t="shared" si="31"/>
        <v>0</v>
      </c>
      <c r="AB49" s="1026">
        <f t="shared" si="31"/>
        <v>0</v>
      </c>
      <c r="AC49" s="1026">
        <f t="shared" si="31"/>
        <v>0</v>
      </c>
      <c r="AD49" s="1026">
        <f t="shared" si="31"/>
        <v>0</v>
      </c>
      <c r="AE49" s="1026">
        <f t="shared" si="31"/>
        <v>0</v>
      </c>
      <c r="AF49" s="1026">
        <f t="shared" si="31"/>
        <v>0</v>
      </c>
      <c r="AG49" s="1026">
        <f t="shared" si="31"/>
        <v>0</v>
      </c>
      <c r="AH49" s="1026">
        <f t="shared" si="31"/>
        <v>0</v>
      </c>
      <c r="AI49" s="1026">
        <f t="shared" si="31"/>
        <v>0</v>
      </c>
      <c r="AJ49" s="1026">
        <f t="shared" si="31"/>
        <v>0</v>
      </c>
      <c r="AK49" s="1026">
        <f t="shared" si="31"/>
        <v>0</v>
      </c>
      <c r="AL49" s="1026">
        <f t="shared" si="31"/>
        <v>0</v>
      </c>
      <c r="AM49" s="1026">
        <f t="shared" si="31"/>
        <v>0</v>
      </c>
      <c r="AN49" s="1026">
        <f t="shared" si="31"/>
        <v>0</v>
      </c>
      <c r="AO49" s="1026">
        <f t="shared" si="31"/>
        <v>0</v>
      </c>
      <c r="AP49" s="1026">
        <f t="shared" si="31"/>
        <v>0</v>
      </c>
      <c r="AQ49" s="1026">
        <f t="shared" si="31"/>
        <v>0</v>
      </c>
      <c r="AR49" s="1026">
        <f t="shared" si="31"/>
        <v>0</v>
      </c>
      <c r="AS49" s="1026">
        <f t="shared" si="31"/>
        <v>0</v>
      </c>
      <c r="AT49" s="1026">
        <f t="shared" si="31"/>
        <v>0</v>
      </c>
      <c r="AU49" s="1026">
        <f t="shared" si="31"/>
        <v>0</v>
      </c>
      <c r="AV49" s="1026">
        <f t="shared" si="31"/>
        <v>0</v>
      </c>
      <c r="AW49" s="1026">
        <f t="shared" si="31"/>
        <v>0</v>
      </c>
      <c r="AX49" s="1026">
        <f t="shared" si="31"/>
        <v>0</v>
      </c>
      <c r="AY49" s="1026">
        <f t="shared" si="31"/>
        <v>0</v>
      </c>
      <c r="AZ49" s="1026">
        <f t="shared" si="31"/>
        <v>0</v>
      </c>
      <c r="BA49" s="1026">
        <f t="shared" si="31"/>
        <v>0</v>
      </c>
      <c r="BB49" s="1026">
        <f t="shared" si="31"/>
        <v>0</v>
      </c>
      <c r="BC49" s="1026">
        <f t="shared" si="31"/>
        <v>0</v>
      </c>
      <c r="BD49" s="1026">
        <f t="shared" si="31"/>
        <v>0</v>
      </c>
      <c r="BE49" s="1026">
        <f t="shared" si="31"/>
        <v>0</v>
      </c>
      <c r="BF49" s="1026">
        <f t="shared" si="31"/>
        <v>0</v>
      </c>
      <c r="BG49" s="1026">
        <f t="shared" si="31"/>
        <v>0</v>
      </c>
      <c r="BH49" s="1026">
        <f t="shared" si="31"/>
        <v>0</v>
      </c>
      <c r="BI49" s="1026">
        <f t="shared" si="31"/>
        <v>0</v>
      </c>
      <c r="BJ49" s="1026">
        <f t="shared" si="31"/>
        <v>0</v>
      </c>
      <c r="BK49" s="1026">
        <f t="shared" si="31"/>
        <v>0</v>
      </c>
      <c r="BL49" s="1026">
        <f t="shared" si="31"/>
        <v>0</v>
      </c>
      <c r="BM49" s="1026">
        <f t="shared" si="31"/>
        <v>0</v>
      </c>
      <c r="BN49" s="1026">
        <f t="shared" si="31"/>
        <v>0</v>
      </c>
      <c r="BO49" s="1026">
        <f t="shared" ref="BO49:DZ49" si="32">BO46+BO47+BO48</f>
        <v>0</v>
      </c>
      <c r="BP49" s="1026">
        <f t="shared" si="32"/>
        <v>0</v>
      </c>
      <c r="BQ49" s="1026">
        <f t="shared" si="32"/>
        <v>0</v>
      </c>
      <c r="BR49" s="1026">
        <f t="shared" si="32"/>
        <v>0</v>
      </c>
      <c r="BS49" s="1026">
        <f t="shared" si="32"/>
        <v>0</v>
      </c>
      <c r="BT49" s="1026">
        <f t="shared" si="32"/>
        <v>0</v>
      </c>
      <c r="BU49" s="1026">
        <f t="shared" si="32"/>
        <v>0</v>
      </c>
      <c r="BV49" s="1026">
        <f t="shared" si="32"/>
        <v>0</v>
      </c>
      <c r="BW49" s="1026">
        <f t="shared" si="32"/>
        <v>0</v>
      </c>
      <c r="BX49" s="1026">
        <f t="shared" si="32"/>
        <v>0</v>
      </c>
      <c r="BY49" s="1026">
        <f t="shared" si="32"/>
        <v>0</v>
      </c>
      <c r="BZ49" s="1026">
        <f t="shared" si="32"/>
        <v>0</v>
      </c>
      <c r="CA49" s="1026">
        <f t="shared" si="32"/>
        <v>0</v>
      </c>
      <c r="CB49" s="1026">
        <f t="shared" si="32"/>
        <v>0</v>
      </c>
      <c r="CC49" s="1026">
        <f t="shared" si="32"/>
        <v>0</v>
      </c>
      <c r="CD49" s="1026">
        <f t="shared" si="32"/>
        <v>0</v>
      </c>
      <c r="CE49" s="1026">
        <f t="shared" si="32"/>
        <v>0</v>
      </c>
      <c r="CF49" s="1026">
        <f t="shared" si="32"/>
        <v>0</v>
      </c>
      <c r="CG49" s="1026">
        <f t="shared" si="32"/>
        <v>0</v>
      </c>
      <c r="CH49" s="1026">
        <f t="shared" si="32"/>
        <v>0</v>
      </c>
      <c r="CI49" s="1026">
        <f t="shared" si="32"/>
        <v>0</v>
      </c>
      <c r="CJ49" s="1026">
        <f t="shared" si="32"/>
        <v>0</v>
      </c>
      <c r="CK49" s="1026">
        <f t="shared" si="32"/>
        <v>0</v>
      </c>
      <c r="CL49" s="1026">
        <f t="shared" si="32"/>
        <v>0</v>
      </c>
      <c r="CM49" s="1026">
        <f t="shared" si="32"/>
        <v>0</v>
      </c>
      <c r="CN49" s="1026">
        <f t="shared" si="32"/>
        <v>0</v>
      </c>
      <c r="CO49" s="1026">
        <f t="shared" si="32"/>
        <v>0</v>
      </c>
      <c r="CP49" s="1026">
        <f t="shared" si="32"/>
        <v>0</v>
      </c>
      <c r="CQ49" s="1026">
        <f t="shared" si="32"/>
        <v>0</v>
      </c>
      <c r="CR49" s="1026">
        <f t="shared" si="32"/>
        <v>0</v>
      </c>
      <c r="CS49" s="1026">
        <f t="shared" si="32"/>
        <v>0</v>
      </c>
      <c r="CT49" s="1026">
        <f t="shared" si="32"/>
        <v>0</v>
      </c>
      <c r="CU49" s="1026">
        <f t="shared" si="32"/>
        <v>0</v>
      </c>
      <c r="CV49" s="1026">
        <f t="shared" si="32"/>
        <v>0</v>
      </c>
      <c r="CW49" s="1026">
        <f t="shared" si="32"/>
        <v>0</v>
      </c>
      <c r="CX49" s="1026">
        <f t="shared" si="32"/>
        <v>0</v>
      </c>
      <c r="CY49" s="1026">
        <f t="shared" si="32"/>
        <v>0</v>
      </c>
      <c r="CZ49" s="1026">
        <f t="shared" si="32"/>
        <v>0</v>
      </c>
      <c r="DA49" s="1026">
        <f t="shared" si="32"/>
        <v>0</v>
      </c>
      <c r="DB49" s="1026">
        <f t="shared" si="32"/>
        <v>0</v>
      </c>
      <c r="DC49" s="1026">
        <f t="shared" si="32"/>
        <v>0</v>
      </c>
      <c r="DD49" s="1026">
        <f t="shared" si="32"/>
        <v>0</v>
      </c>
      <c r="DE49" s="1026">
        <f t="shared" si="32"/>
        <v>0</v>
      </c>
      <c r="DF49" s="1026">
        <f t="shared" si="32"/>
        <v>0</v>
      </c>
      <c r="DG49" s="1026">
        <f t="shared" si="32"/>
        <v>0</v>
      </c>
      <c r="DH49" s="1026">
        <f t="shared" si="32"/>
        <v>0</v>
      </c>
      <c r="DI49" s="1026">
        <f t="shared" si="32"/>
        <v>0</v>
      </c>
      <c r="DJ49" s="1026">
        <f t="shared" si="32"/>
        <v>0</v>
      </c>
      <c r="DK49" s="1026">
        <f t="shared" si="32"/>
        <v>0</v>
      </c>
      <c r="DL49" s="1026">
        <f t="shared" si="32"/>
        <v>0</v>
      </c>
      <c r="DM49" s="1026">
        <f t="shared" si="32"/>
        <v>0</v>
      </c>
      <c r="DN49" s="1026">
        <f t="shared" si="32"/>
        <v>0</v>
      </c>
      <c r="DO49" s="1026">
        <f t="shared" si="32"/>
        <v>0</v>
      </c>
      <c r="DP49" s="1026">
        <f t="shared" si="32"/>
        <v>0</v>
      </c>
      <c r="DQ49" s="1026">
        <f t="shared" si="32"/>
        <v>0</v>
      </c>
      <c r="DR49" s="1026">
        <f t="shared" si="32"/>
        <v>0</v>
      </c>
      <c r="DS49" s="1026">
        <f t="shared" si="32"/>
        <v>0</v>
      </c>
      <c r="DT49" s="1026">
        <f t="shared" si="32"/>
        <v>0</v>
      </c>
      <c r="DU49" s="1026">
        <f t="shared" si="32"/>
        <v>0</v>
      </c>
      <c r="DV49" s="1026">
        <f t="shared" si="32"/>
        <v>0</v>
      </c>
      <c r="DW49" s="1026">
        <f t="shared" si="32"/>
        <v>0</v>
      </c>
      <c r="DX49" s="1026">
        <f t="shared" si="32"/>
        <v>0</v>
      </c>
      <c r="DY49" s="1026">
        <f t="shared" si="32"/>
        <v>0</v>
      </c>
      <c r="DZ49" s="1026">
        <f t="shared" si="32"/>
        <v>0</v>
      </c>
      <c r="EA49" s="1026">
        <f t="shared" ref="EA49:GL49" si="33">EA46+EA47+EA48</f>
        <v>0</v>
      </c>
      <c r="EB49" s="1026">
        <f t="shared" si="33"/>
        <v>0</v>
      </c>
      <c r="EC49" s="1026">
        <f t="shared" si="33"/>
        <v>0</v>
      </c>
      <c r="ED49" s="1026">
        <f t="shared" si="33"/>
        <v>0</v>
      </c>
      <c r="EE49" s="1026">
        <f t="shared" si="33"/>
        <v>0</v>
      </c>
      <c r="EF49" s="1026">
        <f t="shared" si="33"/>
        <v>0</v>
      </c>
      <c r="EG49" s="1026">
        <f t="shared" si="33"/>
        <v>0</v>
      </c>
      <c r="EH49" s="1026">
        <f t="shared" si="33"/>
        <v>0</v>
      </c>
      <c r="EI49" s="1026">
        <f t="shared" si="33"/>
        <v>0</v>
      </c>
      <c r="EJ49" s="1026">
        <f t="shared" si="33"/>
        <v>0</v>
      </c>
      <c r="EK49" s="1026">
        <f t="shared" si="33"/>
        <v>0</v>
      </c>
      <c r="EL49" s="1026">
        <f t="shared" si="33"/>
        <v>0</v>
      </c>
      <c r="EM49" s="1026">
        <f t="shared" si="33"/>
        <v>0</v>
      </c>
      <c r="EN49" s="1026">
        <f t="shared" si="33"/>
        <v>0</v>
      </c>
      <c r="EO49" s="1026">
        <f t="shared" si="33"/>
        <v>0</v>
      </c>
      <c r="EP49" s="1026">
        <f t="shared" si="33"/>
        <v>0</v>
      </c>
      <c r="EQ49" s="1026">
        <f t="shared" si="33"/>
        <v>0</v>
      </c>
      <c r="ER49" s="1026">
        <f t="shared" si="33"/>
        <v>0</v>
      </c>
      <c r="ES49" s="1026">
        <f t="shared" si="33"/>
        <v>0</v>
      </c>
      <c r="ET49" s="1026">
        <f t="shared" si="33"/>
        <v>0</v>
      </c>
      <c r="EU49" s="1026">
        <f t="shared" si="33"/>
        <v>0</v>
      </c>
      <c r="EV49" s="1026">
        <f t="shared" si="33"/>
        <v>0</v>
      </c>
      <c r="EW49" s="1026">
        <f t="shared" si="33"/>
        <v>0</v>
      </c>
      <c r="EX49" s="1026">
        <f t="shared" si="33"/>
        <v>0</v>
      </c>
      <c r="EY49" s="1026">
        <f t="shared" si="33"/>
        <v>0</v>
      </c>
      <c r="EZ49" s="1026">
        <f t="shared" si="33"/>
        <v>0</v>
      </c>
      <c r="FA49" s="1026">
        <f t="shared" si="33"/>
        <v>0</v>
      </c>
      <c r="FB49" s="1026">
        <f t="shared" si="33"/>
        <v>0</v>
      </c>
      <c r="FC49" s="1026">
        <f t="shared" si="33"/>
        <v>0</v>
      </c>
      <c r="FD49" s="1026">
        <f t="shared" si="33"/>
        <v>0</v>
      </c>
      <c r="FE49" s="1026">
        <f t="shared" si="33"/>
        <v>0</v>
      </c>
      <c r="FF49" s="1026">
        <f t="shared" si="33"/>
        <v>0</v>
      </c>
      <c r="FG49" s="1026">
        <f t="shared" si="33"/>
        <v>0</v>
      </c>
      <c r="FH49" s="1026">
        <f t="shared" si="33"/>
        <v>0</v>
      </c>
      <c r="FI49" s="1026">
        <f t="shared" si="33"/>
        <v>0</v>
      </c>
      <c r="FJ49" s="1026">
        <f t="shared" si="33"/>
        <v>0</v>
      </c>
      <c r="FK49" s="1026">
        <f t="shared" si="33"/>
        <v>0</v>
      </c>
      <c r="FL49" s="1026">
        <f t="shared" si="33"/>
        <v>0</v>
      </c>
      <c r="FM49" s="1026">
        <f t="shared" si="33"/>
        <v>0</v>
      </c>
      <c r="FN49" s="1026">
        <f t="shared" si="33"/>
        <v>0</v>
      </c>
      <c r="FO49" s="1026">
        <f t="shared" si="33"/>
        <v>0</v>
      </c>
      <c r="FP49" s="1026">
        <f t="shared" si="33"/>
        <v>0</v>
      </c>
      <c r="FQ49" s="1026">
        <f t="shared" si="33"/>
        <v>0</v>
      </c>
      <c r="FR49" s="1026">
        <f t="shared" si="33"/>
        <v>0</v>
      </c>
      <c r="FS49" s="1026">
        <f t="shared" si="33"/>
        <v>0</v>
      </c>
      <c r="FT49" s="1026">
        <f t="shared" si="33"/>
        <v>0</v>
      </c>
      <c r="FU49" s="1026">
        <f t="shared" si="33"/>
        <v>0</v>
      </c>
      <c r="FV49" s="1026">
        <f t="shared" si="33"/>
        <v>0</v>
      </c>
      <c r="FW49" s="1026">
        <f t="shared" si="33"/>
        <v>0</v>
      </c>
      <c r="FX49" s="1026">
        <f t="shared" si="33"/>
        <v>0</v>
      </c>
      <c r="FY49" s="1026">
        <f t="shared" si="33"/>
        <v>0</v>
      </c>
      <c r="FZ49" s="1026">
        <f t="shared" si="33"/>
        <v>0</v>
      </c>
      <c r="GA49" s="1026">
        <f t="shared" si="33"/>
        <v>0</v>
      </c>
      <c r="GB49" s="1026">
        <f t="shared" si="33"/>
        <v>0</v>
      </c>
      <c r="GC49" s="1026">
        <f t="shared" si="33"/>
        <v>0</v>
      </c>
      <c r="GD49" s="1026">
        <f t="shared" si="33"/>
        <v>0</v>
      </c>
      <c r="GE49" s="1026">
        <f t="shared" si="33"/>
        <v>0</v>
      </c>
      <c r="GF49" s="1026">
        <f t="shared" si="33"/>
        <v>0</v>
      </c>
      <c r="GG49" s="1026">
        <f t="shared" si="33"/>
        <v>0</v>
      </c>
      <c r="GH49" s="1026">
        <f t="shared" si="33"/>
        <v>0</v>
      </c>
      <c r="GI49" s="1026">
        <f t="shared" si="33"/>
        <v>0</v>
      </c>
      <c r="GJ49" s="1026">
        <f t="shared" si="33"/>
        <v>0</v>
      </c>
      <c r="GK49" s="1026">
        <f t="shared" si="33"/>
        <v>0</v>
      </c>
      <c r="GL49" s="1026">
        <f t="shared" si="33"/>
        <v>0</v>
      </c>
      <c r="GM49" s="1026">
        <f t="shared" ref="GM49:IR49" si="34">GM46+GM47+GM48</f>
        <v>0</v>
      </c>
      <c r="GN49" s="1026">
        <f t="shared" si="34"/>
        <v>0</v>
      </c>
      <c r="GO49" s="1026">
        <f t="shared" si="34"/>
        <v>0</v>
      </c>
      <c r="GP49" s="1026">
        <f t="shared" si="34"/>
        <v>0</v>
      </c>
      <c r="GQ49" s="1026">
        <f t="shared" si="34"/>
        <v>0</v>
      </c>
      <c r="GR49" s="1026">
        <f t="shared" si="34"/>
        <v>0</v>
      </c>
      <c r="GS49" s="1026">
        <f t="shared" si="34"/>
        <v>0</v>
      </c>
      <c r="GT49" s="1026">
        <f t="shared" si="34"/>
        <v>0</v>
      </c>
      <c r="GU49" s="1026">
        <f t="shared" si="34"/>
        <v>0</v>
      </c>
      <c r="GV49" s="1026">
        <f t="shared" si="34"/>
        <v>0</v>
      </c>
      <c r="GW49" s="1026">
        <f t="shared" si="34"/>
        <v>0</v>
      </c>
      <c r="GX49" s="1026">
        <f t="shared" si="34"/>
        <v>0</v>
      </c>
      <c r="GY49" s="1026">
        <f t="shared" si="34"/>
        <v>0</v>
      </c>
      <c r="GZ49" s="1026">
        <f t="shared" si="34"/>
        <v>0</v>
      </c>
      <c r="HA49" s="1026">
        <f t="shared" si="34"/>
        <v>0</v>
      </c>
      <c r="HB49" s="1026">
        <f t="shared" si="34"/>
        <v>0</v>
      </c>
      <c r="HC49" s="1026">
        <f t="shared" si="34"/>
        <v>0</v>
      </c>
      <c r="HD49" s="1026">
        <f t="shared" si="34"/>
        <v>0</v>
      </c>
      <c r="HE49" s="1026">
        <f t="shared" si="34"/>
        <v>0</v>
      </c>
      <c r="HF49" s="1026">
        <f t="shared" si="34"/>
        <v>0</v>
      </c>
      <c r="HG49" s="1026">
        <f t="shared" si="34"/>
        <v>0</v>
      </c>
      <c r="HH49" s="1026">
        <f t="shared" si="34"/>
        <v>0</v>
      </c>
      <c r="HI49" s="1026">
        <f t="shared" si="34"/>
        <v>0</v>
      </c>
      <c r="HJ49" s="1026">
        <f t="shared" si="34"/>
        <v>0</v>
      </c>
      <c r="HK49" s="1026">
        <f t="shared" si="34"/>
        <v>0</v>
      </c>
      <c r="HL49" s="1026">
        <f t="shared" si="34"/>
        <v>0</v>
      </c>
      <c r="HM49" s="1026">
        <f t="shared" si="34"/>
        <v>0</v>
      </c>
      <c r="HN49" s="1026">
        <f t="shared" si="34"/>
        <v>0</v>
      </c>
      <c r="HO49" s="1026">
        <f t="shared" si="34"/>
        <v>0</v>
      </c>
      <c r="HP49" s="1026">
        <f t="shared" si="34"/>
        <v>0</v>
      </c>
      <c r="HQ49" s="1026">
        <f t="shared" si="34"/>
        <v>0</v>
      </c>
      <c r="HR49" s="1026">
        <f t="shared" si="34"/>
        <v>0</v>
      </c>
      <c r="HS49" s="1026">
        <f t="shared" si="34"/>
        <v>0</v>
      </c>
      <c r="HT49" s="1026">
        <f t="shared" si="34"/>
        <v>0</v>
      </c>
      <c r="HU49" s="1026">
        <f t="shared" si="34"/>
        <v>0</v>
      </c>
      <c r="HV49" s="1026">
        <f t="shared" si="34"/>
        <v>0</v>
      </c>
      <c r="HW49" s="1026">
        <f t="shared" si="34"/>
        <v>0</v>
      </c>
      <c r="HX49" s="1026">
        <f t="shared" si="34"/>
        <v>0</v>
      </c>
      <c r="HY49" s="1026">
        <f t="shared" si="34"/>
        <v>0</v>
      </c>
      <c r="HZ49" s="1026">
        <f t="shared" si="34"/>
        <v>0</v>
      </c>
      <c r="IA49" s="1026">
        <f t="shared" si="34"/>
        <v>0</v>
      </c>
      <c r="IB49" s="1026">
        <f t="shared" si="34"/>
        <v>0</v>
      </c>
      <c r="IC49" s="1026">
        <f t="shared" si="34"/>
        <v>0</v>
      </c>
      <c r="ID49" s="1026">
        <f t="shared" si="34"/>
        <v>0</v>
      </c>
      <c r="IE49" s="1026">
        <f t="shared" si="34"/>
        <v>0</v>
      </c>
      <c r="IF49" s="1026">
        <f t="shared" si="34"/>
        <v>0</v>
      </c>
      <c r="IG49" s="1026">
        <f t="shared" si="34"/>
        <v>0</v>
      </c>
      <c r="IH49" s="1026">
        <f t="shared" si="34"/>
        <v>0</v>
      </c>
      <c r="II49" s="1026">
        <f t="shared" si="34"/>
        <v>0</v>
      </c>
      <c r="IJ49" s="1026">
        <f t="shared" si="34"/>
        <v>0</v>
      </c>
      <c r="IK49" s="1026">
        <f t="shared" si="34"/>
        <v>0</v>
      </c>
      <c r="IL49" s="1026">
        <f t="shared" si="34"/>
        <v>0</v>
      </c>
      <c r="IM49" s="1026">
        <f t="shared" si="34"/>
        <v>0</v>
      </c>
      <c r="IN49" s="1026">
        <f t="shared" si="34"/>
        <v>0</v>
      </c>
      <c r="IO49" s="1026">
        <f t="shared" si="34"/>
        <v>0</v>
      </c>
      <c r="IP49" s="1026">
        <f t="shared" si="34"/>
        <v>0</v>
      </c>
      <c r="IQ49" s="1026">
        <f t="shared" si="34"/>
        <v>0</v>
      </c>
      <c r="IR49" s="1026">
        <f t="shared" si="34"/>
        <v>0</v>
      </c>
    </row>
    <row r="50" spans="2:254" s="960" customFormat="1" ht="11.25" hidden="1" customHeight="1" outlineLevel="1">
      <c r="B50" s="1021" t="s">
        <v>699</v>
      </c>
      <c r="C50" s="1023">
        <f t="shared" ref="C50:AB50" si="35">(0*$V$23)</f>
        <v>0</v>
      </c>
      <c r="D50" s="1023">
        <f t="shared" si="35"/>
        <v>0</v>
      </c>
      <c r="E50" s="1023">
        <f t="shared" si="35"/>
        <v>0</v>
      </c>
      <c r="F50" s="1023">
        <f t="shared" si="35"/>
        <v>0</v>
      </c>
      <c r="G50" s="1023">
        <f t="shared" si="35"/>
        <v>0</v>
      </c>
      <c r="H50" s="1023">
        <f t="shared" si="35"/>
        <v>0</v>
      </c>
      <c r="I50" s="1023">
        <f t="shared" si="35"/>
        <v>0</v>
      </c>
      <c r="J50" s="1023">
        <f t="shared" si="35"/>
        <v>0</v>
      </c>
      <c r="K50" s="1023">
        <f t="shared" si="35"/>
        <v>0</v>
      </c>
      <c r="L50" s="1023">
        <f t="shared" si="35"/>
        <v>0</v>
      </c>
      <c r="M50" s="1023">
        <f t="shared" si="35"/>
        <v>0</v>
      </c>
      <c r="N50" s="1023">
        <f t="shared" si="35"/>
        <v>0</v>
      </c>
      <c r="O50" s="1023">
        <f t="shared" si="35"/>
        <v>0</v>
      </c>
      <c r="P50" s="1023">
        <f t="shared" si="35"/>
        <v>0</v>
      </c>
      <c r="Q50" s="1023">
        <f t="shared" si="35"/>
        <v>0</v>
      </c>
      <c r="R50" s="1023">
        <f t="shared" si="35"/>
        <v>0</v>
      </c>
      <c r="S50" s="1023">
        <f t="shared" si="35"/>
        <v>0</v>
      </c>
      <c r="T50" s="1023">
        <f t="shared" si="35"/>
        <v>0</v>
      </c>
      <c r="U50" s="1023">
        <f t="shared" si="35"/>
        <v>0</v>
      </c>
      <c r="V50" s="1023">
        <f t="shared" si="35"/>
        <v>0</v>
      </c>
      <c r="W50" s="1023">
        <f t="shared" si="35"/>
        <v>0</v>
      </c>
      <c r="X50" s="1023">
        <f t="shared" si="35"/>
        <v>0</v>
      </c>
      <c r="Y50" s="1023">
        <f t="shared" si="35"/>
        <v>0</v>
      </c>
      <c r="Z50" s="1023">
        <f t="shared" si="35"/>
        <v>0</v>
      </c>
      <c r="AA50" s="1023">
        <f t="shared" si="35"/>
        <v>0</v>
      </c>
      <c r="AB50" s="1023">
        <f t="shared" si="35"/>
        <v>0</v>
      </c>
      <c r="AC50" s="1023">
        <f>0</f>
        <v>0</v>
      </c>
      <c r="AD50" s="1023">
        <f>0</f>
        <v>0</v>
      </c>
      <c r="AE50" s="1023">
        <f>0</f>
        <v>0</v>
      </c>
      <c r="AF50" s="1023">
        <f>0</f>
        <v>0</v>
      </c>
      <c r="AG50" s="1023">
        <f>0</f>
        <v>0</v>
      </c>
      <c r="AH50" s="1023">
        <f>0</f>
        <v>0</v>
      </c>
      <c r="AI50" s="1023">
        <f>0</f>
        <v>0</v>
      </c>
      <c r="AJ50" s="1023">
        <f>0</f>
        <v>0</v>
      </c>
      <c r="AK50" s="1023">
        <f>0</f>
        <v>0</v>
      </c>
      <c r="AL50" s="1023">
        <f>0</f>
        <v>0</v>
      </c>
      <c r="AM50" s="1023">
        <f>0</f>
        <v>0</v>
      </c>
      <c r="AN50" s="1023">
        <f>0</f>
        <v>0</v>
      </c>
      <c r="AO50" s="1023">
        <f>0</f>
        <v>0</v>
      </c>
      <c r="AP50" s="1023">
        <f>0</f>
        <v>0</v>
      </c>
      <c r="AQ50" s="1023">
        <f>0</f>
        <v>0</v>
      </c>
      <c r="AR50" s="1023">
        <f>0</f>
        <v>0</v>
      </c>
      <c r="AS50" s="1023">
        <f>0</f>
        <v>0</v>
      </c>
      <c r="AT50" s="1023">
        <f>0</f>
        <v>0</v>
      </c>
      <c r="AU50" s="1023">
        <f>0</f>
        <v>0</v>
      </c>
      <c r="AV50" s="1023">
        <f>0</f>
        <v>0</v>
      </c>
      <c r="AW50" s="1023">
        <f>0</f>
        <v>0</v>
      </c>
      <c r="AX50" s="1023">
        <f>0</f>
        <v>0</v>
      </c>
      <c r="AY50" s="1023">
        <f>0</f>
        <v>0</v>
      </c>
      <c r="AZ50" s="1023">
        <f>0</f>
        <v>0</v>
      </c>
      <c r="BA50" s="1023">
        <f>0</f>
        <v>0</v>
      </c>
      <c r="BB50" s="1023">
        <f>0</f>
        <v>0</v>
      </c>
      <c r="BC50" s="1023">
        <f>0</f>
        <v>0</v>
      </c>
      <c r="BD50" s="1023">
        <f>0</f>
        <v>0</v>
      </c>
      <c r="BE50" s="1023">
        <f>0</f>
        <v>0</v>
      </c>
      <c r="BF50" s="1023">
        <f>0</f>
        <v>0</v>
      </c>
      <c r="BG50" s="1023">
        <f>0</f>
        <v>0</v>
      </c>
      <c r="BH50" s="1023">
        <f>0</f>
        <v>0</v>
      </c>
      <c r="BI50" s="1023">
        <f>0</f>
        <v>0</v>
      </c>
      <c r="BJ50" s="1023">
        <f>0</f>
        <v>0</v>
      </c>
      <c r="BK50" s="1023">
        <f>0</f>
        <v>0</v>
      </c>
      <c r="BL50" s="1023">
        <f>0</f>
        <v>0</v>
      </c>
      <c r="BM50" s="1023">
        <f>0</f>
        <v>0</v>
      </c>
      <c r="BN50" s="1023">
        <f>0</f>
        <v>0</v>
      </c>
      <c r="BO50" s="1023">
        <f>0</f>
        <v>0</v>
      </c>
      <c r="BP50" s="1023">
        <f>0</f>
        <v>0</v>
      </c>
      <c r="BQ50" s="1023">
        <f>0</f>
        <v>0</v>
      </c>
      <c r="BR50" s="1023">
        <f>0</f>
        <v>0</v>
      </c>
      <c r="BS50" s="1023">
        <f>0</f>
        <v>0</v>
      </c>
      <c r="BT50" s="1023">
        <f>0</f>
        <v>0</v>
      </c>
      <c r="BU50" s="1023">
        <f>0</f>
        <v>0</v>
      </c>
      <c r="BV50" s="1023">
        <f>0</f>
        <v>0</v>
      </c>
      <c r="BW50" s="1023">
        <f>0</f>
        <v>0</v>
      </c>
      <c r="BX50" s="1023">
        <f>0</f>
        <v>0</v>
      </c>
      <c r="BY50" s="1023">
        <f>0</f>
        <v>0</v>
      </c>
      <c r="BZ50" s="1023">
        <f>0</f>
        <v>0</v>
      </c>
      <c r="CA50" s="1023">
        <f>0</f>
        <v>0</v>
      </c>
      <c r="CB50" s="1023">
        <f>0</f>
        <v>0</v>
      </c>
      <c r="CC50" s="1023">
        <f>0</f>
        <v>0</v>
      </c>
      <c r="CD50" s="1023">
        <f>0</f>
        <v>0</v>
      </c>
      <c r="CE50" s="1023">
        <f>0</f>
        <v>0</v>
      </c>
      <c r="CF50" s="1023">
        <f>0</f>
        <v>0</v>
      </c>
      <c r="CG50" s="1023">
        <f>0</f>
        <v>0</v>
      </c>
      <c r="CH50" s="1023">
        <f>0</f>
        <v>0</v>
      </c>
      <c r="CI50" s="1023">
        <f>0</f>
        <v>0</v>
      </c>
      <c r="CJ50" s="1023">
        <f>0</f>
        <v>0</v>
      </c>
      <c r="CK50" s="1023">
        <f>0</f>
        <v>0</v>
      </c>
      <c r="CL50" s="1023">
        <f>0</f>
        <v>0</v>
      </c>
      <c r="CM50" s="1023">
        <f>0</f>
        <v>0</v>
      </c>
      <c r="CN50" s="1023">
        <f>0</f>
        <v>0</v>
      </c>
      <c r="CO50" s="1023">
        <f>0</f>
        <v>0</v>
      </c>
      <c r="CP50" s="1023">
        <f>0</f>
        <v>0</v>
      </c>
      <c r="CQ50" s="1023">
        <f>0</f>
        <v>0</v>
      </c>
      <c r="CR50" s="1023">
        <f>0</f>
        <v>0</v>
      </c>
      <c r="CS50" s="1023">
        <f>0</f>
        <v>0</v>
      </c>
      <c r="CT50" s="1023">
        <f>0</f>
        <v>0</v>
      </c>
      <c r="CU50" s="1023">
        <f>0</f>
        <v>0</v>
      </c>
      <c r="CV50" s="1023">
        <f>0</f>
        <v>0</v>
      </c>
      <c r="CW50" s="1023">
        <f>0</f>
        <v>0</v>
      </c>
      <c r="CX50" s="1023">
        <f>0</f>
        <v>0</v>
      </c>
      <c r="CY50" s="1023">
        <f>0</f>
        <v>0</v>
      </c>
      <c r="CZ50" s="1023">
        <f>0</f>
        <v>0</v>
      </c>
      <c r="DA50" s="1023">
        <f>0</f>
        <v>0</v>
      </c>
      <c r="DB50" s="1023">
        <f>0</f>
        <v>0</v>
      </c>
      <c r="DC50" s="1023">
        <f>0</f>
        <v>0</v>
      </c>
      <c r="DD50" s="1023">
        <f>0</f>
        <v>0</v>
      </c>
      <c r="DE50" s="1023">
        <f>0</f>
        <v>0</v>
      </c>
      <c r="DF50" s="1023">
        <f>0</f>
        <v>0</v>
      </c>
      <c r="DG50" s="1023">
        <f>0</f>
        <v>0</v>
      </c>
      <c r="DH50" s="1023">
        <f>0</f>
        <v>0</v>
      </c>
      <c r="DI50" s="1023">
        <f>0</f>
        <v>0</v>
      </c>
      <c r="DJ50" s="1023">
        <f>0</f>
        <v>0</v>
      </c>
      <c r="DK50" s="1023">
        <f>0</f>
        <v>0</v>
      </c>
      <c r="DL50" s="1023">
        <f>0</f>
        <v>0</v>
      </c>
      <c r="DM50" s="1023">
        <f>0</f>
        <v>0</v>
      </c>
      <c r="DN50" s="1023">
        <f>0</f>
        <v>0</v>
      </c>
      <c r="DO50" s="1023">
        <f>0</f>
        <v>0</v>
      </c>
      <c r="DP50" s="1023">
        <f>0</f>
        <v>0</v>
      </c>
      <c r="DQ50" s="1023">
        <f>0</f>
        <v>0</v>
      </c>
      <c r="DR50" s="1023">
        <f>0</f>
        <v>0</v>
      </c>
      <c r="DS50" s="1023">
        <f>0</f>
        <v>0</v>
      </c>
      <c r="DT50" s="1023">
        <f>0</f>
        <v>0</v>
      </c>
      <c r="DU50" s="1023">
        <f>0</f>
        <v>0</v>
      </c>
      <c r="DV50" s="1023">
        <f>0</f>
        <v>0</v>
      </c>
      <c r="DW50" s="1023">
        <f>0</f>
        <v>0</v>
      </c>
      <c r="DX50" s="1023">
        <f>0</f>
        <v>0</v>
      </c>
      <c r="DY50" s="1023">
        <f>0</f>
        <v>0</v>
      </c>
      <c r="DZ50" s="1023">
        <f>0</f>
        <v>0</v>
      </c>
      <c r="EA50" s="1023">
        <f>0</f>
        <v>0</v>
      </c>
      <c r="EB50" s="1023">
        <f>0</f>
        <v>0</v>
      </c>
      <c r="EC50" s="1023">
        <f>0</f>
        <v>0</v>
      </c>
      <c r="ED50" s="1023">
        <f>0</f>
        <v>0</v>
      </c>
      <c r="EE50" s="1023">
        <f>0</f>
        <v>0</v>
      </c>
      <c r="EF50" s="1023">
        <f>0</f>
        <v>0</v>
      </c>
      <c r="EG50" s="1023">
        <f>0</f>
        <v>0</v>
      </c>
      <c r="EH50" s="1023">
        <f>0</f>
        <v>0</v>
      </c>
      <c r="EI50" s="1023">
        <f>0</f>
        <v>0</v>
      </c>
      <c r="EJ50" s="1023">
        <f>0</f>
        <v>0</v>
      </c>
      <c r="EK50" s="1023">
        <f>0</f>
        <v>0</v>
      </c>
      <c r="EL50" s="1023">
        <f>0</f>
        <v>0</v>
      </c>
      <c r="EM50" s="1023">
        <f>0</f>
        <v>0</v>
      </c>
      <c r="EN50" s="1023">
        <f>0</f>
        <v>0</v>
      </c>
      <c r="EO50" s="1023">
        <f>0</f>
        <v>0</v>
      </c>
      <c r="EP50" s="1023">
        <f>0</f>
        <v>0</v>
      </c>
      <c r="EQ50" s="1023">
        <f>0</f>
        <v>0</v>
      </c>
      <c r="ER50" s="1023">
        <f>0</f>
        <v>0</v>
      </c>
      <c r="ES50" s="1023">
        <f>0</f>
        <v>0</v>
      </c>
      <c r="ET50" s="1023">
        <f>0</f>
        <v>0</v>
      </c>
      <c r="EU50" s="1023">
        <f>0</f>
        <v>0</v>
      </c>
      <c r="EV50" s="1023">
        <f>0</f>
        <v>0</v>
      </c>
      <c r="EW50" s="1023">
        <f>0</f>
        <v>0</v>
      </c>
      <c r="EX50" s="1023">
        <f>0</f>
        <v>0</v>
      </c>
      <c r="EY50" s="1023">
        <f>0</f>
        <v>0</v>
      </c>
      <c r="EZ50" s="1023">
        <f>0</f>
        <v>0</v>
      </c>
      <c r="FA50" s="1023">
        <f>0</f>
        <v>0</v>
      </c>
      <c r="FB50" s="1023">
        <f>0</f>
        <v>0</v>
      </c>
      <c r="FC50" s="1023">
        <f>0</f>
        <v>0</v>
      </c>
      <c r="FD50" s="1023">
        <f>0</f>
        <v>0</v>
      </c>
      <c r="FE50" s="1023">
        <f>0</f>
        <v>0</v>
      </c>
      <c r="FF50" s="1023">
        <f>0</f>
        <v>0</v>
      </c>
      <c r="FG50" s="1023">
        <f>0</f>
        <v>0</v>
      </c>
      <c r="FH50" s="1023">
        <f>0</f>
        <v>0</v>
      </c>
      <c r="FI50" s="1023">
        <f>0</f>
        <v>0</v>
      </c>
      <c r="FJ50" s="1023">
        <f>0</f>
        <v>0</v>
      </c>
      <c r="FK50" s="1023">
        <f>0</f>
        <v>0</v>
      </c>
      <c r="FL50" s="1023">
        <f>0</f>
        <v>0</v>
      </c>
      <c r="FM50" s="1023">
        <f>0</f>
        <v>0</v>
      </c>
      <c r="FN50" s="1023">
        <f>0</f>
        <v>0</v>
      </c>
      <c r="FO50" s="1023">
        <f>0</f>
        <v>0</v>
      </c>
      <c r="FP50" s="1023">
        <f>0</f>
        <v>0</v>
      </c>
      <c r="FQ50" s="1023">
        <f>0</f>
        <v>0</v>
      </c>
      <c r="FR50" s="1023">
        <f>0</f>
        <v>0</v>
      </c>
      <c r="FS50" s="1023">
        <f>0</f>
        <v>0</v>
      </c>
      <c r="FT50" s="1023">
        <f>0</f>
        <v>0</v>
      </c>
      <c r="FU50" s="1023">
        <f>0</f>
        <v>0</v>
      </c>
      <c r="FV50" s="1023">
        <f>0</f>
        <v>0</v>
      </c>
      <c r="FW50" s="1023">
        <f>0</f>
        <v>0</v>
      </c>
      <c r="FX50" s="1023">
        <f>0</f>
        <v>0</v>
      </c>
      <c r="FY50" s="1023">
        <f>0</f>
        <v>0</v>
      </c>
      <c r="FZ50" s="1023">
        <f>0</f>
        <v>0</v>
      </c>
      <c r="GA50" s="1023">
        <f>0</f>
        <v>0</v>
      </c>
      <c r="GB50" s="1023">
        <f>0</f>
        <v>0</v>
      </c>
      <c r="GC50" s="1023">
        <f>0</f>
        <v>0</v>
      </c>
      <c r="GD50" s="1023">
        <f>0</f>
        <v>0</v>
      </c>
      <c r="GE50" s="1023">
        <f>0</f>
        <v>0</v>
      </c>
      <c r="GF50" s="1023">
        <f>0</f>
        <v>0</v>
      </c>
      <c r="GG50" s="1023">
        <f>0</f>
        <v>0</v>
      </c>
      <c r="GH50" s="1023">
        <f>0</f>
        <v>0</v>
      </c>
      <c r="GI50" s="1023">
        <f>0</f>
        <v>0</v>
      </c>
      <c r="GJ50" s="1023">
        <f>0</f>
        <v>0</v>
      </c>
      <c r="GK50" s="1023">
        <f>0</f>
        <v>0</v>
      </c>
      <c r="GL50" s="1023">
        <f>0</f>
        <v>0</v>
      </c>
      <c r="GM50" s="1023">
        <f>0</f>
        <v>0</v>
      </c>
      <c r="GN50" s="1023">
        <f>0</f>
        <v>0</v>
      </c>
      <c r="GO50" s="1023">
        <f>0</f>
        <v>0</v>
      </c>
      <c r="GP50" s="1023">
        <f>0</f>
        <v>0</v>
      </c>
      <c r="GQ50" s="1023">
        <f>0</f>
        <v>0</v>
      </c>
      <c r="GR50" s="1023">
        <f>0</f>
        <v>0</v>
      </c>
      <c r="GS50" s="1023">
        <f>0</f>
        <v>0</v>
      </c>
      <c r="GT50" s="1023">
        <f>0</f>
        <v>0</v>
      </c>
      <c r="GU50" s="1023">
        <f>0</f>
        <v>0</v>
      </c>
      <c r="GV50" s="1023">
        <f>0</f>
        <v>0</v>
      </c>
      <c r="GW50" s="1023">
        <f>0</f>
        <v>0</v>
      </c>
      <c r="GX50" s="1023">
        <f>0</f>
        <v>0</v>
      </c>
      <c r="GY50" s="1023">
        <f>0</f>
        <v>0</v>
      </c>
      <c r="GZ50" s="1023">
        <f>0</f>
        <v>0</v>
      </c>
      <c r="HA50" s="1023">
        <f>0</f>
        <v>0</v>
      </c>
      <c r="HB50" s="1023">
        <f>0</f>
        <v>0</v>
      </c>
      <c r="HC50" s="1023">
        <f>0</f>
        <v>0</v>
      </c>
      <c r="HD50" s="1023">
        <f>0</f>
        <v>0</v>
      </c>
      <c r="HE50" s="1023">
        <f>0</f>
        <v>0</v>
      </c>
      <c r="HF50" s="1023">
        <f>0</f>
        <v>0</v>
      </c>
      <c r="HG50" s="1023">
        <f>0</f>
        <v>0</v>
      </c>
      <c r="HH50" s="1023">
        <f>0</f>
        <v>0</v>
      </c>
      <c r="HI50" s="1023">
        <f>0</f>
        <v>0</v>
      </c>
      <c r="HJ50" s="1023">
        <f>0</f>
        <v>0</v>
      </c>
      <c r="HK50" s="1023">
        <f>0</f>
        <v>0</v>
      </c>
      <c r="HL50" s="1023">
        <f>0</f>
        <v>0</v>
      </c>
      <c r="HM50" s="1023">
        <f>0</f>
        <v>0</v>
      </c>
      <c r="HN50" s="1023">
        <f>0</f>
        <v>0</v>
      </c>
      <c r="HO50" s="1023">
        <f>0</f>
        <v>0</v>
      </c>
      <c r="HP50" s="1023">
        <f>0</f>
        <v>0</v>
      </c>
      <c r="HQ50" s="1023">
        <f>0</f>
        <v>0</v>
      </c>
      <c r="HR50" s="1023">
        <f>0</f>
        <v>0</v>
      </c>
      <c r="HS50" s="1023">
        <f>0</f>
        <v>0</v>
      </c>
      <c r="HT50" s="1023">
        <f>0</f>
        <v>0</v>
      </c>
      <c r="HU50" s="1023">
        <f>0</f>
        <v>0</v>
      </c>
      <c r="HV50" s="1023">
        <f>0</f>
        <v>0</v>
      </c>
      <c r="HW50" s="1023">
        <f>0</f>
        <v>0</v>
      </c>
      <c r="HX50" s="1023">
        <f>0</f>
        <v>0</v>
      </c>
      <c r="HY50" s="1023">
        <f>0</f>
        <v>0</v>
      </c>
      <c r="HZ50" s="1023">
        <f>0</f>
        <v>0</v>
      </c>
      <c r="IA50" s="1023">
        <f>0</f>
        <v>0</v>
      </c>
      <c r="IB50" s="1023">
        <f>0</f>
        <v>0</v>
      </c>
      <c r="IC50" s="1023">
        <f>0</f>
        <v>0</v>
      </c>
      <c r="ID50" s="1023">
        <f>0</f>
        <v>0</v>
      </c>
      <c r="IE50" s="1023">
        <f>0</f>
        <v>0</v>
      </c>
      <c r="IF50" s="1023">
        <f>0</f>
        <v>0</v>
      </c>
      <c r="IG50" s="1023">
        <f>0</f>
        <v>0</v>
      </c>
      <c r="IH50" s="1023">
        <f>0</f>
        <v>0</v>
      </c>
      <c r="II50" s="1023">
        <f>0</f>
        <v>0</v>
      </c>
      <c r="IJ50" s="1023">
        <f>0</f>
        <v>0</v>
      </c>
      <c r="IK50" s="1023">
        <f>0</f>
        <v>0</v>
      </c>
      <c r="IL50" s="1023">
        <f>0</f>
        <v>0</v>
      </c>
      <c r="IM50" s="1023">
        <f>0</f>
        <v>0</v>
      </c>
      <c r="IN50" s="1023">
        <f>0</f>
        <v>0</v>
      </c>
      <c r="IO50" s="1023">
        <f>0</f>
        <v>0</v>
      </c>
      <c r="IP50" s="1023">
        <f>0</f>
        <v>0</v>
      </c>
      <c r="IQ50" s="1023">
        <f>0</f>
        <v>0</v>
      </c>
      <c r="IR50" s="1023">
        <f>0</f>
        <v>0</v>
      </c>
    </row>
    <row r="51" spans="2:254" s="960" customFormat="1" ht="11.25" hidden="1" customHeight="1" outlineLevel="1">
      <c r="B51" s="1021"/>
      <c r="C51" s="1026"/>
      <c r="D51" s="1026"/>
      <c r="E51" s="1026"/>
      <c r="F51" s="1026"/>
      <c r="G51" s="1026"/>
      <c r="H51" s="1026"/>
      <c r="I51" s="1026"/>
      <c r="J51" s="1026"/>
      <c r="K51" s="1026"/>
      <c r="L51" s="1026"/>
      <c r="M51" s="1026"/>
      <c r="N51" s="1026"/>
      <c r="O51" s="1026"/>
      <c r="P51" s="1026"/>
      <c r="Q51" s="1026"/>
      <c r="R51" s="1026"/>
      <c r="S51" s="1026"/>
      <c r="T51" s="1026"/>
      <c r="U51" s="1026"/>
      <c r="V51" s="1026"/>
      <c r="W51" s="1027"/>
      <c r="X51" s="1028"/>
      <c r="Y51" s="1026"/>
      <c r="Z51" s="1026"/>
      <c r="AA51" s="1026"/>
      <c r="AB51" s="1026"/>
      <c r="AC51" s="1026"/>
      <c r="AD51" s="1026"/>
      <c r="AE51" s="1026"/>
      <c r="AF51" s="1026"/>
      <c r="AG51" s="1026"/>
      <c r="AH51" s="1026"/>
      <c r="AI51" s="1026"/>
      <c r="AJ51" s="1026"/>
      <c r="AK51" s="1026"/>
      <c r="AL51" s="1026"/>
      <c r="AM51" s="1026"/>
      <c r="AN51" s="1026"/>
      <c r="AO51" s="1026"/>
      <c r="AP51" s="1026"/>
      <c r="AQ51" s="1026"/>
      <c r="AR51" s="1026"/>
      <c r="AS51" s="1026"/>
      <c r="AT51" s="1026"/>
      <c r="AU51" s="1026"/>
      <c r="AV51" s="1026"/>
      <c r="AW51" s="1026"/>
      <c r="AX51" s="1026"/>
      <c r="AY51" s="1026"/>
      <c r="AZ51" s="1026"/>
      <c r="BA51" s="1026"/>
      <c r="BB51" s="1026"/>
      <c r="BC51" s="1026"/>
      <c r="BD51" s="1026"/>
      <c r="BE51" s="1026"/>
      <c r="BF51" s="1026"/>
      <c r="BG51" s="1026"/>
      <c r="BH51" s="1026"/>
      <c r="BI51" s="1026"/>
      <c r="BJ51" s="1026"/>
      <c r="BK51" s="1026"/>
      <c r="BL51" s="1026"/>
      <c r="BM51" s="1026"/>
      <c r="BN51" s="1026"/>
      <c r="BO51" s="1026"/>
      <c r="BP51" s="1026"/>
      <c r="BQ51" s="1026"/>
      <c r="BR51" s="1026"/>
      <c r="BS51" s="1026"/>
      <c r="BT51" s="1026"/>
      <c r="BU51" s="1026"/>
      <c r="BV51" s="1026"/>
      <c r="BW51" s="1026"/>
      <c r="BX51" s="1026"/>
      <c r="BY51" s="1026"/>
      <c r="BZ51" s="1026"/>
      <c r="CA51" s="1026"/>
      <c r="CB51" s="1026"/>
      <c r="CC51" s="1026"/>
      <c r="CD51" s="1026"/>
      <c r="CE51" s="1026"/>
      <c r="CF51" s="1026"/>
      <c r="CG51" s="1026"/>
      <c r="CH51" s="1026"/>
      <c r="CI51" s="1026"/>
      <c r="CJ51" s="1026"/>
      <c r="CK51" s="1026"/>
      <c r="CL51" s="1026"/>
      <c r="CM51" s="1026"/>
      <c r="CN51" s="1026"/>
      <c r="CO51" s="1026"/>
      <c r="CP51" s="1026"/>
      <c r="CQ51" s="1026"/>
      <c r="CR51" s="1026"/>
      <c r="CS51" s="1026"/>
      <c r="CT51" s="1026"/>
      <c r="CU51" s="1026"/>
      <c r="CV51" s="1026"/>
      <c r="CW51" s="1026"/>
      <c r="CX51" s="1026"/>
      <c r="CY51" s="1026"/>
      <c r="CZ51" s="1026"/>
      <c r="DA51" s="1026"/>
      <c r="DB51" s="1026"/>
      <c r="DC51" s="1026"/>
      <c r="DD51" s="1026"/>
      <c r="DE51" s="1026"/>
      <c r="DF51" s="1026"/>
      <c r="DG51" s="1026"/>
      <c r="DH51" s="1026"/>
      <c r="DI51" s="1026"/>
      <c r="DJ51" s="1026"/>
      <c r="DK51" s="1026"/>
      <c r="DL51" s="1026"/>
      <c r="DM51" s="1026"/>
      <c r="DN51" s="1026"/>
      <c r="DO51" s="1026"/>
      <c r="DP51" s="1026"/>
      <c r="DQ51" s="1026"/>
      <c r="DR51" s="1026"/>
      <c r="DS51" s="1026"/>
      <c r="DT51" s="1026"/>
      <c r="DU51" s="1026"/>
      <c r="DV51" s="1026"/>
      <c r="DW51" s="1026"/>
      <c r="DX51" s="1026"/>
      <c r="DY51" s="1026"/>
      <c r="DZ51" s="1026"/>
      <c r="EA51" s="1026"/>
      <c r="EB51" s="1026"/>
      <c r="EC51" s="1026"/>
      <c r="ED51" s="1026"/>
      <c r="EE51" s="1026"/>
      <c r="EF51" s="1026"/>
      <c r="EG51" s="1026"/>
      <c r="EH51" s="1026"/>
      <c r="EI51" s="1026"/>
      <c r="EJ51" s="1026"/>
      <c r="EK51" s="1026"/>
      <c r="EL51" s="1026"/>
      <c r="EM51" s="1026"/>
      <c r="EN51" s="1026"/>
      <c r="EO51" s="1026"/>
      <c r="EP51" s="1026"/>
      <c r="EQ51" s="1026"/>
      <c r="ER51" s="1026"/>
      <c r="ES51" s="1026"/>
      <c r="ET51" s="1026"/>
      <c r="EU51" s="1026"/>
      <c r="EV51" s="1026"/>
      <c r="EW51" s="1026"/>
      <c r="EX51" s="1026"/>
      <c r="EY51" s="1026"/>
      <c r="EZ51" s="1026"/>
      <c r="FA51" s="1026"/>
      <c r="FB51" s="1026"/>
      <c r="FC51" s="1026"/>
      <c r="FD51" s="1026"/>
      <c r="FE51" s="1026"/>
      <c r="FF51" s="1026"/>
      <c r="FG51" s="1026"/>
      <c r="FH51" s="1026"/>
      <c r="FI51" s="1026"/>
      <c r="FJ51" s="1026"/>
      <c r="FK51" s="1026"/>
      <c r="FL51" s="1026"/>
      <c r="FM51" s="1026"/>
      <c r="FN51" s="1026"/>
      <c r="FO51" s="1026"/>
      <c r="FP51" s="1026"/>
      <c r="FQ51" s="1026"/>
      <c r="FR51" s="1026"/>
      <c r="FS51" s="1026"/>
      <c r="FT51" s="1026"/>
      <c r="FU51" s="1026"/>
      <c r="FV51" s="1026"/>
      <c r="FW51" s="1026"/>
      <c r="FX51" s="1026"/>
      <c r="FY51" s="1026"/>
      <c r="FZ51" s="1026"/>
      <c r="GA51" s="1026"/>
      <c r="GB51" s="1026"/>
      <c r="GC51" s="1026"/>
      <c r="GD51" s="1026"/>
      <c r="GE51" s="1026"/>
      <c r="GF51" s="1026"/>
      <c r="GG51" s="1026"/>
      <c r="GH51" s="1026"/>
      <c r="GI51" s="1026"/>
      <c r="GJ51" s="1026"/>
      <c r="GK51" s="1026"/>
      <c r="GL51" s="1026"/>
      <c r="GM51" s="1026"/>
      <c r="GN51" s="1026"/>
      <c r="GO51" s="1026"/>
      <c r="GP51" s="1026"/>
      <c r="GQ51" s="1026"/>
      <c r="GR51" s="1026"/>
      <c r="GS51" s="1026"/>
      <c r="GT51" s="1026"/>
      <c r="GU51" s="1026"/>
      <c r="GV51" s="1026"/>
      <c r="GW51" s="1026"/>
      <c r="GX51" s="1026"/>
      <c r="GY51" s="1026"/>
      <c r="GZ51" s="1026"/>
      <c r="HA51" s="1026"/>
      <c r="HB51" s="1026"/>
      <c r="HC51" s="1026"/>
      <c r="HD51" s="1026"/>
      <c r="HE51" s="1026"/>
      <c r="HF51" s="1026"/>
      <c r="HG51" s="1026"/>
      <c r="HH51" s="1026"/>
      <c r="HI51" s="1026"/>
      <c r="HJ51" s="1026"/>
      <c r="HK51" s="1026"/>
      <c r="HL51" s="1026"/>
      <c r="HM51" s="1026"/>
      <c r="HN51" s="1026"/>
      <c r="HO51" s="1026"/>
      <c r="HP51" s="1026"/>
      <c r="HQ51" s="1026"/>
      <c r="HR51" s="1026"/>
      <c r="HS51" s="1026"/>
      <c r="HT51" s="1026"/>
      <c r="HU51" s="1026"/>
      <c r="HV51" s="1026"/>
      <c r="HW51" s="1026"/>
      <c r="HX51" s="1026"/>
      <c r="HY51" s="1026"/>
      <c r="HZ51" s="1026"/>
      <c r="IA51" s="1026"/>
      <c r="IB51" s="1026"/>
      <c r="IC51" s="1026"/>
      <c r="ID51" s="1026"/>
      <c r="IE51" s="1026"/>
      <c r="IF51" s="1026"/>
      <c r="IG51" s="1026"/>
      <c r="IH51" s="1026"/>
      <c r="II51" s="1026"/>
      <c r="IJ51" s="1026"/>
      <c r="IK51" s="1026"/>
      <c r="IL51" s="1026"/>
      <c r="IM51" s="1026"/>
      <c r="IN51" s="1026"/>
      <c r="IO51" s="1026"/>
      <c r="IP51" s="1026"/>
      <c r="IQ51" s="1026"/>
      <c r="IR51" s="1026"/>
    </row>
    <row r="52" spans="2:254" s="960" customFormat="1" ht="15" hidden="1" outlineLevel="1">
      <c r="B52" s="1017" t="s">
        <v>132</v>
      </c>
      <c r="C52" s="1026"/>
      <c r="D52" s="1026"/>
      <c r="E52" s="1026"/>
      <c r="F52" s="1026"/>
      <c r="G52" s="1026"/>
      <c r="H52" s="1026"/>
      <c r="I52" s="1026"/>
      <c r="J52" s="1026"/>
      <c r="K52" s="1026"/>
      <c r="L52" s="1026"/>
      <c r="M52" s="1026"/>
      <c r="N52" s="1026"/>
      <c r="O52" s="1026"/>
      <c r="P52" s="1026"/>
      <c r="Q52" s="1026"/>
      <c r="R52" s="1026"/>
      <c r="S52" s="1026"/>
      <c r="T52" s="1026"/>
      <c r="U52" s="1026"/>
      <c r="V52" s="1026"/>
      <c r="W52" s="1027"/>
      <c r="X52" s="1028"/>
      <c r="Y52" s="1026"/>
      <c r="Z52" s="1026"/>
      <c r="AA52" s="1026"/>
      <c r="AB52" s="1026"/>
      <c r="AC52" s="1026"/>
      <c r="AD52" s="1026"/>
      <c r="AE52" s="1026"/>
      <c r="AF52" s="1026"/>
      <c r="AG52" s="1026"/>
      <c r="AH52" s="1026"/>
      <c r="AI52" s="1026"/>
      <c r="AJ52" s="1026"/>
      <c r="AK52" s="1026"/>
      <c r="AL52" s="1026"/>
      <c r="AM52" s="1026"/>
      <c r="AN52" s="1026"/>
      <c r="AO52" s="1026"/>
      <c r="AP52" s="1026"/>
      <c r="AQ52" s="1026"/>
      <c r="AR52" s="1026"/>
      <c r="AS52" s="1026"/>
      <c r="AT52" s="1026"/>
      <c r="AU52" s="1026"/>
      <c r="AV52" s="1026"/>
      <c r="AW52" s="1026"/>
      <c r="AX52" s="1026"/>
      <c r="AY52" s="1026"/>
      <c r="AZ52" s="1026"/>
      <c r="BA52" s="1026"/>
      <c r="BB52" s="1026"/>
      <c r="BC52" s="1026"/>
      <c r="BD52" s="1026"/>
      <c r="BE52" s="1026"/>
      <c r="BF52" s="1026"/>
      <c r="BG52" s="1026"/>
      <c r="BH52" s="1026"/>
      <c r="BI52" s="1026"/>
      <c r="BJ52" s="1026"/>
      <c r="BK52" s="1026"/>
      <c r="BL52" s="1026"/>
      <c r="BM52" s="1026"/>
      <c r="BN52" s="1026"/>
      <c r="BO52" s="1026"/>
      <c r="BP52" s="1026"/>
      <c r="BQ52" s="1026"/>
      <c r="BR52" s="1026"/>
      <c r="BS52" s="1026"/>
      <c r="BT52" s="1026"/>
      <c r="BU52" s="1026"/>
      <c r="BV52" s="1026"/>
      <c r="BW52" s="1026"/>
      <c r="BX52" s="1026"/>
      <c r="BY52" s="1026"/>
      <c r="BZ52" s="1026"/>
      <c r="CA52" s="1026"/>
      <c r="CB52" s="1026"/>
      <c r="CC52" s="1026"/>
      <c r="CD52" s="1026"/>
      <c r="CE52" s="1026"/>
      <c r="CF52" s="1026"/>
      <c r="CG52" s="1026"/>
      <c r="CH52" s="1026"/>
      <c r="CI52" s="1026"/>
      <c r="CJ52" s="1026"/>
      <c r="CK52" s="1026"/>
      <c r="CL52" s="1026"/>
      <c r="CM52" s="1026"/>
      <c r="CN52" s="1026"/>
      <c r="CO52" s="1026"/>
      <c r="CP52" s="1026"/>
      <c r="CQ52" s="1026"/>
      <c r="CR52" s="1026"/>
      <c r="CS52" s="1026"/>
      <c r="CT52" s="1026"/>
      <c r="CU52" s="1026"/>
      <c r="CV52" s="1026"/>
      <c r="CW52" s="1026"/>
      <c r="CX52" s="1026"/>
      <c r="CY52" s="1026"/>
      <c r="CZ52" s="1026"/>
      <c r="DA52" s="1026"/>
      <c r="DB52" s="1026"/>
      <c r="DC52" s="1026"/>
      <c r="DD52" s="1026"/>
      <c r="DE52" s="1026"/>
      <c r="DF52" s="1026"/>
      <c r="DG52" s="1026"/>
      <c r="DH52" s="1026"/>
      <c r="DI52" s="1026"/>
      <c r="DJ52" s="1026"/>
      <c r="DK52" s="1026"/>
      <c r="DL52" s="1026"/>
      <c r="DM52" s="1026"/>
      <c r="DN52" s="1026"/>
      <c r="DO52" s="1026"/>
      <c r="DP52" s="1026"/>
      <c r="DQ52" s="1026"/>
      <c r="DR52" s="1026"/>
      <c r="DS52" s="1026"/>
      <c r="DT52" s="1026"/>
      <c r="DU52" s="1026"/>
      <c r="DV52" s="1026"/>
      <c r="DW52" s="1026"/>
      <c r="DX52" s="1026"/>
      <c r="DY52" s="1026"/>
      <c r="DZ52" s="1026"/>
      <c r="EA52" s="1026"/>
      <c r="EB52" s="1026"/>
      <c r="EC52" s="1026"/>
      <c r="ED52" s="1026"/>
      <c r="EE52" s="1026"/>
      <c r="EF52" s="1026"/>
      <c r="EG52" s="1026"/>
      <c r="EH52" s="1026"/>
      <c r="EI52" s="1026"/>
      <c r="EJ52" s="1026"/>
      <c r="EK52" s="1026"/>
      <c r="EL52" s="1026"/>
      <c r="EM52" s="1026"/>
      <c r="EN52" s="1026"/>
      <c r="EO52" s="1026"/>
      <c r="EP52" s="1026"/>
      <c r="EQ52" s="1026"/>
      <c r="ER52" s="1026"/>
      <c r="ES52" s="1026"/>
      <c r="ET52" s="1026"/>
      <c r="EU52" s="1026"/>
      <c r="EV52" s="1026"/>
      <c r="EW52" s="1026"/>
      <c r="EX52" s="1026"/>
      <c r="EY52" s="1026"/>
      <c r="EZ52" s="1026"/>
      <c r="FA52" s="1026"/>
      <c r="FB52" s="1026"/>
      <c r="FC52" s="1026"/>
      <c r="FD52" s="1026"/>
      <c r="FE52" s="1026"/>
      <c r="FF52" s="1026"/>
      <c r="FG52" s="1026"/>
      <c r="FH52" s="1026"/>
      <c r="FI52" s="1026"/>
      <c r="FJ52" s="1026"/>
      <c r="FK52" s="1026"/>
      <c r="FL52" s="1026"/>
      <c r="FM52" s="1026"/>
      <c r="FN52" s="1026"/>
      <c r="FO52" s="1026"/>
      <c r="FP52" s="1026"/>
      <c r="FQ52" s="1026"/>
      <c r="FR52" s="1026"/>
      <c r="FS52" s="1026"/>
      <c r="FT52" s="1026"/>
      <c r="FU52" s="1026"/>
      <c r="FV52" s="1026"/>
      <c r="FW52" s="1026"/>
      <c r="FX52" s="1026"/>
      <c r="FY52" s="1026"/>
      <c r="FZ52" s="1026"/>
      <c r="GA52" s="1026"/>
      <c r="GB52" s="1026"/>
      <c r="GC52" s="1026"/>
      <c r="GD52" s="1026"/>
      <c r="GE52" s="1026"/>
      <c r="GF52" s="1026"/>
      <c r="GG52" s="1026"/>
      <c r="GH52" s="1026"/>
      <c r="GI52" s="1026"/>
      <c r="GJ52" s="1026"/>
      <c r="GK52" s="1026"/>
      <c r="GL52" s="1026"/>
      <c r="GM52" s="1026"/>
      <c r="GN52" s="1026"/>
      <c r="GO52" s="1026"/>
      <c r="GP52" s="1026"/>
      <c r="GQ52" s="1026"/>
      <c r="GR52" s="1026"/>
      <c r="GS52" s="1026"/>
      <c r="GT52" s="1026"/>
      <c r="GU52" s="1026"/>
      <c r="GV52" s="1026"/>
      <c r="GW52" s="1026"/>
      <c r="GX52" s="1026"/>
      <c r="GY52" s="1026"/>
      <c r="GZ52" s="1026"/>
      <c r="HA52" s="1026"/>
      <c r="HB52" s="1026"/>
      <c r="HC52" s="1026"/>
      <c r="HD52" s="1026"/>
      <c r="HE52" s="1026"/>
      <c r="HF52" s="1026"/>
      <c r="HG52" s="1026"/>
      <c r="HH52" s="1026"/>
      <c r="HI52" s="1026"/>
      <c r="HJ52" s="1026"/>
      <c r="HK52" s="1026"/>
      <c r="HL52" s="1026"/>
      <c r="HM52" s="1026"/>
      <c r="HN52" s="1026"/>
      <c r="HO52" s="1026"/>
      <c r="HP52" s="1026"/>
      <c r="HQ52" s="1026"/>
      <c r="HR52" s="1026"/>
      <c r="HS52" s="1026"/>
      <c r="HT52" s="1026"/>
      <c r="HU52" s="1026"/>
      <c r="HV52" s="1026"/>
      <c r="HW52" s="1026"/>
      <c r="HX52" s="1026"/>
      <c r="HY52" s="1026"/>
      <c r="HZ52" s="1026"/>
      <c r="IA52" s="1026"/>
      <c r="IB52" s="1026"/>
      <c r="IC52" s="1026"/>
      <c r="ID52" s="1026"/>
      <c r="IE52" s="1026"/>
      <c r="IF52" s="1026"/>
      <c r="IG52" s="1026"/>
      <c r="IH52" s="1026"/>
      <c r="II52" s="1026"/>
      <c r="IJ52" s="1026"/>
      <c r="IK52" s="1026"/>
      <c r="IL52" s="1026"/>
      <c r="IM52" s="1026"/>
      <c r="IN52" s="1026"/>
      <c r="IO52" s="1026"/>
      <c r="IP52" s="1026"/>
      <c r="IQ52" s="1026"/>
      <c r="IR52" s="1026"/>
    </row>
    <row r="53" spans="2:254" s="960" customFormat="1" ht="11.25" hidden="1" customHeight="1" outlineLevel="1">
      <c r="B53" s="1021" t="s">
        <v>700</v>
      </c>
      <c r="C53" s="1023">
        <f t="shared" ref="C53:Q53" si="36">C311-C157-C164</f>
        <v>2651.3169214531003</v>
      </c>
      <c r="D53" s="1023">
        <f t="shared" si="36"/>
        <v>2451.0129808685442</v>
      </c>
      <c r="E53" s="1023">
        <f t="shared" si="36"/>
        <v>2500.1628321429534</v>
      </c>
      <c r="F53" s="1023">
        <f t="shared" si="36"/>
        <v>2431.7804672226002</v>
      </c>
      <c r="G53" s="1023">
        <f t="shared" si="36"/>
        <v>0</v>
      </c>
      <c r="H53" s="1023">
        <f t="shared" si="36"/>
        <v>0</v>
      </c>
      <c r="I53" s="1023">
        <f t="shared" si="36"/>
        <v>0</v>
      </c>
      <c r="J53" s="1023">
        <f t="shared" si="36"/>
        <v>0</v>
      </c>
      <c r="K53" s="1023">
        <f t="shared" si="36"/>
        <v>0</v>
      </c>
      <c r="L53" s="1023">
        <f t="shared" si="36"/>
        <v>0</v>
      </c>
      <c r="M53" s="1023">
        <f t="shared" si="36"/>
        <v>0</v>
      </c>
      <c r="N53" s="1023">
        <f t="shared" si="36"/>
        <v>0</v>
      </c>
      <c r="O53" s="1023">
        <f t="shared" si="36"/>
        <v>0</v>
      </c>
      <c r="P53" s="1023">
        <f t="shared" si="36"/>
        <v>0</v>
      </c>
      <c r="Q53" s="1023">
        <f t="shared" si="36"/>
        <v>0</v>
      </c>
      <c r="R53" s="1023">
        <f t="shared" ref="R53:AB53" si="37">R311-R157</f>
        <v>0</v>
      </c>
      <c r="S53" s="1023">
        <f t="shared" si="37"/>
        <v>0</v>
      </c>
      <c r="T53" s="1023">
        <f t="shared" si="37"/>
        <v>0</v>
      </c>
      <c r="U53" s="1023">
        <f t="shared" si="37"/>
        <v>0</v>
      </c>
      <c r="V53" s="1023">
        <f t="shared" si="37"/>
        <v>0</v>
      </c>
      <c r="W53" s="1023">
        <f t="shared" si="37"/>
        <v>0</v>
      </c>
      <c r="X53" s="1023">
        <f t="shared" si="37"/>
        <v>0</v>
      </c>
      <c r="Y53" s="1023">
        <f t="shared" si="37"/>
        <v>0</v>
      </c>
      <c r="Z53" s="1023">
        <f t="shared" si="37"/>
        <v>0</v>
      </c>
      <c r="AA53" s="1023">
        <f t="shared" si="37"/>
        <v>0</v>
      </c>
      <c r="AB53" s="1023">
        <f t="shared" si="37"/>
        <v>0</v>
      </c>
      <c r="AC53" s="1023">
        <f>0</f>
        <v>0</v>
      </c>
      <c r="AD53" s="1023">
        <f>0</f>
        <v>0</v>
      </c>
      <c r="AE53" s="1023">
        <f>0</f>
        <v>0</v>
      </c>
      <c r="AF53" s="1023">
        <f>0</f>
        <v>0</v>
      </c>
      <c r="AG53" s="1023">
        <f>0</f>
        <v>0</v>
      </c>
      <c r="AH53" s="1023">
        <f>0</f>
        <v>0</v>
      </c>
      <c r="AI53" s="1023">
        <f>0</f>
        <v>0</v>
      </c>
      <c r="AJ53" s="1023">
        <f>0</f>
        <v>0</v>
      </c>
      <c r="AK53" s="1023">
        <f>0</f>
        <v>0</v>
      </c>
      <c r="AL53" s="1023">
        <f>0</f>
        <v>0</v>
      </c>
      <c r="AM53" s="1023">
        <f>0</f>
        <v>0</v>
      </c>
      <c r="AN53" s="1023">
        <f>0</f>
        <v>0</v>
      </c>
      <c r="AO53" s="1023">
        <f>0</f>
        <v>0</v>
      </c>
      <c r="AP53" s="1023">
        <f>0</f>
        <v>0</v>
      </c>
      <c r="AQ53" s="1023">
        <f>0</f>
        <v>0</v>
      </c>
      <c r="AR53" s="1023">
        <f>0</f>
        <v>0</v>
      </c>
      <c r="AS53" s="1023">
        <f>0</f>
        <v>0</v>
      </c>
      <c r="AT53" s="1023">
        <f>0</f>
        <v>0</v>
      </c>
      <c r="AU53" s="1023">
        <f>0</f>
        <v>0</v>
      </c>
      <c r="AV53" s="1023">
        <f>0</f>
        <v>0</v>
      </c>
      <c r="AW53" s="1023">
        <f>0</f>
        <v>0</v>
      </c>
      <c r="AX53" s="1023">
        <f>0</f>
        <v>0</v>
      </c>
      <c r="AY53" s="1023">
        <f>0</f>
        <v>0</v>
      </c>
      <c r="AZ53" s="1023">
        <f>0</f>
        <v>0</v>
      </c>
      <c r="BA53" s="1023">
        <f>0</f>
        <v>0</v>
      </c>
      <c r="BB53" s="1023">
        <f>0</f>
        <v>0</v>
      </c>
      <c r="BC53" s="1023">
        <f>0</f>
        <v>0</v>
      </c>
      <c r="BD53" s="1023">
        <f>0</f>
        <v>0</v>
      </c>
      <c r="BE53" s="1023">
        <f>0</f>
        <v>0</v>
      </c>
      <c r="BF53" s="1023">
        <f>0</f>
        <v>0</v>
      </c>
      <c r="BG53" s="1023">
        <f>0</f>
        <v>0</v>
      </c>
      <c r="BH53" s="1023">
        <f>0</f>
        <v>0</v>
      </c>
      <c r="BI53" s="1023">
        <f>0</f>
        <v>0</v>
      </c>
      <c r="BJ53" s="1023">
        <f>0</f>
        <v>0</v>
      </c>
      <c r="BK53" s="1023">
        <f>0</f>
        <v>0</v>
      </c>
      <c r="BL53" s="1023">
        <f>0</f>
        <v>0</v>
      </c>
      <c r="BM53" s="1023">
        <f>0</f>
        <v>0</v>
      </c>
      <c r="BN53" s="1023">
        <f>0</f>
        <v>0</v>
      </c>
      <c r="BO53" s="1023">
        <f>0</f>
        <v>0</v>
      </c>
      <c r="BP53" s="1023">
        <f>0</f>
        <v>0</v>
      </c>
      <c r="BQ53" s="1023">
        <f>0</f>
        <v>0</v>
      </c>
      <c r="BR53" s="1023">
        <f>0</f>
        <v>0</v>
      </c>
      <c r="BS53" s="1023">
        <f>0</f>
        <v>0</v>
      </c>
      <c r="BT53" s="1023">
        <f>0</f>
        <v>0</v>
      </c>
      <c r="BU53" s="1023">
        <f>0</f>
        <v>0</v>
      </c>
      <c r="BV53" s="1023">
        <f>0</f>
        <v>0</v>
      </c>
      <c r="BW53" s="1023">
        <f>0</f>
        <v>0</v>
      </c>
      <c r="BX53" s="1023">
        <f>0</f>
        <v>0</v>
      </c>
      <c r="BY53" s="1023">
        <f>0</f>
        <v>0</v>
      </c>
      <c r="BZ53" s="1023">
        <f>0</f>
        <v>0</v>
      </c>
      <c r="CA53" s="1023">
        <f>0</f>
        <v>0</v>
      </c>
      <c r="CB53" s="1023">
        <f>0</f>
        <v>0</v>
      </c>
      <c r="CC53" s="1023">
        <f>0</f>
        <v>0</v>
      </c>
      <c r="CD53" s="1023">
        <f>0</f>
        <v>0</v>
      </c>
      <c r="CE53" s="1023">
        <f>0</f>
        <v>0</v>
      </c>
      <c r="CF53" s="1023">
        <f>0</f>
        <v>0</v>
      </c>
      <c r="CG53" s="1023">
        <f>0</f>
        <v>0</v>
      </c>
      <c r="CH53" s="1023">
        <f>0</f>
        <v>0</v>
      </c>
      <c r="CI53" s="1023">
        <f>0</f>
        <v>0</v>
      </c>
      <c r="CJ53" s="1023">
        <f>0</f>
        <v>0</v>
      </c>
      <c r="CK53" s="1023">
        <f>0</f>
        <v>0</v>
      </c>
      <c r="CL53" s="1023">
        <f>0</f>
        <v>0</v>
      </c>
      <c r="CM53" s="1023">
        <f>0</f>
        <v>0</v>
      </c>
      <c r="CN53" s="1023">
        <f>0</f>
        <v>0</v>
      </c>
      <c r="CO53" s="1023">
        <f>0</f>
        <v>0</v>
      </c>
      <c r="CP53" s="1023">
        <f>0</f>
        <v>0</v>
      </c>
      <c r="CQ53" s="1023">
        <f>0</f>
        <v>0</v>
      </c>
      <c r="CR53" s="1023">
        <f>0</f>
        <v>0</v>
      </c>
      <c r="CS53" s="1023">
        <f>0</f>
        <v>0</v>
      </c>
      <c r="CT53" s="1023">
        <f>0</f>
        <v>0</v>
      </c>
      <c r="CU53" s="1023">
        <f>0</f>
        <v>0</v>
      </c>
      <c r="CV53" s="1023">
        <f>0</f>
        <v>0</v>
      </c>
      <c r="CW53" s="1023">
        <f>0</f>
        <v>0</v>
      </c>
      <c r="CX53" s="1023">
        <f>0</f>
        <v>0</v>
      </c>
      <c r="CY53" s="1023">
        <f>0</f>
        <v>0</v>
      </c>
      <c r="CZ53" s="1023">
        <f>0</f>
        <v>0</v>
      </c>
      <c r="DA53" s="1023">
        <f>0</f>
        <v>0</v>
      </c>
      <c r="DB53" s="1023">
        <f>0</f>
        <v>0</v>
      </c>
      <c r="DC53" s="1023">
        <f>0</f>
        <v>0</v>
      </c>
      <c r="DD53" s="1023">
        <f>0</f>
        <v>0</v>
      </c>
      <c r="DE53" s="1023">
        <f>0</f>
        <v>0</v>
      </c>
      <c r="DF53" s="1023">
        <f>0</f>
        <v>0</v>
      </c>
      <c r="DG53" s="1023">
        <f>0</f>
        <v>0</v>
      </c>
      <c r="DH53" s="1023">
        <f>0</f>
        <v>0</v>
      </c>
      <c r="DI53" s="1023">
        <f>0</f>
        <v>0</v>
      </c>
      <c r="DJ53" s="1023">
        <f>0</f>
        <v>0</v>
      </c>
      <c r="DK53" s="1023">
        <f>0</f>
        <v>0</v>
      </c>
      <c r="DL53" s="1023">
        <f>0</f>
        <v>0</v>
      </c>
      <c r="DM53" s="1023">
        <f>0</f>
        <v>0</v>
      </c>
      <c r="DN53" s="1023">
        <f>0</f>
        <v>0</v>
      </c>
      <c r="DO53" s="1023">
        <f>0</f>
        <v>0</v>
      </c>
      <c r="DP53" s="1023">
        <f>0</f>
        <v>0</v>
      </c>
      <c r="DQ53" s="1023">
        <f>0</f>
        <v>0</v>
      </c>
      <c r="DR53" s="1023">
        <f>0</f>
        <v>0</v>
      </c>
      <c r="DS53" s="1023">
        <f>0</f>
        <v>0</v>
      </c>
      <c r="DT53" s="1023">
        <f>0</f>
        <v>0</v>
      </c>
      <c r="DU53" s="1023">
        <f>0</f>
        <v>0</v>
      </c>
      <c r="DV53" s="1023">
        <f>0</f>
        <v>0</v>
      </c>
      <c r="DW53" s="1023">
        <f>0</f>
        <v>0</v>
      </c>
      <c r="DX53" s="1023">
        <f>0</f>
        <v>0</v>
      </c>
      <c r="DY53" s="1023">
        <f>0</f>
        <v>0</v>
      </c>
      <c r="DZ53" s="1023">
        <f>0</f>
        <v>0</v>
      </c>
      <c r="EA53" s="1023">
        <f>0</f>
        <v>0</v>
      </c>
      <c r="EB53" s="1023">
        <f>0</f>
        <v>0</v>
      </c>
      <c r="EC53" s="1023">
        <f>0</f>
        <v>0</v>
      </c>
      <c r="ED53" s="1023">
        <f>0</f>
        <v>0</v>
      </c>
      <c r="EE53" s="1023">
        <f>0</f>
        <v>0</v>
      </c>
      <c r="EF53" s="1023">
        <f>0</f>
        <v>0</v>
      </c>
      <c r="EG53" s="1023">
        <f>0</f>
        <v>0</v>
      </c>
      <c r="EH53" s="1023">
        <f>0</f>
        <v>0</v>
      </c>
      <c r="EI53" s="1023">
        <f>0</f>
        <v>0</v>
      </c>
      <c r="EJ53" s="1023">
        <f>0</f>
        <v>0</v>
      </c>
      <c r="EK53" s="1023">
        <f>0</f>
        <v>0</v>
      </c>
      <c r="EL53" s="1023">
        <f>0</f>
        <v>0</v>
      </c>
      <c r="EM53" s="1023">
        <f>0</f>
        <v>0</v>
      </c>
      <c r="EN53" s="1023">
        <f>0</f>
        <v>0</v>
      </c>
      <c r="EO53" s="1023">
        <f>0</f>
        <v>0</v>
      </c>
      <c r="EP53" s="1023">
        <f>0</f>
        <v>0</v>
      </c>
      <c r="EQ53" s="1023">
        <f>0</f>
        <v>0</v>
      </c>
      <c r="ER53" s="1023">
        <f>0</f>
        <v>0</v>
      </c>
      <c r="ES53" s="1023">
        <f>0</f>
        <v>0</v>
      </c>
      <c r="ET53" s="1023">
        <f>0</f>
        <v>0</v>
      </c>
      <c r="EU53" s="1023">
        <f>0</f>
        <v>0</v>
      </c>
      <c r="EV53" s="1023">
        <f>0</f>
        <v>0</v>
      </c>
      <c r="EW53" s="1023">
        <f>0</f>
        <v>0</v>
      </c>
      <c r="EX53" s="1023">
        <f>0</f>
        <v>0</v>
      </c>
      <c r="EY53" s="1023">
        <f>0</f>
        <v>0</v>
      </c>
      <c r="EZ53" s="1023">
        <f>0</f>
        <v>0</v>
      </c>
      <c r="FA53" s="1023">
        <f>0</f>
        <v>0</v>
      </c>
      <c r="FB53" s="1023">
        <f>0</f>
        <v>0</v>
      </c>
      <c r="FC53" s="1023">
        <f>0</f>
        <v>0</v>
      </c>
      <c r="FD53" s="1023">
        <f>0</f>
        <v>0</v>
      </c>
      <c r="FE53" s="1023">
        <f>0</f>
        <v>0</v>
      </c>
      <c r="FF53" s="1023">
        <f>0</f>
        <v>0</v>
      </c>
      <c r="FG53" s="1023">
        <f>0</f>
        <v>0</v>
      </c>
      <c r="FH53" s="1023">
        <f>0</f>
        <v>0</v>
      </c>
      <c r="FI53" s="1023">
        <f>0</f>
        <v>0</v>
      </c>
      <c r="FJ53" s="1023">
        <f>0</f>
        <v>0</v>
      </c>
      <c r="FK53" s="1023">
        <f>0</f>
        <v>0</v>
      </c>
      <c r="FL53" s="1023">
        <f>0</f>
        <v>0</v>
      </c>
      <c r="FM53" s="1023">
        <f>0</f>
        <v>0</v>
      </c>
      <c r="FN53" s="1023">
        <f>0</f>
        <v>0</v>
      </c>
      <c r="FO53" s="1023">
        <f>0</f>
        <v>0</v>
      </c>
      <c r="FP53" s="1023">
        <f>0</f>
        <v>0</v>
      </c>
      <c r="FQ53" s="1023">
        <f>0</f>
        <v>0</v>
      </c>
      <c r="FR53" s="1023">
        <f>0</f>
        <v>0</v>
      </c>
      <c r="FS53" s="1023">
        <f>0</f>
        <v>0</v>
      </c>
      <c r="FT53" s="1023">
        <f>0</f>
        <v>0</v>
      </c>
      <c r="FU53" s="1023">
        <f>0</f>
        <v>0</v>
      </c>
      <c r="FV53" s="1023">
        <f>0</f>
        <v>0</v>
      </c>
      <c r="FW53" s="1023">
        <f>0</f>
        <v>0</v>
      </c>
      <c r="FX53" s="1023">
        <f>0</f>
        <v>0</v>
      </c>
      <c r="FY53" s="1023">
        <f>0</f>
        <v>0</v>
      </c>
      <c r="FZ53" s="1023">
        <f>0</f>
        <v>0</v>
      </c>
      <c r="GA53" s="1023">
        <f>0</f>
        <v>0</v>
      </c>
      <c r="GB53" s="1023">
        <f>0</f>
        <v>0</v>
      </c>
      <c r="GC53" s="1023">
        <f>0</f>
        <v>0</v>
      </c>
      <c r="GD53" s="1023">
        <f>0</f>
        <v>0</v>
      </c>
      <c r="GE53" s="1023">
        <f>0</f>
        <v>0</v>
      </c>
      <c r="GF53" s="1023">
        <f>0</f>
        <v>0</v>
      </c>
      <c r="GG53" s="1023">
        <f>0</f>
        <v>0</v>
      </c>
      <c r="GH53" s="1023">
        <f>0</f>
        <v>0</v>
      </c>
      <c r="GI53" s="1023">
        <f>0</f>
        <v>0</v>
      </c>
      <c r="GJ53" s="1023">
        <f>0</f>
        <v>0</v>
      </c>
      <c r="GK53" s="1023">
        <f>0</f>
        <v>0</v>
      </c>
      <c r="GL53" s="1023">
        <f>0</f>
        <v>0</v>
      </c>
      <c r="GM53" s="1023">
        <f>0</f>
        <v>0</v>
      </c>
      <c r="GN53" s="1023">
        <f>0</f>
        <v>0</v>
      </c>
      <c r="GO53" s="1023">
        <f>0</f>
        <v>0</v>
      </c>
      <c r="GP53" s="1023">
        <f>0</f>
        <v>0</v>
      </c>
      <c r="GQ53" s="1023">
        <f>0</f>
        <v>0</v>
      </c>
      <c r="GR53" s="1023">
        <f>0</f>
        <v>0</v>
      </c>
      <c r="GS53" s="1023">
        <f>0</f>
        <v>0</v>
      </c>
      <c r="GT53" s="1023">
        <f>0</f>
        <v>0</v>
      </c>
      <c r="GU53" s="1023">
        <f>0</f>
        <v>0</v>
      </c>
      <c r="GV53" s="1023">
        <f>0</f>
        <v>0</v>
      </c>
      <c r="GW53" s="1023">
        <f>0</f>
        <v>0</v>
      </c>
      <c r="GX53" s="1023">
        <f>0</f>
        <v>0</v>
      </c>
      <c r="GY53" s="1023">
        <f>0</f>
        <v>0</v>
      </c>
      <c r="GZ53" s="1023">
        <f>0</f>
        <v>0</v>
      </c>
      <c r="HA53" s="1023">
        <f>0</f>
        <v>0</v>
      </c>
      <c r="HB53" s="1023">
        <f>0</f>
        <v>0</v>
      </c>
      <c r="HC53" s="1023">
        <f>0</f>
        <v>0</v>
      </c>
      <c r="HD53" s="1023">
        <f>0</f>
        <v>0</v>
      </c>
      <c r="HE53" s="1023">
        <f>0</f>
        <v>0</v>
      </c>
      <c r="HF53" s="1023">
        <f>0</f>
        <v>0</v>
      </c>
      <c r="HG53" s="1023">
        <f>0</f>
        <v>0</v>
      </c>
      <c r="HH53" s="1023">
        <f>0</f>
        <v>0</v>
      </c>
      <c r="HI53" s="1023">
        <f>0</f>
        <v>0</v>
      </c>
      <c r="HJ53" s="1023">
        <f>0</f>
        <v>0</v>
      </c>
      <c r="HK53" s="1023">
        <f>0</f>
        <v>0</v>
      </c>
      <c r="HL53" s="1023">
        <f>0</f>
        <v>0</v>
      </c>
      <c r="HM53" s="1023">
        <f>0</f>
        <v>0</v>
      </c>
      <c r="HN53" s="1023">
        <f>0</f>
        <v>0</v>
      </c>
      <c r="HO53" s="1023">
        <f>0</f>
        <v>0</v>
      </c>
      <c r="HP53" s="1023">
        <f>0</f>
        <v>0</v>
      </c>
      <c r="HQ53" s="1023">
        <f>0</f>
        <v>0</v>
      </c>
      <c r="HR53" s="1023">
        <f>0</f>
        <v>0</v>
      </c>
      <c r="HS53" s="1023">
        <f>0</f>
        <v>0</v>
      </c>
      <c r="HT53" s="1023">
        <f>0</f>
        <v>0</v>
      </c>
      <c r="HU53" s="1023">
        <f>0</f>
        <v>0</v>
      </c>
      <c r="HV53" s="1023">
        <f>0</f>
        <v>0</v>
      </c>
      <c r="HW53" s="1023">
        <f>0</f>
        <v>0</v>
      </c>
      <c r="HX53" s="1023">
        <f>0</f>
        <v>0</v>
      </c>
      <c r="HY53" s="1023">
        <f>0</f>
        <v>0</v>
      </c>
      <c r="HZ53" s="1023">
        <f>0</f>
        <v>0</v>
      </c>
      <c r="IA53" s="1023">
        <f>0</f>
        <v>0</v>
      </c>
      <c r="IB53" s="1023">
        <f>0</f>
        <v>0</v>
      </c>
      <c r="IC53" s="1023">
        <f>0</f>
        <v>0</v>
      </c>
      <c r="ID53" s="1023">
        <f>0</f>
        <v>0</v>
      </c>
      <c r="IE53" s="1023">
        <f>0</f>
        <v>0</v>
      </c>
      <c r="IF53" s="1023">
        <f>0</f>
        <v>0</v>
      </c>
      <c r="IG53" s="1023">
        <f>0</f>
        <v>0</v>
      </c>
      <c r="IH53" s="1023">
        <f>0</f>
        <v>0</v>
      </c>
      <c r="II53" s="1023">
        <f>0</f>
        <v>0</v>
      </c>
      <c r="IJ53" s="1023">
        <f>0</f>
        <v>0</v>
      </c>
      <c r="IK53" s="1023">
        <f>0</f>
        <v>0</v>
      </c>
      <c r="IL53" s="1023">
        <f>0</f>
        <v>0</v>
      </c>
      <c r="IM53" s="1023">
        <f>0</f>
        <v>0</v>
      </c>
      <c r="IN53" s="1023">
        <f>0</f>
        <v>0</v>
      </c>
      <c r="IO53" s="1023">
        <f>0</f>
        <v>0</v>
      </c>
      <c r="IP53" s="1023">
        <f>0</f>
        <v>0</v>
      </c>
      <c r="IQ53" s="1023">
        <f>0</f>
        <v>0</v>
      </c>
      <c r="IR53" s="1023">
        <f>0</f>
        <v>0</v>
      </c>
    </row>
    <row r="54" spans="2:254" s="960" customFormat="1" ht="11.25" hidden="1" customHeight="1" outlineLevel="1">
      <c r="B54" s="1021" t="s">
        <v>701</v>
      </c>
      <c r="C54" s="1023">
        <f t="shared" ref="C54:Q54" si="38">C312-C171-C201-C228+C217+IF(C98="E",$C$249,0)+IF(C98="E",$C$251,0)</f>
        <v>2886.603068371543</v>
      </c>
      <c r="D54" s="1023">
        <f t="shared" si="38"/>
        <v>2708.6624957184877</v>
      </c>
      <c r="E54" s="1023">
        <f t="shared" si="38"/>
        <v>2693.8402717960171</v>
      </c>
      <c r="F54" s="1023">
        <f t="shared" si="38"/>
        <v>2519.5494122223931</v>
      </c>
      <c r="G54" s="1023">
        <f t="shared" si="38"/>
        <v>0</v>
      </c>
      <c r="H54" s="1023">
        <f t="shared" si="38"/>
        <v>0</v>
      </c>
      <c r="I54" s="1023">
        <f t="shared" si="38"/>
        <v>0</v>
      </c>
      <c r="J54" s="1023">
        <f t="shared" si="38"/>
        <v>0</v>
      </c>
      <c r="K54" s="1023">
        <f t="shared" si="38"/>
        <v>0</v>
      </c>
      <c r="L54" s="1023">
        <f t="shared" si="38"/>
        <v>0</v>
      </c>
      <c r="M54" s="1023">
        <f t="shared" si="38"/>
        <v>0</v>
      </c>
      <c r="N54" s="1023">
        <f t="shared" si="38"/>
        <v>0</v>
      </c>
      <c r="O54" s="1023">
        <f t="shared" si="38"/>
        <v>0</v>
      </c>
      <c r="P54" s="1023">
        <f t="shared" si="38"/>
        <v>0</v>
      </c>
      <c r="Q54" s="1023">
        <f t="shared" si="38"/>
        <v>0</v>
      </c>
      <c r="R54" s="1023">
        <f t="shared" ref="R54:AB54" si="39">R312-R171-R201-R228+R217</f>
        <v>0</v>
      </c>
      <c r="S54" s="1023">
        <f t="shared" si="39"/>
        <v>0</v>
      </c>
      <c r="T54" s="1023">
        <f t="shared" si="39"/>
        <v>0</v>
      </c>
      <c r="U54" s="1023">
        <f t="shared" si="39"/>
        <v>0</v>
      </c>
      <c r="V54" s="1023">
        <f t="shared" si="39"/>
        <v>0</v>
      </c>
      <c r="W54" s="1023">
        <f t="shared" si="39"/>
        <v>0</v>
      </c>
      <c r="X54" s="1023">
        <f t="shared" si="39"/>
        <v>0</v>
      </c>
      <c r="Y54" s="1023">
        <f t="shared" si="39"/>
        <v>0</v>
      </c>
      <c r="Z54" s="1023">
        <f t="shared" si="39"/>
        <v>0</v>
      </c>
      <c r="AA54" s="1023">
        <f t="shared" si="39"/>
        <v>0</v>
      </c>
      <c r="AB54" s="1023">
        <f t="shared" si="39"/>
        <v>0</v>
      </c>
      <c r="AC54" s="1023">
        <f t="shared" ref="AC54:AR55" si="40">-(0)</f>
        <v>0</v>
      </c>
      <c r="AD54" s="1023">
        <f t="shared" si="40"/>
        <v>0</v>
      </c>
      <c r="AE54" s="1023">
        <f t="shared" si="40"/>
        <v>0</v>
      </c>
      <c r="AF54" s="1023">
        <f t="shared" si="40"/>
        <v>0</v>
      </c>
      <c r="AG54" s="1023">
        <f t="shared" si="40"/>
        <v>0</v>
      </c>
      <c r="AH54" s="1023">
        <f t="shared" si="40"/>
        <v>0</v>
      </c>
      <c r="AI54" s="1023">
        <f t="shared" si="40"/>
        <v>0</v>
      </c>
      <c r="AJ54" s="1023">
        <f t="shared" si="40"/>
        <v>0</v>
      </c>
      <c r="AK54" s="1023">
        <f t="shared" si="40"/>
        <v>0</v>
      </c>
      <c r="AL54" s="1023">
        <f t="shared" si="40"/>
        <v>0</v>
      </c>
      <c r="AM54" s="1023">
        <f t="shared" si="40"/>
        <v>0</v>
      </c>
      <c r="AN54" s="1023">
        <f t="shared" si="40"/>
        <v>0</v>
      </c>
      <c r="AO54" s="1023">
        <f t="shared" si="40"/>
        <v>0</v>
      </c>
      <c r="AP54" s="1023">
        <f t="shared" si="40"/>
        <v>0</v>
      </c>
      <c r="AQ54" s="1023">
        <f t="shared" si="40"/>
        <v>0</v>
      </c>
      <c r="AR54" s="1023">
        <f t="shared" si="40"/>
        <v>0</v>
      </c>
      <c r="AS54" s="1023">
        <f t="shared" ref="AS54:BH55" si="41">-(0)</f>
        <v>0</v>
      </c>
      <c r="AT54" s="1023">
        <f t="shared" si="41"/>
        <v>0</v>
      </c>
      <c r="AU54" s="1023">
        <f t="shared" si="41"/>
        <v>0</v>
      </c>
      <c r="AV54" s="1023">
        <f t="shared" si="41"/>
        <v>0</v>
      </c>
      <c r="AW54" s="1023">
        <f t="shared" si="41"/>
        <v>0</v>
      </c>
      <c r="AX54" s="1023">
        <f t="shared" si="41"/>
        <v>0</v>
      </c>
      <c r="AY54" s="1023">
        <f t="shared" si="41"/>
        <v>0</v>
      </c>
      <c r="AZ54" s="1023">
        <f t="shared" si="41"/>
        <v>0</v>
      </c>
      <c r="BA54" s="1023">
        <f t="shared" si="41"/>
        <v>0</v>
      </c>
      <c r="BB54" s="1023">
        <f t="shared" si="41"/>
        <v>0</v>
      </c>
      <c r="BC54" s="1023">
        <f t="shared" si="41"/>
        <v>0</v>
      </c>
      <c r="BD54" s="1023">
        <f t="shared" si="41"/>
        <v>0</v>
      </c>
      <c r="BE54" s="1023">
        <f t="shared" si="41"/>
        <v>0</v>
      </c>
      <c r="BF54" s="1023">
        <f t="shared" si="41"/>
        <v>0</v>
      </c>
      <c r="BG54" s="1023">
        <f t="shared" si="41"/>
        <v>0</v>
      </c>
      <c r="BH54" s="1023">
        <f t="shared" si="41"/>
        <v>0</v>
      </c>
      <c r="BI54" s="1023">
        <f t="shared" ref="BI54:BX55" si="42">-(0)</f>
        <v>0</v>
      </c>
      <c r="BJ54" s="1023">
        <f t="shared" si="42"/>
        <v>0</v>
      </c>
      <c r="BK54" s="1023">
        <f t="shared" si="42"/>
        <v>0</v>
      </c>
      <c r="BL54" s="1023">
        <f t="shared" si="42"/>
        <v>0</v>
      </c>
      <c r="BM54" s="1023">
        <f t="shared" si="42"/>
        <v>0</v>
      </c>
      <c r="BN54" s="1023">
        <f t="shared" si="42"/>
        <v>0</v>
      </c>
      <c r="BO54" s="1023">
        <f t="shared" si="42"/>
        <v>0</v>
      </c>
      <c r="BP54" s="1023">
        <f t="shared" si="42"/>
        <v>0</v>
      </c>
      <c r="BQ54" s="1023">
        <f t="shared" si="42"/>
        <v>0</v>
      </c>
      <c r="BR54" s="1023">
        <f t="shared" si="42"/>
        <v>0</v>
      </c>
      <c r="BS54" s="1023">
        <f t="shared" si="42"/>
        <v>0</v>
      </c>
      <c r="BT54" s="1023">
        <f t="shared" si="42"/>
        <v>0</v>
      </c>
      <c r="BU54" s="1023">
        <f t="shared" si="42"/>
        <v>0</v>
      </c>
      <c r="BV54" s="1023">
        <f t="shared" si="42"/>
        <v>0</v>
      </c>
      <c r="BW54" s="1023">
        <f t="shared" si="42"/>
        <v>0</v>
      </c>
      <c r="BX54" s="1023">
        <f t="shared" si="42"/>
        <v>0</v>
      </c>
      <c r="BY54" s="1023">
        <f t="shared" ref="BY54:CN55" si="43">-(0)</f>
        <v>0</v>
      </c>
      <c r="BZ54" s="1023">
        <f t="shared" si="43"/>
        <v>0</v>
      </c>
      <c r="CA54" s="1023">
        <f t="shared" si="43"/>
        <v>0</v>
      </c>
      <c r="CB54" s="1023">
        <f t="shared" si="43"/>
        <v>0</v>
      </c>
      <c r="CC54" s="1023">
        <f t="shared" si="43"/>
        <v>0</v>
      </c>
      <c r="CD54" s="1023">
        <f t="shared" si="43"/>
        <v>0</v>
      </c>
      <c r="CE54" s="1023">
        <f t="shared" si="43"/>
        <v>0</v>
      </c>
      <c r="CF54" s="1023">
        <f t="shared" si="43"/>
        <v>0</v>
      </c>
      <c r="CG54" s="1023">
        <f t="shared" si="43"/>
        <v>0</v>
      </c>
      <c r="CH54" s="1023">
        <f t="shared" si="43"/>
        <v>0</v>
      </c>
      <c r="CI54" s="1023">
        <f t="shared" si="43"/>
        <v>0</v>
      </c>
      <c r="CJ54" s="1023">
        <f t="shared" si="43"/>
        <v>0</v>
      </c>
      <c r="CK54" s="1023">
        <f t="shared" si="43"/>
        <v>0</v>
      </c>
      <c r="CL54" s="1023">
        <f t="shared" si="43"/>
        <v>0</v>
      </c>
      <c r="CM54" s="1023">
        <f t="shared" si="43"/>
        <v>0</v>
      </c>
      <c r="CN54" s="1023">
        <f t="shared" si="43"/>
        <v>0</v>
      </c>
      <c r="CO54" s="1023">
        <f t="shared" ref="CO54:DD55" si="44">-(0)</f>
        <v>0</v>
      </c>
      <c r="CP54" s="1023">
        <f t="shared" si="44"/>
        <v>0</v>
      </c>
      <c r="CQ54" s="1023">
        <f t="shared" si="44"/>
        <v>0</v>
      </c>
      <c r="CR54" s="1023">
        <f t="shared" si="44"/>
        <v>0</v>
      </c>
      <c r="CS54" s="1023">
        <f t="shared" si="44"/>
        <v>0</v>
      </c>
      <c r="CT54" s="1023">
        <f t="shared" si="44"/>
        <v>0</v>
      </c>
      <c r="CU54" s="1023">
        <f t="shared" si="44"/>
        <v>0</v>
      </c>
      <c r="CV54" s="1023">
        <f t="shared" si="44"/>
        <v>0</v>
      </c>
      <c r="CW54" s="1023">
        <f t="shared" si="44"/>
        <v>0</v>
      </c>
      <c r="CX54" s="1023">
        <f t="shared" si="44"/>
        <v>0</v>
      </c>
      <c r="CY54" s="1023">
        <f t="shared" si="44"/>
        <v>0</v>
      </c>
      <c r="CZ54" s="1023">
        <f t="shared" si="44"/>
        <v>0</v>
      </c>
      <c r="DA54" s="1023">
        <f t="shared" si="44"/>
        <v>0</v>
      </c>
      <c r="DB54" s="1023">
        <f t="shared" si="44"/>
        <v>0</v>
      </c>
      <c r="DC54" s="1023">
        <f t="shared" si="44"/>
        <v>0</v>
      </c>
      <c r="DD54" s="1023">
        <f t="shared" si="44"/>
        <v>0</v>
      </c>
      <c r="DE54" s="1023">
        <f t="shared" ref="DE54:DT55" si="45">-(0)</f>
        <v>0</v>
      </c>
      <c r="DF54" s="1023">
        <f t="shared" si="45"/>
        <v>0</v>
      </c>
      <c r="DG54" s="1023">
        <f t="shared" si="45"/>
        <v>0</v>
      </c>
      <c r="DH54" s="1023">
        <f t="shared" si="45"/>
        <v>0</v>
      </c>
      <c r="DI54" s="1023">
        <f t="shared" si="45"/>
        <v>0</v>
      </c>
      <c r="DJ54" s="1023">
        <f t="shared" si="45"/>
        <v>0</v>
      </c>
      <c r="DK54" s="1023">
        <f t="shared" si="45"/>
        <v>0</v>
      </c>
      <c r="DL54" s="1023">
        <f t="shared" si="45"/>
        <v>0</v>
      </c>
      <c r="DM54" s="1023">
        <f t="shared" si="45"/>
        <v>0</v>
      </c>
      <c r="DN54" s="1023">
        <f t="shared" si="45"/>
        <v>0</v>
      </c>
      <c r="DO54" s="1023">
        <f t="shared" si="45"/>
        <v>0</v>
      </c>
      <c r="DP54" s="1023">
        <f t="shared" si="45"/>
        <v>0</v>
      </c>
      <c r="DQ54" s="1023">
        <f t="shared" si="45"/>
        <v>0</v>
      </c>
      <c r="DR54" s="1023">
        <f t="shared" si="45"/>
        <v>0</v>
      </c>
      <c r="DS54" s="1023">
        <f t="shared" si="45"/>
        <v>0</v>
      </c>
      <c r="DT54" s="1023">
        <f t="shared" si="45"/>
        <v>0</v>
      </c>
      <c r="DU54" s="1023">
        <f t="shared" ref="DU54:EJ55" si="46">-(0)</f>
        <v>0</v>
      </c>
      <c r="DV54" s="1023">
        <f t="shared" si="46"/>
        <v>0</v>
      </c>
      <c r="DW54" s="1023">
        <f t="shared" si="46"/>
        <v>0</v>
      </c>
      <c r="DX54" s="1023">
        <f t="shared" si="46"/>
        <v>0</v>
      </c>
      <c r="DY54" s="1023">
        <f t="shared" si="46"/>
        <v>0</v>
      </c>
      <c r="DZ54" s="1023">
        <f t="shared" si="46"/>
        <v>0</v>
      </c>
      <c r="EA54" s="1023">
        <f t="shared" si="46"/>
        <v>0</v>
      </c>
      <c r="EB54" s="1023">
        <f t="shared" si="46"/>
        <v>0</v>
      </c>
      <c r="EC54" s="1023">
        <f t="shared" si="46"/>
        <v>0</v>
      </c>
      <c r="ED54" s="1023">
        <f t="shared" si="46"/>
        <v>0</v>
      </c>
      <c r="EE54" s="1023">
        <f t="shared" si="46"/>
        <v>0</v>
      </c>
      <c r="EF54" s="1023">
        <f t="shared" si="46"/>
        <v>0</v>
      </c>
      <c r="EG54" s="1023">
        <f t="shared" si="46"/>
        <v>0</v>
      </c>
      <c r="EH54" s="1023">
        <f t="shared" si="46"/>
        <v>0</v>
      </c>
      <c r="EI54" s="1023">
        <f t="shared" si="46"/>
        <v>0</v>
      </c>
      <c r="EJ54" s="1023">
        <f t="shared" si="46"/>
        <v>0</v>
      </c>
      <c r="EK54" s="1023">
        <f t="shared" ref="EK54:EZ55" si="47">-(0)</f>
        <v>0</v>
      </c>
      <c r="EL54" s="1023">
        <f t="shared" si="47"/>
        <v>0</v>
      </c>
      <c r="EM54" s="1023">
        <f t="shared" si="47"/>
        <v>0</v>
      </c>
      <c r="EN54" s="1023">
        <f t="shared" si="47"/>
        <v>0</v>
      </c>
      <c r="EO54" s="1023">
        <f t="shared" si="47"/>
        <v>0</v>
      </c>
      <c r="EP54" s="1023">
        <f t="shared" si="47"/>
        <v>0</v>
      </c>
      <c r="EQ54" s="1023">
        <f t="shared" si="47"/>
        <v>0</v>
      </c>
      <c r="ER54" s="1023">
        <f t="shared" si="47"/>
        <v>0</v>
      </c>
      <c r="ES54" s="1023">
        <f t="shared" si="47"/>
        <v>0</v>
      </c>
      <c r="ET54" s="1023">
        <f t="shared" si="47"/>
        <v>0</v>
      </c>
      <c r="EU54" s="1023">
        <f t="shared" si="47"/>
        <v>0</v>
      </c>
      <c r="EV54" s="1023">
        <f t="shared" si="47"/>
        <v>0</v>
      </c>
      <c r="EW54" s="1023">
        <f t="shared" si="47"/>
        <v>0</v>
      </c>
      <c r="EX54" s="1023">
        <f t="shared" si="47"/>
        <v>0</v>
      </c>
      <c r="EY54" s="1023">
        <f t="shared" si="47"/>
        <v>0</v>
      </c>
      <c r="EZ54" s="1023">
        <f t="shared" si="47"/>
        <v>0</v>
      </c>
      <c r="FA54" s="1023">
        <f t="shared" ref="FA54:FP55" si="48">-(0)</f>
        <v>0</v>
      </c>
      <c r="FB54" s="1023">
        <f t="shared" si="48"/>
        <v>0</v>
      </c>
      <c r="FC54" s="1023">
        <f t="shared" si="48"/>
        <v>0</v>
      </c>
      <c r="FD54" s="1023">
        <f t="shared" si="48"/>
        <v>0</v>
      </c>
      <c r="FE54" s="1023">
        <f t="shared" si="48"/>
        <v>0</v>
      </c>
      <c r="FF54" s="1023">
        <f t="shared" si="48"/>
        <v>0</v>
      </c>
      <c r="FG54" s="1023">
        <f t="shared" si="48"/>
        <v>0</v>
      </c>
      <c r="FH54" s="1023">
        <f t="shared" si="48"/>
        <v>0</v>
      </c>
      <c r="FI54" s="1023">
        <f t="shared" si="48"/>
        <v>0</v>
      </c>
      <c r="FJ54" s="1023">
        <f t="shared" si="48"/>
        <v>0</v>
      </c>
      <c r="FK54" s="1023">
        <f t="shared" si="48"/>
        <v>0</v>
      </c>
      <c r="FL54" s="1023">
        <f t="shared" si="48"/>
        <v>0</v>
      </c>
      <c r="FM54" s="1023">
        <f t="shared" si="48"/>
        <v>0</v>
      </c>
      <c r="FN54" s="1023">
        <f t="shared" si="48"/>
        <v>0</v>
      </c>
      <c r="FO54" s="1023">
        <f t="shared" si="48"/>
        <v>0</v>
      </c>
      <c r="FP54" s="1023">
        <f t="shared" si="48"/>
        <v>0</v>
      </c>
      <c r="FQ54" s="1023">
        <f t="shared" ref="FQ54:GF55" si="49">-(0)</f>
        <v>0</v>
      </c>
      <c r="FR54" s="1023">
        <f t="shared" si="49"/>
        <v>0</v>
      </c>
      <c r="FS54" s="1023">
        <f t="shared" si="49"/>
        <v>0</v>
      </c>
      <c r="FT54" s="1023">
        <f t="shared" si="49"/>
        <v>0</v>
      </c>
      <c r="FU54" s="1023">
        <f t="shared" si="49"/>
        <v>0</v>
      </c>
      <c r="FV54" s="1023">
        <f t="shared" si="49"/>
        <v>0</v>
      </c>
      <c r="FW54" s="1023">
        <f t="shared" si="49"/>
        <v>0</v>
      </c>
      <c r="FX54" s="1023">
        <f t="shared" si="49"/>
        <v>0</v>
      </c>
      <c r="FY54" s="1023">
        <f t="shared" si="49"/>
        <v>0</v>
      </c>
      <c r="FZ54" s="1023">
        <f t="shared" si="49"/>
        <v>0</v>
      </c>
      <c r="GA54" s="1023">
        <f t="shared" si="49"/>
        <v>0</v>
      </c>
      <c r="GB54" s="1023">
        <f t="shared" si="49"/>
        <v>0</v>
      </c>
      <c r="GC54" s="1023">
        <f t="shared" si="49"/>
        <v>0</v>
      </c>
      <c r="GD54" s="1023">
        <f t="shared" si="49"/>
        <v>0</v>
      </c>
      <c r="GE54" s="1023">
        <f t="shared" si="49"/>
        <v>0</v>
      </c>
      <c r="GF54" s="1023">
        <f t="shared" si="49"/>
        <v>0</v>
      </c>
      <c r="GG54" s="1023">
        <f t="shared" ref="GG54:GV55" si="50">-(0)</f>
        <v>0</v>
      </c>
      <c r="GH54" s="1023">
        <f t="shared" si="50"/>
        <v>0</v>
      </c>
      <c r="GI54" s="1023">
        <f t="shared" si="50"/>
        <v>0</v>
      </c>
      <c r="GJ54" s="1023">
        <f t="shared" si="50"/>
        <v>0</v>
      </c>
      <c r="GK54" s="1023">
        <f t="shared" si="50"/>
        <v>0</v>
      </c>
      <c r="GL54" s="1023">
        <f t="shared" si="50"/>
        <v>0</v>
      </c>
      <c r="GM54" s="1023">
        <f t="shared" si="50"/>
        <v>0</v>
      </c>
      <c r="GN54" s="1023">
        <f t="shared" si="50"/>
        <v>0</v>
      </c>
      <c r="GO54" s="1023">
        <f t="shared" si="50"/>
        <v>0</v>
      </c>
      <c r="GP54" s="1023">
        <f t="shared" si="50"/>
        <v>0</v>
      </c>
      <c r="GQ54" s="1023">
        <f t="shared" si="50"/>
        <v>0</v>
      </c>
      <c r="GR54" s="1023">
        <f t="shared" si="50"/>
        <v>0</v>
      </c>
      <c r="GS54" s="1023">
        <f t="shared" si="50"/>
        <v>0</v>
      </c>
      <c r="GT54" s="1023">
        <f t="shared" si="50"/>
        <v>0</v>
      </c>
      <c r="GU54" s="1023">
        <f t="shared" si="50"/>
        <v>0</v>
      </c>
      <c r="GV54" s="1023">
        <f t="shared" si="50"/>
        <v>0</v>
      </c>
      <c r="GW54" s="1023">
        <f t="shared" ref="GW54:HL55" si="51">-(0)</f>
        <v>0</v>
      </c>
      <c r="GX54" s="1023">
        <f t="shared" si="51"/>
        <v>0</v>
      </c>
      <c r="GY54" s="1023">
        <f t="shared" si="51"/>
        <v>0</v>
      </c>
      <c r="GZ54" s="1023">
        <f t="shared" si="51"/>
        <v>0</v>
      </c>
      <c r="HA54" s="1023">
        <f t="shared" si="51"/>
        <v>0</v>
      </c>
      <c r="HB54" s="1023">
        <f t="shared" si="51"/>
        <v>0</v>
      </c>
      <c r="HC54" s="1023">
        <f t="shared" si="51"/>
        <v>0</v>
      </c>
      <c r="HD54" s="1023">
        <f t="shared" si="51"/>
        <v>0</v>
      </c>
      <c r="HE54" s="1023">
        <f t="shared" si="51"/>
        <v>0</v>
      </c>
      <c r="HF54" s="1023">
        <f t="shared" si="51"/>
        <v>0</v>
      </c>
      <c r="HG54" s="1023">
        <f t="shared" si="51"/>
        <v>0</v>
      </c>
      <c r="HH54" s="1023">
        <f t="shared" si="51"/>
        <v>0</v>
      </c>
      <c r="HI54" s="1023">
        <f t="shared" si="51"/>
        <v>0</v>
      </c>
      <c r="HJ54" s="1023">
        <f t="shared" si="51"/>
        <v>0</v>
      </c>
      <c r="HK54" s="1023">
        <f t="shared" si="51"/>
        <v>0</v>
      </c>
      <c r="HL54" s="1023">
        <f t="shared" si="51"/>
        <v>0</v>
      </c>
      <c r="HM54" s="1023">
        <f t="shared" ref="HM54:IB55" si="52">-(0)</f>
        <v>0</v>
      </c>
      <c r="HN54" s="1023">
        <f t="shared" si="52"/>
        <v>0</v>
      </c>
      <c r="HO54" s="1023">
        <f t="shared" si="52"/>
        <v>0</v>
      </c>
      <c r="HP54" s="1023">
        <f t="shared" si="52"/>
        <v>0</v>
      </c>
      <c r="HQ54" s="1023">
        <f t="shared" si="52"/>
        <v>0</v>
      </c>
      <c r="HR54" s="1023">
        <f t="shared" si="52"/>
        <v>0</v>
      </c>
      <c r="HS54" s="1023">
        <f t="shared" si="52"/>
        <v>0</v>
      </c>
      <c r="HT54" s="1023">
        <f t="shared" si="52"/>
        <v>0</v>
      </c>
      <c r="HU54" s="1023">
        <f t="shared" si="52"/>
        <v>0</v>
      </c>
      <c r="HV54" s="1023">
        <f t="shared" si="52"/>
        <v>0</v>
      </c>
      <c r="HW54" s="1023">
        <f t="shared" si="52"/>
        <v>0</v>
      </c>
      <c r="HX54" s="1023">
        <f t="shared" si="52"/>
        <v>0</v>
      </c>
      <c r="HY54" s="1023">
        <f t="shared" si="52"/>
        <v>0</v>
      </c>
      <c r="HZ54" s="1023">
        <f t="shared" si="52"/>
        <v>0</v>
      </c>
      <c r="IA54" s="1023">
        <f t="shared" si="52"/>
        <v>0</v>
      </c>
      <c r="IB54" s="1023">
        <f t="shared" si="52"/>
        <v>0</v>
      </c>
      <c r="IC54" s="1023">
        <f t="shared" ref="IC54:IR55" si="53">-(0)</f>
        <v>0</v>
      </c>
      <c r="ID54" s="1023">
        <f t="shared" si="53"/>
        <v>0</v>
      </c>
      <c r="IE54" s="1023">
        <f t="shared" si="53"/>
        <v>0</v>
      </c>
      <c r="IF54" s="1023">
        <f t="shared" si="53"/>
        <v>0</v>
      </c>
      <c r="IG54" s="1023">
        <f t="shared" si="53"/>
        <v>0</v>
      </c>
      <c r="IH54" s="1023">
        <f t="shared" si="53"/>
        <v>0</v>
      </c>
      <c r="II54" s="1023">
        <f t="shared" si="53"/>
        <v>0</v>
      </c>
      <c r="IJ54" s="1023">
        <f t="shared" si="53"/>
        <v>0</v>
      </c>
      <c r="IK54" s="1023">
        <f t="shared" si="53"/>
        <v>0</v>
      </c>
      <c r="IL54" s="1023">
        <f t="shared" si="53"/>
        <v>0</v>
      </c>
      <c r="IM54" s="1023">
        <f t="shared" si="53"/>
        <v>0</v>
      </c>
      <c r="IN54" s="1023">
        <f t="shared" si="53"/>
        <v>0</v>
      </c>
      <c r="IO54" s="1023">
        <f t="shared" si="53"/>
        <v>0</v>
      </c>
      <c r="IP54" s="1023">
        <f t="shared" si="53"/>
        <v>0</v>
      </c>
      <c r="IQ54" s="1023">
        <f t="shared" si="53"/>
        <v>0</v>
      </c>
      <c r="IR54" s="1023">
        <f t="shared" si="53"/>
        <v>0</v>
      </c>
    </row>
    <row r="55" spans="2:254" s="960" customFormat="1" ht="11.25" hidden="1" customHeight="1" outlineLevel="1">
      <c r="B55" s="1021" t="s">
        <v>702</v>
      </c>
      <c r="C55" s="1023">
        <f t="shared" ref="C55:Q55" si="54">C313+C192+C194+C223</f>
        <v>0</v>
      </c>
      <c r="D55" s="1023">
        <f t="shared" si="54"/>
        <v>0</v>
      </c>
      <c r="E55" s="1023">
        <f t="shared" si="54"/>
        <v>0</v>
      </c>
      <c r="F55" s="1023">
        <f t="shared" si="54"/>
        <v>0</v>
      </c>
      <c r="G55" s="1023">
        <f t="shared" si="54"/>
        <v>0</v>
      </c>
      <c r="H55" s="1023">
        <f t="shared" si="54"/>
        <v>0</v>
      </c>
      <c r="I55" s="1023">
        <f t="shared" si="54"/>
        <v>0</v>
      </c>
      <c r="J55" s="1023">
        <f t="shared" si="54"/>
        <v>0</v>
      </c>
      <c r="K55" s="1023">
        <f t="shared" si="54"/>
        <v>0</v>
      </c>
      <c r="L55" s="1023">
        <f t="shared" si="54"/>
        <v>0</v>
      </c>
      <c r="M55" s="1023">
        <f t="shared" si="54"/>
        <v>0</v>
      </c>
      <c r="N55" s="1023">
        <f t="shared" si="54"/>
        <v>0</v>
      </c>
      <c r="O55" s="1023">
        <f t="shared" si="54"/>
        <v>0</v>
      </c>
      <c r="P55" s="1023">
        <f t="shared" si="54"/>
        <v>0</v>
      </c>
      <c r="Q55" s="1023">
        <f t="shared" si="54"/>
        <v>0</v>
      </c>
      <c r="R55" s="1023">
        <f t="shared" ref="R55:AB55" si="55">R313+R192</f>
        <v>0</v>
      </c>
      <c r="S55" s="1023">
        <f t="shared" si="55"/>
        <v>0</v>
      </c>
      <c r="T55" s="1023">
        <f t="shared" si="55"/>
        <v>0</v>
      </c>
      <c r="U55" s="1023">
        <f t="shared" si="55"/>
        <v>0</v>
      </c>
      <c r="V55" s="1023">
        <f t="shared" si="55"/>
        <v>0</v>
      </c>
      <c r="W55" s="1023" t="e">
        <f t="shared" si="55"/>
        <v>#VALUE!</v>
      </c>
      <c r="X55" s="1023">
        <f t="shared" si="55"/>
        <v>0</v>
      </c>
      <c r="Y55" s="1023">
        <f t="shared" si="55"/>
        <v>0</v>
      </c>
      <c r="Z55" s="1023">
        <f t="shared" si="55"/>
        <v>0</v>
      </c>
      <c r="AA55" s="1023">
        <f t="shared" si="55"/>
        <v>0</v>
      </c>
      <c r="AB55" s="1023">
        <f t="shared" si="55"/>
        <v>0</v>
      </c>
      <c r="AC55" s="1023">
        <f t="shared" si="40"/>
        <v>0</v>
      </c>
      <c r="AD55" s="1023">
        <f t="shared" si="40"/>
        <v>0</v>
      </c>
      <c r="AE55" s="1023">
        <f t="shared" si="40"/>
        <v>0</v>
      </c>
      <c r="AF55" s="1023">
        <f t="shared" si="40"/>
        <v>0</v>
      </c>
      <c r="AG55" s="1023">
        <f t="shared" si="40"/>
        <v>0</v>
      </c>
      <c r="AH55" s="1023">
        <f t="shared" si="40"/>
        <v>0</v>
      </c>
      <c r="AI55" s="1023">
        <f t="shared" si="40"/>
        <v>0</v>
      </c>
      <c r="AJ55" s="1023">
        <f t="shared" si="40"/>
        <v>0</v>
      </c>
      <c r="AK55" s="1023">
        <f t="shared" si="40"/>
        <v>0</v>
      </c>
      <c r="AL55" s="1023">
        <f t="shared" si="40"/>
        <v>0</v>
      </c>
      <c r="AM55" s="1023">
        <f t="shared" si="40"/>
        <v>0</v>
      </c>
      <c r="AN55" s="1023">
        <f t="shared" si="40"/>
        <v>0</v>
      </c>
      <c r="AO55" s="1023">
        <f t="shared" si="40"/>
        <v>0</v>
      </c>
      <c r="AP55" s="1023">
        <f t="shared" si="40"/>
        <v>0</v>
      </c>
      <c r="AQ55" s="1023">
        <f t="shared" si="40"/>
        <v>0</v>
      </c>
      <c r="AR55" s="1023">
        <f t="shared" si="40"/>
        <v>0</v>
      </c>
      <c r="AS55" s="1023">
        <f t="shared" si="41"/>
        <v>0</v>
      </c>
      <c r="AT55" s="1023">
        <f t="shared" si="41"/>
        <v>0</v>
      </c>
      <c r="AU55" s="1023">
        <f t="shared" si="41"/>
        <v>0</v>
      </c>
      <c r="AV55" s="1023">
        <f t="shared" si="41"/>
        <v>0</v>
      </c>
      <c r="AW55" s="1023">
        <f t="shared" si="41"/>
        <v>0</v>
      </c>
      <c r="AX55" s="1023">
        <f t="shared" si="41"/>
        <v>0</v>
      </c>
      <c r="AY55" s="1023">
        <f t="shared" si="41"/>
        <v>0</v>
      </c>
      <c r="AZ55" s="1023">
        <f t="shared" si="41"/>
        <v>0</v>
      </c>
      <c r="BA55" s="1023">
        <f t="shared" si="41"/>
        <v>0</v>
      </c>
      <c r="BB55" s="1023">
        <f t="shared" si="41"/>
        <v>0</v>
      </c>
      <c r="BC55" s="1023">
        <f t="shared" si="41"/>
        <v>0</v>
      </c>
      <c r="BD55" s="1023">
        <f t="shared" si="41"/>
        <v>0</v>
      </c>
      <c r="BE55" s="1023">
        <f t="shared" si="41"/>
        <v>0</v>
      </c>
      <c r="BF55" s="1023">
        <f t="shared" si="41"/>
        <v>0</v>
      </c>
      <c r="BG55" s="1023">
        <f t="shared" si="41"/>
        <v>0</v>
      </c>
      <c r="BH55" s="1023">
        <f t="shared" si="41"/>
        <v>0</v>
      </c>
      <c r="BI55" s="1023">
        <f t="shared" si="42"/>
        <v>0</v>
      </c>
      <c r="BJ55" s="1023">
        <f t="shared" si="42"/>
        <v>0</v>
      </c>
      <c r="BK55" s="1023">
        <f t="shared" si="42"/>
        <v>0</v>
      </c>
      <c r="BL55" s="1023">
        <f t="shared" si="42"/>
        <v>0</v>
      </c>
      <c r="BM55" s="1023">
        <f t="shared" si="42"/>
        <v>0</v>
      </c>
      <c r="BN55" s="1023">
        <f t="shared" si="42"/>
        <v>0</v>
      </c>
      <c r="BO55" s="1023">
        <f t="shared" si="42"/>
        <v>0</v>
      </c>
      <c r="BP55" s="1023">
        <f t="shared" si="42"/>
        <v>0</v>
      </c>
      <c r="BQ55" s="1023">
        <f t="shared" si="42"/>
        <v>0</v>
      </c>
      <c r="BR55" s="1023">
        <f t="shared" si="42"/>
        <v>0</v>
      </c>
      <c r="BS55" s="1023">
        <f t="shared" si="42"/>
        <v>0</v>
      </c>
      <c r="BT55" s="1023">
        <f t="shared" si="42"/>
        <v>0</v>
      </c>
      <c r="BU55" s="1023">
        <f t="shared" si="42"/>
        <v>0</v>
      </c>
      <c r="BV55" s="1023">
        <f t="shared" si="42"/>
        <v>0</v>
      </c>
      <c r="BW55" s="1023">
        <f t="shared" si="42"/>
        <v>0</v>
      </c>
      <c r="BX55" s="1023">
        <f t="shared" si="42"/>
        <v>0</v>
      </c>
      <c r="BY55" s="1023">
        <f t="shared" si="43"/>
        <v>0</v>
      </c>
      <c r="BZ55" s="1023">
        <f t="shared" si="43"/>
        <v>0</v>
      </c>
      <c r="CA55" s="1023">
        <f t="shared" si="43"/>
        <v>0</v>
      </c>
      <c r="CB55" s="1023">
        <f t="shared" si="43"/>
        <v>0</v>
      </c>
      <c r="CC55" s="1023">
        <f t="shared" si="43"/>
        <v>0</v>
      </c>
      <c r="CD55" s="1023">
        <f t="shared" si="43"/>
        <v>0</v>
      </c>
      <c r="CE55" s="1023">
        <f t="shared" si="43"/>
        <v>0</v>
      </c>
      <c r="CF55" s="1023">
        <f t="shared" si="43"/>
        <v>0</v>
      </c>
      <c r="CG55" s="1023">
        <f t="shared" si="43"/>
        <v>0</v>
      </c>
      <c r="CH55" s="1023">
        <f t="shared" si="43"/>
        <v>0</v>
      </c>
      <c r="CI55" s="1023">
        <f t="shared" si="43"/>
        <v>0</v>
      </c>
      <c r="CJ55" s="1023">
        <f t="shared" si="43"/>
        <v>0</v>
      </c>
      <c r="CK55" s="1023">
        <f t="shared" si="43"/>
        <v>0</v>
      </c>
      <c r="CL55" s="1023">
        <f t="shared" si="43"/>
        <v>0</v>
      </c>
      <c r="CM55" s="1023">
        <f t="shared" si="43"/>
        <v>0</v>
      </c>
      <c r="CN55" s="1023">
        <f t="shared" si="43"/>
        <v>0</v>
      </c>
      <c r="CO55" s="1023">
        <f t="shared" si="44"/>
        <v>0</v>
      </c>
      <c r="CP55" s="1023">
        <f t="shared" si="44"/>
        <v>0</v>
      </c>
      <c r="CQ55" s="1023">
        <f t="shared" si="44"/>
        <v>0</v>
      </c>
      <c r="CR55" s="1023">
        <f t="shared" si="44"/>
        <v>0</v>
      </c>
      <c r="CS55" s="1023">
        <f t="shared" si="44"/>
        <v>0</v>
      </c>
      <c r="CT55" s="1023">
        <f t="shared" si="44"/>
        <v>0</v>
      </c>
      <c r="CU55" s="1023">
        <f t="shared" si="44"/>
        <v>0</v>
      </c>
      <c r="CV55" s="1023">
        <f t="shared" si="44"/>
        <v>0</v>
      </c>
      <c r="CW55" s="1023">
        <f t="shared" si="44"/>
        <v>0</v>
      </c>
      <c r="CX55" s="1023">
        <f t="shared" si="44"/>
        <v>0</v>
      </c>
      <c r="CY55" s="1023">
        <f t="shared" si="44"/>
        <v>0</v>
      </c>
      <c r="CZ55" s="1023">
        <f t="shared" si="44"/>
        <v>0</v>
      </c>
      <c r="DA55" s="1023">
        <f t="shared" si="44"/>
        <v>0</v>
      </c>
      <c r="DB55" s="1023">
        <f t="shared" si="44"/>
        <v>0</v>
      </c>
      <c r="DC55" s="1023">
        <f t="shared" si="44"/>
        <v>0</v>
      </c>
      <c r="DD55" s="1023">
        <f t="shared" si="44"/>
        <v>0</v>
      </c>
      <c r="DE55" s="1023">
        <f t="shared" si="45"/>
        <v>0</v>
      </c>
      <c r="DF55" s="1023">
        <f t="shared" si="45"/>
        <v>0</v>
      </c>
      <c r="DG55" s="1023">
        <f t="shared" si="45"/>
        <v>0</v>
      </c>
      <c r="DH55" s="1023">
        <f t="shared" si="45"/>
        <v>0</v>
      </c>
      <c r="DI55" s="1023">
        <f t="shared" si="45"/>
        <v>0</v>
      </c>
      <c r="DJ55" s="1023">
        <f t="shared" si="45"/>
        <v>0</v>
      </c>
      <c r="DK55" s="1023">
        <f t="shared" si="45"/>
        <v>0</v>
      </c>
      <c r="DL55" s="1023">
        <f t="shared" si="45"/>
        <v>0</v>
      </c>
      <c r="DM55" s="1023">
        <f t="shared" si="45"/>
        <v>0</v>
      </c>
      <c r="DN55" s="1023">
        <f t="shared" si="45"/>
        <v>0</v>
      </c>
      <c r="DO55" s="1023">
        <f t="shared" si="45"/>
        <v>0</v>
      </c>
      <c r="DP55" s="1023">
        <f t="shared" si="45"/>
        <v>0</v>
      </c>
      <c r="DQ55" s="1023">
        <f t="shared" si="45"/>
        <v>0</v>
      </c>
      <c r="DR55" s="1023">
        <f t="shared" si="45"/>
        <v>0</v>
      </c>
      <c r="DS55" s="1023">
        <f t="shared" si="45"/>
        <v>0</v>
      </c>
      <c r="DT55" s="1023">
        <f t="shared" si="45"/>
        <v>0</v>
      </c>
      <c r="DU55" s="1023">
        <f t="shared" si="46"/>
        <v>0</v>
      </c>
      <c r="DV55" s="1023">
        <f t="shared" si="46"/>
        <v>0</v>
      </c>
      <c r="DW55" s="1023">
        <f t="shared" si="46"/>
        <v>0</v>
      </c>
      <c r="DX55" s="1023">
        <f t="shared" si="46"/>
        <v>0</v>
      </c>
      <c r="DY55" s="1023">
        <f t="shared" si="46"/>
        <v>0</v>
      </c>
      <c r="DZ55" s="1023">
        <f t="shared" si="46"/>
        <v>0</v>
      </c>
      <c r="EA55" s="1023">
        <f t="shared" si="46"/>
        <v>0</v>
      </c>
      <c r="EB55" s="1023">
        <f t="shared" si="46"/>
        <v>0</v>
      </c>
      <c r="EC55" s="1023">
        <f t="shared" si="46"/>
        <v>0</v>
      </c>
      <c r="ED55" s="1023">
        <f t="shared" si="46"/>
        <v>0</v>
      </c>
      <c r="EE55" s="1023">
        <f t="shared" si="46"/>
        <v>0</v>
      </c>
      <c r="EF55" s="1023">
        <f t="shared" si="46"/>
        <v>0</v>
      </c>
      <c r="EG55" s="1023">
        <f t="shared" si="46"/>
        <v>0</v>
      </c>
      <c r="EH55" s="1023">
        <f t="shared" si="46"/>
        <v>0</v>
      </c>
      <c r="EI55" s="1023">
        <f t="shared" si="46"/>
        <v>0</v>
      </c>
      <c r="EJ55" s="1023">
        <f t="shared" si="46"/>
        <v>0</v>
      </c>
      <c r="EK55" s="1023">
        <f t="shared" si="47"/>
        <v>0</v>
      </c>
      <c r="EL55" s="1023">
        <f t="shared" si="47"/>
        <v>0</v>
      </c>
      <c r="EM55" s="1023">
        <f t="shared" si="47"/>
        <v>0</v>
      </c>
      <c r="EN55" s="1023">
        <f t="shared" si="47"/>
        <v>0</v>
      </c>
      <c r="EO55" s="1023">
        <f t="shared" si="47"/>
        <v>0</v>
      </c>
      <c r="EP55" s="1023">
        <f t="shared" si="47"/>
        <v>0</v>
      </c>
      <c r="EQ55" s="1023">
        <f t="shared" si="47"/>
        <v>0</v>
      </c>
      <c r="ER55" s="1023">
        <f t="shared" si="47"/>
        <v>0</v>
      </c>
      <c r="ES55" s="1023">
        <f t="shared" si="47"/>
        <v>0</v>
      </c>
      <c r="ET55" s="1023">
        <f t="shared" si="47"/>
        <v>0</v>
      </c>
      <c r="EU55" s="1023">
        <f t="shared" si="47"/>
        <v>0</v>
      </c>
      <c r="EV55" s="1023">
        <f t="shared" si="47"/>
        <v>0</v>
      </c>
      <c r="EW55" s="1023">
        <f t="shared" si="47"/>
        <v>0</v>
      </c>
      <c r="EX55" s="1023">
        <f t="shared" si="47"/>
        <v>0</v>
      </c>
      <c r="EY55" s="1023">
        <f t="shared" si="47"/>
        <v>0</v>
      </c>
      <c r="EZ55" s="1023">
        <f t="shared" si="47"/>
        <v>0</v>
      </c>
      <c r="FA55" s="1023">
        <f t="shared" si="48"/>
        <v>0</v>
      </c>
      <c r="FB55" s="1023">
        <f t="shared" si="48"/>
        <v>0</v>
      </c>
      <c r="FC55" s="1023">
        <f t="shared" si="48"/>
        <v>0</v>
      </c>
      <c r="FD55" s="1023">
        <f t="shared" si="48"/>
        <v>0</v>
      </c>
      <c r="FE55" s="1023">
        <f t="shared" si="48"/>
        <v>0</v>
      </c>
      <c r="FF55" s="1023">
        <f t="shared" si="48"/>
        <v>0</v>
      </c>
      <c r="FG55" s="1023">
        <f t="shared" si="48"/>
        <v>0</v>
      </c>
      <c r="FH55" s="1023">
        <f t="shared" si="48"/>
        <v>0</v>
      </c>
      <c r="FI55" s="1023">
        <f t="shared" si="48"/>
        <v>0</v>
      </c>
      <c r="FJ55" s="1023">
        <f t="shared" si="48"/>
        <v>0</v>
      </c>
      <c r="FK55" s="1023">
        <f t="shared" si="48"/>
        <v>0</v>
      </c>
      <c r="FL55" s="1023">
        <f t="shared" si="48"/>
        <v>0</v>
      </c>
      <c r="FM55" s="1023">
        <f t="shared" si="48"/>
        <v>0</v>
      </c>
      <c r="FN55" s="1023">
        <f t="shared" si="48"/>
        <v>0</v>
      </c>
      <c r="FO55" s="1023">
        <f t="shared" si="48"/>
        <v>0</v>
      </c>
      <c r="FP55" s="1023">
        <f t="shared" si="48"/>
        <v>0</v>
      </c>
      <c r="FQ55" s="1023">
        <f t="shared" si="49"/>
        <v>0</v>
      </c>
      <c r="FR55" s="1023">
        <f t="shared" si="49"/>
        <v>0</v>
      </c>
      <c r="FS55" s="1023">
        <f t="shared" si="49"/>
        <v>0</v>
      </c>
      <c r="FT55" s="1023">
        <f t="shared" si="49"/>
        <v>0</v>
      </c>
      <c r="FU55" s="1023">
        <f t="shared" si="49"/>
        <v>0</v>
      </c>
      <c r="FV55" s="1023">
        <f t="shared" si="49"/>
        <v>0</v>
      </c>
      <c r="FW55" s="1023">
        <f t="shared" si="49"/>
        <v>0</v>
      </c>
      <c r="FX55" s="1023">
        <f t="shared" si="49"/>
        <v>0</v>
      </c>
      <c r="FY55" s="1023">
        <f t="shared" si="49"/>
        <v>0</v>
      </c>
      <c r="FZ55" s="1023">
        <f t="shared" si="49"/>
        <v>0</v>
      </c>
      <c r="GA55" s="1023">
        <f t="shared" si="49"/>
        <v>0</v>
      </c>
      <c r="GB55" s="1023">
        <f t="shared" si="49"/>
        <v>0</v>
      </c>
      <c r="GC55" s="1023">
        <f t="shared" si="49"/>
        <v>0</v>
      </c>
      <c r="GD55" s="1023">
        <f t="shared" si="49"/>
        <v>0</v>
      </c>
      <c r="GE55" s="1023">
        <f t="shared" si="49"/>
        <v>0</v>
      </c>
      <c r="GF55" s="1023">
        <f t="shared" si="49"/>
        <v>0</v>
      </c>
      <c r="GG55" s="1023">
        <f t="shared" si="50"/>
        <v>0</v>
      </c>
      <c r="GH55" s="1023">
        <f t="shared" si="50"/>
        <v>0</v>
      </c>
      <c r="GI55" s="1023">
        <f t="shared" si="50"/>
        <v>0</v>
      </c>
      <c r="GJ55" s="1023">
        <f t="shared" si="50"/>
        <v>0</v>
      </c>
      <c r="GK55" s="1023">
        <f t="shared" si="50"/>
        <v>0</v>
      </c>
      <c r="GL55" s="1023">
        <f t="shared" si="50"/>
        <v>0</v>
      </c>
      <c r="GM55" s="1023">
        <f t="shared" si="50"/>
        <v>0</v>
      </c>
      <c r="GN55" s="1023">
        <f t="shared" si="50"/>
        <v>0</v>
      </c>
      <c r="GO55" s="1023">
        <f t="shared" si="50"/>
        <v>0</v>
      </c>
      <c r="GP55" s="1023">
        <f t="shared" si="50"/>
        <v>0</v>
      </c>
      <c r="GQ55" s="1023">
        <f t="shared" si="50"/>
        <v>0</v>
      </c>
      <c r="GR55" s="1023">
        <f t="shared" si="50"/>
        <v>0</v>
      </c>
      <c r="GS55" s="1023">
        <f t="shared" si="50"/>
        <v>0</v>
      </c>
      <c r="GT55" s="1023">
        <f t="shared" si="50"/>
        <v>0</v>
      </c>
      <c r="GU55" s="1023">
        <f t="shared" si="50"/>
        <v>0</v>
      </c>
      <c r="GV55" s="1023">
        <f t="shared" si="50"/>
        <v>0</v>
      </c>
      <c r="GW55" s="1023">
        <f t="shared" si="51"/>
        <v>0</v>
      </c>
      <c r="GX55" s="1023">
        <f t="shared" si="51"/>
        <v>0</v>
      </c>
      <c r="GY55" s="1023">
        <f t="shared" si="51"/>
        <v>0</v>
      </c>
      <c r="GZ55" s="1023">
        <f t="shared" si="51"/>
        <v>0</v>
      </c>
      <c r="HA55" s="1023">
        <f t="shared" si="51"/>
        <v>0</v>
      </c>
      <c r="HB55" s="1023">
        <f t="shared" si="51"/>
        <v>0</v>
      </c>
      <c r="HC55" s="1023">
        <f t="shared" si="51"/>
        <v>0</v>
      </c>
      <c r="HD55" s="1023">
        <f t="shared" si="51"/>
        <v>0</v>
      </c>
      <c r="HE55" s="1023">
        <f t="shared" si="51"/>
        <v>0</v>
      </c>
      <c r="HF55" s="1023">
        <f t="shared" si="51"/>
        <v>0</v>
      </c>
      <c r="HG55" s="1023">
        <f t="shared" si="51"/>
        <v>0</v>
      </c>
      <c r="HH55" s="1023">
        <f t="shared" si="51"/>
        <v>0</v>
      </c>
      <c r="HI55" s="1023">
        <f t="shared" si="51"/>
        <v>0</v>
      </c>
      <c r="HJ55" s="1023">
        <f t="shared" si="51"/>
        <v>0</v>
      </c>
      <c r="HK55" s="1023">
        <f t="shared" si="51"/>
        <v>0</v>
      </c>
      <c r="HL55" s="1023">
        <f t="shared" si="51"/>
        <v>0</v>
      </c>
      <c r="HM55" s="1023">
        <f t="shared" si="52"/>
        <v>0</v>
      </c>
      <c r="HN55" s="1023">
        <f t="shared" si="52"/>
        <v>0</v>
      </c>
      <c r="HO55" s="1023">
        <f t="shared" si="52"/>
        <v>0</v>
      </c>
      <c r="HP55" s="1023">
        <f t="shared" si="52"/>
        <v>0</v>
      </c>
      <c r="HQ55" s="1023">
        <f t="shared" si="52"/>
        <v>0</v>
      </c>
      <c r="HR55" s="1023">
        <f t="shared" si="52"/>
        <v>0</v>
      </c>
      <c r="HS55" s="1023">
        <f t="shared" si="52"/>
        <v>0</v>
      </c>
      <c r="HT55" s="1023">
        <f t="shared" si="52"/>
        <v>0</v>
      </c>
      <c r="HU55" s="1023">
        <f t="shared" si="52"/>
        <v>0</v>
      </c>
      <c r="HV55" s="1023">
        <f t="shared" si="52"/>
        <v>0</v>
      </c>
      <c r="HW55" s="1023">
        <f t="shared" si="52"/>
        <v>0</v>
      </c>
      <c r="HX55" s="1023">
        <f t="shared" si="52"/>
        <v>0</v>
      </c>
      <c r="HY55" s="1023">
        <f t="shared" si="52"/>
        <v>0</v>
      </c>
      <c r="HZ55" s="1023">
        <f t="shared" si="52"/>
        <v>0</v>
      </c>
      <c r="IA55" s="1023">
        <f t="shared" si="52"/>
        <v>0</v>
      </c>
      <c r="IB55" s="1023">
        <f t="shared" si="52"/>
        <v>0</v>
      </c>
      <c r="IC55" s="1023">
        <f t="shared" si="53"/>
        <v>0</v>
      </c>
      <c r="ID55" s="1023">
        <f t="shared" si="53"/>
        <v>0</v>
      </c>
      <c r="IE55" s="1023">
        <f t="shared" si="53"/>
        <v>0</v>
      </c>
      <c r="IF55" s="1023">
        <f t="shared" si="53"/>
        <v>0</v>
      </c>
      <c r="IG55" s="1023">
        <f t="shared" si="53"/>
        <v>0</v>
      </c>
      <c r="IH55" s="1023">
        <f t="shared" si="53"/>
        <v>0</v>
      </c>
      <c r="II55" s="1023">
        <f t="shared" si="53"/>
        <v>0</v>
      </c>
      <c r="IJ55" s="1023">
        <f t="shared" si="53"/>
        <v>0</v>
      </c>
      <c r="IK55" s="1023">
        <f t="shared" si="53"/>
        <v>0</v>
      </c>
      <c r="IL55" s="1023">
        <f t="shared" si="53"/>
        <v>0</v>
      </c>
      <c r="IM55" s="1023">
        <f t="shared" si="53"/>
        <v>0</v>
      </c>
      <c r="IN55" s="1023">
        <f t="shared" si="53"/>
        <v>0</v>
      </c>
      <c r="IO55" s="1023">
        <f t="shared" si="53"/>
        <v>0</v>
      </c>
      <c r="IP55" s="1023">
        <f t="shared" si="53"/>
        <v>0</v>
      </c>
      <c r="IQ55" s="1023">
        <f t="shared" si="53"/>
        <v>0</v>
      </c>
      <c r="IR55" s="1023">
        <f t="shared" si="53"/>
        <v>0</v>
      </c>
    </row>
    <row r="56" spans="2:254" s="960" customFormat="1" ht="11.25" hidden="1" customHeight="1" outlineLevel="1">
      <c r="B56" s="1021" t="s">
        <v>703</v>
      </c>
      <c r="C56" s="1023">
        <f t="shared" ref="C56:Q56" si="56">C314-C172-C202-C229-C164-C194-C223-IF(C98="E",$C$249,0)-IF(C98="E",$C$251,0)</f>
        <v>-25.358146918442131</v>
      </c>
      <c r="D56" s="1023">
        <f t="shared" si="56"/>
        <v>153.43348515005687</v>
      </c>
      <c r="E56" s="1023">
        <f t="shared" si="56"/>
        <v>506.16156034693665</v>
      </c>
      <c r="F56" s="1023">
        <f t="shared" si="56"/>
        <v>612.07031923089119</v>
      </c>
      <c r="G56" s="1023">
        <f t="shared" si="56"/>
        <v>0</v>
      </c>
      <c r="H56" s="1023">
        <f t="shared" si="56"/>
        <v>0</v>
      </c>
      <c r="I56" s="1023">
        <f t="shared" si="56"/>
        <v>0</v>
      </c>
      <c r="J56" s="1023">
        <f t="shared" si="56"/>
        <v>0</v>
      </c>
      <c r="K56" s="1023">
        <f t="shared" si="56"/>
        <v>0</v>
      </c>
      <c r="L56" s="1023">
        <f t="shared" si="56"/>
        <v>0</v>
      </c>
      <c r="M56" s="1023">
        <f t="shared" si="56"/>
        <v>0</v>
      </c>
      <c r="N56" s="1023">
        <f t="shared" si="56"/>
        <v>0</v>
      </c>
      <c r="O56" s="1023">
        <f t="shared" si="56"/>
        <v>0</v>
      </c>
      <c r="P56" s="1023">
        <f t="shared" si="56"/>
        <v>0</v>
      </c>
      <c r="Q56" s="1023">
        <f t="shared" si="56"/>
        <v>0</v>
      </c>
      <c r="R56" s="1023">
        <f t="shared" ref="R56:AB56" si="57">R314-R172-R202-R229</f>
        <v>0</v>
      </c>
      <c r="S56" s="1023">
        <f t="shared" si="57"/>
        <v>0</v>
      </c>
      <c r="T56" s="1023">
        <f t="shared" si="57"/>
        <v>0</v>
      </c>
      <c r="U56" s="1023">
        <f t="shared" si="57"/>
        <v>0</v>
      </c>
      <c r="V56" s="1023">
        <f t="shared" si="57"/>
        <v>0</v>
      </c>
      <c r="W56" s="1023">
        <f t="shared" si="57"/>
        <v>0</v>
      </c>
      <c r="X56" s="1023">
        <f t="shared" si="57"/>
        <v>0</v>
      </c>
      <c r="Y56" s="1023">
        <f t="shared" si="57"/>
        <v>0</v>
      </c>
      <c r="Z56" s="1023">
        <f t="shared" si="57"/>
        <v>0</v>
      </c>
      <c r="AA56" s="1023">
        <f t="shared" si="57"/>
        <v>0</v>
      </c>
      <c r="AB56" s="1023">
        <f t="shared" si="57"/>
        <v>0</v>
      </c>
      <c r="AC56" s="1023">
        <f>0</f>
        <v>0</v>
      </c>
      <c r="AD56" s="1023">
        <f>0</f>
        <v>0</v>
      </c>
      <c r="AE56" s="1023">
        <f>0</f>
        <v>0</v>
      </c>
      <c r="AF56" s="1023">
        <f>0</f>
        <v>0</v>
      </c>
      <c r="AG56" s="1023">
        <f>0</f>
        <v>0</v>
      </c>
      <c r="AH56" s="1023">
        <f>0</f>
        <v>0</v>
      </c>
      <c r="AI56" s="1023">
        <f>0</f>
        <v>0</v>
      </c>
      <c r="AJ56" s="1023">
        <f>0</f>
        <v>0</v>
      </c>
      <c r="AK56" s="1023">
        <f>0</f>
        <v>0</v>
      </c>
      <c r="AL56" s="1023">
        <f>0</f>
        <v>0</v>
      </c>
      <c r="AM56" s="1023">
        <f>0</f>
        <v>0</v>
      </c>
      <c r="AN56" s="1023">
        <f>0</f>
        <v>0</v>
      </c>
      <c r="AO56" s="1023">
        <f>0</f>
        <v>0</v>
      </c>
      <c r="AP56" s="1023">
        <f>0</f>
        <v>0</v>
      </c>
      <c r="AQ56" s="1023">
        <f>0</f>
        <v>0</v>
      </c>
      <c r="AR56" s="1023">
        <f>0</f>
        <v>0</v>
      </c>
      <c r="AS56" s="1023">
        <f>0</f>
        <v>0</v>
      </c>
      <c r="AT56" s="1023">
        <f>0</f>
        <v>0</v>
      </c>
      <c r="AU56" s="1023">
        <f>0</f>
        <v>0</v>
      </c>
      <c r="AV56" s="1023">
        <f>0</f>
        <v>0</v>
      </c>
      <c r="AW56" s="1023">
        <f>0</f>
        <v>0</v>
      </c>
      <c r="AX56" s="1023">
        <f>0</f>
        <v>0</v>
      </c>
      <c r="AY56" s="1023">
        <f>0</f>
        <v>0</v>
      </c>
      <c r="AZ56" s="1023">
        <f>0</f>
        <v>0</v>
      </c>
      <c r="BA56" s="1023">
        <f>0</f>
        <v>0</v>
      </c>
      <c r="BB56" s="1023">
        <f>0</f>
        <v>0</v>
      </c>
      <c r="BC56" s="1023">
        <f>0</f>
        <v>0</v>
      </c>
      <c r="BD56" s="1023">
        <f>0</f>
        <v>0</v>
      </c>
      <c r="BE56" s="1023">
        <f>0</f>
        <v>0</v>
      </c>
      <c r="BF56" s="1023">
        <f>0</f>
        <v>0</v>
      </c>
      <c r="BG56" s="1023">
        <f>0</f>
        <v>0</v>
      </c>
      <c r="BH56" s="1023">
        <f>0</f>
        <v>0</v>
      </c>
      <c r="BI56" s="1023">
        <f>0</f>
        <v>0</v>
      </c>
      <c r="BJ56" s="1023">
        <f>0</f>
        <v>0</v>
      </c>
      <c r="BK56" s="1023">
        <f>0</f>
        <v>0</v>
      </c>
      <c r="BL56" s="1023">
        <f>0</f>
        <v>0</v>
      </c>
      <c r="BM56" s="1023">
        <f>0</f>
        <v>0</v>
      </c>
      <c r="BN56" s="1023">
        <f>0</f>
        <v>0</v>
      </c>
      <c r="BO56" s="1023">
        <f>0</f>
        <v>0</v>
      </c>
      <c r="BP56" s="1023">
        <f>0</f>
        <v>0</v>
      </c>
      <c r="BQ56" s="1023">
        <f>0</f>
        <v>0</v>
      </c>
      <c r="BR56" s="1023">
        <f>0</f>
        <v>0</v>
      </c>
      <c r="BS56" s="1023">
        <f>0</f>
        <v>0</v>
      </c>
      <c r="BT56" s="1023">
        <f>0</f>
        <v>0</v>
      </c>
      <c r="BU56" s="1023">
        <f>0</f>
        <v>0</v>
      </c>
      <c r="BV56" s="1023">
        <f>0</f>
        <v>0</v>
      </c>
      <c r="BW56" s="1023">
        <f>0</f>
        <v>0</v>
      </c>
      <c r="BX56" s="1023">
        <f>0</f>
        <v>0</v>
      </c>
      <c r="BY56" s="1023">
        <f>0</f>
        <v>0</v>
      </c>
      <c r="BZ56" s="1023">
        <f>0</f>
        <v>0</v>
      </c>
      <c r="CA56" s="1023">
        <f>0</f>
        <v>0</v>
      </c>
      <c r="CB56" s="1023">
        <f>0</f>
        <v>0</v>
      </c>
      <c r="CC56" s="1023">
        <f>0</f>
        <v>0</v>
      </c>
      <c r="CD56" s="1023">
        <f>0</f>
        <v>0</v>
      </c>
      <c r="CE56" s="1023">
        <f>0</f>
        <v>0</v>
      </c>
      <c r="CF56" s="1023">
        <f>0</f>
        <v>0</v>
      </c>
      <c r="CG56" s="1023">
        <f>0</f>
        <v>0</v>
      </c>
      <c r="CH56" s="1023">
        <f>0</f>
        <v>0</v>
      </c>
      <c r="CI56" s="1023">
        <f>0</f>
        <v>0</v>
      </c>
      <c r="CJ56" s="1023">
        <f>0</f>
        <v>0</v>
      </c>
      <c r="CK56" s="1023">
        <f>0</f>
        <v>0</v>
      </c>
      <c r="CL56" s="1023">
        <f>0</f>
        <v>0</v>
      </c>
      <c r="CM56" s="1023">
        <f>0</f>
        <v>0</v>
      </c>
      <c r="CN56" s="1023">
        <f>0</f>
        <v>0</v>
      </c>
      <c r="CO56" s="1023">
        <f>0</f>
        <v>0</v>
      </c>
      <c r="CP56" s="1023">
        <f>0</f>
        <v>0</v>
      </c>
      <c r="CQ56" s="1023">
        <f>0</f>
        <v>0</v>
      </c>
      <c r="CR56" s="1023">
        <f>0</f>
        <v>0</v>
      </c>
      <c r="CS56" s="1023">
        <f>0</f>
        <v>0</v>
      </c>
      <c r="CT56" s="1023">
        <f>0</f>
        <v>0</v>
      </c>
      <c r="CU56" s="1023">
        <f>0</f>
        <v>0</v>
      </c>
      <c r="CV56" s="1023">
        <f>0</f>
        <v>0</v>
      </c>
      <c r="CW56" s="1023">
        <f>0</f>
        <v>0</v>
      </c>
      <c r="CX56" s="1023">
        <f>0</f>
        <v>0</v>
      </c>
      <c r="CY56" s="1023">
        <f>0</f>
        <v>0</v>
      </c>
      <c r="CZ56" s="1023">
        <f>0</f>
        <v>0</v>
      </c>
      <c r="DA56" s="1023">
        <f>0</f>
        <v>0</v>
      </c>
      <c r="DB56" s="1023">
        <f>0</f>
        <v>0</v>
      </c>
      <c r="DC56" s="1023">
        <f>0</f>
        <v>0</v>
      </c>
      <c r="DD56" s="1023">
        <f>0</f>
        <v>0</v>
      </c>
      <c r="DE56" s="1023">
        <f>0</f>
        <v>0</v>
      </c>
      <c r="DF56" s="1023">
        <f>0</f>
        <v>0</v>
      </c>
      <c r="DG56" s="1023">
        <f>0</f>
        <v>0</v>
      </c>
      <c r="DH56" s="1023">
        <f>0</f>
        <v>0</v>
      </c>
      <c r="DI56" s="1023">
        <f>0</f>
        <v>0</v>
      </c>
      <c r="DJ56" s="1023">
        <f>0</f>
        <v>0</v>
      </c>
      <c r="DK56" s="1023">
        <f>0</f>
        <v>0</v>
      </c>
      <c r="DL56" s="1023">
        <f>0</f>
        <v>0</v>
      </c>
      <c r="DM56" s="1023">
        <f>0</f>
        <v>0</v>
      </c>
      <c r="DN56" s="1023">
        <f>0</f>
        <v>0</v>
      </c>
      <c r="DO56" s="1023">
        <f>0</f>
        <v>0</v>
      </c>
      <c r="DP56" s="1023">
        <f>0</f>
        <v>0</v>
      </c>
      <c r="DQ56" s="1023">
        <f>0</f>
        <v>0</v>
      </c>
      <c r="DR56" s="1023">
        <f>0</f>
        <v>0</v>
      </c>
      <c r="DS56" s="1023">
        <f>0</f>
        <v>0</v>
      </c>
      <c r="DT56" s="1023">
        <f>0</f>
        <v>0</v>
      </c>
      <c r="DU56" s="1023">
        <f>0</f>
        <v>0</v>
      </c>
      <c r="DV56" s="1023">
        <f>0</f>
        <v>0</v>
      </c>
      <c r="DW56" s="1023">
        <f>0</f>
        <v>0</v>
      </c>
      <c r="DX56" s="1023">
        <f>0</f>
        <v>0</v>
      </c>
      <c r="DY56" s="1023">
        <f>0</f>
        <v>0</v>
      </c>
      <c r="DZ56" s="1023">
        <f>0</f>
        <v>0</v>
      </c>
      <c r="EA56" s="1023">
        <f>0</f>
        <v>0</v>
      </c>
      <c r="EB56" s="1023">
        <f>0</f>
        <v>0</v>
      </c>
      <c r="EC56" s="1023">
        <f>0</f>
        <v>0</v>
      </c>
      <c r="ED56" s="1023">
        <f>0</f>
        <v>0</v>
      </c>
      <c r="EE56" s="1023">
        <f>0</f>
        <v>0</v>
      </c>
      <c r="EF56" s="1023">
        <f>0</f>
        <v>0</v>
      </c>
      <c r="EG56" s="1023">
        <f>0</f>
        <v>0</v>
      </c>
      <c r="EH56" s="1023">
        <f>0</f>
        <v>0</v>
      </c>
      <c r="EI56" s="1023">
        <f>0</f>
        <v>0</v>
      </c>
      <c r="EJ56" s="1023">
        <f>0</f>
        <v>0</v>
      </c>
      <c r="EK56" s="1023">
        <f>0</f>
        <v>0</v>
      </c>
      <c r="EL56" s="1023">
        <f>0</f>
        <v>0</v>
      </c>
      <c r="EM56" s="1023">
        <f>0</f>
        <v>0</v>
      </c>
      <c r="EN56" s="1023">
        <f>0</f>
        <v>0</v>
      </c>
      <c r="EO56" s="1023">
        <f>0</f>
        <v>0</v>
      </c>
      <c r="EP56" s="1023">
        <f>0</f>
        <v>0</v>
      </c>
      <c r="EQ56" s="1023">
        <f>0</f>
        <v>0</v>
      </c>
      <c r="ER56" s="1023">
        <f>0</f>
        <v>0</v>
      </c>
      <c r="ES56" s="1023">
        <f>0</f>
        <v>0</v>
      </c>
      <c r="ET56" s="1023">
        <f>0</f>
        <v>0</v>
      </c>
      <c r="EU56" s="1023">
        <f>0</f>
        <v>0</v>
      </c>
      <c r="EV56" s="1023">
        <f>0</f>
        <v>0</v>
      </c>
      <c r="EW56" s="1023">
        <f>0</f>
        <v>0</v>
      </c>
      <c r="EX56" s="1023">
        <f>0</f>
        <v>0</v>
      </c>
      <c r="EY56" s="1023">
        <f>0</f>
        <v>0</v>
      </c>
      <c r="EZ56" s="1023">
        <f>0</f>
        <v>0</v>
      </c>
      <c r="FA56" s="1023">
        <f>0</f>
        <v>0</v>
      </c>
      <c r="FB56" s="1023">
        <f>0</f>
        <v>0</v>
      </c>
      <c r="FC56" s="1023">
        <f>0</f>
        <v>0</v>
      </c>
      <c r="FD56" s="1023">
        <f>0</f>
        <v>0</v>
      </c>
      <c r="FE56" s="1023">
        <f>0</f>
        <v>0</v>
      </c>
      <c r="FF56" s="1023">
        <f>0</f>
        <v>0</v>
      </c>
      <c r="FG56" s="1023">
        <f>0</f>
        <v>0</v>
      </c>
      <c r="FH56" s="1023">
        <f>0</f>
        <v>0</v>
      </c>
      <c r="FI56" s="1023">
        <f>0</f>
        <v>0</v>
      </c>
      <c r="FJ56" s="1023">
        <f>0</f>
        <v>0</v>
      </c>
      <c r="FK56" s="1023">
        <f>0</f>
        <v>0</v>
      </c>
      <c r="FL56" s="1023">
        <f>0</f>
        <v>0</v>
      </c>
      <c r="FM56" s="1023">
        <f>0</f>
        <v>0</v>
      </c>
      <c r="FN56" s="1023">
        <f>0</f>
        <v>0</v>
      </c>
      <c r="FO56" s="1023">
        <f>0</f>
        <v>0</v>
      </c>
      <c r="FP56" s="1023">
        <f>0</f>
        <v>0</v>
      </c>
      <c r="FQ56" s="1023">
        <f>0</f>
        <v>0</v>
      </c>
      <c r="FR56" s="1023">
        <f>0</f>
        <v>0</v>
      </c>
      <c r="FS56" s="1023">
        <f>0</f>
        <v>0</v>
      </c>
      <c r="FT56" s="1023">
        <f>0</f>
        <v>0</v>
      </c>
      <c r="FU56" s="1023">
        <f>0</f>
        <v>0</v>
      </c>
      <c r="FV56" s="1023">
        <f>0</f>
        <v>0</v>
      </c>
      <c r="FW56" s="1023">
        <f>0</f>
        <v>0</v>
      </c>
      <c r="FX56" s="1023">
        <f>0</f>
        <v>0</v>
      </c>
      <c r="FY56" s="1023">
        <f>0</f>
        <v>0</v>
      </c>
      <c r="FZ56" s="1023">
        <f>0</f>
        <v>0</v>
      </c>
      <c r="GA56" s="1023">
        <f>0</f>
        <v>0</v>
      </c>
      <c r="GB56" s="1023">
        <f>0</f>
        <v>0</v>
      </c>
      <c r="GC56" s="1023">
        <f>0</f>
        <v>0</v>
      </c>
      <c r="GD56" s="1023">
        <f>0</f>
        <v>0</v>
      </c>
      <c r="GE56" s="1023">
        <f>0</f>
        <v>0</v>
      </c>
      <c r="GF56" s="1023">
        <f>0</f>
        <v>0</v>
      </c>
      <c r="GG56" s="1023">
        <f>0</f>
        <v>0</v>
      </c>
      <c r="GH56" s="1023">
        <f>0</f>
        <v>0</v>
      </c>
      <c r="GI56" s="1023">
        <f>0</f>
        <v>0</v>
      </c>
      <c r="GJ56" s="1023">
        <f>0</f>
        <v>0</v>
      </c>
      <c r="GK56" s="1023">
        <f>0</f>
        <v>0</v>
      </c>
      <c r="GL56" s="1023">
        <f>0</f>
        <v>0</v>
      </c>
      <c r="GM56" s="1023">
        <f>0</f>
        <v>0</v>
      </c>
      <c r="GN56" s="1023">
        <f>0</f>
        <v>0</v>
      </c>
      <c r="GO56" s="1023">
        <f>0</f>
        <v>0</v>
      </c>
      <c r="GP56" s="1023">
        <f>0</f>
        <v>0</v>
      </c>
      <c r="GQ56" s="1023">
        <f>0</f>
        <v>0</v>
      </c>
      <c r="GR56" s="1023">
        <f>0</f>
        <v>0</v>
      </c>
      <c r="GS56" s="1023">
        <f>0</f>
        <v>0</v>
      </c>
      <c r="GT56" s="1023">
        <f>0</f>
        <v>0</v>
      </c>
      <c r="GU56" s="1023">
        <f>0</f>
        <v>0</v>
      </c>
      <c r="GV56" s="1023">
        <f>0</f>
        <v>0</v>
      </c>
      <c r="GW56" s="1023">
        <f>0</f>
        <v>0</v>
      </c>
      <c r="GX56" s="1023">
        <f>0</f>
        <v>0</v>
      </c>
      <c r="GY56" s="1023">
        <f>0</f>
        <v>0</v>
      </c>
      <c r="GZ56" s="1023">
        <f>0</f>
        <v>0</v>
      </c>
      <c r="HA56" s="1023">
        <f>0</f>
        <v>0</v>
      </c>
      <c r="HB56" s="1023">
        <f>0</f>
        <v>0</v>
      </c>
      <c r="HC56" s="1023">
        <f>0</f>
        <v>0</v>
      </c>
      <c r="HD56" s="1023">
        <f>0</f>
        <v>0</v>
      </c>
      <c r="HE56" s="1023">
        <f>0</f>
        <v>0</v>
      </c>
      <c r="HF56" s="1023">
        <f>0</f>
        <v>0</v>
      </c>
      <c r="HG56" s="1023">
        <f>0</f>
        <v>0</v>
      </c>
      <c r="HH56" s="1023">
        <f>0</f>
        <v>0</v>
      </c>
      <c r="HI56" s="1023">
        <f>0</f>
        <v>0</v>
      </c>
      <c r="HJ56" s="1023">
        <f>0</f>
        <v>0</v>
      </c>
      <c r="HK56" s="1023">
        <f>0</f>
        <v>0</v>
      </c>
      <c r="HL56" s="1023">
        <f>0</f>
        <v>0</v>
      </c>
      <c r="HM56" s="1023">
        <f>0</f>
        <v>0</v>
      </c>
      <c r="HN56" s="1023">
        <f>0</f>
        <v>0</v>
      </c>
      <c r="HO56" s="1023">
        <f>0</f>
        <v>0</v>
      </c>
      <c r="HP56" s="1023">
        <f>0</f>
        <v>0</v>
      </c>
      <c r="HQ56" s="1023">
        <f>0</f>
        <v>0</v>
      </c>
      <c r="HR56" s="1023">
        <f>0</f>
        <v>0</v>
      </c>
      <c r="HS56" s="1023">
        <f>0</f>
        <v>0</v>
      </c>
      <c r="HT56" s="1023">
        <f>0</f>
        <v>0</v>
      </c>
      <c r="HU56" s="1023">
        <f>0</f>
        <v>0</v>
      </c>
      <c r="HV56" s="1023">
        <f>0</f>
        <v>0</v>
      </c>
      <c r="HW56" s="1023">
        <f>0</f>
        <v>0</v>
      </c>
      <c r="HX56" s="1023">
        <f>0</f>
        <v>0</v>
      </c>
      <c r="HY56" s="1023">
        <f>0</f>
        <v>0</v>
      </c>
      <c r="HZ56" s="1023">
        <f>0</f>
        <v>0</v>
      </c>
      <c r="IA56" s="1023">
        <f>0</f>
        <v>0</v>
      </c>
      <c r="IB56" s="1023">
        <f>0</f>
        <v>0</v>
      </c>
      <c r="IC56" s="1023">
        <f>0</f>
        <v>0</v>
      </c>
      <c r="ID56" s="1023">
        <f>0</f>
        <v>0</v>
      </c>
      <c r="IE56" s="1023">
        <f>0</f>
        <v>0</v>
      </c>
      <c r="IF56" s="1023">
        <f>0</f>
        <v>0</v>
      </c>
      <c r="IG56" s="1023">
        <f>0</f>
        <v>0</v>
      </c>
      <c r="IH56" s="1023">
        <f>0</f>
        <v>0</v>
      </c>
      <c r="II56" s="1023">
        <f>0</f>
        <v>0</v>
      </c>
      <c r="IJ56" s="1023">
        <f>0</f>
        <v>0</v>
      </c>
      <c r="IK56" s="1023">
        <f>0</f>
        <v>0</v>
      </c>
      <c r="IL56" s="1023">
        <f>0</f>
        <v>0</v>
      </c>
      <c r="IM56" s="1023">
        <f>0</f>
        <v>0</v>
      </c>
      <c r="IN56" s="1023">
        <f>0</f>
        <v>0</v>
      </c>
      <c r="IO56" s="1023">
        <f>0</f>
        <v>0</v>
      </c>
      <c r="IP56" s="1023">
        <f>0</f>
        <v>0</v>
      </c>
      <c r="IQ56" s="1023">
        <f>0</f>
        <v>0</v>
      </c>
      <c r="IR56" s="1023">
        <f>0</f>
        <v>0</v>
      </c>
    </row>
    <row r="57" spans="2:254" s="960" customFormat="1" ht="11.25" hidden="1" customHeight="1" outlineLevel="1">
      <c r="B57" s="1025" t="s">
        <v>704</v>
      </c>
      <c r="C57" s="1026">
        <f t="shared" ref="C57:BN57" si="58">C53-C54-C55-C56</f>
        <v>-209.92800000000057</v>
      </c>
      <c r="D57" s="1026">
        <f t="shared" si="58"/>
        <v>-411.08300000000031</v>
      </c>
      <c r="E57" s="1026">
        <f t="shared" si="58"/>
        <v>-699.83900000000028</v>
      </c>
      <c r="F57" s="1026">
        <f t="shared" si="58"/>
        <v>-699.83926423068408</v>
      </c>
      <c r="G57" s="1026">
        <f t="shared" si="58"/>
        <v>0</v>
      </c>
      <c r="H57" s="1026">
        <f t="shared" si="58"/>
        <v>0</v>
      </c>
      <c r="I57" s="1026">
        <f t="shared" si="58"/>
        <v>0</v>
      </c>
      <c r="J57" s="1026">
        <f t="shared" si="58"/>
        <v>0</v>
      </c>
      <c r="K57" s="1026">
        <f t="shared" si="58"/>
        <v>0</v>
      </c>
      <c r="L57" s="1026">
        <f t="shared" si="58"/>
        <v>0</v>
      </c>
      <c r="M57" s="1026">
        <f t="shared" si="58"/>
        <v>0</v>
      </c>
      <c r="N57" s="1026">
        <f t="shared" si="58"/>
        <v>0</v>
      </c>
      <c r="O57" s="1026">
        <f t="shared" si="58"/>
        <v>0</v>
      </c>
      <c r="P57" s="1026">
        <f t="shared" si="58"/>
        <v>0</v>
      </c>
      <c r="Q57" s="1026">
        <f t="shared" si="58"/>
        <v>0</v>
      </c>
      <c r="R57" s="1026">
        <f t="shared" si="58"/>
        <v>0</v>
      </c>
      <c r="S57" s="1026">
        <f t="shared" si="58"/>
        <v>0</v>
      </c>
      <c r="T57" s="1026">
        <f t="shared" si="58"/>
        <v>0</v>
      </c>
      <c r="U57" s="1026">
        <f t="shared" si="58"/>
        <v>0</v>
      </c>
      <c r="V57" s="1026">
        <f t="shared" si="58"/>
        <v>0</v>
      </c>
      <c r="W57" s="1027" t="e">
        <f t="shared" si="58"/>
        <v>#VALUE!</v>
      </c>
      <c r="X57" s="1028">
        <f t="shared" si="58"/>
        <v>0</v>
      </c>
      <c r="Y57" s="1026">
        <f t="shared" si="58"/>
        <v>0</v>
      </c>
      <c r="Z57" s="1026">
        <f t="shared" si="58"/>
        <v>0</v>
      </c>
      <c r="AA57" s="1026">
        <f t="shared" si="58"/>
        <v>0</v>
      </c>
      <c r="AB57" s="1026">
        <f t="shared" si="58"/>
        <v>0</v>
      </c>
      <c r="AC57" s="1026">
        <f t="shared" si="58"/>
        <v>0</v>
      </c>
      <c r="AD57" s="1026">
        <f t="shared" si="58"/>
        <v>0</v>
      </c>
      <c r="AE57" s="1026">
        <f t="shared" si="58"/>
        <v>0</v>
      </c>
      <c r="AF57" s="1026">
        <f t="shared" si="58"/>
        <v>0</v>
      </c>
      <c r="AG57" s="1026">
        <f t="shared" si="58"/>
        <v>0</v>
      </c>
      <c r="AH57" s="1026">
        <f t="shared" si="58"/>
        <v>0</v>
      </c>
      <c r="AI57" s="1026">
        <f t="shared" si="58"/>
        <v>0</v>
      </c>
      <c r="AJ57" s="1026">
        <f t="shared" si="58"/>
        <v>0</v>
      </c>
      <c r="AK57" s="1026">
        <f t="shared" si="58"/>
        <v>0</v>
      </c>
      <c r="AL57" s="1026">
        <f t="shared" si="58"/>
        <v>0</v>
      </c>
      <c r="AM57" s="1026">
        <f t="shared" si="58"/>
        <v>0</v>
      </c>
      <c r="AN57" s="1026">
        <f t="shared" si="58"/>
        <v>0</v>
      </c>
      <c r="AO57" s="1026">
        <f t="shared" si="58"/>
        <v>0</v>
      </c>
      <c r="AP57" s="1026">
        <f t="shared" si="58"/>
        <v>0</v>
      </c>
      <c r="AQ57" s="1026">
        <f t="shared" si="58"/>
        <v>0</v>
      </c>
      <c r="AR57" s="1026">
        <f t="shared" si="58"/>
        <v>0</v>
      </c>
      <c r="AS57" s="1026">
        <f t="shared" si="58"/>
        <v>0</v>
      </c>
      <c r="AT57" s="1026">
        <f t="shared" si="58"/>
        <v>0</v>
      </c>
      <c r="AU57" s="1026">
        <f t="shared" si="58"/>
        <v>0</v>
      </c>
      <c r="AV57" s="1026">
        <f t="shared" si="58"/>
        <v>0</v>
      </c>
      <c r="AW57" s="1026">
        <f t="shared" si="58"/>
        <v>0</v>
      </c>
      <c r="AX57" s="1026">
        <f t="shared" si="58"/>
        <v>0</v>
      </c>
      <c r="AY57" s="1026">
        <f t="shared" si="58"/>
        <v>0</v>
      </c>
      <c r="AZ57" s="1026">
        <f t="shared" si="58"/>
        <v>0</v>
      </c>
      <c r="BA57" s="1026">
        <f t="shared" si="58"/>
        <v>0</v>
      </c>
      <c r="BB57" s="1026">
        <f t="shared" si="58"/>
        <v>0</v>
      </c>
      <c r="BC57" s="1026">
        <f t="shared" si="58"/>
        <v>0</v>
      </c>
      <c r="BD57" s="1026">
        <f t="shared" si="58"/>
        <v>0</v>
      </c>
      <c r="BE57" s="1026">
        <f t="shared" si="58"/>
        <v>0</v>
      </c>
      <c r="BF57" s="1026">
        <f t="shared" si="58"/>
        <v>0</v>
      </c>
      <c r="BG57" s="1026">
        <f t="shared" si="58"/>
        <v>0</v>
      </c>
      <c r="BH57" s="1026">
        <f t="shared" si="58"/>
        <v>0</v>
      </c>
      <c r="BI57" s="1026">
        <f t="shared" si="58"/>
        <v>0</v>
      </c>
      <c r="BJ57" s="1026">
        <f t="shared" si="58"/>
        <v>0</v>
      </c>
      <c r="BK57" s="1026">
        <f t="shared" si="58"/>
        <v>0</v>
      </c>
      <c r="BL57" s="1026">
        <f t="shared" si="58"/>
        <v>0</v>
      </c>
      <c r="BM57" s="1026">
        <f t="shared" si="58"/>
        <v>0</v>
      </c>
      <c r="BN57" s="1026">
        <f t="shared" si="58"/>
        <v>0</v>
      </c>
      <c r="BO57" s="1026">
        <f t="shared" ref="BO57:DZ57" si="59">BO53-BO54-BO55-BO56</f>
        <v>0</v>
      </c>
      <c r="BP57" s="1026">
        <f t="shared" si="59"/>
        <v>0</v>
      </c>
      <c r="BQ57" s="1026">
        <f t="shared" si="59"/>
        <v>0</v>
      </c>
      <c r="BR57" s="1026">
        <f t="shared" si="59"/>
        <v>0</v>
      </c>
      <c r="BS57" s="1026">
        <f t="shared" si="59"/>
        <v>0</v>
      </c>
      <c r="BT57" s="1026">
        <f t="shared" si="59"/>
        <v>0</v>
      </c>
      <c r="BU57" s="1026">
        <f t="shared" si="59"/>
        <v>0</v>
      </c>
      <c r="BV57" s="1026">
        <f t="shared" si="59"/>
        <v>0</v>
      </c>
      <c r="BW57" s="1026">
        <f t="shared" si="59"/>
        <v>0</v>
      </c>
      <c r="BX57" s="1026">
        <f t="shared" si="59"/>
        <v>0</v>
      </c>
      <c r="BY57" s="1026">
        <f t="shared" si="59"/>
        <v>0</v>
      </c>
      <c r="BZ57" s="1026">
        <f t="shared" si="59"/>
        <v>0</v>
      </c>
      <c r="CA57" s="1026">
        <f t="shared" si="59"/>
        <v>0</v>
      </c>
      <c r="CB57" s="1026">
        <f t="shared" si="59"/>
        <v>0</v>
      </c>
      <c r="CC57" s="1026">
        <f t="shared" si="59"/>
        <v>0</v>
      </c>
      <c r="CD57" s="1026">
        <f t="shared" si="59"/>
        <v>0</v>
      </c>
      <c r="CE57" s="1026">
        <f t="shared" si="59"/>
        <v>0</v>
      </c>
      <c r="CF57" s="1026">
        <f t="shared" si="59"/>
        <v>0</v>
      </c>
      <c r="CG57" s="1026">
        <f t="shared" si="59"/>
        <v>0</v>
      </c>
      <c r="CH57" s="1026">
        <f t="shared" si="59"/>
        <v>0</v>
      </c>
      <c r="CI57" s="1026">
        <f t="shared" si="59"/>
        <v>0</v>
      </c>
      <c r="CJ57" s="1026">
        <f t="shared" si="59"/>
        <v>0</v>
      </c>
      <c r="CK57" s="1026">
        <f t="shared" si="59"/>
        <v>0</v>
      </c>
      <c r="CL57" s="1026">
        <f t="shared" si="59"/>
        <v>0</v>
      </c>
      <c r="CM57" s="1026">
        <f t="shared" si="59"/>
        <v>0</v>
      </c>
      <c r="CN57" s="1026">
        <f t="shared" si="59"/>
        <v>0</v>
      </c>
      <c r="CO57" s="1026">
        <f t="shared" si="59"/>
        <v>0</v>
      </c>
      <c r="CP57" s="1026">
        <f t="shared" si="59"/>
        <v>0</v>
      </c>
      <c r="CQ57" s="1026">
        <f t="shared" si="59"/>
        <v>0</v>
      </c>
      <c r="CR57" s="1026">
        <f t="shared" si="59"/>
        <v>0</v>
      </c>
      <c r="CS57" s="1026">
        <f t="shared" si="59"/>
        <v>0</v>
      </c>
      <c r="CT57" s="1026">
        <f t="shared" si="59"/>
        <v>0</v>
      </c>
      <c r="CU57" s="1026">
        <f t="shared" si="59"/>
        <v>0</v>
      </c>
      <c r="CV57" s="1026">
        <f t="shared" si="59"/>
        <v>0</v>
      </c>
      <c r="CW57" s="1026">
        <f t="shared" si="59"/>
        <v>0</v>
      </c>
      <c r="CX57" s="1026">
        <f t="shared" si="59"/>
        <v>0</v>
      </c>
      <c r="CY57" s="1026">
        <f t="shared" si="59"/>
        <v>0</v>
      </c>
      <c r="CZ57" s="1026">
        <f t="shared" si="59"/>
        <v>0</v>
      </c>
      <c r="DA57" s="1026">
        <f t="shared" si="59"/>
        <v>0</v>
      </c>
      <c r="DB57" s="1026">
        <f t="shared" si="59"/>
        <v>0</v>
      </c>
      <c r="DC57" s="1026">
        <f t="shared" si="59"/>
        <v>0</v>
      </c>
      <c r="DD57" s="1026">
        <f t="shared" si="59"/>
        <v>0</v>
      </c>
      <c r="DE57" s="1026">
        <f t="shared" si="59"/>
        <v>0</v>
      </c>
      <c r="DF57" s="1026">
        <f t="shared" si="59"/>
        <v>0</v>
      </c>
      <c r="DG57" s="1026">
        <f t="shared" si="59"/>
        <v>0</v>
      </c>
      <c r="DH57" s="1026">
        <f t="shared" si="59"/>
        <v>0</v>
      </c>
      <c r="DI57" s="1026">
        <f t="shared" si="59"/>
        <v>0</v>
      </c>
      <c r="DJ57" s="1026">
        <f t="shared" si="59"/>
        <v>0</v>
      </c>
      <c r="DK57" s="1026">
        <f t="shared" si="59"/>
        <v>0</v>
      </c>
      <c r="DL57" s="1026">
        <f t="shared" si="59"/>
        <v>0</v>
      </c>
      <c r="DM57" s="1026">
        <f t="shared" si="59"/>
        <v>0</v>
      </c>
      <c r="DN57" s="1026">
        <f t="shared" si="59"/>
        <v>0</v>
      </c>
      <c r="DO57" s="1026">
        <f t="shared" si="59"/>
        <v>0</v>
      </c>
      <c r="DP57" s="1026">
        <f t="shared" si="59"/>
        <v>0</v>
      </c>
      <c r="DQ57" s="1026">
        <f t="shared" si="59"/>
        <v>0</v>
      </c>
      <c r="DR57" s="1026">
        <f t="shared" si="59"/>
        <v>0</v>
      </c>
      <c r="DS57" s="1026">
        <f t="shared" si="59"/>
        <v>0</v>
      </c>
      <c r="DT57" s="1026">
        <f t="shared" si="59"/>
        <v>0</v>
      </c>
      <c r="DU57" s="1026">
        <f t="shared" si="59"/>
        <v>0</v>
      </c>
      <c r="DV57" s="1026">
        <f t="shared" si="59"/>
        <v>0</v>
      </c>
      <c r="DW57" s="1026">
        <f t="shared" si="59"/>
        <v>0</v>
      </c>
      <c r="DX57" s="1026">
        <f t="shared" si="59"/>
        <v>0</v>
      </c>
      <c r="DY57" s="1026">
        <f t="shared" si="59"/>
        <v>0</v>
      </c>
      <c r="DZ57" s="1026">
        <f t="shared" si="59"/>
        <v>0</v>
      </c>
      <c r="EA57" s="1026">
        <f t="shared" ref="EA57:GL57" si="60">EA53-EA54-EA55-EA56</f>
        <v>0</v>
      </c>
      <c r="EB57" s="1026">
        <f t="shared" si="60"/>
        <v>0</v>
      </c>
      <c r="EC57" s="1026">
        <f t="shared" si="60"/>
        <v>0</v>
      </c>
      <c r="ED57" s="1026">
        <f t="shared" si="60"/>
        <v>0</v>
      </c>
      <c r="EE57" s="1026">
        <f t="shared" si="60"/>
        <v>0</v>
      </c>
      <c r="EF57" s="1026">
        <f t="shared" si="60"/>
        <v>0</v>
      </c>
      <c r="EG57" s="1026">
        <f t="shared" si="60"/>
        <v>0</v>
      </c>
      <c r="EH57" s="1026">
        <f t="shared" si="60"/>
        <v>0</v>
      </c>
      <c r="EI57" s="1026">
        <f t="shared" si="60"/>
        <v>0</v>
      </c>
      <c r="EJ57" s="1026">
        <f t="shared" si="60"/>
        <v>0</v>
      </c>
      <c r="EK57" s="1026">
        <f t="shared" si="60"/>
        <v>0</v>
      </c>
      <c r="EL57" s="1026">
        <f t="shared" si="60"/>
        <v>0</v>
      </c>
      <c r="EM57" s="1026">
        <f t="shared" si="60"/>
        <v>0</v>
      </c>
      <c r="EN57" s="1026">
        <f t="shared" si="60"/>
        <v>0</v>
      </c>
      <c r="EO57" s="1026">
        <f t="shared" si="60"/>
        <v>0</v>
      </c>
      <c r="EP57" s="1026">
        <f t="shared" si="60"/>
        <v>0</v>
      </c>
      <c r="EQ57" s="1026">
        <f t="shared" si="60"/>
        <v>0</v>
      </c>
      <c r="ER57" s="1026">
        <f t="shared" si="60"/>
        <v>0</v>
      </c>
      <c r="ES57" s="1026">
        <f t="shared" si="60"/>
        <v>0</v>
      </c>
      <c r="ET57" s="1026">
        <f t="shared" si="60"/>
        <v>0</v>
      </c>
      <c r="EU57" s="1026">
        <f t="shared" si="60"/>
        <v>0</v>
      </c>
      <c r="EV57" s="1026">
        <f t="shared" si="60"/>
        <v>0</v>
      </c>
      <c r="EW57" s="1026">
        <f t="shared" si="60"/>
        <v>0</v>
      </c>
      <c r="EX57" s="1026">
        <f t="shared" si="60"/>
        <v>0</v>
      </c>
      <c r="EY57" s="1026">
        <f t="shared" si="60"/>
        <v>0</v>
      </c>
      <c r="EZ57" s="1026">
        <f t="shared" si="60"/>
        <v>0</v>
      </c>
      <c r="FA57" s="1026">
        <f t="shared" si="60"/>
        <v>0</v>
      </c>
      <c r="FB57" s="1026">
        <f t="shared" si="60"/>
        <v>0</v>
      </c>
      <c r="FC57" s="1026">
        <f t="shared" si="60"/>
        <v>0</v>
      </c>
      <c r="FD57" s="1026">
        <f t="shared" si="60"/>
        <v>0</v>
      </c>
      <c r="FE57" s="1026">
        <f t="shared" si="60"/>
        <v>0</v>
      </c>
      <c r="FF57" s="1026">
        <f t="shared" si="60"/>
        <v>0</v>
      </c>
      <c r="FG57" s="1026">
        <f t="shared" si="60"/>
        <v>0</v>
      </c>
      <c r="FH57" s="1026">
        <f t="shared" si="60"/>
        <v>0</v>
      </c>
      <c r="FI57" s="1026">
        <f t="shared" si="60"/>
        <v>0</v>
      </c>
      <c r="FJ57" s="1026">
        <f t="shared" si="60"/>
        <v>0</v>
      </c>
      <c r="FK57" s="1026">
        <f t="shared" si="60"/>
        <v>0</v>
      </c>
      <c r="FL57" s="1026">
        <f t="shared" si="60"/>
        <v>0</v>
      </c>
      <c r="FM57" s="1026">
        <f t="shared" si="60"/>
        <v>0</v>
      </c>
      <c r="FN57" s="1026">
        <f t="shared" si="60"/>
        <v>0</v>
      </c>
      <c r="FO57" s="1026">
        <f t="shared" si="60"/>
        <v>0</v>
      </c>
      <c r="FP57" s="1026">
        <f t="shared" si="60"/>
        <v>0</v>
      </c>
      <c r="FQ57" s="1026">
        <f t="shared" si="60"/>
        <v>0</v>
      </c>
      <c r="FR57" s="1026">
        <f t="shared" si="60"/>
        <v>0</v>
      </c>
      <c r="FS57" s="1026">
        <f t="shared" si="60"/>
        <v>0</v>
      </c>
      <c r="FT57" s="1026">
        <f t="shared" si="60"/>
        <v>0</v>
      </c>
      <c r="FU57" s="1026">
        <f t="shared" si="60"/>
        <v>0</v>
      </c>
      <c r="FV57" s="1026">
        <f t="shared" si="60"/>
        <v>0</v>
      </c>
      <c r="FW57" s="1026">
        <f t="shared" si="60"/>
        <v>0</v>
      </c>
      <c r="FX57" s="1026">
        <f t="shared" si="60"/>
        <v>0</v>
      </c>
      <c r="FY57" s="1026">
        <f t="shared" si="60"/>
        <v>0</v>
      </c>
      <c r="FZ57" s="1026">
        <f t="shared" si="60"/>
        <v>0</v>
      </c>
      <c r="GA57" s="1026">
        <f t="shared" si="60"/>
        <v>0</v>
      </c>
      <c r="GB57" s="1026">
        <f t="shared" si="60"/>
        <v>0</v>
      </c>
      <c r="GC57" s="1026">
        <f t="shared" si="60"/>
        <v>0</v>
      </c>
      <c r="GD57" s="1026">
        <f t="shared" si="60"/>
        <v>0</v>
      </c>
      <c r="GE57" s="1026">
        <f t="shared" si="60"/>
        <v>0</v>
      </c>
      <c r="GF57" s="1026">
        <f t="shared" si="60"/>
        <v>0</v>
      </c>
      <c r="GG57" s="1026">
        <f t="shared" si="60"/>
        <v>0</v>
      </c>
      <c r="GH57" s="1026">
        <f t="shared" si="60"/>
        <v>0</v>
      </c>
      <c r="GI57" s="1026">
        <f t="shared" si="60"/>
        <v>0</v>
      </c>
      <c r="GJ57" s="1026">
        <f t="shared" si="60"/>
        <v>0</v>
      </c>
      <c r="GK57" s="1026">
        <f t="shared" si="60"/>
        <v>0</v>
      </c>
      <c r="GL57" s="1026">
        <f t="shared" si="60"/>
        <v>0</v>
      </c>
      <c r="GM57" s="1026">
        <f t="shared" ref="GM57:IR57" si="61">GM53-GM54-GM55-GM56</f>
        <v>0</v>
      </c>
      <c r="GN57" s="1026">
        <f t="shared" si="61"/>
        <v>0</v>
      </c>
      <c r="GO57" s="1026">
        <f t="shared" si="61"/>
        <v>0</v>
      </c>
      <c r="GP57" s="1026">
        <f t="shared" si="61"/>
        <v>0</v>
      </c>
      <c r="GQ57" s="1026">
        <f t="shared" si="61"/>
        <v>0</v>
      </c>
      <c r="GR57" s="1026">
        <f t="shared" si="61"/>
        <v>0</v>
      </c>
      <c r="GS57" s="1026">
        <f t="shared" si="61"/>
        <v>0</v>
      </c>
      <c r="GT57" s="1026">
        <f t="shared" si="61"/>
        <v>0</v>
      </c>
      <c r="GU57" s="1026">
        <f t="shared" si="61"/>
        <v>0</v>
      </c>
      <c r="GV57" s="1026">
        <f t="shared" si="61"/>
        <v>0</v>
      </c>
      <c r="GW57" s="1026">
        <f t="shared" si="61"/>
        <v>0</v>
      </c>
      <c r="GX57" s="1026">
        <f t="shared" si="61"/>
        <v>0</v>
      </c>
      <c r="GY57" s="1026">
        <f t="shared" si="61"/>
        <v>0</v>
      </c>
      <c r="GZ57" s="1026">
        <f t="shared" si="61"/>
        <v>0</v>
      </c>
      <c r="HA57" s="1026">
        <f t="shared" si="61"/>
        <v>0</v>
      </c>
      <c r="HB57" s="1026">
        <f t="shared" si="61"/>
        <v>0</v>
      </c>
      <c r="HC57" s="1026">
        <f t="shared" si="61"/>
        <v>0</v>
      </c>
      <c r="HD57" s="1026">
        <f t="shared" si="61"/>
        <v>0</v>
      </c>
      <c r="HE57" s="1026">
        <f t="shared" si="61"/>
        <v>0</v>
      </c>
      <c r="HF57" s="1026">
        <f t="shared" si="61"/>
        <v>0</v>
      </c>
      <c r="HG57" s="1026">
        <f t="shared" si="61"/>
        <v>0</v>
      </c>
      <c r="HH57" s="1026">
        <f t="shared" si="61"/>
        <v>0</v>
      </c>
      <c r="HI57" s="1026">
        <f t="shared" si="61"/>
        <v>0</v>
      </c>
      <c r="HJ57" s="1026">
        <f t="shared" si="61"/>
        <v>0</v>
      </c>
      <c r="HK57" s="1026">
        <f t="shared" si="61"/>
        <v>0</v>
      </c>
      <c r="HL57" s="1026">
        <f t="shared" si="61"/>
        <v>0</v>
      </c>
      <c r="HM57" s="1026">
        <f t="shared" si="61"/>
        <v>0</v>
      </c>
      <c r="HN57" s="1026">
        <f t="shared" si="61"/>
        <v>0</v>
      </c>
      <c r="HO57" s="1026">
        <f t="shared" si="61"/>
        <v>0</v>
      </c>
      <c r="HP57" s="1026">
        <f t="shared" si="61"/>
        <v>0</v>
      </c>
      <c r="HQ57" s="1026">
        <f t="shared" si="61"/>
        <v>0</v>
      </c>
      <c r="HR57" s="1026">
        <f t="shared" si="61"/>
        <v>0</v>
      </c>
      <c r="HS57" s="1026">
        <f t="shared" si="61"/>
        <v>0</v>
      </c>
      <c r="HT57" s="1026">
        <f t="shared" si="61"/>
        <v>0</v>
      </c>
      <c r="HU57" s="1026">
        <f t="shared" si="61"/>
        <v>0</v>
      </c>
      <c r="HV57" s="1026">
        <f t="shared" si="61"/>
        <v>0</v>
      </c>
      <c r="HW57" s="1026">
        <f t="shared" si="61"/>
        <v>0</v>
      </c>
      <c r="HX57" s="1026">
        <f t="shared" si="61"/>
        <v>0</v>
      </c>
      <c r="HY57" s="1026">
        <f t="shared" si="61"/>
        <v>0</v>
      </c>
      <c r="HZ57" s="1026">
        <f t="shared" si="61"/>
        <v>0</v>
      </c>
      <c r="IA57" s="1026">
        <f t="shared" si="61"/>
        <v>0</v>
      </c>
      <c r="IB57" s="1026">
        <f t="shared" si="61"/>
        <v>0</v>
      </c>
      <c r="IC57" s="1026">
        <f t="shared" si="61"/>
        <v>0</v>
      </c>
      <c r="ID57" s="1026">
        <f t="shared" si="61"/>
        <v>0</v>
      </c>
      <c r="IE57" s="1026">
        <f t="shared" si="61"/>
        <v>0</v>
      </c>
      <c r="IF57" s="1026">
        <f t="shared" si="61"/>
        <v>0</v>
      </c>
      <c r="IG57" s="1026">
        <f t="shared" si="61"/>
        <v>0</v>
      </c>
      <c r="IH57" s="1026">
        <f t="shared" si="61"/>
        <v>0</v>
      </c>
      <c r="II57" s="1026">
        <f t="shared" si="61"/>
        <v>0</v>
      </c>
      <c r="IJ57" s="1026">
        <f t="shared" si="61"/>
        <v>0</v>
      </c>
      <c r="IK57" s="1026">
        <f t="shared" si="61"/>
        <v>0</v>
      </c>
      <c r="IL57" s="1026">
        <f t="shared" si="61"/>
        <v>0</v>
      </c>
      <c r="IM57" s="1026">
        <f t="shared" si="61"/>
        <v>0</v>
      </c>
      <c r="IN57" s="1026">
        <f t="shared" si="61"/>
        <v>0</v>
      </c>
      <c r="IO57" s="1026">
        <f t="shared" si="61"/>
        <v>0</v>
      </c>
      <c r="IP57" s="1026">
        <f t="shared" si="61"/>
        <v>0</v>
      </c>
      <c r="IQ57" s="1026">
        <f t="shared" si="61"/>
        <v>0</v>
      </c>
      <c r="IR57" s="1026">
        <f t="shared" si="61"/>
        <v>0</v>
      </c>
      <c r="IS57" s="1029"/>
      <c r="IT57" s="1029"/>
    </row>
    <row r="58" spans="2:254" s="960" customFormat="1" ht="11.25" hidden="1" customHeight="1" outlineLevel="1">
      <c r="B58" s="1021" t="s">
        <v>705</v>
      </c>
      <c r="C58" s="1030">
        <f>(((-flow!AI57)/sumry!BR35)*$V$23)</f>
        <v>0</v>
      </c>
      <c r="D58" s="1030">
        <f>(((-flow!AK57)/sumry!BS35)*$V$23)</f>
        <v>0</v>
      </c>
      <c r="E58" s="1030">
        <f>(((-flow!AM57)/sumry!BT35)*$V$23)</f>
        <v>0</v>
      </c>
      <c r="F58" s="1030">
        <f>(((-flow!AO57)/sumry!BU35)*$V$23)</f>
        <v>0</v>
      </c>
      <c r="G58" s="1030">
        <f t="shared" ref="G58:AL58" si="62">(0*$V$23)</f>
        <v>0</v>
      </c>
      <c r="H58" s="1030">
        <f t="shared" si="62"/>
        <v>0</v>
      </c>
      <c r="I58" s="1030">
        <f t="shared" si="62"/>
        <v>0</v>
      </c>
      <c r="J58" s="1030">
        <f t="shared" si="62"/>
        <v>0</v>
      </c>
      <c r="K58" s="1030">
        <f t="shared" si="62"/>
        <v>0</v>
      </c>
      <c r="L58" s="1030">
        <f t="shared" si="62"/>
        <v>0</v>
      </c>
      <c r="M58" s="1030">
        <f t="shared" si="62"/>
        <v>0</v>
      </c>
      <c r="N58" s="1030">
        <f t="shared" si="62"/>
        <v>0</v>
      </c>
      <c r="O58" s="1030">
        <f t="shared" si="62"/>
        <v>0</v>
      </c>
      <c r="P58" s="1030">
        <f t="shared" si="62"/>
        <v>0</v>
      </c>
      <c r="Q58" s="1030">
        <f t="shared" si="62"/>
        <v>0</v>
      </c>
      <c r="R58" s="1030">
        <f t="shared" si="62"/>
        <v>0</v>
      </c>
      <c r="S58" s="1030">
        <f t="shared" si="62"/>
        <v>0</v>
      </c>
      <c r="T58" s="1030">
        <f t="shared" si="62"/>
        <v>0</v>
      </c>
      <c r="U58" s="1030">
        <f t="shared" si="62"/>
        <v>0</v>
      </c>
      <c r="V58" s="1030">
        <f t="shared" si="62"/>
        <v>0</v>
      </c>
      <c r="W58" s="1030">
        <f t="shared" si="62"/>
        <v>0</v>
      </c>
      <c r="X58" s="1030">
        <f t="shared" si="62"/>
        <v>0</v>
      </c>
      <c r="Y58" s="1030">
        <f t="shared" si="62"/>
        <v>0</v>
      </c>
      <c r="Z58" s="1030">
        <f t="shared" si="62"/>
        <v>0</v>
      </c>
      <c r="AA58" s="1030">
        <f t="shared" si="62"/>
        <v>0</v>
      </c>
      <c r="AB58" s="1030">
        <f t="shared" si="62"/>
        <v>0</v>
      </c>
      <c r="AC58" s="1030">
        <f t="shared" si="62"/>
        <v>0</v>
      </c>
      <c r="AD58" s="1030">
        <f t="shared" si="62"/>
        <v>0</v>
      </c>
      <c r="AE58" s="1030">
        <f t="shared" si="62"/>
        <v>0</v>
      </c>
      <c r="AF58" s="1030">
        <f t="shared" si="62"/>
        <v>0</v>
      </c>
      <c r="AG58" s="1030">
        <f t="shared" si="62"/>
        <v>0</v>
      </c>
      <c r="AH58" s="1030">
        <f t="shared" si="62"/>
        <v>0</v>
      </c>
      <c r="AI58" s="1030">
        <f t="shared" si="62"/>
        <v>0</v>
      </c>
      <c r="AJ58" s="1030">
        <f t="shared" si="62"/>
        <v>0</v>
      </c>
      <c r="AK58" s="1030">
        <f t="shared" si="62"/>
        <v>0</v>
      </c>
      <c r="AL58" s="1030">
        <f t="shared" si="62"/>
        <v>0</v>
      </c>
      <c r="AM58" s="1030">
        <f t="shared" ref="AM58:BR58" si="63">(0*$V$23)</f>
        <v>0</v>
      </c>
      <c r="AN58" s="1030">
        <f t="shared" si="63"/>
        <v>0</v>
      </c>
      <c r="AO58" s="1030">
        <f t="shared" si="63"/>
        <v>0</v>
      </c>
      <c r="AP58" s="1030">
        <f t="shared" si="63"/>
        <v>0</v>
      </c>
      <c r="AQ58" s="1030">
        <f t="shared" si="63"/>
        <v>0</v>
      </c>
      <c r="AR58" s="1030">
        <f t="shared" si="63"/>
        <v>0</v>
      </c>
      <c r="AS58" s="1030">
        <f t="shared" si="63"/>
        <v>0</v>
      </c>
      <c r="AT58" s="1030">
        <f t="shared" si="63"/>
        <v>0</v>
      </c>
      <c r="AU58" s="1030">
        <f t="shared" si="63"/>
        <v>0</v>
      </c>
      <c r="AV58" s="1030">
        <f t="shared" si="63"/>
        <v>0</v>
      </c>
      <c r="AW58" s="1030">
        <f t="shared" si="63"/>
        <v>0</v>
      </c>
      <c r="AX58" s="1030">
        <f t="shared" si="63"/>
        <v>0</v>
      </c>
      <c r="AY58" s="1030">
        <f t="shared" si="63"/>
        <v>0</v>
      </c>
      <c r="AZ58" s="1030">
        <f t="shared" si="63"/>
        <v>0</v>
      </c>
      <c r="BA58" s="1030">
        <f t="shared" si="63"/>
        <v>0</v>
      </c>
      <c r="BB58" s="1030">
        <f t="shared" si="63"/>
        <v>0</v>
      </c>
      <c r="BC58" s="1030">
        <f t="shared" si="63"/>
        <v>0</v>
      </c>
      <c r="BD58" s="1030">
        <f t="shared" si="63"/>
        <v>0</v>
      </c>
      <c r="BE58" s="1030">
        <f t="shared" si="63"/>
        <v>0</v>
      </c>
      <c r="BF58" s="1030">
        <f t="shared" si="63"/>
        <v>0</v>
      </c>
      <c r="BG58" s="1030">
        <f t="shared" si="63"/>
        <v>0</v>
      </c>
      <c r="BH58" s="1030">
        <f t="shared" si="63"/>
        <v>0</v>
      </c>
      <c r="BI58" s="1030">
        <f t="shared" si="63"/>
        <v>0</v>
      </c>
      <c r="BJ58" s="1030">
        <f t="shared" si="63"/>
        <v>0</v>
      </c>
      <c r="BK58" s="1030">
        <f t="shared" si="63"/>
        <v>0</v>
      </c>
      <c r="BL58" s="1030">
        <f t="shared" si="63"/>
        <v>0</v>
      </c>
      <c r="BM58" s="1030">
        <f t="shared" si="63"/>
        <v>0</v>
      </c>
      <c r="BN58" s="1030">
        <f t="shared" si="63"/>
        <v>0</v>
      </c>
      <c r="BO58" s="1030">
        <f t="shared" si="63"/>
        <v>0</v>
      </c>
      <c r="BP58" s="1030">
        <f t="shared" si="63"/>
        <v>0</v>
      </c>
      <c r="BQ58" s="1030">
        <f t="shared" si="63"/>
        <v>0</v>
      </c>
      <c r="BR58" s="1030">
        <f t="shared" si="63"/>
        <v>0</v>
      </c>
      <c r="BS58" s="1030">
        <f t="shared" ref="BS58:BX58" si="64">(0*$V$23)</f>
        <v>0</v>
      </c>
      <c r="BT58" s="1030">
        <f t="shared" si="64"/>
        <v>0</v>
      </c>
      <c r="BU58" s="1030">
        <f t="shared" si="64"/>
        <v>0</v>
      </c>
      <c r="BV58" s="1030">
        <f t="shared" si="64"/>
        <v>0</v>
      </c>
      <c r="BW58" s="1030">
        <f t="shared" si="64"/>
        <v>0</v>
      </c>
      <c r="BX58" s="1030">
        <f t="shared" si="64"/>
        <v>0</v>
      </c>
      <c r="BY58" s="1026"/>
      <c r="BZ58" s="1026"/>
      <c r="CA58" s="1026"/>
      <c r="CB58" s="1026"/>
      <c r="CC58" s="1026"/>
      <c r="CD58" s="1026"/>
      <c r="CE58" s="1026"/>
      <c r="CF58" s="1026"/>
      <c r="CG58" s="1026"/>
      <c r="CH58" s="1026"/>
      <c r="CI58" s="1026"/>
      <c r="CJ58" s="1026"/>
      <c r="CK58" s="1026"/>
      <c r="CL58" s="1026"/>
      <c r="CM58" s="1026"/>
      <c r="CN58" s="1026"/>
      <c r="CO58" s="1026"/>
      <c r="CP58" s="1026"/>
      <c r="CQ58" s="1026"/>
      <c r="CR58" s="1026"/>
      <c r="CS58" s="1026"/>
      <c r="CT58" s="1026"/>
      <c r="CU58" s="1026"/>
      <c r="CV58" s="1026"/>
      <c r="CW58" s="1026"/>
      <c r="CX58" s="1026"/>
      <c r="CY58" s="1026"/>
      <c r="CZ58" s="1026"/>
      <c r="DA58" s="1026"/>
      <c r="DB58" s="1026"/>
      <c r="DC58" s="1026"/>
      <c r="DD58" s="1026"/>
      <c r="DE58" s="1026"/>
      <c r="DF58" s="1026"/>
      <c r="DG58" s="1026"/>
      <c r="DH58" s="1026"/>
      <c r="DI58" s="1026"/>
      <c r="DJ58" s="1026"/>
      <c r="DK58" s="1026"/>
      <c r="DL58" s="1026"/>
      <c r="DM58" s="1026"/>
      <c r="DN58" s="1026"/>
      <c r="DO58" s="1026"/>
      <c r="DP58" s="1026"/>
      <c r="DQ58" s="1026"/>
      <c r="DR58" s="1026"/>
      <c r="DS58" s="1026"/>
      <c r="DT58" s="1026"/>
      <c r="DU58" s="1026"/>
      <c r="DV58" s="1026"/>
      <c r="DW58" s="1026"/>
      <c r="DX58" s="1026"/>
      <c r="DY58" s="1026"/>
      <c r="DZ58" s="1026"/>
      <c r="EA58" s="1026"/>
      <c r="EB58" s="1026"/>
      <c r="EC58" s="1026"/>
      <c r="ED58" s="1026"/>
      <c r="EE58" s="1026"/>
      <c r="EF58" s="1026"/>
      <c r="EG58" s="1026"/>
      <c r="EH58" s="1026"/>
      <c r="EI58" s="1026"/>
      <c r="EJ58" s="1026"/>
      <c r="EK58" s="1026"/>
      <c r="EL58" s="1026"/>
      <c r="EM58" s="1026"/>
      <c r="EN58" s="1026"/>
      <c r="EO58" s="1026"/>
      <c r="EP58" s="1026"/>
      <c r="EQ58" s="1026"/>
      <c r="ER58" s="1026"/>
      <c r="ES58" s="1026"/>
      <c r="ET58" s="1026"/>
      <c r="EU58" s="1026"/>
      <c r="EV58" s="1026"/>
      <c r="EW58" s="1026"/>
      <c r="EX58" s="1026"/>
      <c r="EY58" s="1026"/>
      <c r="EZ58" s="1026"/>
      <c r="FA58" s="1026"/>
      <c r="FB58" s="1026"/>
      <c r="FC58" s="1026"/>
      <c r="FD58" s="1026"/>
      <c r="FE58" s="1026"/>
      <c r="FF58" s="1026"/>
      <c r="FG58" s="1026"/>
      <c r="FH58" s="1026"/>
      <c r="FI58" s="1026"/>
      <c r="FJ58" s="1026"/>
      <c r="FK58" s="1026"/>
      <c r="FL58" s="1026"/>
      <c r="FM58" s="1026"/>
      <c r="FN58" s="1026"/>
      <c r="FO58" s="1026"/>
      <c r="FP58" s="1026"/>
      <c r="FQ58" s="1026"/>
      <c r="FR58" s="1026"/>
      <c r="FS58" s="1026"/>
      <c r="FT58" s="1026"/>
      <c r="FU58" s="1026"/>
      <c r="FV58" s="1026"/>
      <c r="FW58" s="1026"/>
      <c r="FX58" s="1026"/>
      <c r="FY58" s="1026"/>
      <c r="FZ58" s="1026"/>
      <c r="GA58" s="1026"/>
      <c r="GB58" s="1026"/>
      <c r="GC58" s="1026"/>
      <c r="GD58" s="1026"/>
      <c r="GE58" s="1026"/>
      <c r="GF58" s="1026"/>
      <c r="GG58" s="1026"/>
      <c r="GH58" s="1026"/>
      <c r="GI58" s="1026"/>
      <c r="GJ58" s="1026"/>
      <c r="GK58" s="1026"/>
      <c r="GL58" s="1026"/>
      <c r="GM58" s="1026"/>
      <c r="GN58" s="1026"/>
      <c r="GO58" s="1026"/>
      <c r="GP58" s="1026"/>
      <c r="GQ58" s="1026"/>
      <c r="GR58" s="1026"/>
      <c r="GS58" s="1026"/>
      <c r="GT58" s="1026"/>
      <c r="GU58" s="1026"/>
      <c r="GV58" s="1026"/>
      <c r="GW58" s="1026"/>
      <c r="GX58" s="1026"/>
      <c r="GY58" s="1026"/>
      <c r="GZ58" s="1026"/>
      <c r="HA58" s="1026"/>
      <c r="HB58" s="1026"/>
      <c r="HC58" s="1026"/>
      <c r="HD58" s="1026"/>
      <c r="HE58" s="1026"/>
      <c r="HF58" s="1026"/>
      <c r="HG58" s="1026"/>
      <c r="HH58" s="1026"/>
      <c r="HI58" s="1026"/>
      <c r="HJ58" s="1026"/>
      <c r="HK58" s="1026"/>
      <c r="HL58" s="1026"/>
      <c r="HM58" s="1026"/>
      <c r="HN58" s="1026"/>
      <c r="HO58" s="1026"/>
      <c r="HP58" s="1026"/>
      <c r="HQ58" s="1026"/>
      <c r="HR58" s="1026"/>
      <c r="HS58" s="1026"/>
      <c r="HT58" s="1026"/>
      <c r="HU58" s="1026"/>
      <c r="HV58" s="1026"/>
      <c r="HW58" s="1026"/>
      <c r="HX58" s="1026"/>
      <c r="HY58" s="1026"/>
      <c r="HZ58" s="1026"/>
      <c r="IA58" s="1026"/>
      <c r="IB58" s="1026"/>
      <c r="IC58" s="1026"/>
      <c r="ID58" s="1026"/>
      <c r="IE58" s="1026"/>
      <c r="IF58" s="1026"/>
      <c r="IG58" s="1026"/>
      <c r="IH58" s="1026"/>
      <c r="II58" s="1026"/>
      <c r="IJ58" s="1026"/>
      <c r="IK58" s="1026"/>
      <c r="IL58" s="1026"/>
      <c r="IM58" s="1026"/>
      <c r="IN58" s="1026"/>
      <c r="IO58" s="1026"/>
      <c r="IP58" s="1026"/>
      <c r="IQ58" s="1026"/>
      <c r="IR58" s="1026"/>
      <c r="IS58" s="1029"/>
      <c r="IT58" s="1029"/>
    </row>
    <row r="59" spans="2:254" s="960" customFormat="1" ht="11.25" hidden="1" customHeight="1" outlineLevel="1">
      <c r="B59" s="888" t="s">
        <v>706</v>
      </c>
      <c r="C59" s="1030">
        <f>(((-flow!AG57)/sumry!BQ35)*$V$23)</f>
        <v>0</v>
      </c>
      <c r="D59" s="1030"/>
      <c r="E59" s="1030"/>
      <c r="F59" s="1030"/>
      <c r="G59" s="1030"/>
      <c r="H59" s="1030"/>
      <c r="I59" s="1030"/>
      <c r="J59" s="1030"/>
      <c r="K59" s="1030"/>
      <c r="L59" s="1030"/>
      <c r="M59" s="1030"/>
      <c r="N59" s="1030"/>
      <c r="O59" s="1030"/>
      <c r="P59" s="1030"/>
      <c r="Q59" s="1030"/>
      <c r="R59" s="1030"/>
      <c r="S59" s="1031"/>
      <c r="T59" s="1031"/>
      <c r="U59" s="1031"/>
      <c r="V59" s="1031"/>
      <c r="W59" s="1032"/>
      <c r="X59" s="1033"/>
      <c r="Y59" s="1034"/>
      <c r="Z59" s="1034"/>
      <c r="AA59" s="1034"/>
      <c r="AB59" s="1034"/>
      <c r="AC59" s="1034"/>
      <c r="AD59" s="1034"/>
      <c r="AE59" s="1034"/>
      <c r="AF59" s="1034"/>
      <c r="AG59" s="1034"/>
      <c r="AH59" s="1034"/>
      <c r="AI59" s="1034"/>
      <c r="AJ59" s="1034"/>
      <c r="AK59" s="1034"/>
      <c r="AL59" s="1034"/>
      <c r="AM59" s="1034"/>
      <c r="AN59" s="1034"/>
      <c r="AO59" s="1034"/>
      <c r="AP59" s="1034"/>
      <c r="AQ59" s="1034"/>
      <c r="AR59" s="1034"/>
      <c r="AS59" s="1034"/>
      <c r="AT59" s="1034"/>
      <c r="AU59" s="1034"/>
      <c r="AV59" s="1034"/>
      <c r="AW59" s="1034"/>
      <c r="AX59" s="1034"/>
      <c r="AY59" s="1034"/>
      <c r="AZ59" s="1034"/>
      <c r="BA59" s="1034"/>
      <c r="BB59" s="1034"/>
      <c r="BC59" s="1034"/>
      <c r="BD59" s="1034"/>
      <c r="BE59" s="1034"/>
      <c r="BF59" s="1034"/>
      <c r="BG59" s="1034"/>
      <c r="BH59" s="1034"/>
      <c r="BI59" s="1034"/>
      <c r="BJ59" s="1034"/>
      <c r="BK59" s="1034"/>
      <c r="BL59" s="1034"/>
      <c r="BM59" s="1034"/>
      <c r="BN59" s="1034"/>
      <c r="BO59" s="1034"/>
      <c r="BP59" s="1034"/>
      <c r="BQ59" s="1034"/>
      <c r="BR59" s="1034"/>
      <c r="BS59" s="1034"/>
      <c r="BT59" s="1034"/>
      <c r="BU59" s="1034"/>
      <c r="BV59" s="1034"/>
      <c r="BW59" s="1034"/>
      <c r="BX59" s="1034"/>
      <c r="BY59" s="1034"/>
      <c r="BZ59" s="1034"/>
      <c r="CA59" s="1034"/>
      <c r="CB59" s="1034"/>
      <c r="CC59" s="1034"/>
      <c r="CD59" s="1034"/>
      <c r="CE59" s="1034"/>
      <c r="CF59" s="1034"/>
      <c r="CG59" s="1034"/>
      <c r="CH59" s="1034"/>
      <c r="CI59" s="1034"/>
      <c r="CJ59" s="1034"/>
      <c r="CK59" s="1034"/>
      <c r="CL59" s="1034"/>
      <c r="CM59" s="1034"/>
      <c r="CN59" s="1034"/>
      <c r="CO59" s="1034"/>
      <c r="CP59" s="1034"/>
      <c r="CQ59" s="1034"/>
      <c r="CR59" s="1034"/>
      <c r="CS59" s="1034"/>
      <c r="CT59" s="1034"/>
      <c r="CU59" s="1034"/>
      <c r="CV59" s="1034"/>
      <c r="CW59" s="1034"/>
      <c r="CX59" s="1034"/>
      <c r="CY59" s="1034"/>
      <c r="CZ59" s="1034"/>
      <c r="DA59" s="1034"/>
      <c r="DB59" s="1034"/>
      <c r="DC59" s="1034"/>
      <c r="DD59" s="1034"/>
      <c r="DE59" s="1034"/>
      <c r="DF59" s="1034"/>
      <c r="DG59" s="1034"/>
      <c r="DH59" s="1034"/>
      <c r="DI59" s="1034"/>
      <c r="DJ59" s="1034"/>
      <c r="DK59" s="1034"/>
      <c r="DL59" s="1034"/>
      <c r="DM59" s="1034"/>
      <c r="DN59" s="1034"/>
      <c r="DO59" s="1034"/>
      <c r="DP59" s="1034"/>
      <c r="DQ59" s="1034"/>
      <c r="DR59" s="1034"/>
      <c r="DS59" s="1034"/>
      <c r="DT59" s="1034"/>
      <c r="DU59" s="1034"/>
      <c r="DV59" s="1034"/>
      <c r="DW59" s="1034"/>
      <c r="DX59" s="1034"/>
      <c r="DY59" s="1034"/>
      <c r="DZ59" s="1034"/>
      <c r="EA59" s="1034"/>
      <c r="EB59" s="1034"/>
      <c r="EC59" s="1034"/>
      <c r="ED59" s="1034"/>
      <c r="EE59" s="1034"/>
      <c r="EF59" s="1034"/>
      <c r="EG59" s="1034"/>
      <c r="EH59" s="1034"/>
      <c r="EI59" s="1034"/>
      <c r="EJ59" s="1034"/>
      <c r="EK59" s="1034"/>
      <c r="EL59" s="1034"/>
      <c r="EM59" s="1034"/>
      <c r="EN59" s="1034"/>
      <c r="EO59" s="1034"/>
      <c r="EP59" s="1034"/>
      <c r="EQ59" s="1034"/>
      <c r="ER59" s="1034"/>
      <c r="ES59" s="1034"/>
      <c r="ET59" s="1034"/>
      <c r="EU59" s="1034"/>
      <c r="EV59" s="1034"/>
      <c r="EW59" s="1034"/>
      <c r="EX59" s="1034"/>
      <c r="EY59" s="1034"/>
      <c r="EZ59" s="1034"/>
      <c r="FA59" s="1034"/>
      <c r="FB59" s="1034"/>
      <c r="FC59" s="1034"/>
      <c r="FD59" s="1034"/>
      <c r="FE59" s="1034"/>
      <c r="FF59" s="1034"/>
      <c r="FG59" s="1034"/>
      <c r="FH59" s="1034"/>
      <c r="FI59" s="1034"/>
      <c r="FJ59" s="1034"/>
      <c r="FK59" s="1034"/>
      <c r="FL59" s="1034"/>
      <c r="FM59" s="1034"/>
      <c r="FN59" s="1034"/>
      <c r="FO59" s="1034"/>
      <c r="FP59" s="1034"/>
      <c r="FQ59" s="1034"/>
      <c r="FR59" s="1034"/>
      <c r="FS59" s="1034"/>
      <c r="FT59" s="1034"/>
      <c r="FU59" s="1034"/>
      <c r="FV59" s="1034"/>
      <c r="FW59" s="1034"/>
      <c r="FX59" s="1034"/>
      <c r="FY59" s="1034"/>
      <c r="FZ59" s="1034"/>
      <c r="GA59" s="1034"/>
      <c r="GB59" s="1034"/>
      <c r="GC59" s="1034"/>
      <c r="GD59" s="1034"/>
      <c r="GE59" s="1034"/>
      <c r="GF59" s="1034"/>
      <c r="GG59" s="1034"/>
      <c r="GH59" s="1034"/>
      <c r="GI59" s="1034"/>
      <c r="GJ59" s="1034"/>
      <c r="GK59" s="1034"/>
      <c r="GL59" s="1034"/>
      <c r="GM59" s="1034"/>
      <c r="GN59" s="1034"/>
      <c r="GO59" s="1034"/>
      <c r="GP59" s="1034"/>
      <c r="GQ59" s="1034"/>
      <c r="GR59" s="1034"/>
      <c r="GS59" s="1034"/>
      <c r="GT59" s="1034"/>
      <c r="GU59" s="1034"/>
      <c r="GV59" s="1034"/>
      <c r="GW59" s="1034"/>
      <c r="GX59" s="1034"/>
      <c r="GY59" s="1034"/>
      <c r="GZ59" s="1034"/>
      <c r="HA59" s="1034"/>
      <c r="HB59" s="1034"/>
      <c r="HC59" s="1034"/>
      <c r="HD59" s="1034"/>
      <c r="HE59" s="1034"/>
      <c r="HF59" s="1034"/>
      <c r="HG59" s="1034"/>
      <c r="HH59" s="1034"/>
      <c r="HI59" s="1034"/>
      <c r="HJ59" s="1034"/>
      <c r="HK59" s="1034"/>
      <c r="HL59" s="1034"/>
      <c r="HM59" s="1034"/>
      <c r="HN59" s="1034"/>
      <c r="HO59" s="1034"/>
      <c r="HP59" s="1034"/>
      <c r="HQ59" s="1034"/>
      <c r="HR59" s="1034"/>
      <c r="HS59" s="1034"/>
      <c r="HT59" s="1034"/>
      <c r="HU59" s="1034"/>
      <c r="HV59" s="1034"/>
      <c r="HW59" s="1034"/>
      <c r="HX59" s="1034"/>
      <c r="HY59" s="1034"/>
      <c r="HZ59" s="1034"/>
      <c r="IA59" s="1034"/>
      <c r="IB59" s="1034"/>
      <c r="IC59" s="1034"/>
      <c r="ID59" s="1034"/>
      <c r="IE59" s="1034"/>
      <c r="IF59" s="1034"/>
      <c r="IG59" s="1034"/>
      <c r="IH59" s="1034"/>
      <c r="II59" s="1034"/>
      <c r="IJ59" s="1034"/>
      <c r="IK59" s="1034"/>
      <c r="IL59" s="1034"/>
      <c r="IM59" s="1034"/>
      <c r="IN59" s="1034"/>
      <c r="IO59" s="1034"/>
      <c r="IP59" s="1034"/>
      <c r="IQ59" s="1034"/>
      <c r="IR59" s="1035"/>
    </row>
    <row r="60" spans="2:254" s="960" customFormat="1" ht="15" collapsed="1">
      <c r="B60" s="1017" t="s">
        <v>707</v>
      </c>
      <c r="C60" s="888"/>
      <c r="D60" s="1036"/>
      <c r="E60" s="929"/>
      <c r="F60" s="888"/>
      <c r="G60" s="888"/>
      <c r="H60" s="1037"/>
      <c r="I60" s="1037"/>
      <c r="J60" s="1037"/>
      <c r="K60" s="1037"/>
      <c r="L60" s="1037"/>
      <c r="M60" s="1038"/>
      <c r="N60" s="1037"/>
      <c r="O60" s="1037"/>
      <c r="P60" s="1037"/>
      <c r="Q60" s="1037"/>
      <c r="R60" s="1037"/>
      <c r="S60" s="1037"/>
      <c r="T60" s="1037"/>
      <c r="U60" s="1037"/>
      <c r="V60" s="1037"/>
      <c r="W60" s="1039"/>
      <c r="X60" s="1033"/>
      <c r="Y60" s="911"/>
      <c r="Z60" s="911"/>
      <c r="AA60" s="911"/>
      <c r="AB60" s="911"/>
      <c r="AC60" s="911"/>
      <c r="AD60" s="911"/>
      <c r="AE60" s="911"/>
      <c r="AF60" s="911"/>
      <c r="AG60" s="911"/>
      <c r="AH60" s="911"/>
      <c r="AI60" s="911"/>
      <c r="AJ60" s="911"/>
      <c r="AK60" s="911"/>
      <c r="AL60" s="911"/>
      <c r="AM60" s="911"/>
      <c r="AN60" s="911"/>
      <c r="AO60" s="911"/>
      <c r="AP60" s="911"/>
      <c r="AQ60" s="911"/>
      <c r="AR60" s="911"/>
      <c r="AS60" s="911"/>
      <c r="AT60" s="911"/>
      <c r="AU60" s="911"/>
      <c r="AV60" s="911"/>
      <c r="AW60" s="911"/>
      <c r="AX60" s="911"/>
      <c r="AY60" s="911"/>
      <c r="AZ60" s="911"/>
      <c r="BA60" s="911"/>
      <c r="BB60" s="911"/>
      <c r="BC60" s="911"/>
      <c r="BD60" s="911"/>
      <c r="BE60" s="911"/>
      <c r="BF60" s="911"/>
      <c r="BG60" s="911"/>
      <c r="BH60" s="911"/>
      <c r="BI60" s="911"/>
      <c r="BJ60" s="911"/>
      <c r="BK60" s="911"/>
      <c r="BL60" s="911"/>
      <c r="BM60" s="911"/>
      <c r="BN60" s="911"/>
      <c r="BO60" s="911"/>
      <c r="BP60" s="911"/>
      <c r="BQ60" s="911"/>
      <c r="BR60" s="911"/>
      <c r="BS60" s="911"/>
      <c r="BT60" s="911"/>
      <c r="BU60" s="911"/>
      <c r="BV60" s="911"/>
      <c r="BW60" s="911"/>
      <c r="BX60" s="911"/>
      <c r="BY60" s="911"/>
      <c r="BZ60" s="911"/>
      <c r="CA60" s="911"/>
      <c r="CB60" s="911"/>
      <c r="CC60" s="911"/>
      <c r="CD60" s="911"/>
      <c r="CE60" s="911"/>
      <c r="CF60" s="911"/>
      <c r="CG60" s="911"/>
      <c r="CH60" s="911"/>
      <c r="CI60" s="911"/>
      <c r="CJ60" s="911"/>
      <c r="CK60" s="911"/>
      <c r="CL60" s="911"/>
      <c r="CM60" s="911"/>
      <c r="CN60" s="911"/>
      <c r="CO60" s="911"/>
      <c r="CP60" s="911"/>
      <c r="CQ60" s="911"/>
      <c r="CR60" s="911"/>
      <c r="CS60" s="911"/>
      <c r="CT60" s="911"/>
      <c r="CU60" s="911"/>
      <c r="CV60" s="911"/>
      <c r="CW60" s="911"/>
      <c r="CX60" s="911"/>
      <c r="CY60" s="911"/>
      <c r="CZ60" s="911"/>
      <c r="DA60" s="911"/>
      <c r="DB60" s="911"/>
      <c r="DC60" s="911"/>
      <c r="DD60" s="911"/>
      <c r="DE60" s="911"/>
      <c r="DF60" s="911"/>
      <c r="DG60" s="911"/>
      <c r="DH60" s="911"/>
      <c r="DI60" s="911"/>
      <c r="DJ60" s="911"/>
      <c r="DK60" s="911"/>
      <c r="DL60" s="911"/>
      <c r="DM60" s="911"/>
      <c r="DN60" s="911"/>
      <c r="DO60" s="911"/>
      <c r="DP60" s="911"/>
      <c r="DQ60" s="911"/>
      <c r="DR60" s="911"/>
      <c r="DS60" s="911"/>
      <c r="DT60" s="911"/>
      <c r="DU60" s="911"/>
      <c r="DV60" s="911"/>
      <c r="DW60" s="911"/>
      <c r="DX60" s="911"/>
      <c r="DY60" s="911"/>
      <c r="DZ60" s="911"/>
      <c r="EA60" s="911"/>
      <c r="EB60" s="911"/>
      <c r="EC60" s="911"/>
      <c r="ED60" s="911"/>
      <c r="EE60" s="911"/>
      <c r="EF60" s="911"/>
      <c r="EG60" s="911"/>
      <c r="EH60" s="911"/>
      <c r="EI60" s="911"/>
      <c r="EJ60" s="911"/>
      <c r="EK60" s="911"/>
      <c r="EL60" s="911"/>
      <c r="EM60" s="911"/>
      <c r="EN60" s="911"/>
      <c r="EO60" s="911"/>
      <c r="EP60" s="911"/>
      <c r="EQ60" s="911"/>
      <c r="ER60" s="911"/>
      <c r="ES60" s="911"/>
      <c r="ET60" s="911"/>
      <c r="EU60" s="911"/>
      <c r="EV60" s="911"/>
      <c r="EW60" s="911"/>
      <c r="EX60" s="911"/>
      <c r="EY60" s="911"/>
      <c r="EZ60" s="911"/>
      <c r="FA60" s="911"/>
      <c r="FB60" s="911"/>
      <c r="FC60" s="911"/>
      <c r="FD60" s="911"/>
      <c r="FE60" s="911"/>
      <c r="FF60" s="911"/>
      <c r="FG60" s="911"/>
      <c r="FH60" s="911"/>
      <c r="FI60" s="911"/>
      <c r="FJ60" s="911"/>
      <c r="FK60" s="911"/>
      <c r="FL60" s="911"/>
      <c r="FM60" s="911"/>
      <c r="FN60" s="911"/>
      <c r="FO60" s="911"/>
      <c r="FP60" s="911"/>
      <c r="FQ60" s="911"/>
      <c r="FR60" s="911"/>
      <c r="FS60" s="911"/>
      <c r="FT60" s="911"/>
      <c r="FU60" s="911"/>
      <c r="FV60" s="911"/>
      <c r="FW60" s="911"/>
      <c r="FX60" s="911"/>
      <c r="FY60" s="911"/>
      <c r="FZ60" s="911"/>
      <c r="GA60" s="911"/>
      <c r="GB60" s="911"/>
      <c r="GC60" s="911"/>
      <c r="GD60" s="911"/>
      <c r="GE60" s="911"/>
      <c r="GF60" s="911"/>
      <c r="GG60" s="911"/>
      <c r="GH60" s="911"/>
      <c r="GI60" s="911"/>
      <c r="GJ60" s="911"/>
      <c r="GK60" s="911"/>
      <c r="GL60" s="911"/>
      <c r="GM60" s="911"/>
      <c r="GN60" s="911"/>
      <c r="GO60" s="911"/>
      <c r="GP60" s="911"/>
      <c r="GQ60" s="911"/>
      <c r="GR60" s="911"/>
      <c r="GS60" s="911"/>
      <c r="GT60" s="911"/>
      <c r="GU60" s="911"/>
      <c r="GV60" s="911"/>
      <c r="GW60" s="911"/>
      <c r="GX60" s="911"/>
      <c r="GY60" s="911"/>
      <c r="GZ60" s="911"/>
      <c r="HA60" s="911"/>
      <c r="HB60" s="911"/>
      <c r="HC60" s="911"/>
      <c r="HD60" s="911"/>
      <c r="HE60" s="911"/>
      <c r="HF60" s="911"/>
      <c r="HG60" s="911"/>
      <c r="HH60" s="911"/>
      <c r="HI60" s="911"/>
      <c r="HJ60" s="911"/>
      <c r="HK60" s="911"/>
      <c r="HL60" s="911"/>
      <c r="HM60" s="911"/>
      <c r="HN60" s="911"/>
      <c r="HO60" s="911"/>
      <c r="HP60" s="911"/>
      <c r="HQ60" s="911"/>
      <c r="HR60" s="911"/>
      <c r="HS60" s="911"/>
      <c r="HT60" s="911"/>
      <c r="HU60" s="911"/>
      <c r="HV60" s="911"/>
      <c r="HW60" s="911"/>
      <c r="HX60" s="911"/>
      <c r="HY60" s="911"/>
      <c r="HZ60" s="911"/>
      <c r="IA60" s="911"/>
      <c r="IB60" s="911"/>
      <c r="IC60" s="911"/>
      <c r="ID60" s="911"/>
      <c r="IE60" s="911"/>
      <c r="IF60" s="911"/>
      <c r="IG60" s="911"/>
      <c r="IH60" s="911"/>
      <c r="II60" s="911"/>
      <c r="IJ60" s="911"/>
      <c r="IK60" s="911"/>
      <c r="IL60" s="911"/>
      <c r="IM60" s="911"/>
      <c r="IN60" s="911"/>
      <c r="IO60" s="911"/>
      <c r="IP60" s="911"/>
      <c r="IQ60" s="911"/>
    </row>
    <row r="61" spans="2:254" s="960" customFormat="1" ht="11.25" customHeight="1">
      <c r="B61" s="888" t="s">
        <v>692</v>
      </c>
      <c r="C61" s="1036">
        <f t="shared" ref="C61:BN61" si="65">IF(C98="E",C42,B61*(1+C62))</f>
        <v>5098.9319999999998</v>
      </c>
      <c r="D61" s="1036">
        <f t="shared" si="65"/>
        <v>5566.0379999999996</v>
      </c>
      <c r="E61" s="1040">
        <f t="shared" si="65"/>
        <v>6084.7659999999996</v>
      </c>
      <c r="F61" s="1036">
        <f t="shared" si="65"/>
        <v>6587.3821933692661</v>
      </c>
      <c r="G61" s="1036">
        <f t="shared" ca="1" si="65"/>
        <v>7113.9757961724081</v>
      </c>
      <c r="H61" s="1036">
        <f t="shared" ca="1" si="65"/>
        <v>7663.7231316231009</v>
      </c>
      <c r="I61" s="1036">
        <f t="shared" ca="1" si="65"/>
        <v>8235.5475344662718</v>
      </c>
      <c r="J61" s="1036">
        <f t="shared" ca="1" si="65"/>
        <v>8828.1099206541476</v>
      </c>
      <c r="K61" s="1036">
        <f t="shared" ca="1" si="65"/>
        <v>9439.8020717009476</v>
      </c>
      <c r="L61" s="1036">
        <f t="shared" ca="1" si="65"/>
        <v>10068.742965243568</v>
      </c>
      <c r="M61" s="1036">
        <f t="shared" ca="1" si="65"/>
        <v>10712.778453943765</v>
      </c>
      <c r="N61" s="1036">
        <f t="shared" ca="1" si="65"/>
        <v>11369.484556611733</v>
      </c>
      <c r="O61" s="1036">
        <f t="shared" ca="1" si="65"/>
        <v>12036.17457849629</v>
      </c>
      <c r="P61" s="1036">
        <f t="shared" ca="1" si="65"/>
        <v>12709.910222504108</v>
      </c>
      <c r="Q61" s="1036">
        <f t="shared" ca="1" si="65"/>
        <v>13387.516790364283</v>
      </c>
      <c r="R61" s="1036">
        <f t="shared" ca="1" si="65"/>
        <v>14065.602503384824</v>
      </c>
      <c r="S61" s="1036">
        <f t="shared" ca="1" si="65"/>
        <v>14740.58189763954</v>
      </c>
      <c r="T61" s="1036">
        <f t="shared" ca="1" si="65"/>
        <v>15408.703169593791</v>
      </c>
      <c r="U61" s="1036">
        <f t="shared" ca="1" si="65"/>
        <v>16066.079266946179</v>
      </c>
      <c r="V61" s="1036">
        <f t="shared" ca="1" si="65"/>
        <v>16708.722437624026</v>
      </c>
      <c r="W61" s="1041">
        <f t="shared" ca="1" si="65"/>
        <v>17377.071335128989</v>
      </c>
      <c r="X61" s="979">
        <f t="shared" ca="1" si="65"/>
        <v>18072.15418853415</v>
      </c>
      <c r="Y61" s="1036">
        <f t="shared" ca="1" si="65"/>
        <v>18795.040356075519</v>
      </c>
      <c r="Z61" s="1036">
        <f t="shared" ca="1" si="65"/>
        <v>19546.841970318539</v>
      </c>
      <c r="AA61" s="1036">
        <f t="shared" ca="1" si="65"/>
        <v>20328.715649131282</v>
      </c>
      <c r="AB61" s="1036">
        <f t="shared" ca="1" si="65"/>
        <v>21141.864275096534</v>
      </c>
      <c r="AC61" s="1036">
        <f t="shared" ca="1" si="65"/>
        <v>21987.538846100397</v>
      </c>
      <c r="AD61" s="1036">
        <f t="shared" ca="1" si="65"/>
        <v>22867.040399944413</v>
      </c>
      <c r="AE61" s="1036">
        <f t="shared" ca="1" si="65"/>
        <v>23781.722015942192</v>
      </c>
      <c r="AF61" s="1036">
        <f t="shared" ca="1" si="65"/>
        <v>24732.990896579882</v>
      </c>
      <c r="AG61" s="1036">
        <f t="shared" ca="1" si="65"/>
        <v>25722.31053244308</v>
      </c>
      <c r="AH61" s="1036">
        <f t="shared" ca="1" si="65"/>
        <v>26751.202953740805</v>
      </c>
      <c r="AI61" s="1036">
        <f t="shared" ca="1" si="65"/>
        <v>27821.251071890438</v>
      </c>
      <c r="AJ61" s="1036">
        <f t="shared" ca="1" si="65"/>
        <v>28934.101114766057</v>
      </c>
      <c r="AK61" s="1036">
        <f t="shared" ca="1" si="65"/>
        <v>30091.4651593567</v>
      </c>
      <c r="AL61" s="1036">
        <f t="shared" ca="1" si="65"/>
        <v>31295.123765730968</v>
      </c>
      <c r="AM61" s="1036">
        <f t="shared" ca="1" si="65"/>
        <v>32546.928716360209</v>
      </c>
      <c r="AN61" s="1036">
        <f t="shared" ca="1" si="65"/>
        <v>33848.805865014619</v>
      </c>
      <c r="AO61" s="1036">
        <f t="shared" ca="1" si="65"/>
        <v>35202.758099615203</v>
      </c>
      <c r="AP61" s="1036">
        <f t="shared" ca="1" si="65"/>
        <v>36610.868423599815</v>
      </c>
      <c r="AQ61" s="1036">
        <f t="shared" ca="1" si="65"/>
        <v>38075.303160543808</v>
      </c>
      <c r="AR61" s="1036">
        <f t="shared" ca="1" si="65"/>
        <v>39598.315286965561</v>
      </c>
      <c r="AS61" s="1036">
        <f t="shared" ca="1" si="65"/>
        <v>41182.247898444184</v>
      </c>
      <c r="AT61" s="1036">
        <f t="shared" ca="1" si="65"/>
        <v>42829.537814381954</v>
      </c>
      <c r="AU61" s="1036">
        <f t="shared" ca="1" si="65"/>
        <v>44542.719326957231</v>
      </c>
      <c r="AV61" s="1036">
        <f t="shared" ca="1" si="65"/>
        <v>46324.428100035519</v>
      </c>
      <c r="AW61" s="1036">
        <f t="shared" ca="1" si="65"/>
        <v>48177.405224036942</v>
      </c>
      <c r="AX61" s="1036">
        <f t="shared" ca="1" si="65"/>
        <v>50104.501432998419</v>
      </c>
      <c r="AY61" s="1036">
        <f t="shared" ca="1" si="65"/>
        <v>52108.681490318355</v>
      </c>
      <c r="AZ61" s="1036">
        <f t="shared" ca="1" si="65"/>
        <v>54193.028749931094</v>
      </c>
      <c r="BA61" s="1036">
        <f t="shared" ca="1" si="65"/>
        <v>56360.749899928342</v>
      </c>
      <c r="BB61" s="1036">
        <f t="shared" ca="1" si="65"/>
        <v>58615.179895925474</v>
      </c>
      <c r="BC61" s="1036">
        <f t="shared" ca="1" si="65"/>
        <v>60959.787091762497</v>
      </c>
      <c r="BD61" s="1036">
        <f t="shared" ca="1" si="65"/>
        <v>63398.178575432998</v>
      </c>
      <c r="BE61" s="1036">
        <f t="shared" ca="1" si="65"/>
        <v>65934.105718450315</v>
      </c>
      <c r="BF61" s="1036">
        <f t="shared" ca="1" si="65"/>
        <v>68571.469947188336</v>
      </c>
      <c r="BG61" s="1036">
        <f t="shared" ca="1" si="65"/>
        <v>71314.328745075865</v>
      </c>
      <c r="BH61" s="1036">
        <f t="shared" ca="1" si="65"/>
        <v>74166.901894878902</v>
      </c>
      <c r="BI61" s="1036">
        <f t="shared" ca="1" si="65"/>
        <v>77133.577970674058</v>
      </c>
      <c r="BJ61" s="1036">
        <f t="shared" ca="1" si="65"/>
        <v>80218.921089501018</v>
      </c>
      <c r="BK61" s="1036">
        <f t="shared" ca="1" si="65"/>
        <v>83427.677933081068</v>
      </c>
      <c r="BL61" s="1036">
        <f t="shared" ca="1" si="65"/>
        <v>86764.785050404316</v>
      </c>
      <c r="BM61" s="1036">
        <f t="shared" ca="1" si="65"/>
        <v>90235.376452420489</v>
      </c>
      <c r="BN61" s="1036">
        <f t="shared" ca="1" si="65"/>
        <v>93844.791510517316</v>
      </c>
      <c r="BO61" s="1036">
        <f t="shared" ref="BO61:DZ61" ca="1" si="66">IF(BO98="E",BO42,BN61*(1+BO62))</f>
        <v>97598.583170938015</v>
      </c>
      <c r="BP61" s="1036">
        <f t="shared" ca="1" si="66"/>
        <v>101502.52649777554</v>
      </c>
      <c r="BQ61" s="1036">
        <f t="shared" ca="1" si="66"/>
        <v>105562.62755768657</v>
      </c>
      <c r="BR61" s="1036">
        <f t="shared" ca="1" si="66"/>
        <v>109785.13265999404</v>
      </c>
      <c r="BS61" s="1036">
        <f t="shared" ca="1" si="66"/>
        <v>114176.53796639381</v>
      </c>
      <c r="BT61" s="1036">
        <f t="shared" ca="1" si="66"/>
        <v>118743.59948504956</v>
      </c>
      <c r="BU61" s="1036">
        <f t="shared" ca="1" si="66"/>
        <v>123493.34346445155</v>
      </c>
      <c r="BV61" s="1036">
        <f t="shared" ca="1" si="66"/>
        <v>128433.07720302962</v>
      </c>
      <c r="BW61" s="1036">
        <f t="shared" ca="1" si="66"/>
        <v>133570.40029115081</v>
      </c>
      <c r="BX61" s="1036">
        <f t="shared" ca="1" si="66"/>
        <v>138913.21630279685</v>
      </c>
      <c r="BY61" s="1036">
        <f t="shared" ca="1" si="66"/>
        <v>144469.74495490873</v>
      </c>
      <c r="BZ61" s="1036">
        <f t="shared" ca="1" si="66"/>
        <v>150248.53475310508</v>
      </c>
      <c r="CA61" s="1036">
        <f t="shared" ca="1" si="66"/>
        <v>156258.47614322929</v>
      </c>
      <c r="CB61" s="1036">
        <f t="shared" ca="1" si="66"/>
        <v>162508.81518895846</v>
      </c>
      <c r="CC61" s="1036">
        <f t="shared" ca="1" si="66"/>
        <v>169009.16779651679</v>
      </c>
      <c r="CD61" s="1036">
        <f t="shared" ca="1" si="66"/>
        <v>175769.53450837746</v>
      </c>
      <c r="CE61" s="1036">
        <f t="shared" ca="1" si="66"/>
        <v>182800.31588871256</v>
      </c>
      <c r="CF61" s="1036">
        <f t="shared" ca="1" si="66"/>
        <v>190112.32852426107</v>
      </c>
      <c r="CG61" s="1036">
        <f t="shared" ca="1" si="66"/>
        <v>197716.82166523152</v>
      </c>
      <c r="CH61" s="1036">
        <f t="shared" ca="1" si="66"/>
        <v>205625.49453184078</v>
      </c>
      <c r="CI61" s="1036">
        <f t="shared" ca="1" si="66"/>
        <v>213850.51431311443</v>
      </c>
      <c r="CJ61" s="1036">
        <f t="shared" ca="1" si="66"/>
        <v>222404.534885639</v>
      </c>
      <c r="CK61" s="1036">
        <f t="shared" ca="1" si="66"/>
        <v>231300.71628106458</v>
      </c>
      <c r="CL61" s="1036">
        <f t="shared" ca="1" si="66"/>
        <v>240552.74493230716</v>
      </c>
      <c r="CM61" s="1036">
        <f t="shared" ca="1" si="66"/>
        <v>250174.85472959946</v>
      </c>
      <c r="CN61" s="1036">
        <f t="shared" ca="1" si="66"/>
        <v>260181.84891878345</v>
      </c>
      <c r="CO61" s="1036">
        <f t="shared" ca="1" si="66"/>
        <v>270589.12287553481</v>
      </c>
      <c r="CP61" s="1036">
        <f t="shared" ca="1" si="66"/>
        <v>281412.68779055623</v>
      </c>
      <c r="CQ61" s="1036">
        <f t="shared" ca="1" si="66"/>
        <v>292669.1953021785</v>
      </c>
      <c r="CR61" s="1036">
        <f t="shared" ca="1" si="66"/>
        <v>304375.96311426564</v>
      </c>
      <c r="CS61" s="1036">
        <f t="shared" ca="1" si="66"/>
        <v>316551.00163883629</v>
      </c>
      <c r="CT61" s="1036">
        <f t="shared" ca="1" si="66"/>
        <v>329213.04170438973</v>
      </c>
      <c r="CU61" s="1036">
        <f t="shared" ca="1" si="66"/>
        <v>342381.56337256532</v>
      </c>
      <c r="CV61" s="1036">
        <f t="shared" ca="1" si="66"/>
        <v>356076.82590746792</v>
      </c>
      <c r="CW61" s="1036">
        <f t="shared" ca="1" si="66"/>
        <v>370319.89894376666</v>
      </c>
      <c r="CX61" s="1036">
        <f t="shared" ca="1" si="66"/>
        <v>385132.69490151736</v>
      </c>
      <c r="CY61" s="1036">
        <f t="shared" ca="1" si="66"/>
        <v>400538.00269757805</v>
      </c>
      <c r="CZ61" s="1036">
        <f t="shared" ca="1" si="66"/>
        <v>416559.52280548116</v>
      </c>
      <c r="DA61" s="1036">
        <f t="shared" ca="1" si="66"/>
        <v>433221.90371770039</v>
      </c>
      <c r="DB61" s="1036">
        <f t="shared" ca="1" si="66"/>
        <v>450550.77986640844</v>
      </c>
      <c r="DC61" s="1036">
        <f t="shared" ca="1" si="66"/>
        <v>468572.81106106477</v>
      </c>
      <c r="DD61" s="1036">
        <f t="shared" ca="1" si="66"/>
        <v>487315.72350350738</v>
      </c>
      <c r="DE61" s="1036">
        <f t="shared" ca="1" si="66"/>
        <v>506808.35244364769</v>
      </c>
      <c r="DF61" s="1036">
        <f t="shared" ca="1" si="66"/>
        <v>527080.68654139363</v>
      </c>
      <c r="DG61" s="1036">
        <f t="shared" ca="1" si="66"/>
        <v>548163.91400304937</v>
      </c>
      <c r="DH61" s="1036">
        <f t="shared" ca="1" si="66"/>
        <v>570090.47056317132</v>
      </c>
      <c r="DI61" s="1036">
        <f t="shared" ca="1" si="66"/>
        <v>592894.0893856982</v>
      </c>
      <c r="DJ61" s="1036">
        <f t="shared" ca="1" si="66"/>
        <v>616609.85296112613</v>
      </c>
      <c r="DK61" s="1036">
        <f t="shared" ca="1" si="66"/>
        <v>641274.24707957124</v>
      </c>
      <c r="DL61" s="1036">
        <f t="shared" ca="1" si="66"/>
        <v>666925.21696275414</v>
      </c>
      <c r="DM61" s="1036">
        <f t="shared" ca="1" si="66"/>
        <v>693602.22564126435</v>
      </c>
      <c r="DN61" s="1036">
        <f t="shared" ca="1" si="66"/>
        <v>721346.31466691499</v>
      </c>
      <c r="DO61" s="1036">
        <f t="shared" ca="1" si="66"/>
        <v>750200.16725359159</v>
      </c>
      <c r="DP61" s="1036">
        <f t="shared" ca="1" si="66"/>
        <v>780208.17394373531</v>
      </c>
      <c r="DQ61" s="1036">
        <f t="shared" ca="1" si="66"/>
        <v>811416.50090148475</v>
      </c>
      <c r="DR61" s="1036">
        <f t="shared" ca="1" si="66"/>
        <v>843873.16093754419</v>
      </c>
      <c r="DS61" s="1036">
        <f t="shared" ca="1" si="66"/>
        <v>877628.08737504599</v>
      </c>
      <c r="DT61" s="1036">
        <f t="shared" ca="1" si="66"/>
        <v>912733.21087004791</v>
      </c>
      <c r="DU61" s="1036">
        <f t="shared" ca="1" si="66"/>
        <v>949242.53930484981</v>
      </c>
      <c r="DV61" s="1036">
        <f t="shared" ca="1" si="66"/>
        <v>987212.24087704381</v>
      </c>
      <c r="DW61" s="1036">
        <f t="shared" ca="1" si="66"/>
        <v>1026700.7305121257</v>
      </c>
      <c r="DX61" s="1036">
        <f t="shared" ca="1" si="66"/>
        <v>1067768.7597326108</v>
      </c>
      <c r="DY61" s="1036">
        <f t="shared" ca="1" si="66"/>
        <v>1110479.5101219153</v>
      </c>
      <c r="DZ61" s="1036">
        <f t="shared" ca="1" si="66"/>
        <v>1154898.6905267918</v>
      </c>
      <c r="EA61" s="1036">
        <f t="shared" ref="EA61:GL61" ca="1" si="67">IF(EA98="E",EA42,DZ61*(1+EA62))</f>
        <v>1201094.6381478636</v>
      </c>
      <c r="EB61" s="1036">
        <f t="shared" ca="1" si="67"/>
        <v>1249138.4236737781</v>
      </c>
      <c r="EC61" s="1036">
        <f t="shared" ca="1" si="67"/>
        <v>1299103.9606207293</v>
      </c>
      <c r="ED61" s="1036">
        <f t="shared" ca="1" si="67"/>
        <v>1351068.1190455584</v>
      </c>
      <c r="EE61" s="1036">
        <f t="shared" ca="1" si="67"/>
        <v>1405110.8438073809</v>
      </c>
      <c r="EF61" s="1036">
        <f t="shared" ca="1" si="67"/>
        <v>1461315.2775596762</v>
      </c>
      <c r="EG61" s="1036">
        <f t="shared" ca="1" si="67"/>
        <v>1519767.8886620633</v>
      </c>
      <c r="EH61" s="1036">
        <f t="shared" ca="1" si="67"/>
        <v>1580558.6042085458</v>
      </c>
      <c r="EI61" s="1036">
        <f t="shared" ca="1" si="67"/>
        <v>1643780.9483768877</v>
      </c>
      <c r="EJ61" s="1036">
        <f t="shared" ca="1" si="67"/>
        <v>1709532.1863119632</v>
      </c>
      <c r="EK61" s="1036">
        <f t="shared" ca="1" si="67"/>
        <v>1777913.4737644419</v>
      </c>
      <c r="EL61" s="1036">
        <f t="shared" ca="1" si="67"/>
        <v>1849030.0127150198</v>
      </c>
      <c r="EM61" s="1036">
        <f t="shared" ca="1" si="67"/>
        <v>1922991.2132236206</v>
      </c>
      <c r="EN61" s="1036">
        <f t="shared" ca="1" si="67"/>
        <v>1999910.8617525655</v>
      </c>
      <c r="EO61" s="1036">
        <f t="shared" ca="1" si="67"/>
        <v>2079907.2962226681</v>
      </c>
      <c r="EP61" s="1036">
        <f t="shared" ca="1" si="67"/>
        <v>2163103.5880715749</v>
      </c>
      <c r="EQ61" s="1036">
        <f t="shared" ca="1" si="67"/>
        <v>2249627.7315944382</v>
      </c>
      <c r="ER61" s="1036">
        <f t="shared" ca="1" si="67"/>
        <v>2339612.8408582159</v>
      </c>
      <c r="ES61" s="1036">
        <f t="shared" ca="1" si="67"/>
        <v>2433197.3544925447</v>
      </c>
      <c r="ET61" s="1036">
        <f t="shared" ca="1" si="67"/>
        <v>2530525.2486722465</v>
      </c>
      <c r="EU61" s="1036">
        <f t="shared" ca="1" si="67"/>
        <v>2631746.2586191366</v>
      </c>
      <c r="EV61" s="1036">
        <f t="shared" ca="1" si="67"/>
        <v>2737016.1089639021</v>
      </c>
      <c r="EW61" s="1036">
        <f t="shared" ca="1" si="67"/>
        <v>2846496.7533224584</v>
      </c>
      <c r="EX61" s="1036">
        <f t="shared" ca="1" si="67"/>
        <v>2960356.6234553568</v>
      </c>
      <c r="EY61" s="1036">
        <f t="shared" ca="1" si="67"/>
        <v>3078770.8883935711</v>
      </c>
      <c r="EZ61" s="1036">
        <f t="shared" ca="1" si="67"/>
        <v>3201921.7239293139</v>
      </c>
      <c r="FA61" s="1036">
        <f t="shared" ca="1" si="67"/>
        <v>3329998.5928864866</v>
      </c>
      <c r="FB61" s="1036">
        <f t="shared" ca="1" si="67"/>
        <v>3463198.5366019462</v>
      </c>
      <c r="FC61" s="1036">
        <f t="shared" ca="1" si="67"/>
        <v>3601726.4780660244</v>
      </c>
      <c r="FD61" s="1036">
        <f t="shared" ca="1" si="67"/>
        <v>3745795.5371886655</v>
      </c>
      <c r="FE61" s="1036">
        <f t="shared" ca="1" si="67"/>
        <v>3895627.3586762124</v>
      </c>
      <c r="FF61" s="1036">
        <f t="shared" ca="1" si="67"/>
        <v>4051452.4530232609</v>
      </c>
      <c r="FG61" s="1036">
        <f t="shared" ca="1" si="67"/>
        <v>4213510.5511441911</v>
      </c>
      <c r="FH61" s="1036">
        <f t="shared" ca="1" si="67"/>
        <v>4382050.9731899593</v>
      </c>
      <c r="FI61" s="1036">
        <f t="shared" ca="1" si="67"/>
        <v>4557333.0121175582</v>
      </c>
      <c r="FJ61" s="1036">
        <f t="shared" ca="1" si="67"/>
        <v>4739626.3326022606</v>
      </c>
      <c r="FK61" s="1036">
        <f t="shared" ca="1" si="67"/>
        <v>4929211.3859063508</v>
      </c>
      <c r="FL61" s="1036">
        <f t="shared" ca="1" si="67"/>
        <v>5126379.8413426047</v>
      </c>
      <c r="FM61" s="1036">
        <f t="shared" ca="1" si="67"/>
        <v>5331435.0349963093</v>
      </c>
      <c r="FN61" s="1036">
        <f t="shared" ca="1" si="67"/>
        <v>5544692.436396162</v>
      </c>
      <c r="FO61" s="1036">
        <f t="shared" ca="1" si="67"/>
        <v>5766480.1338520087</v>
      </c>
      <c r="FP61" s="1036">
        <f t="shared" ca="1" si="67"/>
        <v>5997139.3392060893</v>
      </c>
      <c r="FQ61" s="1036">
        <f t="shared" ca="1" si="67"/>
        <v>6237024.9127743328</v>
      </c>
      <c r="FR61" s="1036">
        <f t="shared" ca="1" si="67"/>
        <v>6486505.909285306</v>
      </c>
      <c r="FS61" s="1036">
        <f t="shared" ca="1" si="67"/>
        <v>6745966.1456567189</v>
      </c>
      <c r="FT61" s="1036">
        <f t="shared" ca="1" si="67"/>
        <v>7015804.7914829878</v>
      </c>
      <c r="FU61" s="1036">
        <f t="shared" ca="1" si="67"/>
        <v>7296436.983142308</v>
      </c>
      <c r="FV61" s="1036">
        <f t="shared" ca="1" si="67"/>
        <v>7588294.4624680001</v>
      </c>
      <c r="FW61" s="1036">
        <f t="shared" ca="1" si="67"/>
        <v>7891826.2409667205</v>
      </c>
      <c r="FX61" s="1036">
        <f t="shared" ca="1" si="67"/>
        <v>8207499.2906053895</v>
      </c>
      <c r="FY61" s="1036">
        <f t="shared" ca="1" si="67"/>
        <v>8535799.2622296046</v>
      </c>
      <c r="FZ61" s="1036">
        <f t="shared" ca="1" si="67"/>
        <v>8877231.23271879</v>
      </c>
      <c r="GA61" s="1036">
        <f t="shared" ca="1" si="67"/>
        <v>9232320.4820275418</v>
      </c>
      <c r="GB61" s="1036">
        <f t="shared" ca="1" si="67"/>
        <v>9601613.3013086431</v>
      </c>
      <c r="GC61" s="1036">
        <f t="shared" ca="1" si="67"/>
        <v>9985677.8333609886</v>
      </c>
      <c r="GD61" s="1036">
        <f t="shared" ca="1" si="67"/>
        <v>10385104.946695428</v>
      </c>
      <c r="GE61" s="1036">
        <f t="shared" ca="1" si="67"/>
        <v>10800509.144563247</v>
      </c>
      <c r="GF61" s="1036">
        <f t="shared" ca="1" si="67"/>
        <v>11232529.510345777</v>
      </c>
      <c r="GG61" s="1036">
        <f t="shared" ca="1" si="67"/>
        <v>11681830.690759609</v>
      </c>
      <c r="GH61" s="1036">
        <f t="shared" ca="1" si="67"/>
        <v>12149103.918389993</v>
      </c>
      <c r="GI61" s="1036">
        <f t="shared" ca="1" si="67"/>
        <v>12635068.075125594</v>
      </c>
      <c r="GJ61" s="1036">
        <f t="shared" ca="1" si="67"/>
        <v>13140470.798130618</v>
      </c>
      <c r="GK61" s="1036">
        <f t="shared" ca="1" si="67"/>
        <v>13666089.630055843</v>
      </c>
      <c r="GL61" s="1036">
        <f t="shared" ca="1" si="67"/>
        <v>14212733.215258077</v>
      </c>
      <c r="GM61" s="1036">
        <f t="shared" ref="GM61:IQ61" ca="1" si="68">IF(GM98="E",GM42,GL61*(1+GM62))</f>
        <v>14781242.5438684</v>
      </c>
      <c r="GN61" s="1036">
        <f t="shared" ca="1" si="68"/>
        <v>15372492.245623136</v>
      </c>
      <c r="GO61" s="1036">
        <f t="shared" ca="1" si="68"/>
        <v>15987391.935448062</v>
      </c>
      <c r="GP61" s="1036">
        <f t="shared" ca="1" si="68"/>
        <v>16626887.612865984</v>
      </c>
      <c r="GQ61" s="1036">
        <f t="shared" ca="1" si="68"/>
        <v>17291963.117380623</v>
      </c>
      <c r="GR61" s="1036">
        <f t="shared" ca="1" si="68"/>
        <v>17983641.642075848</v>
      </c>
      <c r="GS61" s="1036">
        <f t="shared" ca="1" si="68"/>
        <v>18702987.307758883</v>
      </c>
      <c r="GT61" s="1036">
        <f t="shared" ca="1" si="68"/>
        <v>19451106.800069239</v>
      </c>
      <c r="GU61" s="1036">
        <f t="shared" ca="1" si="68"/>
        <v>20229151.07207201</v>
      </c>
      <c r="GV61" s="1036">
        <f t="shared" ca="1" si="68"/>
        <v>21038317.114954893</v>
      </c>
      <c r="GW61" s="1036">
        <f t="shared" ca="1" si="68"/>
        <v>21879849.799553089</v>
      </c>
      <c r="GX61" s="1036">
        <f t="shared" ca="1" si="68"/>
        <v>22755043.791535214</v>
      </c>
      <c r="GY61" s="1036">
        <f t="shared" ca="1" si="68"/>
        <v>23665245.543196622</v>
      </c>
      <c r="GZ61" s="1036">
        <f t="shared" ca="1" si="68"/>
        <v>24611855.364924487</v>
      </c>
      <c r="HA61" s="1036">
        <f t="shared" ca="1" si="68"/>
        <v>25596329.579521466</v>
      </c>
      <c r="HB61" s="1036">
        <f t="shared" ca="1" si="68"/>
        <v>26620182.762702327</v>
      </c>
      <c r="HC61" s="1036">
        <f t="shared" ca="1" si="68"/>
        <v>27684990.073210422</v>
      </c>
      <c r="HD61" s="1036">
        <f t="shared" ca="1" si="68"/>
        <v>28792389.676138841</v>
      </c>
      <c r="HE61" s="1036">
        <f t="shared" ca="1" si="68"/>
        <v>29944085.263184395</v>
      </c>
      <c r="HF61" s="1036">
        <f t="shared" ca="1" si="68"/>
        <v>31141848.673711773</v>
      </c>
      <c r="HG61" s="1036">
        <f t="shared" ca="1" si="68"/>
        <v>32387522.620660245</v>
      </c>
      <c r="HH61" s="1036">
        <f t="shared" ca="1" si="68"/>
        <v>33683023.525486656</v>
      </c>
      <c r="HI61" s="1036">
        <f t="shared" ca="1" si="68"/>
        <v>35030344.466506124</v>
      </c>
      <c r="HJ61" s="1036">
        <f t="shared" ca="1" si="68"/>
        <v>36431558.245166369</v>
      </c>
      <c r="HK61" s="1036">
        <f t="shared" ca="1" si="68"/>
        <v>37888820.574973024</v>
      </c>
      <c r="HL61" s="1036">
        <f t="shared" ca="1" si="68"/>
        <v>39404373.39797195</v>
      </c>
      <c r="HM61" s="1036">
        <f t="shared" ca="1" si="68"/>
        <v>40980548.333890833</v>
      </c>
      <c r="HN61" s="1036">
        <f t="shared" ca="1" si="68"/>
        <v>42619770.26724647</v>
      </c>
      <c r="HO61" s="1036">
        <f t="shared" ca="1" si="68"/>
        <v>44324561.077936329</v>
      </c>
      <c r="HP61" s="1036">
        <f t="shared" ca="1" si="68"/>
        <v>46097543.521053784</v>
      </c>
      <c r="HQ61" s="1036">
        <f t="shared" ca="1" si="68"/>
        <v>47941445.26189594</v>
      </c>
      <c r="HR61" s="1036">
        <f t="shared" ca="1" si="68"/>
        <v>49859103.072371781</v>
      </c>
      <c r="HS61" s="1036">
        <f t="shared" ca="1" si="68"/>
        <v>51853467.195266657</v>
      </c>
      <c r="HT61" s="1036">
        <f t="shared" ca="1" si="68"/>
        <v>53927605.883077323</v>
      </c>
      <c r="HU61" s="1036">
        <f t="shared" ca="1" si="68"/>
        <v>56084710.118400417</v>
      </c>
      <c r="HV61" s="1036">
        <f t="shared" ca="1" si="68"/>
        <v>58328098.523136437</v>
      </c>
      <c r="HW61" s="1036">
        <f t="shared" ca="1" si="68"/>
        <v>60661222.464061894</v>
      </c>
      <c r="HX61" s="1036">
        <f t="shared" ca="1" si="68"/>
        <v>63087671.36262437</v>
      </c>
      <c r="HY61" s="1036">
        <f t="shared" ca="1" si="68"/>
        <v>65611178.21712935</v>
      </c>
      <c r="HZ61" s="1036">
        <f t="shared" ca="1" si="68"/>
        <v>68235625.345814526</v>
      </c>
      <c r="IA61" s="1036">
        <f t="shared" ca="1" si="68"/>
        <v>70965050.35964711</v>
      </c>
      <c r="IB61" s="1036">
        <f t="shared" ca="1" si="68"/>
        <v>73803652.374033004</v>
      </c>
      <c r="IC61" s="1036">
        <f t="shared" ca="1" si="68"/>
        <v>76755798.468994319</v>
      </c>
      <c r="ID61" s="1036">
        <f t="shared" ca="1" si="68"/>
        <v>79826030.407754093</v>
      </c>
      <c r="IE61" s="1036">
        <f t="shared" ca="1" si="68"/>
        <v>83019071.624064267</v>
      </c>
      <c r="IF61" s="1036">
        <f t="shared" ca="1" si="68"/>
        <v>86339834.489026845</v>
      </c>
      <c r="IG61" s="1036">
        <f t="shared" ca="1" si="68"/>
        <v>89793427.868587926</v>
      </c>
      <c r="IH61" s="1036">
        <f t="shared" ca="1" si="68"/>
        <v>93385164.983331442</v>
      </c>
      <c r="II61" s="1036">
        <f t="shared" ca="1" si="68"/>
        <v>97120571.582664698</v>
      </c>
      <c r="IJ61" s="1036">
        <f t="shared" ca="1" si="68"/>
        <v>101005394.4459713</v>
      </c>
      <c r="IK61" s="1036">
        <f t="shared" ca="1" si="68"/>
        <v>105045610.22381015</v>
      </c>
      <c r="IL61" s="1036">
        <f t="shared" ca="1" si="68"/>
        <v>109247434.63276257</v>
      </c>
      <c r="IM61" s="1036">
        <f t="shared" ca="1" si="68"/>
        <v>113617332.01807307</v>
      </c>
      <c r="IN61" s="1036">
        <f t="shared" ca="1" si="68"/>
        <v>118162025.298796</v>
      </c>
      <c r="IO61" s="1036">
        <f t="shared" ca="1" si="68"/>
        <v>122888506.31074785</v>
      </c>
      <c r="IP61" s="1036">
        <f t="shared" ca="1" si="68"/>
        <v>127804046.56317776</v>
      </c>
      <c r="IQ61" s="1036">
        <f t="shared" ca="1" si="68"/>
        <v>132916208.42570488</v>
      </c>
      <c r="IR61" s="1036">
        <f ca="1">IF(IR$97&gt;$I$20,IQ61*(1+IR62),IR42)</f>
        <v>138232856.76273307</v>
      </c>
    </row>
    <row r="62" spans="2:254" s="960" customFormat="1" ht="11.25" customHeight="1">
      <c r="B62" s="1025" t="s">
        <v>708</v>
      </c>
      <c r="C62" s="1042"/>
      <c r="D62" s="1042">
        <f t="shared" ref="D62:BO62" si="69">IF(D98="S",$C15,IF(D98="T",C62+($C$15-$U26)/($C$14-$I$20),D61/C61-1))</f>
        <v>9.1608595682389993E-2</v>
      </c>
      <c r="E62" s="1043">
        <f t="shared" si="69"/>
        <v>9.3195195577177259E-2</v>
      </c>
      <c r="F62" s="1042">
        <f t="shared" si="69"/>
        <v>8.2602386578097819E-2</v>
      </c>
      <c r="G62" s="1042">
        <f t="shared" ca="1" si="69"/>
        <v>7.9939737416966708E-2</v>
      </c>
      <c r="H62" s="1042">
        <f t="shared" ca="1" si="69"/>
        <v>7.7277088255835596E-2</v>
      </c>
      <c r="I62" s="1042">
        <f t="shared" ca="1" si="69"/>
        <v>7.4614439094704485E-2</v>
      </c>
      <c r="J62" s="1042">
        <f t="shared" ca="1" si="69"/>
        <v>7.1951789933573373E-2</v>
      </c>
      <c r="K62" s="1042">
        <f t="shared" ca="1" si="69"/>
        <v>6.9289140772442262E-2</v>
      </c>
      <c r="L62" s="1042">
        <f t="shared" ca="1" si="69"/>
        <v>6.662649161131115E-2</v>
      </c>
      <c r="M62" s="1042">
        <f t="shared" ca="1" si="69"/>
        <v>6.3963842450180039E-2</v>
      </c>
      <c r="N62" s="1042">
        <f t="shared" ca="1" si="69"/>
        <v>6.1301193289048928E-2</v>
      </c>
      <c r="O62" s="1042">
        <f t="shared" ca="1" si="69"/>
        <v>5.8638544127917816E-2</v>
      </c>
      <c r="P62" s="1042">
        <f t="shared" ca="1" si="69"/>
        <v>5.5975894966786705E-2</v>
      </c>
      <c r="Q62" s="1042">
        <f t="shared" ca="1" si="69"/>
        <v>5.3313245805655593E-2</v>
      </c>
      <c r="R62" s="1042">
        <f t="shared" ca="1" si="69"/>
        <v>5.0650596644524482E-2</v>
      </c>
      <c r="S62" s="1042">
        <f t="shared" ca="1" si="69"/>
        <v>4.798794748339337E-2</v>
      </c>
      <c r="T62" s="1042">
        <f t="shared" ca="1" si="69"/>
        <v>4.5325298322262259E-2</v>
      </c>
      <c r="U62" s="1042">
        <f t="shared" ca="1" si="69"/>
        <v>4.2662649161131147E-2</v>
      </c>
      <c r="V62" s="1042">
        <f t="shared" ca="1" si="69"/>
        <v>4.0000000000000036E-2</v>
      </c>
      <c r="W62" s="1044">
        <f t="shared" si="69"/>
        <v>0.04</v>
      </c>
      <c r="X62" s="1042">
        <f t="shared" si="69"/>
        <v>0.04</v>
      </c>
      <c r="Y62" s="1042">
        <f t="shared" si="69"/>
        <v>0.04</v>
      </c>
      <c r="Z62" s="1042">
        <f t="shared" si="69"/>
        <v>0.04</v>
      </c>
      <c r="AA62" s="1042">
        <f t="shared" si="69"/>
        <v>0.04</v>
      </c>
      <c r="AB62" s="1042">
        <f t="shared" si="69"/>
        <v>0.04</v>
      </c>
      <c r="AC62" s="1042">
        <f t="shared" si="69"/>
        <v>0.04</v>
      </c>
      <c r="AD62" s="1042">
        <f t="shared" si="69"/>
        <v>0.04</v>
      </c>
      <c r="AE62" s="1042">
        <f t="shared" si="69"/>
        <v>0.04</v>
      </c>
      <c r="AF62" s="1042">
        <f t="shared" si="69"/>
        <v>0.04</v>
      </c>
      <c r="AG62" s="1042">
        <f t="shared" si="69"/>
        <v>0.04</v>
      </c>
      <c r="AH62" s="1042">
        <f t="shared" si="69"/>
        <v>0.04</v>
      </c>
      <c r="AI62" s="1042">
        <f t="shared" si="69"/>
        <v>0.04</v>
      </c>
      <c r="AJ62" s="1042">
        <f t="shared" si="69"/>
        <v>0.04</v>
      </c>
      <c r="AK62" s="1042">
        <f t="shared" si="69"/>
        <v>0.04</v>
      </c>
      <c r="AL62" s="1042">
        <f t="shared" si="69"/>
        <v>0.04</v>
      </c>
      <c r="AM62" s="1042">
        <f t="shared" si="69"/>
        <v>0.04</v>
      </c>
      <c r="AN62" s="1042">
        <f t="shared" si="69"/>
        <v>0.04</v>
      </c>
      <c r="AO62" s="1042">
        <f t="shared" si="69"/>
        <v>0.04</v>
      </c>
      <c r="AP62" s="1042">
        <f t="shared" si="69"/>
        <v>0.04</v>
      </c>
      <c r="AQ62" s="1042">
        <f t="shared" si="69"/>
        <v>0.04</v>
      </c>
      <c r="AR62" s="1042">
        <f t="shared" si="69"/>
        <v>0.04</v>
      </c>
      <c r="AS62" s="1042">
        <f t="shared" si="69"/>
        <v>0.04</v>
      </c>
      <c r="AT62" s="1042">
        <f t="shared" si="69"/>
        <v>0.04</v>
      </c>
      <c r="AU62" s="1042">
        <f t="shared" si="69"/>
        <v>0.04</v>
      </c>
      <c r="AV62" s="1042">
        <f t="shared" si="69"/>
        <v>0.04</v>
      </c>
      <c r="AW62" s="1042">
        <f t="shared" si="69"/>
        <v>0.04</v>
      </c>
      <c r="AX62" s="1042">
        <f t="shared" si="69"/>
        <v>0.04</v>
      </c>
      <c r="AY62" s="1042">
        <f t="shared" si="69"/>
        <v>0.04</v>
      </c>
      <c r="AZ62" s="1042">
        <f t="shared" si="69"/>
        <v>0.04</v>
      </c>
      <c r="BA62" s="1042">
        <f t="shared" si="69"/>
        <v>0.04</v>
      </c>
      <c r="BB62" s="1042">
        <f t="shared" si="69"/>
        <v>0.04</v>
      </c>
      <c r="BC62" s="1042">
        <f t="shared" si="69"/>
        <v>0.04</v>
      </c>
      <c r="BD62" s="1042">
        <f t="shared" si="69"/>
        <v>0.04</v>
      </c>
      <c r="BE62" s="1042">
        <f t="shared" si="69"/>
        <v>0.04</v>
      </c>
      <c r="BF62" s="1042">
        <f t="shared" si="69"/>
        <v>0.04</v>
      </c>
      <c r="BG62" s="1042">
        <f t="shared" si="69"/>
        <v>0.04</v>
      </c>
      <c r="BH62" s="1042">
        <f t="shared" si="69"/>
        <v>0.04</v>
      </c>
      <c r="BI62" s="1042">
        <f t="shared" si="69"/>
        <v>0.04</v>
      </c>
      <c r="BJ62" s="1042">
        <f t="shared" si="69"/>
        <v>0.04</v>
      </c>
      <c r="BK62" s="1042">
        <f t="shared" si="69"/>
        <v>0.04</v>
      </c>
      <c r="BL62" s="1042">
        <f t="shared" si="69"/>
        <v>0.04</v>
      </c>
      <c r="BM62" s="1042">
        <f t="shared" si="69"/>
        <v>0.04</v>
      </c>
      <c r="BN62" s="1042">
        <f t="shared" si="69"/>
        <v>0.04</v>
      </c>
      <c r="BO62" s="1042">
        <f t="shared" si="69"/>
        <v>0.04</v>
      </c>
      <c r="BP62" s="1042">
        <f t="shared" ref="BP62:EA62" si="70">IF(BP98="S",$C15,IF(BP98="T",BO62+($C$15-$U26)/($C$14-$I$20),BP61/BO61-1))</f>
        <v>0.04</v>
      </c>
      <c r="BQ62" s="1042">
        <f t="shared" si="70"/>
        <v>0.04</v>
      </c>
      <c r="BR62" s="1042">
        <f t="shared" si="70"/>
        <v>0.04</v>
      </c>
      <c r="BS62" s="1042">
        <f t="shared" si="70"/>
        <v>0.04</v>
      </c>
      <c r="BT62" s="1042">
        <f t="shared" si="70"/>
        <v>0.04</v>
      </c>
      <c r="BU62" s="1042">
        <f t="shared" si="70"/>
        <v>0.04</v>
      </c>
      <c r="BV62" s="1042">
        <f t="shared" si="70"/>
        <v>0.04</v>
      </c>
      <c r="BW62" s="1042">
        <f t="shared" si="70"/>
        <v>0.04</v>
      </c>
      <c r="BX62" s="1042">
        <f t="shared" si="70"/>
        <v>0.04</v>
      </c>
      <c r="BY62" s="1042">
        <f t="shared" si="70"/>
        <v>0.04</v>
      </c>
      <c r="BZ62" s="1042">
        <f t="shared" si="70"/>
        <v>0.04</v>
      </c>
      <c r="CA62" s="1042">
        <f t="shared" si="70"/>
        <v>0.04</v>
      </c>
      <c r="CB62" s="1042">
        <f t="shared" si="70"/>
        <v>0.04</v>
      </c>
      <c r="CC62" s="1042">
        <f t="shared" si="70"/>
        <v>0.04</v>
      </c>
      <c r="CD62" s="1042">
        <f t="shared" si="70"/>
        <v>0.04</v>
      </c>
      <c r="CE62" s="1042">
        <f t="shared" si="70"/>
        <v>0.04</v>
      </c>
      <c r="CF62" s="1042">
        <f t="shared" si="70"/>
        <v>0.04</v>
      </c>
      <c r="CG62" s="1042">
        <f t="shared" si="70"/>
        <v>0.04</v>
      </c>
      <c r="CH62" s="1042">
        <f t="shared" si="70"/>
        <v>0.04</v>
      </c>
      <c r="CI62" s="1042">
        <f t="shared" si="70"/>
        <v>0.04</v>
      </c>
      <c r="CJ62" s="1042">
        <f t="shared" si="70"/>
        <v>0.04</v>
      </c>
      <c r="CK62" s="1042">
        <f t="shared" si="70"/>
        <v>0.04</v>
      </c>
      <c r="CL62" s="1042">
        <f t="shared" si="70"/>
        <v>0.04</v>
      </c>
      <c r="CM62" s="1042">
        <f t="shared" si="70"/>
        <v>0.04</v>
      </c>
      <c r="CN62" s="1042">
        <f t="shared" si="70"/>
        <v>0.04</v>
      </c>
      <c r="CO62" s="1042">
        <f t="shared" si="70"/>
        <v>0.04</v>
      </c>
      <c r="CP62" s="1042">
        <f t="shared" si="70"/>
        <v>0.04</v>
      </c>
      <c r="CQ62" s="1042">
        <f t="shared" si="70"/>
        <v>0.04</v>
      </c>
      <c r="CR62" s="1042">
        <f t="shared" si="70"/>
        <v>0.04</v>
      </c>
      <c r="CS62" s="1042">
        <f t="shared" si="70"/>
        <v>0.04</v>
      </c>
      <c r="CT62" s="1042">
        <f t="shared" si="70"/>
        <v>0.04</v>
      </c>
      <c r="CU62" s="1042">
        <f t="shared" si="70"/>
        <v>0.04</v>
      </c>
      <c r="CV62" s="1042">
        <f t="shared" si="70"/>
        <v>0.04</v>
      </c>
      <c r="CW62" s="1042">
        <f t="shared" si="70"/>
        <v>0.04</v>
      </c>
      <c r="CX62" s="1042">
        <f t="shared" si="70"/>
        <v>0.04</v>
      </c>
      <c r="CY62" s="1042">
        <f t="shared" si="70"/>
        <v>0.04</v>
      </c>
      <c r="CZ62" s="1042">
        <f t="shared" si="70"/>
        <v>0.04</v>
      </c>
      <c r="DA62" s="1042">
        <f t="shared" si="70"/>
        <v>0.04</v>
      </c>
      <c r="DB62" s="1042">
        <f t="shared" si="70"/>
        <v>0.04</v>
      </c>
      <c r="DC62" s="1042">
        <f t="shared" si="70"/>
        <v>0.04</v>
      </c>
      <c r="DD62" s="1042">
        <f t="shared" si="70"/>
        <v>0.04</v>
      </c>
      <c r="DE62" s="1042">
        <f t="shared" si="70"/>
        <v>0.04</v>
      </c>
      <c r="DF62" s="1042">
        <f t="shared" si="70"/>
        <v>0.04</v>
      </c>
      <c r="DG62" s="1042">
        <f t="shared" si="70"/>
        <v>0.04</v>
      </c>
      <c r="DH62" s="1042">
        <f t="shared" si="70"/>
        <v>0.04</v>
      </c>
      <c r="DI62" s="1042">
        <f t="shared" si="70"/>
        <v>0.04</v>
      </c>
      <c r="DJ62" s="1042">
        <f t="shared" si="70"/>
        <v>0.04</v>
      </c>
      <c r="DK62" s="1042">
        <f t="shared" si="70"/>
        <v>0.04</v>
      </c>
      <c r="DL62" s="1042">
        <f t="shared" si="70"/>
        <v>0.04</v>
      </c>
      <c r="DM62" s="1042">
        <f t="shared" si="70"/>
        <v>0.04</v>
      </c>
      <c r="DN62" s="1042">
        <f t="shared" si="70"/>
        <v>0.04</v>
      </c>
      <c r="DO62" s="1042">
        <f t="shared" si="70"/>
        <v>0.04</v>
      </c>
      <c r="DP62" s="1042">
        <f t="shared" si="70"/>
        <v>0.04</v>
      </c>
      <c r="DQ62" s="1042">
        <f t="shared" si="70"/>
        <v>0.04</v>
      </c>
      <c r="DR62" s="1042">
        <f t="shared" si="70"/>
        <v>0.04</v>
      </c>
      <c r="DS62" s="1042">
        <f t="shared" si="70"/>
        <v>0.04</v>
      </c>
      <c r="DT62" s="1042">
        <f t="shared" si="70"/>
        <v>0.04</v>
      </c>
      <c r="DU62" s="1042">
        <f t="shared" si="70"/>
        <v>0.04</v>
      </c>
      <c r="DV62" s="1042">
        <f t="shared" si="70"/>
        <v>0.04</v>
      </c>
      <c r="DW62" s="1042">
        <f t="shared" si="70"/>
        <v>0.04</v>
      </c>
      <c r="DX62" s="1042">
        <f t="shared" si="70"/>
        <v>0.04</v>
      </c>
      <c r="DY62" s="1042">
        <f t="shared" si="70"/>
        <v>0.04</v>
      </c>
      <c r="DZ62" s="1042">
        <f t="shared" si="70"/>
        <v>0.04</v>
      </c>
      <c r="EA62" s="1042">
        <f t="shared" si="70"/>
        <v>0.04</v>
      </c>
      <c r="EB62" s="1042">
        <f t="shared" ref="EB62:GM62" si="71">IF(EB98="S",$C15,IF(EB98="T",EA62+($C$15-$U26)/($C$14-$I$20),EB61/EA61-1))</f>
        <v>0.04</v>
      </c>
      <c r="EC62" s="1042">
        <f t="shared" si="71"/>
        <v>0.04</v>
      </c>
      <c r="ED62" s="1042">
        <f t="shared" si="71"/>
        <v>0.04</v>
      </c>
      <c r="EE62" s="1042">
        <f t="shared" si="71"/>
        <v>0.04</v>
      </c>
      <c r="EF62" s="1042">
        <f t="shared" si="71"/>
        <v>0.04</v>
      </c>
      <c r="EG62" s="1042">
        <f t="shared" si="71"/>
        <v>0.04</v>
      </c>
      <c r="EH62" s="1042">
        <f t="shared" si="71"/>
        <v>0.04</v>
      </c>
      <c r="EI62" s="1042">
        <f t="shared" si="71"/>
        <v>0.04</v>
      </c>
      <c r="EJ62" s="1042">
        <f t="shared" si="71"/>
        <v>0.04</v>
      </c>
      <c r="EK62" s="1042">
        <f t="shared" si="71"/>
        <v>0.04</v>
      </c>
      <c r="EL62" s="1042">
        <f t="shared" si="71"/>
        <v>0.04</v>
      </c>
      <c r="EM62" s="1042">
        <f t="shared" si="71"/>
        <v>0.04</v>
      </c>
      <c r="EN62" s="1042">
        <f t="shared" si="71"/>
        <v>0.04</v>
      </c>
      <c r="EO62" s="1042">
        <f t="shared" si="71"/>
        <v>0.04</v>
      </c>
      <c r="EP62" s="1042">
        <f t="shared" si="71"/>
        <v>0.04</v>
      </c>
      <c r="EQ62" s="1042">
        <f t="shared" si="71"/>
        <v>0.04</v>
      </c>
      <c r="ER62" s="1042">
        <f t="shared" si="71"/>
        <v>0.04</v>
      </c>
      <c r="ES62" s="1042">
        <f t="shared" si="71"/>
        <v>0.04</v>
      </c>
      <c r="ET62" s="1042">
        <f t="shared" si="71"/>
        <v>0.04</v>
      </c>
      <c r="EU62" s="1042">
        <f t="shared" si="71"/>
        <v>0.04</v>
      </c>
      <c r="EV62" s="1042">
        <f t="shared" si="71"/>
        <v>0.04</v>
      </c>
      <c r="EW62" s="1042">
        <f t="shared" si="71"/>
        <v>0.04</v>
      </c>
      <c r="EX62" s="1042">
        <f t="shared" si="71"/>
        <v>0.04</v>
      </c>
      <c r="EY62" s="1042">
        <f t="shared" si="71"/>
        <v>0.04</v>
      </c>
      <c r="EZ62" s="1042">
        <f t="shared" si="71"/>
        <v>0.04</v>
      </c>
      <c r="FA62" s="1042">
        <f t="shared" si="71"/>
        <v>0.04</v>
      </c>
      <c r="FB62" s="1042">
        <f t="shared" si="71"/>
        <v>0.04</v>
      </c>
      <c r="FC62" s="1042">
        <f t="shared" si="71"/>
        <v>0.04</v>
      </c>
      <c r="FD62" s="1042">
        <f t="shared" si="71"/>
        <v>0.04</v>
      </c>
      <c r="FE62" s="1042">
        <f t="shared" si="71"/>
        <v>0.04</v>
      </c>
      <c r="FF62" s="1042">
        <f t="shared" si="71"/>
        <v>0.04</v>
      </c>
      <c r="FG62" s="1042">
        <f t="shared" si="71"/>
        <v>0.04</v>
      </c>
      <c r="FH62" s="1042">
        <f t="shared" si="71"/>
        <v>0.04</v>
      </c>
      <c r="FI62" s="1042">
        <f t="shared" si="71"/>
        <v>0.04</v>
      </c>
      <c r="FJ62" s="1042">
        <f t="shared" si="71"/>
        <v>0.04</v>
      </c>
      <c r="FK62" s="1042">
        <f t="shared" si="71"/>
        <v>0.04</v>
      </c>
      <c r="FL62" s="1042">
        <f t="shared" si="71"/>
        <v>0.04</v>
      </c>
      <c r="FM62" s="1042">
        <f t="shared" si="71"/>
        <v>0.04</v>
      </c>
      <c r="FN62" s="1042">
        <f t="shared" si="71"/>
        <v>0.04</v>
      </c>
      <c r="FO62" s="1042">
        <f t="shared" si="71"/>
        <v>0.04</v>
      </c>
      <c r="FP62" s="1042">
        <f t="shared" si="71"/>
        <v>0.04</v>
      </c>
      <c r="FQ62" s="1042">
        <f t="shared" si="71"/>
        <v>0.04</v>
      </c>
      <c r="FR62" s="1042">
        <f t="shared" si="71"/>
        <v>0.04</v>
      </c>
      <c r="FS62" s="1042">
        <f t="shared" si="71"/>
        <v>0.04</v>
      </c>
      <c r="FT62" s="1042">
        <f t="shared" si="71"/>
        <v>0.04</v>
      </c>
      <c r="FU62" s="1042">
        <f t="shared" si="71"/>
        <v>0.04</v>
      </c>
      <c r="FV62" s="1042">
        <f t="shared" si="71"/>
        <v>0.04</v>
      </c>
      <c r="FW62" s="1042">
        <f t="shared" si="71"/>
        <v>0.04</v>
      </c>
      <c r="FX62" s="1042">
        <f t="shared" si="71"/>
        <v>0.04</v>
      </c>
      <c r="FY62" s="1042">
        <f t="shared" si="71"/>
        <v>0.04</v>
      </c>
      <c r="FZ62" s="1042">
        <f t="shared" si="71"/>
        <v>0.04</v>
      </c>
      <c r="GA62" s="1042">
        <f t="shared" si="71"/>
        <v>0.04</v>
      </c>
      <c r="GB62" s="1042">
        <f t="shared" si="71"/>
        <v>0.04</v>
      </c>
      <c r="GC62" s="1042">
        <f t="shared" si="71"/>
        <v>0.04</v>
      </c>
      <c r="GD62" s="1042">
        <f t="shared" si="71"/>
        <v>0.04</v>
      </c>
      <c r="GE62" s="1042">
        <f t="shared" si="71"/>
        <v>0.04</v>
      </c>
      <c r="GF62" s="1042">
        <f t="shared" si="71"/>
        <v>0.04</v>
      </c>
      <c r="GG62" s="1042">
        <f t="shared" si="71"/>
        <v>0.04</v>
      </c>
      <c r="GH62" s="1042">
        <f t="shared" si="71"/>
        <v>0.04</v>
      </c>
      <c r="GI62" s="1042">
        <f t="shared" si="71"/>
        <v>0.04</v>
      </c>
      <c r="GJ62" s="1042">
        <f t="shared" si="71"/>
        <v>0.04</v>
      </c>
      <c r="GK62" s="1042">
        <f t="shared" si="71"/>
        <v>0.04</v>
      </c>
      <c r="GL62" s="1042">
        <f t="shared" si="71"/>
        <v>0.04</v>
      </c>
      <c r="GM62" s="1042">
        <f t="shared" si="71"/>
        <v>0.04</v>
      </c>
      <c r="GN62" s="1042">
        <f t="shared" ref="GN62:IQ62" si="72">IF(GN98="S",$C15,IF(GN98="T",GM62+($C$15-$U26)/($C$14-$I$20),GN61/GM61-1))</f>
        <v>0.04</v>
      </c>
      <c r="GO62" s="1042">
        <f t="shared" si="72"/>
        <v>0.04</v>
      </c>
      <c r="GP62" s="1042">
        <f t="shared" si="72"/>
        <v>0.04</v>
      </c>
      <c r="GQ62" s="1042">
        <f t="shared" si="72"/>
        <v>0.04</v>
      </c>
      <c r="GR62" s="1042">
        <f t="shared" si="72"/>
        <v>0.04</v>
      </c>
      <c r="GS62" s="1042">
        <f t="shared" si="72"/>
        <v>0.04</v>
      </c>
      <c r="GT62" s="1042">
        <f t="shared" si="72"/>
        <v>0.04</v>
      </c>
      <c r="GU62" s="1042">
        <f t="shared" si="72"/>
        <v>0.04</v>
      </c>
      <c r="GV62" s="1042">
        <f t="shared" si="72"/>
        <v>0.04</v>
      </c>
      <c r="GW62" s="1042">
        <f t="shared" si="72"/>
        <v>0.04</v>
      </c>
      <c r="GX62" s="1042">
        <f t="shared" si="72"/>
        <v>0.04</v>
      </c>
      <c r="GY62" s="1042">
        <f t="shared" si="72"/>
        <v>0.04</v>
      </c>
      <c r="GZ62" s="1042">
        <f t="shared" si="72"/>
        <v>0.04</v>
      </c>
      <c r="HA62" s="1042">
        <f t="shared" si="72"/>
        <v>0.04</v>
      </c>
      <c r="HB62" s="1042">
        <f t="shared" si="72"/>
        <v>0.04</v>
      </c>
      <c r="HC62" s="1042">
        <f t="shared" si="72"/>
        <v>0.04</v>
      </c>
      <c r="HD62" s="1042">
        <f t="shared" si="72"/>
        <v>0.04</v>
      </c>
      <c r="HE62" s="1042">
        <f t="shared" si="72"/>
        <v>0.04</v>
      </c>
      <c r="HF62" s="1042">
        <f t="shared" si="72"/>
        <v>0.04</v>
      </c>
      <c r="HG62" s="1042">
        <f t="shared" si="72"/>
        <v>0.04</v>
      </c>
      <c r="HH62" s="1042">
        <f t="shared" si="72"/>
        <v>0.04</v>
      </c>
      <c r="HI62" s="1042">
        <f t="shared" si="72"/>
        <v>0.04</v>
      </c>
      <c r="HJ62" s="1042">
        <f t="shared" si="72"/>
        <v>0.04</v>
      </c>
      <c r="HK62" s="1042">
        <f t="shared" si="72"/>
        <v>0.04</v>
      </c>
      <c r="HL62" s="1042">
        <f t="shared" si="72"/>
        <v>0.04</v>
      </c>
      <c r="HM62" s="1042">
        <f t="shared" si="72"/>
        <v>0.04</v>
      </c>
      <c r="HN62" s="1042">
        <f t="shared" si="72"/>
        <v>0.04</v>
      </c>
      <c r="HO62" s="1042">
        <f t="shared" si="72"/>
        <v>0.04</v>
      </c>
      <c r="HP62" s="1042">
        <f t="shared" si="72"/>
        <v>0.04</v>
      </c>
      <c r="HQ62" s="1042">
        <f t="shared" si="72"/>
        <v>0.04</v>
      </c>
      <c r="HR62" s="1042">
        <f t="shared" si="72"/>
        <v>0.04</v>
      </c>
      <c r="HS62" s="1042">
        <f t="shared" si="72"/>
        <v>0.04</v>
      </c>
      <c r="HT62" s="1042">
        <f t="shared" si="72"/>
        <v>0.04</v>
      </c>
      <c r="HU62" s="1042">
        <f t="shared" si="72"/>
        <v>0.04</v>
      </c>
      <c r="HV62" s="1042">
        <f t="shared" si="72"/>
        <v>0.04</v>
      </c>
      <c r="HW62" s="1042">
        <f t="shared" si="72"/>
        <v>0.04</v>
      </c>
      <c r="HX62" s="1042">
        <f t="shared" si="72"/>
        <v>0.04</v>
      </c>
      <c r="HY62" s="1042">
        <f t="shared" si="72"/>
        <v>0.04</v>
      </c>
      <c r="HZ62" s="1042">
        <f t="shared" si="72"/>
        <v>0.04</v>
      </c>
      <c r="IA62" s="1042">
        <f t="shared" si="72"/>
        <v>0.04</v>
      </c>
      <c r="IB62" s="1042">
        <f t="shared" si="72"/>
        <v>0.04</v>
      </c>
      <c r="IC62" s="1042">
        <f t="shared" si="72"/>
        <v>0.04</v>
      </c>
      <c r="ID62" s="1042">
        <f t="shared" si="72"/>
        <v>0.04</v>
      </c>
      <c r="IE62" s="1042">
        <f t="shared" si="72"/>
        <v>0.04</v>
      </c>
      <c r="IF62" s="1042">
        <f t="shared" si="72"/>
        <v>0.04</v>
      </c>
      <c r="IG62" s="1042">
        <f t="shared" si="72"/>
        <v>0.04</v>
      </c>
      <c r="IH62" s="1042">
        <f t="shared" si="72"/>
        <v>0.04</v>
      </c>
      <c r="II62" s="1042">
        <f t="shared" si="72"/>
        <v>0.04</v>
      </c>
      <c r="IJ62" s="1042">
        <f t="shared" si="72"/>
        <v>0.04</v>
      </c>
      <c r="IK62" s="1042">
        <f t="shared" si="72"/>
        <v>0.04</v>
      </c>
      <c r="IL62" s="1042">
        <f t="shared" si="72"/>
        <v>0.04</v>
      </c>
      <c r="IM62" s="1042">
        <f t="shared" si="72"/>
        <v>0.04</v>
      </c>
      <c r="IN62" s="1042">
        <f t="shared" si="72"/>
        <v>0.04</v>
      </c>
      <c r="IO62" s="1042">
        <f t="shared" si="72"/>
        <v>0.04</v>
      </c>
      <c r="IP62" s="1042">
        <f t="shared" si="72"/>
        <v>0.04</v>
      </c>
      <c r="IQ62" s="1042">
        <f t="shared" si="72"/>
        <v>0.04</v>
      </c>
      <c r="IR62" s="1045">
        <f ca="1">IF(IR$97&gt;$I$20,IF(IR$97&gt;($C$14),$C$15,IQ62+($C$15-OFFSET($B62,0,$I$20))/MAX($C$14-$I$20,0)),IR61/IQ61-1)</f>
        <v>0.04</v>
      </c>
    </row>
    <row r="63" spans="2:254" s="960" customFormat="1" ht="11.25" customHeight="1">
      <c r="B63" s="1046" t="s">
        <v>709</v>
      </c>
      <c r="C63" s="1047">
        <f t="shared" ref="C63:BN63" si="73">+C67/C65</f>
        <v>1.9236617613177962</v>
      </c>
      <c r="D63" s="1047">
        <f t="shared" si="73"/>
        <v>2.0993484237823354</v>
      </c>
      <c r="E63" s="1048">
        <f t="shared" si="73"/>
        <v>2.482551519512473</v>
      </c>
      <c r="F63" s="1047">
        <f t="shared" si="73"/>
        <v>2.6347812665157702</v>
      </c>
      <c r="G63" s="1047">
        <f t="shared" ca="1" si="73"/>
        <v>2.9254185943427147</v>
      </c>
      <c r="H63" s="1047">
        <f t="shared" ca="1" si="73"/>
        <v>2.6088814016216402</v>
      </c>
      <c r="I63" s="1047">
        <f t="shared" ca="1" si="73"/>
        <v>2.5979478101137743</v>
      </c>
      <c r="J63" s="1047">
        <f t="shared" ca="1" si="73"/>
        <v>2.588149041636401</v>
      </c>
      <c r="K63" s="1047">
        <f t="shared" ca="1" si="73"/>
        <v>2.5793543164502797</v>
      </c>
      <c r="L63" s="1047">
        <f t="shared" ca="1" si="73"/>
        <v>2.5714501647889305</v>
      </c>
      <c r="M63" s="1047">
        <f t="shared" ca="1" si="73"/>
        <v>2.5643379211843809</v>
      </c>
      <c r="N63" s="1047">
        <f t="shared" ca="1" si="73"/>
        <v>2.5579316192272428</v>
      </c>
      <c r="O63" s="1047">
        <f t="shared" ca="1" si="73"/>
        <v>2.5521562173584886</v>
      </c>
      <c r="P63" s="1047">
        <f t="shared" ca="1" si="73"/>
        <v>2.5469460993296131</v>
      </c>
      <c r="Q63" s="1047">
        <f t="shared" ca="1" si="73"/>
        <v>2.5422438033879486</v>
      </c>
      <c r="R63" s="1047">
        <f t="shared" ca="1" si="73"/>
        <v>2.5379989426023548</v>
      </c>
      <c r="S63" s="1047">
        <f t="shared" ca="1" si="73"/>
        <v>2.5341672854754167</v>
      </c>
      <c r="T63" s="1047">
        <f t="shared" ca="1" si="73"/>
        <v>2.5307099714295571</v>
      </c>
      <c r="U63" s="1047">
        <f t="shared" ca="1" si="73"/>
        <v>2.5275928401706858</v>
      </c>
      <c r="V63" s="1047">
        <f t="shared" ca="1" si="73"/>
        <v>2.52478585753135</v>
      </c>
      <c r="W63" s="1049">
        <f t="shared" ca="1" si="73"/>
        <v>2.5220896939034727</v>
      </c>
      <c r="X63" s="1047">
        <f t="shared" ca="1" si="73"/>
        <v>2.3919659436338669</v>
      </c>
      <c r="Y63" s="1047">
        <f t="shared" ca="1" si="73"/>
        <v>2.3868475584182782</v>
      </c>
      <c r="Z63" s="1047">
        <f t="shared" ca="1" si="73"/>
        <v>2.3819358107597997</v>
      </c>
      <c r="AA63" s="1047">
        <f t="shared" ca="1" si="73"/>
        <v>2.3772220184157842</v>
      </c>
      <c r="AB63" s="1047">
        <f t="shared" ca="1" si="73"/>
        <v>2.3726978880749989</v>
      </c>
      <c r="AC63" s="1047">
        <f t="shared" ca="1" si="73"/>
        <v>2.3683554963108784</v>
      </c>
      <c r="AD63" s="1047">
        <f t="shared" ca="1" si="73"/>
        <v>2.3641872715668684</v>
      </c>
      <c r="AE63" s="1047">
        <f t="shared" ca="1" si="73"/>
        <v>2.3601859771128648</v>
      </c>
      <c r="AF63" s="1047">
        <f t="shared" ca="1" si="73"/>
        <v>2.3563446949154776</v>
      </c>
      <c r="AG63" s="1047">
        <f t="shared" ca="1" si="73"/>
        <v>2.3526568103684409</v>
      </c>
      <c r="AH63" s="1047">
        <f t="shared" ca="1" si="73"/>
        <v>2.3491159978327851</v>
      </c>
      <c r="AI63" s="1047">
        <f t="shared" ca="1" si="73"/>
        <v>2.3457162069395379</v>
      </c>
      <c r="AJ63" s="1047">
        <f t="shared" ca="1" si="73"/>
        <v>2.3424516496106418</v>
      </c>
      <c r="AK63" s="1047">
        <f t="shared" ca="1" si="73"/>
        <v>2.3393167877565255</v>
      </c>
      <c r="AL63" s="1047">
        <f t="shared" ca="1" si="73"/>
        <v>2.3363063216113509</v>
      </c>
      <c r="AM63" s="1047">
        <f t="shared" ca="1" si="73"/>
        <v>2.333415178669362</v>
      </c>
      <c r="AN63" s="1047">
        <f t="shared" ca="1" si="73"/>
        <v>2.3306385031880406</v>
      </c>
      <c r="AO63" s="1047">
        <f t="shared" ca="1" si="73"/>
        <v>2.3279716462258642</v>
      </c>
      <c r="AP63" s="1047">
        <f t="shared" ca="1" si="73"/>
        <v>2.3254101561844807</v>
      </c>
      <c r="AQ63" s="1047">
        <f t="shared" ca="1" si="73"/>
        <v>2.3229497698269261</v>
      </c>
      <c r="AR63" s="1047">
        <f t="shared" ca="1" si="73"/>
        <v>2.3205864037453043</v>
      </c>
      <c r="AS63" s="1047">
        <f t="shared" ca="1" si="73"/>
        <v>2.3183161462529056</v>
      </c>
      <c r="AT63" s="1047">
        <f t="shared" ca="1" si="73"/>
        <v>2.3161352496773295</v>
      </c>
      <c r="AU63" s="1047">
        <f t="shared" ca="1" si="73"/>
        <v>2.3140401230325489</v>
      </c>
      <c r="AV63" s="1047">
        <f t="shared" ca="1" si="73"/>
        <v>2.3120273250492183</v>
      </c>
      <c r="AW63" s="1047">
        <f t="shared" ca="1" si="73"/>
        <v>2.3100935575437473</v>
      </c>
      <c r="AX63" s="1047">
        <f t="shared" ca="1" si="73"/>
        <v>2.308235659107857</v>
      </c>
      <c r="AY63" s="1047">
        <f t="shared" ca="1" si="73"/>
        <v>2.3064505991014044</v>
      </c>
      <c r="AZ63" s="1047">
        <f t="shared" ca="1" si="73"/>
        <v>2.3047354719322852</v>
      </c>
      <c r="BA63" s="1047">
        <f t="shared" ca="1" si="73"/>
        <v>2.3030874916082045</v>
      </c>
      <c r="BB63" s="1047">
        <f t="shared" ca="1" si="73"/>
        <v>2.301503986545959</v>
      </c>
      <c r="BC63" s="1047">
        <f t="shared" ca="1" si="73"/>
        <v>2.2999823946247582</v>
      </c>
      <c r="BD63" s="1047">
        <f t="shared" ca="1" si="73"/>
        <v>2.2985202584708646</v>
      </c>
      <c r="BE63" s="1047">
        <f t="shared" ca="1" si="73"/>
        <v>2.2971152209615804</v>
      </c>
      <c r="BF63" s="1047">
        <f t="shared" ca="1" si="73"/>
        <v>2.2957650209373033</v>
      </c>
      <c r="BG63" s="1047">
        <f t="shared" ca="1" si="73"/>
        <v>2.2944674891110024</v>
      </c>
      <c r="BH63" s="1047">
        <f t="shared" ca="1" si="73"/>
        <v>2.293220544165103</v>
      </c>
      <c r="BI63" s="1047">
        <f t="shared" ca="1" si="73"/>
        <v>2.2920221890262855</v>
      </c>
      <c r="BJ63" s="1047">
        <f t="shared" ca="1" si="73"/>
        <v>2.2908705073093003</v>
      </c>
      <c r="BK63" s="1047">
        <f t="shared" ca="1" si="73"/>
        <v>2.2897636599213405</v>
      </c>
      <c r="BL63" s="1047">
        <f t="shared" ca="1" si="73"/>
        <v>2.2886998818190247</v>
      </c>
      <c r="BM63" s="1047">
        <f t="shared" ca="1" si="73"/>
        <v>2.287677478910457</v>
      </c>
      <c r="BN63" s="1047">
        <f t="shared" ca="1" si="73"/>
        <v>2.2866948250952621</v>
      </c>
      <c r="BO63" s="1047">
        <f t="shared" ref="BO63:DZ63" ca="1" si="74">+BO67/BO65</f>
        <v>2.2857503594358692</v>
      </c>
      <c r="BP63" s="1047">
        <f t="shared" ca="1" si="74"/>
        <v>2.2848425834536896</v>
      </c>
      <c r="BQ63" s="1047">
        <f t="shared" ca="1" si="74"/>
        <v>2.2839700585441682</v>
      </c>
      <c r="BR63" s="1047">
        <f t="shared" ca="1" si="74"/>
        <v>2.2831314035050259</v>
      </c>
      <c r="BS63" s="1047">
        <f t="shared" ca="1" si="74"/>
        <v>2.2823252921722981</v>
      </c>
      <c r="BT63" s="1047">
        <f t="shared" ca="1" si="74"/>
        <v>2.2815504511590605</v>
      </c>
      <c r="BU63" s="1047">
        <f t="shared" ca="1" si="74"/>
        <v>2.280805657692015</v>
      </c>
      <c r="BV63" s="1047">
        <f t="shared" ca="1" si="74"/>
        <v>2.2800897375413509</v>
      </c>
      <c r="BW63" s="1047">
        <f t="shared" ca="1" si="74"/>
        <v>2.2794015630395283</v>
      </c>
      <c r="BX63" s="1047">
        <f t="shared" ca="1" si="74"/>
        <v>2.2787400511848723</v>
      </c>
      <c r="BY63" s="1047">
        <f t="shared" ca="1" si="74"/>
        <v>2.2781041618260596</v>
      </c>
      <c r="BZ63" s="1047">
        <f t="shared" ca="1" si="74"/>
        <v>2.2774928959237939</v>
      </c>
      <c r="CA63" s="1047">
        <f t="shared" ca="1" si="74"/>
        <v>2.2769052938861418</v>
      </c>
      <c r="CB63" s="1047">
        <f t="shared" ca="1" si="74"/>
        <v>2.2763404339741893</v>
      </c>
      <c r="CC63" s="1047">
        <f t="shared" ca="1" si="74"/>
        <v>2.275797430774821</v>
      </c>
      <c r="CD63" s="1047">
        <f t="shared" ca="1" si="74"/>
        <v>2.275275433737642</v>
      </c>
      <c r="CE63" s="1047">
        <f t="shared" ca="1" si="74"/>
        <v>2.2747736257731215</v>
      </c>
      <c r="CF63" s="1047">
        <f t="shared" ca="1" si="74"/>
        <v>2.2742912219092655</v>
      </c>
      <c r="CG63" s="1047">
        <f t="shared" ca="1" si="74"/>
        <v>2.2738274680042037</v>
      </c>
      <c r="CH63" s="1047">
        <f t="shared" ca="1" si="74"/>
        <v>2.2733816395122197</v>
      </c>
      <c r="CI63" s="1047">
        <f t="shared" ca="1" si="74"/>
        <v>2.2729530403008855</v>
      </c>
      <c r="CJ63" s="1047">
        <f t="shared" ca="1" si="74"/>
        <v>2.2725410015170411</v>
      </c>
      <c r="CK63" s="1047">
        <f t="shared" ca="1" si="74"/>
        <v>2.2721448804995021</v>
      </c>
      <c r="CL63" s="1047">
        <f t="shared" ca="1" si="74"/>
        <v>2.2717640597364634</v>
      </c>
      <c r="CM63" s="1047">
        <f t="shared" ca="1" si="74"/>
        <v>2.2713979458656497</v>
      </c>
      <c r="CN63" s="1047">
        <f t="shared" ca="1" si="74"/>
        <v>2.271045968715383</v>
      </c>
      <c r="CO63" s="1047">
        <f t="shared" ca="1" si="74"/>
        <v>2.2707075803848085</v>
      </c>
      <c r="CP63" s="1047">
        <f t="shared" ca="1" si="74"/>
        <v>2.2703822543615808</v>
      </c>
      <c r="CQ63" s="1047">
        <f t="shared" ca="1" si="74"/>
        <v>2.2700694846754446</v>
      </c>
      <c r="CR63" s="1047">
        <f t="shared" ca="1" si="74"/>
        <v>2.2697687850861481</v>
      </c>
      <c r="CS63" s="1047">
        <f t="shared" ca="1" si="74"/>
        <v>2.2694796883042647</v>
      </c>
      <c r="CT63" s="1047">
        <f t="shared" ca="1" si="74"/>
        <v>2.2692017452435023</v>
      </c>
      <c r="CU63" s="1047">
        <f t="shared" ca="1" si="74"/>
        <v>2.2689345243032046</v>
      </c>
      <c r="CV63" s="1047">
        <f t="shared" ca="1" si="74"/>
        <v>2.2686776106797462</v>
      </c>
      <c r="CW63" s="1047">
        <f t="shared" ca="1" si="74"/>
        <v>2.2684306057056318</v>
      </c>
      <c r="CX63" s="1047">
        <f t="shared" ca="1" si="74"/>
        <v>2.2681931262151367</v>
      </c>
      <c r="CY63" s="1047">
        <f t="shared" ca="1" si="74"/>
        <v>2.2679648039353784</v>
      </c>
      <c r="CZ63" s="1047">
        <f t="shared" ca="1" si="74"/>
        <v>2.2677452849017694</v>
      </c>
      <c r="DA63" s="1047">
        <f t="shared" ca="1" si="74"/>
        <v>2.2675342288968388</v>
      </c>
      <c r="DB63" s="1047">
        <f t="shared" ca="1" si="74"/>
        <v>2.2673313089114564</v>
      </c>
      <c r="DC63" s="1047">
        <f t="shared" ca="1" si="74"/>
        <v>2.2671362106275339</v>
      </c>
      <c r="DD63" s="1047">
        <f t="shared" ca="1" si="74"/>
        <v>2.2669486319213292</v>
      </c>
      <c r="DE63" s="1047">
        <f t="shared" ca="1" si="74"/>
        <v>2.2667682823864927</v>
      </c>
      <c r="DF63" s="1047">
        <f t="shared" ca="1" si="74"/>
        <v>2.2665948828760674</v>
      </c>
      <c r="DG63" s="1047">
        <f t="shared" ca="1" si="74"/>
        <v>2.2664281650626448</v>
      </c>
      <c r="DH63" s="1047">
        <f t="shared" ca="1" si="74"/>
        <v>2.2662678710159647</v>
      </c>
      <c r="DI63" s="1047">
        <f t="shared" ca="1" si="74"/>
        <v>2.2661137527972199</v>
      </c>
      <c r="DJ63" s="1047">
        <f t="shared" ca="1" si="74"/>
        <v>2.2659655720694114</v>
      </c>
      <c r="DK63" s="1047">
        <f t="shared" ca="1" si="74"/>
        <v>2.2658230997230935</v>
      </c>
      <c r="DL63" s="1047">
        <f t="shared" ca="1" si="74"/>
        <v>2.2656861155168802</v>
      </c>
      <c r="DM63" s="1047">
        <f t="shared" ca="1" si="74"/>
        <v>2.2655544077321328</v>
      </c>
      <c r="DN63" s="1047">
        <f t="shared" ca="1" si="74"/>
        <v>2.2654277728412446</v>
      </c>
      <c r="DO63" s="1047">
        <f t="shared" ca="1" si="74"/>
        <v>2.2653060151889775</v>
      </c>
      <c r="DP63" s="1047">
        <f t="shared" ca="1" si="74"/>
        <v>2.2651889466863326</v>
      </c>
      <c r="DQ63" s="1047">
        <f t="shared" ca="1" si="74"/>
        <v>2.2650763865164421</v>
      </c>
      <c r="DR63" s="1047">
        <f t="shared" ca="1" si="74"/>
        <v>2.2649681608520114</v>
      </c>
      <c r="DS63" s="1047">
        <f t="shared" ca="1" si="74"/>
        <v>2.2648641025838447</v>
      </c>
      <c r="DT63" s="1047">
        <f t="shared" ca="1" si="74"/>
        <v>2.2647640510600051</v>
      </c>
      <c r="DU63" s="1047">
        <f t="shared" ca="1" si="74"/>
        <v>2.2646678518352004</v>
      </c>
      <c r="DV63" s="1047">
        <f t="shared" ca="1" si="74"/>
        <v>2.2645753564299742</v>
      </c>
      <c r="DW63" s="1047">
        <f t="shared" ca="1" si="74"/>
        <v>2.2644864220993135</v>
      </c>
      <c r="DX63" s="1047">
        <f t="shared" ca="1" si="74"/>
        <v>2.2644009116103105</v>
      </c>
      <c r="DY63" s="1047">
        <f t="shared" ca="1" si="74"/>
        <v>2.264318693028502</v>
      </c>
      <c r="DZ63" s="1047">
        <f t="shared" ca="1" si="74"/>
        <v>2.2642396395125544</v>
      </c>
      <c r="EA63" s="1047">
        <f t="shared" ref="EA63:GL63" ca="1" si="75">+EA67/EA65</f>
        <v>2.2641636291169647</v>
      </c>
      <c r="EB63" s="1047">
        <f t="shared" ca="1" si="75"/>
        <v>2.2640905446024493</v>
      </c>
      <c r="EC63" s="1047">
        <f t="shared" ca="1" si="75"/>
        <v>2.2640202732537302</v>
      </c>
      <c r="ED63" s="1047">
        <f t="shared" ca="1" si="75"/>
        <v>2.2639527067044165</v>
      </c>
      <c r="EE63" s="1047">
        <f t="shared" ca="1" si="75"/>
        <v>2.2638877407687081</v>
      </c>
      <c r="EF63" s="1047">
        <f t="shared" ca="1" si="75"/>
        <v>2.2638252752796495</v>
      </c>
      <c r="EG63" s="1047">
        <f t="shared" ca="1" si="75"/>
        <v>2.2637652139336741</v>
      </c>
      <c r="EH63" s="1047">
        <f t="shared" ca="1" si="75"/>
        <v>2.2637074641411998</v>
      </c>
      <c r="EI63" s="1047">
        <f t="shared" ca="1" si="75"/>
        <v>2.2636519368830257</v>
      </c>
      <c r="EJ63" s="1047">
        <f t="shared" ca="1" si="75"/>
        <v>2.263598546572315</v>
      </c>
      <c r="EK63" s="1047">
        <f t="shared" ca="1" si="75"/>
        <v>2.2635472109219341</v>
      </c>
      <c r="EL63" s="1047">
        <f t="shared" ca="1" si="75"/>
        <v>2.2634978508169463</v>
      </c>
      <c r="EM63" s="1047">
        <f t="shared" ca="1" si="75"/>
        <v>2.2634503901920517</v>
      </c>
      <c r="EN63" s="1047">
        <f t="shared" ca="1" si="75"/>
        <v>2.2634047559137849</v>
      </c>
      <c r="EO63" s="1047">
        <f t="shared" ca="1" si="75"/>
        <v>2.2633608776672802</v>
      </c>
      <c r="EP63" s="1047">
        <f t="shared" ca="1" si="75"/>
        <v>2.2633186878474287</v>
      </c>
      <c r="EQ63" s="1047">
        <f t="shared" ca="1" si="75"/>
        <v>2.263278121454253</v>
      </c>
      <c r="ER63" s="1047">
        <f t="shared" ca="1" si="75"/>
        <v>2.2632391159923406</v>
      </c>
      <c r="ES63" s="1047">
        <f t="shared" ca="1" si="75"/>
        <v>2.2632016113741664</v>
      </c>
      <c r="ET63" s="1047">
        <f t="shared" ca="1" si="75"/>
        <v>2.2631655498271641</v>
      </c>
      <c r="EU63" s="1047">
        <f t="shared" ca="1" si="75"/>
        <v>2.2631308758043978</v>
      </c>
      <c r="EV63" s="1047">
        <f t="shared" ca="1" si="75"/>
        <v>2.2630975358986865</v>
      </c>
      <c r="EW63" s="1047">
        <f t="shared" ca="1" si="75"/>
        <v>2.2630654787600526</v>
      </c>
      <c r="EX63" s="1047">
        <f t="shared" ca="1" si="75"/>
        <v>2.2630346550163711</v>
      </c>
      <c r="EY63" s="1047">
        <f t="shared" ca="1" si="75"/>
        <v>2.2630050171970777</v>
      </c>
      <c r="EZ63" s="1047">
        <f t="shared" ca="1" si="75"/>
        <v>2.2629765196598353</v>
      </c>
      <c r="FA63" s="1047">
        <f t="shared" ca="1" si="75"/>
        <v>2.2629491185200372</v>
      </c>
      <c r="FB63" s="1047">
        <f t="shared" ca="1" si="75"/>
        <v>2.2629227715830251</v>
      </c>
      <c r="FC63" s="1047">
        <f t="shared" ca="1" si="75"/>
        <v>2.2628974382789409</v>
      </c>
      <c r="FD63" s="1047">
        <f t="shared" ca="1" si="75"/>
        <v>2.2628730796000842</v>
      </c>
      <c r="FE63" s="1047">
        <f t="shared" ca="1" si="75"/>
        <v>2.2628496580406972</v>
      </c>
      <c r="FF63" s="1047">
        <f t="shared" ca="1" si="75"/>
        <v>2.2628271375390736</v>
      </c>
      <c r="FG63" s="1047">
        <f t="shared" ca="1" si="75"/>
        <v>2.2628054834219018</v>
      </c>
      <c r="FH63" s="1047">
        <f t="shared" ca="1" si="75"/>
        <v>2.2627846623507613</v>
      </c>
      <c r="FI63" s="1047">
        <f t="shared" ca="1" si="75"/>
        <v>2.2627646422706804</v>
      </c>
      <c r="FJ63" s="1047">
        <f t="shared" ca="1" si="75"/>
        <v>2.2627453923606833</v>
      </c>
      <c r="FK63" s="1047">
        <f t="shared" ca="1" si="75"/>
        <v>2.2627268829862435</v>
      </c>
      <c r="FL63" s="1047">
        <f t="shared" ca="1" si="75"/>
        <v>2.2627090856535763</v>
      </c>
      <c r="FM63" s="1047">
        <f t="shared" ca="1" si="75"/>
        <v>2.2626919729656896</v>
      </c>
      <c r="FN63" s="1047">
        <f t="shared" ca="1" si="75"/>
        <v>2.2626755185801333</v>
      </c>
      <c r="FO63" s="1047">
        <f t="shared" ca="1" si="75"/>
        <v>2.2626596971683828</v>
      </c>
      <c r="FP63" s="1047">
        <f t="shared" ca="1" si="75"/>
        <v>2.2626444843767781</v>
      </c>
      <c r="FQ63" s="1047">
        <f t="shared" ca="1" si="75"/>
        <v>2.2626298567889838</v>
      </c>
      <c r="FR63" s="1047">
        <f t="shared" ca="1" si="75"/>
        <v>2.2626157918898837</v>
      </c>
      <c r="FS63" s="1047">
        <f t="shared" ca="1" si="75"/>
        <v>2.262602268030879</v>
      </c>
      <c r="FT63" s="1047">
        <f t="shared" ca="1" si="75"/>
        <v>2.2625892643965169</v>
      </c>
      <c r="FU63" s="1047">
        <f t="shared" ca="1" si="75"/>
        <v>2.2625767609724048</v>
      </c>
      <c r="FV63" s="1047">
        <f t="shared" ca="1" si="75"/>
        <v>2.262564738514373</v>
      </c>
      <c r="FW63" s="1047">
        <f t="shared" ca="1" si="75"/>
        <v>2.2625531785188087</v>
      </c>
      <c r="FX63" s="1047">
        <f t="shared" ca="1" si="75"/>
        <v>2.2625420631941506</v>
      </c>
      <c r="FY63" s="1047">
        <f t="shared" ca="1" si="75"/>
        <v>2.2625313754334693</v>
      </c>
      <c r="FZ63" s="1047">
        <f t="shared" ca="1" si="75"/>
        <v>2.2625210987881132</v>
      </c>
      <c r="GA63" s="1047">
        <f t="shared" ca="1" si="75"/>
        <v>2.2625112174423609</v>
      </c>
      <c r="GB63" s="1047">
        <f t="shared" ca="1" si="75"/>
        <v>2.2625017161890622</v>
      </c>
      <c r="GC63" s="1047">
        <f t="shared" ca="1" si="75"/>
        <v>2.2624925804062066</v>
      </c>
      <c r="GD63" s="1047">
        <f t="shared" ca="1" si="75"/>
        <v>2.2624837960343993</v>
      </c>
      <c r="GE63" s="1047">
        <f t="shared" ca="1" si="75"/>
        <v>2.2624753495552063</v>
      </c>
      <c r="GF63" s="1047">
        <f t="shared" ca="1" si="75"/>
        <v>2.2624672279703328</v>
      </c>
      <c r="GG63" s="1047">
        <f t="shared" ca="1" si="75"/>
        <v>2.2624594187815994</v>
      </c>
      <c r="GH63" s="1047">
        <f t="shared" ca="1" si="75"/>
        <v>2.2624519099716958</v>
      </c>
      <c r="GI63" s="1047">
        <f t="shared" ca="1" si="75"/>
        <v>2.2624446899856721</v>
      </c>
      <c r="GJ63" s="1047">
        <f t="shared" ca="1" si="75"/>
        <v>2.2624377477131454</v>
      </c>
      <c r="GK63" s="1047">
        <f t="shared" ca="1" si="75"/>
        <v>2.2624310724711885</v>
      </c>
      <c r="GL63" s="1047">
        <f t="shared" ca="1" si="75"/>
        <v>2.2624246539878787</v>
      </c>
      <c r="GM63" s="1047">
        <f t="shared" ref="GM63:IR63" ca="1" si="76">+GM67/GM65</f>
        <v>2.2624184823864821</v>
      </c>
      <c r="GN63" s="1047">
        <f t="shared" ca="1" si="76"/>
        <v>2.2624125481702455</v>
      </c>
      <c r="GO63" s="1047">
        <f t="shared" ca="1" si="76"/>
        <v>2.2624068422077732</v>
      </c>
      <c r="GP63" s="1047">
        <f t="shared" ca="1" si="76"/>
        <v>2.2624013557189651</v>
      </c>
      <c r="GQ63" s="1047">
        <f t="shared" ca="1" si="76"/>
        <v>2.2623960802615048</v>
      </c>
      <c r="GR63" s="1047">
        <f t="shared" ca="1" si="76"/>
        <v>2.2623910077178548</v>
      </c>
      <c r="GS63" s="1047">
        <f t="shared" ca="1" si="76"/>
        <v>2.2623861302827617</v>
      </c>
      <c r="GT63" s="1047">
        <f t="shared" ca="1" si="76"/>
        <v>2.2623814404512417</v>
      </c>
      <c r="GU63" s="1047">
        <f t="shared" ca="1" si="76"/>
        <v>2.2623769310070254</v>
      </c>
      <c r="GV63" s="1047">
        <f t="shared" ca="1" si="76"/>
        <v>2.2623725950114468</v>
      </c>
      <c r="GW63" s="1047">
        <f t="shared" ca="1" si="76"/>
        <v>2.2623684257927659</v>
      </c>
      <c r="GX63" s="1047">
        <f t="shared" ca="1" si="76"/>
        <v>2.2623644169358945</v>
      </c>
      <c r="GY63" s="1047">
        <f t="shared" ca="1" si="76"/>
        <v>2.2623605622725251</v>
      </c>
      <c r="GZ63" s="1047">
        <f t="shared" ca="1" si="76"/>
        <v>2.2623568558716323</v>
      </c>
      <c r="HA63" s="1047">
        <f t="shared" ca="1" si="76"/>
        <v>2.2623532920303462</v>
      </c>
      <c r="HB63" s="1047">
        <f t="shared" ca="1" si="76"/>
        <v>2.2623498652651723</v>
      </c>
      <c r="HC63" s="1047">
        <f t="shared" ca="1" si="76"/>
        <v>2.2623465703035537</v>
      </c>
      <c r="HD63" s="1047">
        <f t="shared" ca="1" si="76"/>
        <v>2.262343402075754</v>
      </c>
      <c r="HE63" s="1047">
        <f t="shared" ca="1" si="76"/>
        <v>2.2623403557070536</v>
      </c>
      <c r="HF63" s="1047">
        <f t="shared" ca="1" si="76"/>
        <v>2.2623374265102489</v>
      </c>
      <c r="HG63" s="1047">
        <f t="shared" ca="1" si="76"/>
        <v>2.2623346099784354</v>
      </c>
      <c r="HH63" s="1047">
        <f t="shared" ca="1" si="76"/>
        <v>2.2623319017780759</v>
      </c>
      <c r="HI63" s="1047">
        <f t="shared" ca="1" si="76"/>
        <v>2.2623292977423253</v>
      </c>
      <c r="HJ63" s="1047">
        <f t="shared" ca="1" si="76"/>
        <v>2.2623267938646223</v>
      </c>
      <c r="HK63" s="1047">
        <f t="shared" ca="1" si="76"/>
        <v>2.262324386292522</v>
      </c>
      <c r="HL63" s="1047">
        <f t="shared" ca="1" si="76"/>
        <v>2.2623220713217647</v>
      </c>
      <c r="HM63" s="1047">
        <f t="shared" ca="1" si="76"/>
        <v>2.2623198453905777</v>
      </c>
      <c r="HN63" s="1047">
        <f t="shared" ca="1" si="76"/>
        <v>2.2623177050741945</v>
      </c>
      <c r="HO63" s="1047">
        <f t="shared" ca="1" si="76"/>
        <v>2.2623156470795811</v>
      </c>
      <c r="HP63" s="1047">
        <f t="shared" ca="1" si="76"/>
        <v>2.2623136682403722</v>
      </c>
      <c r="HQ63" s="1047">
        <f t="shared" ca="1" si="76"/>
        <v>2.262311765511996</v>
      </c>
      <c r="HR63" s="1047">
        <f t="shared" ca="1" si="76"/>
        <v>2.2623099359669898</v>
      </c>
      <c r="HS63" s="1047">
        <f t="shared" ca="1" si="76"/>
        <v>2.2623081767904947</v>
      </c>
      <c r="HT63" s="1047">
        <f t="shared" ca="1" si="76"/>
        <v>2.2623064852759232</v>
      </c>
      <c r="HU63" s="1047">
        <f t="shared" ca="1" si="76"/>
        <v>2.2623048588207983</v>
      </c>
      <c r="HV63" s="1047">
        <f t="shared" ca="1" si="76"/>
        <v>2.2623032949227411</v>
      </c>
      <c r="HW63" s="1047">
        <f t="shared" ca="1" si="76"/>
        <v>2.2623017911756298</v>
      </c>
      <c r="HX63" s="1047">
        <f t="shared" ca="1" si="76"/>
        <v>2.2623003452658881</v>
      </c>
      <c r="HY63" s="1047">
        <f t="shared" ca="1" si="76"/>
        <v>2.2622989549689305</v>
      </c>
      <c r="HZ63" s="1047">
        <f t="shared" ca="1" si="76"/>
        <v>2.2622976181457397</v>
      </c>
      <c r="IA63" s="1047">
        <f t="shared" ca="1" si="76"/>
        <v>2.2622963327395693</v>
      </c>
      <c r="IB63" s="1047">
        <f t="shared" ca="1" si="76"/>
        <v>2.2622950967727871</v>
      </c>
      <c r="IC63" s="1047">
        <f t="shared" ca="1" si="76"/>
        <v>2.2622939083438256</v>
      </c>
      <c r="ID63" s="1047">
        <f t="shared" ca="1" si="76"/>
        <v>2.2622927656242586</v>
      </c>
      <c r="IE63" s="1047">
        <f t="shared" ca="1" si="76"/>
        <v>2.262291666855988</v>
      </c>
      <c r="IF63" s="1047">
        <f t="shared" ca="1" si="76"/>
        <v>2.2622906103485403</v>
      </c>
      <c r="IG63" s="1047">
        <f t="shared" ca="1" si="76"/>
        <v>2.2622895944764587</v>
      </c>
      <c r="IH63" s="1047">
        <f t="shared" ca="1" si="76"/>
        <v>2.2622886176768109</v>
      </c>
      <c r="II63" s="1047">
        <f t="shared" ca="1" si="76"/>
        <v>2.2622876784467776</v>
      </c>
      <c r="IJ63" s="1047">
        <f t="shared" ca="1" si="76"/>
        <v>2.2622867753413445</v>
      </c>
      <c r="IK63" s="1047">
        <f t="shared" ca="1" si="76"/>
        <v>2.2622859069710755</v>
      </c>
      <c r="IL63" s="1047">
        <f t="shared" ca="1" si="76"/>
        <v>2.262285071999977</v>
      </c>
      <c r="IM63" s="1047">
        <f t="shared" ca="1" si="76"/>
        <v>2.2622842691434428</v>
      </c>
      <c r="IN63" s="1047">
        <f t="shared" ca="1" si="76"/>
        <v>2.2622834971662744</v>
      </c>
      <c r="IO63" s="1047">
        <f t="shared" ca="1" si="76"/>
        <v>2.2622827548807845</v>
      </c>
      <c r="IP63" s="1047">
        <f t="shared" ca="1" si="76"/>
        <v>2.2622820411449656</v>
      </c>
      <c r="IQ63" s="1047">
        <f t="shared" ca="1" si="76"/>
        <v>2.2622813548607366</v>
      </c>
      <c r="IR63" s="1047">
        <f t="shared" ca="1" si="76"/>
        <v>0</v>
      </c>
    </row>
    <row r="64" spans="2:254" s="960" customFormat="1" ht="11.25" customHeight="1">
      <c r="B64" s="958" t="s">
        <v>696</v>
      </c>
      <c r="C64" s="979">
        <f>IF(C98="S",$U28+(B66-$U31)*$I19,IF(C98="T",$U27+(AVERAGE($U32,$I19)*(B66-$U30)),C46))</f>
        <v>186.35308511674481</v>
      </c>
      <c r="D64" s="979">
        <f t="shared" ref="D64:BN64" si="77">IF(D98="S",$U28+(C66-$U31)*$I19,IF(D98="T",$U27+(AVERAGE($U32,$I19)*(C66-$U30)),D46))</f>
        <v>200.50919170103498</v>
      </c>
      <c r="E64" s="1050">
        <f t="shared" si="77"/>
        <v>212.31543849901047</v>
      </c>
      <c r="F64" s="979">
        <f t="shared" si="77"/>
        <v>237.39349997072182</v>
      </c>
      <c r="G64" s="979">
        <f t="shared" ca="1" si="77"/>
        <v>231.7536228630178</v>
      </c>
      <c r="H64" s="979">
        <f t="shared" ca="1" si="77"/>
        <v>273.46738534046079</v>
      </c>
      <c r="I64" s="979">
        <f t="shared" ca="1" si="77"/>
        <v>292.64040931067382</v>
      </c>
      <c r="J64" s="979">
        <f t="shared" ca="1" si="77"/>
        <v>312.51323110275314</v>
      </c>
      <c r="K64" s="979">
        <f t="shared" ca="1" si="77"/>
        <v>333.03147974099119</v>
      </c>
      <c r="L64" s="979">
        <f t="shared" ca="1" si="77"/>
        <v>354.13166504423162</v>
      </c>
      <c r="M64" s="979">
        <f t="shared" ca="1" si="77"/>
        <v>375.74116128787642</v>
      </c>
      <c r="N64" s="979">
        <f t="shared" ca="1" si="77"/>
        <v>397.77831293347941</v>
      </c>
      <c r="O64" s="979">
        <f t="shared" ca="1" si="77"/>
        <v>420.15266961298812</v>
      </c>
      <c r="P64" s="979">
        <f t="shared" ca="1" si="77"/>
        <v>442.76535571375712</v>
      </c>
      <c r="Q64" s="979">
        <f t="shared" ca="1" si="77"/>
        <v>465.50957781433897</v>
      </c>
      <c r="R64" s="979">
        <f t="shared" ca="1" si="77"/>
        <v>488.27127090128721</v>
      </c>
      <c r="S64" s="979">
        <f t="shared" ca="1" si="77"/>
        <v>510.9298817935728</v>
      </c>
      <c r="T64" s="979">
        <f t="shared" ca="1" si="77"/>
        <v>533.359285561403</v>
      </c>
      <c r="U64" s="979">
        <f t="shared" ca="1" si="77"/>
        <v>555.4288280047432</v>
      </c>
      <c r="V64" s="979">
        <f t="shared" ca="1" si="77"/>
        <v>577.00448451403508</v>
      </c>
      <c r="W64" s="1051">
        <f t="shared" ca="1" si="77"/>
        <v>596.04957418839467</v>
      </c>
      <c r="X64" s="979">
        <f t="shared" ca="1" si="77"/>
        <v>642.62800786779019</v>
      </c>
      <c r="Y64" s="979">
        <f t="shared" ca="1" si="77"/>
        <v>664.96249550735024</v>
      </c>
      <c r="Z64" s="979">
        <f t="shared" ca="1" si="77"/>
        <v>688.19297647009671</v>
      </c>
      <c r="AA64" s="979">
        <f t="shared" ca="1" si="77"/>
        <v>712.35519077455001</v>
      </c>
      <c r="AB64" s="979">
        <f t="shared" ca="1" si="77"/>
        <v>737.4863117848256</v>
      </c>
      <c r="AC64" s="979">
        <f t="shared" ca="1" si="77"/>
        <v>763.62500341038299</v>
      </c>
      <c r="AD64" s="979">
        <f t="shared" ca="1" si="77"/>
        <v>790.81147959782811</v>
      </c>
      <c r="AE64" s="979">
        <f t="shared" ca="1" si="77"/>
        <v>819.0875662064135</v>
      </c>
      <c r="AF64" s="979">
        <f t="shared" ca="1" si="77"/>
        <v>848.49676536253742</v>
      </c>
      <c r="AG64" s="979">
        <f t="shared" ca="1" si="77"/>
        <v>879.08432239234094</v>
      </c>
      <c r="AH64" s="979">
        <f t="shared" ca="1" si="77"/>
        <v>910.89729543546423</v>
      </c>
      <c r="AI64" s="979">
        <f t="shared" ca="1" si="77"/>
        <v>943.98462784713229</v>
      </c>
      <c r="AJ64" s="979">
        <f t="shared" ca="1" si="77"/>
        <v>978.3972235000291</v>
      </c>
      <c r="AK64" s="979">
        <f t="shared" ca="1" si="77"/>
        <v>1014.1880251018626</v>
      </c>
      <c r="AL64" s="979">
        <f t="shared" ca="1" si="77"/>
        <v>1051.412095649172</v>
      </c>
      <c r="AM64" s="979">
        <f t="shared" ca="1" si="77"/>
        <v>1090.1267031427283</v>
      </c>
      <c r="AN64" s="979">
        <f t="shared" ca="1" si="77"/>
        <v>1130.3914086949094</v>
      </c>
      <c r="AO64" s="979">
        <f t="shared" ca="1" si="77"/>
        <v>1172.2681581646336</v>
      </c>
      <c r="AP64" s="979">
        <f t="shared" ca="1" si="77"/>
        <v>1215.8213774608637</v>
      </c>
      <c r="AQ64" s="979">
        <f t="shared" ca="1" si="77"/>
        <v>1261.1180716613289</v>
      </c>
      <c r="AR64" s="979">
        <f t="shared" ca="1" si="77"/>
        <v>1308.2279280989871</v>
      </c>
      <c r="AS64" s="979">
        <f t="shared" ca="1" si="77"/>
        <v>1357.223423574841</v>
      </c>
      <c r="AT64" s="979">
        <f t="shared" ca="1" si="77"/>
        <v>1408.1799358620742</v>
      </c>
      <c r="AU64" s="979">
        <f t="shared" ca="1" si="77"/>
        <v>1461.175859673069</v>
      </c>
      <c r="AV64" s="979">
        <f t="shared" ca="1" si="77"/>
        <v>1516.2927272677384</v>
      </c>
      <c r="AW64" s="979">
        <f t="shared" ca="1" si="77"/>
        <v>1573.6153338887291</v>
      </c>
      <c r="AX64" s="979">
        <f t="shared" ca="1" si="77"/>
        <v>1633.2318682164978</v>
      </c>
      <c r="AY64" s="979">
        <f t="shared" ca="1" si="77"/>
        <v>1695.2340480449607</v>
      </c>
      <c r="AZ64" s="979">
        <f t="shared" ca="1" si="77"/>
        <v>1759.7172613864684</v>
      </c>
      <c r="BA64" s="979">
        <f t="shared" ca="1" si="77"/>
        <v>1826.780713223194</v>
      </c>
      <c r="BB64" s="979">
        <f t="shared" ca="1" si="77"/>
        <v>1896.5275781307157</v>
      </c>
      <c r="BC64" s="979">
        <f t="shared" ca="1" si="77"/>
        <v>1969.0651590086106</v>
      </c>
      <c r="BD64" s="979">
        <f t="shared" ca="1" si="77"/>
        <v>2044.5050521622557</v>
      </c>
      <c r="BE64" s="979">
        <f t="shared" ca="1" si="77"/>
        <v>2122.9633189898304</v>
      </c>
      <c r="BF64" s="979">
        <f t="shared" ca="1" si="77"/>
        <v>2204.5606645386479</v>
      </c>
      <c r="BG64" s="979">
        <f t="shared" ca="1" si="77"/>
        <v>2289.4226232055203</v>
      </c>
      <c r="BH64" s="979">
        <f t="shared" ca="1" si="77"/>
        <v>2377.6797518668673</v>
      </c>
      <c r="BI64" s="979">
        <f t="shared" ca="1" si="77"/>
        <v>2469.4678307356853</v>
      </c>
      <c r="BJ64" s="979">
        <f t="shared" ca="1" si="77"/>
        <v>2564.9280722543845</v>
      </c>
      <c r="BK64" s="979">
        <f t="shared" ca="1" si="77"/>
        <v>2664.2073383448919</v>
      </c>
      <c r="BL64" s="979">
        <f t="shared" ca="1" si="77"/>
        <v>2767.4583663502326</v>
      </c>
      <c r="BM64" s="979">
        <f t="shared" ca="1" si="77"/>
        <v>2874.8400040152019</v>
      </c>
      <c r="BN64" s="979">
        <f t="shared" ca="1" si="77"/>
        <v>2986.5174538676461</v>
      </c>
      <c r="BO64" s="979">
        <f t="shared" ref="BO64:DZ64" ca="1" si="78">IF(BO98="S",$U28+(BN66-$U31)*$I19,IF(BO98="T",$U27+(AVERAGE($U32,$I19)*(BN66-$U30)),BO46))</f>
        <v>3102.6625273763075</v>
      </c>
      <c r="BP64" s="979">
        <f t="shared" ca="1" si="78"/>
        <v>3223.4539092762689</v>
      </c>
      <c r="BQ64" s="979">
        <f t="shared" ca="1" si="78"/>
        <v>3349.0774324686354</v>
      </c>
      <c r="BR64" s="979">
        <f t="shared" ca="1" si="78"/>
        <v>3479.7263639173866</v>
      </c>
      <c r="BS64" s="979">
        <f t="shared" ca="1" si="78"/>
        <v>3615.6017019832393</v>
      </c>
      <c r="BT64" s="979">
        <f t="shared" ca="1" si="78"/>
        <v>3756.9124856519597</v>
      </c>
      <c r="BU64" s="979">
        <f t="shared" ca="1" si="78"/>
        <v>3903.8761161328634</v>
      </c>
      <c r="BV64" s="979">
        <f t="shared" ca="1" si="78"/>
        <v>4056.718691322259</v>
      </c>
      <c r="BW64" s="979">
        <f t="shared" ca="1" si="78"/>
        <v>4215.6753536464148</v>
      </c>
      <c r="BX64" s="979">
        <f t="shared" ca="1" si="78"/>
        <v>4380.9906518191756</v>
      </c>
      <c r="BY64" s="979">
        <f t="shared" ca="1" si="78"/>
        <v>4552.9189170707923</v>
      </c>
      <c r="BZ64" s="979">
        <f t="shared" ca="1" si="78"/>
        <v>4731.7246544267655</v>
      </c>
      <c r="CA64" s="979">
        <f t="shared" ca="1" si="78"/>
        <v>4917.682949638689</v>
      </c>
      <c r="CB64" s="979">
        <f t="shared" ca="1" si="78"/>
        <v>5111.079892393107</v>
      </c>
      <c r="CC64" s="979">
        <f t="shared" ca="1" si="78"/>
        <v>5312.2130164495411</v>
      </c>
      <c r="CD64" s="979">
        <f t="shared" ca="1" si="78"/>
        <v>5521.391757384732</v>
      </c>
      <c r="CE64" s="979">
        <f t="shared" ca="1" si="78"/>
        <v>5738.9379286474068</v>
      </c>
      <c r="CF64" s="979">
        <f t="shared" ca="1" si="78"/>
        <v>5965.1862166558967</v>
      </c>
      <c r="CG64" s="979">
        <f t="shared" ca="1" si="78"/>
        <v>6200.4846957003392</v>
      </c>
      <c r="CH64" s="979">
        <f t="shared" ca="1" si="78"/>
        <v>6445.1953634415986</v>
      </c>
      <c r="CI64" s="979">
        <f t="shared" ca="1" si="78"/>
        <v>6699.6946978307515</v>
      </c>
      <c r="CJ64" s="979">
        <f t="shared" ca="1" si="78"/>
        <v>6964.3742363059482</v>
      </c>
      <c r="CK64" s="979">
        <f t="shared" ca="1" si="78"/>
        <v>7239.6411781577117</v>
      </c>
      <c r="CL64" s="979">
        <f t="shared" ca="1" si="78"/>
        <v>7525.9190109893843</v>
      </c>
      <c r="CM64" s="979">
        <f t="shared" ca="1" si="78"/>
        <v>7823.6481622365336</v>
      </c>
      <c r="CN64" s="979">
        <f t="shared" ca="1" si="78"/>
        <v>8133.2866767476262</v>
      </c>
      <c r="CO64" s="979">
        <f t="shared" ca="1" si="78"/>
        <v>8455.3109214684082</v>
      </c>
      <c r="CP64" s="979">
        <f t="shared" ca="1" si="78"/>
        <v>8790.2163183141511</v>
      </c>
      <c r="CQ64" s="979">
        <f t="shared" ca="1" si="78"/>
        <v>9138.5181063571963</v>
      </c>
      <c r="CR64" s="979">
        <f t="shared" ca="1" si="78"/>
        <v>9500.7521345024725</v>
      </c>
      <c r="CS64" s="979">
        <f t="shared" ca="1" si="78"/>
        <v>9877.4756858704204</v>
      </c>
      <c r="CT64" s="979">
        <f t="shared" ca="1" si="78"/>
        <v>10269.268335155648</v>
      </c>
      <c r="CU64" s="979">
        <f t="shared" ca="1" si="78"/>
        <v>10676.7328402803</v>
      </c>
      <c r="CV64" s="979">
        <f t="shared" ca="1" si="78"/>
        <v>11100.496069713956</v>
      </c>
      <c r="CW64" s="979">
        <f t="shared" ca="1" si="78"/>
        <v>11541.209966886647</v>
      </c>
      <c r="CX64" s="979">
        <f t="shared" ca="1" si="78"/>
        <v>11999.552553178766</v>
      </c>
      <c r="CY64" s="979">
        <f t="shared" ca="1" si="78"/>
        <v>12476.228971030861</v>
      </c>
      <c r="CZ64" s="979">
        <f t="shared" ca="1" si="78"/>
        <v>12971.97256877819</v>
      </c>
      <c r="DA64" s="979">
        <f t="shared" ca="1" si="78"/>
        <v>13487.546028878913</v>
      </c>
      <c r="DB64" s="979">
        <f t="shared" ca="1" si="78"/>
        <v>14023.742541271715</v>
      </c>
      <c r="DC64" s="979">
        <f t="shared" ca="1" si="78"/>
        <v>14581.387023668045</v>
      </c>
      <c r="DD64" s="979">
        <f t="shared" ca="1" si="78"/>
        <v>15161.337390656257</v>
      </c>
      <c r="DE64" s="979">
        <f t="shared" ca="1" si="78"/>
        <v>15764.48587357024</v>
      </c>
      <c r="DF64" s="979">
        <f t="shared" ca="1" si="78"/>
        <v>16391.760393152977</v>
      </c>
      <c r="DG64" s="979">
        <f t="shared" ca="1" si="78"/>
        <v>17044.125987126958</v>
      </c>
      <c r="DH64" s="979">
        <f t="shared" ca="1" si="78"/>
        <v>17722.586294867546</v>
      </c>
      <c r="DI64" s="979">
        <f t="shared" ca="1" si="78"/>
        <v>18428.18510146362</v>
      </c>
      <c r="DJ64" s="979">
        <f t="shared" ca="1" si="78"/>
        <v>19162.007943540739</v>
      </c>
      <c r="DK64" s="979">
        <f t="shared" ca="1" si="78"/>
        <v>19925.183779317504</v>
      </c>
      <c r="DL64" s="979">
        <f t="shared" ca="1" si="78"/>
        <v>20718.886725464374</v>
      </c>
      <c r="DM64" s="979">
        <f t="shared" ca="1" si="78"/>
        <v>21544.337863436973</v>
      </c>
      <c r="DN64" s="979">
        <f t="shared" ca="1" si="78"/>
        <v>22402.807118062974</v>
      </c>
      <c r="DO64" s="979">
        <f t="shared" ca="1" si="78"/>
        <v>23295.615211272587</v>
      </c>
      <c r="DP64" s="979">
        <f t="shared" ca="1" si="78"/>
        <v>24224.135693978445</v>
      </c>
      <c r="DQ64" s="979">
        <f t="shared" ca="1" si="78"/>
        <v>25189.797059230896</v>
      </c>
      <c r="DR64" s="979">
        <f t="shared" ca="1" si="78"/>
        <v>26194.084939899563</v>
      </c>
      <c r="DS64" s="979">
        <f t="shared" ca="1" si="78"/>
        <v>27238.544394262401</v>
      </c>
      <c r="DT64" s="979">
        <f t="shared" ca="1" si="78"/>
        <v>28324.782283018445</v>
      </c>
      <c r="DU64" s="979">
        <f t="shared" ca="1" si="78"/>
        <v>29454.469741381174</v>
      </c>
      <c r="DV64" s="979">
        <f t="shared" ca="1" si="78"/>
        <v>30629.344750055763</v>
      </c>
      <c r="DW64" s="979">
        <f t="shared" ca="1" si="78"/>
        <v>31851.214809055578</v>
      </c>
      <c r="DX64" s="979">
        <f t="shared" ca="1" si="78"/>
        <v>33121.959718471386</v>
      </c>
      <c r="DY64" s="979">
        <f t="shared" ca="1" si="78"/>
        <v>34443.53447047151</v>
      </c>
      <c r="DZ64" s="979">
        <f t="shared" ca="1" si="78"/>
        <v>35817.972256982139</v>
      </c>
      <c r="EA64" s="979">
        <f t="shared" ref="EA64:GL64" ca="1" si="79">IF(EA98="S",$U28+(DZ66-$U31)*$I19,IF(EA98="T",$U27+(AVERAGE($U32,$I19)*(DZ66-$U30)),EA46))</f>
        <v>37247.387597674802</v>
      </c>
      <c r="EB64" s="979">
        <f t="shared" ca="1" si="79"/>
        <v>38733.979593073658</v>
      </c>
      <c r="EC64" s="979">
        <f t="shared" ca="1" si="79"/>
        <v>40280.035307787017</v>
      </c>
      <c r="ED64" s="979">
        <f t="shared" ca="1" si="79"/>
        <v>41887.933289068285</v>
      </c>
      <c r="EE64" s="979">
        <f t="shared" ca="1" si="79"/>
        <v>43560.147226119436</v>
      </c>
      <c r="EF64" s="979">
        <f t="shared" ca="1" si="79"/>
        <v>45299.249755766701</v>
      </c>
      <c r="EG64" s="979">
        <f t="shared" ca="1" si="79"/>
        <v>47107.916420363399</v>
      </c>
      <c r="EH64" s="979">
        <f t="shared" ca="1" si="79"/>
        <v>48988.929784008884</v>
      </c>
      <c r="EI64" s="979">
        <f t="shared" ca="1" si="79"/>
        <v>50945.183713416489</v>
      </c>
      <c r="EJ64" s="979">
        <f t="shared" ca="1" si="79"/>
        <v>52979.687830016061</v>
      </c>
      <c r="EK64" s="979">
        <f t="shared" ca="1" si="79"/>
        <v>55095.57214014083</v>
      </c>
      <c r="EL64" s="979">
        <f t="shared" ca="1" si="79"/>
        <v>57296.091850421763</v>
      </c>
      <c r="EM64" s="979">
        <f t="shared" ca="1" si="79"/>
        <v>59584.632375797737</v>
      </c>
      <c r="EN64" s="979">
        <f t="shared" ca="1" si="79"/>
        <v>61964.71454784627</v>
      </c>
      <c r="EO64" s="979">
        <f t="shared" ca="1" si="79"/>
        <v>64440.000031447438</v>
      </c>
      <c r="EP64" s="979">
        <f t="shared" ca="1" si="79"/>
        <v>67014.296958114472</v>
      </c>
      <c r="EQ64" s="979">
        <f t="shared" ca="1" si="79"/>
        <v>69691.565784657636</v>
      </c>
      <c r="ER64" s="979">
        <f t="shared" ca="1" si="79"/>
        <v>72475.925386194664</v>
      </c>
      <c r="ES64" s="979">
        <f t="shared" ca="1" si="79"/>
        <v>75371.659392881789</v>
      </c>
      <c r="ET64" s="979">
        <f t="shared" ca="1" si="79"/>
        <v>78383.222780113938</v>
      </c>
      <c r="EU64" s="979">
        <f t="shared" ca="1" si="79"/>
        <v>81515.248722332966</v>
      </c>
      <c r="EV64" s="979">
        <f t="shared" ca="1" si="79"/>
        <v>84772.555720988443</v>
      </c>
      <c r="EW64" s="979">
        <f t="shared" ca="1" si="79"/>
        <v>88160.155017616795</v>
      </c>
      <c r="EX64" s="979">
        <f t="shared" ca="1" si="79"/>
        <v>91683.258303443567</v>
      </c>
      <c r="EY64" s="979">
        <f t="shared" ca="1" si="79"/>
        <v>95347.285737370039</v>
      </c>
      <c r="EZ64" s="979">
        <f t="shared" ca="1" si="79"/>
        <v>99157.874284679201</v>
      </c>
      <c r="FA64" s="979">
        <f t="shared" ca="1" si="79"/>
        <v>103120.88638928995</v>
      </c>
      <c r="FB64" s="979">
        <f t="shared" ca="1" si="79"/>
        <v>107242.41899290176</v>
      </c>
      <c r="FC64" s="979">
        <f t="shared" ca="1" si="79"/>
        <v>111528.81291490472</v>
      </c>
      <c r="FD64" s="979">
        <f t="shared" ca="1" si="79"/>
        <v>115986.66260748658</v>
      </c>
      <c r="FE64" s="979">
        <f t="shared" ca="1" si="79"/>
        <v>120622.82630094359</v>
      </c>
      <c r="FF64" s="979">
        <f t="shared" ca="1" si="79"/>
        <v>125444.43655480415</v>
      </c>
      <c r="FG64" s="979">
        <f t="shared" ca="1" si="79"/>
        <v>130458.91123099726</v>
      </c>
      <c r="FH64" s="979">
        <f t="shared" ca="1" si="79"/>
        <v>135673.96490594791</v>
      </c>
      <c r="FI64" s="979">
        <f t="shared" ca="1" si="79"/>
        <v>141097.62073915594</v>
      </c>
      <c r="FJ64" s="979">
        <f t="shared" ca="1" si="79"/>
        <v>146738.22281651862</v>
      </c>
      <c r="FK64" s="979">
        <f t="shared" ca="1" si="79"/>
        <v>152604.44898738575</v>
      </c>
      <c r="FL64" s="979">
        <f t="shared" ca="1" si="79"/>
        <v>158705.32421509712</v>
      </c>
      <c r="FM64" s="979">
        <f t="shared" ca="1" si="79"/>
        <v>165050.23446154146</v>
      </c>
      <c r="FN64" s="979">
        <f t="shared" ca="1" si="79"/>
        <v>171648.94112709808</v>
      </c>
      <c r="FO64" s="979">
        <f t="shared" ca="1" si="79"/>
        <v>178511.59606817533</v>
      </c>
      <c r="FP64" s="979">
        <f t="shared" ca="1" si="79"/>
        <v>185648.75721545189</v>
      </c>
      <c r="FQ64" s="979">
        <f t="shared" ca="1" si="79"/>
        <v>193071.40481684663</v>
      </c>
      <c r="FR64" s="979">
        <f t="shared" ca="1" si="79"/>
        <v>200790.95833020788</v>
      </c>
      <c r="FS64" s="979">
        <f t="shared" ca="1" si="79"/>
        <v>208819.29399171006</v>
      </c>
      <c r="FT64" s="979">
        <f t="shared" ca="1" si="79"/>
        <v>217168.76308698612</v>
      </c>
      <c r="FU64" s="979">
        <f t="shared" ca="1" si="79"/>
        <v>225852.21095310585</v>
      </c>
      <c r="FV64" s="979">
        <f t="shared" ca="1" si="79"/>
        <v>234882.99674063246</v>
      </c>
      <c r="FW64" s="979">
        <f t="shared" ca="1" si="79"/>
        <v>244275.01396616214</v>
      </c>
      <c r="FX64" s="979">
        <f t="shared" ca="1" si="79"/>
        <v>254042.71188696494</v>
      </c>
      <c r="FY64" s="979">
        <f t="shared" ca="1" si="79"/>
        <v>264201.11773061135</v>
      </c>
      <c r="FZ64" s="979">
        <f t="shared" ca="1" si="79"/>
        <v>274765.85981378384</v>
      </c>
      <c r="GA64" s="979">
        <f t="shared" ca="1" si="79"/>
        <v>285753.19158584124</v>
      </c>
      <c r="GB64" s="979">
        <f t="shared" ca="1" si="79"/>
        <v>297180.01663412509</v>
      </c>
      <c r="GC64" s="979">
        <f t="shared" ca="1" si="79"/>
        <v>309063.91468947887</v>
      </c>
      <c r="GD64" s="979">
        <f t="shared" ca="1" si="79"/>
        <v>321423.16867198789</v>
      </c>
      <c r="GE64" s="979">
        <f t="shared" ca="1" si="79"/>
        <v>334276.79281854822</v>
      </c>
      <c r="GF64" s="979">
        <f t="shared" ca="1" si="79"/>
        <v>347644.56193553918</v>
      </c>
      <c r="GG64" s="979">
        <f t="shared" ca="1" si="79"/>
        <v>361547.04182160232</v>
      </c>
      <c r="GH64" s="979">
        <f t="shared" ca="1" si="79"/>
        <v>376005.62090733147</v>
      </c>
      <c r="GI64" s="979">
        <f t="shared" ca="1" si="79"/>
        <v>391042.54316055105</v>
      </c>
      <c r="GJ64" s="979">
        <f t="shared" ca="1" si="79"/>
        <v>406680.94230780436</v>
      </c>
      <c r="GK64" s="979">
        <f t="shared" ca="1" si="79"/>
        <v>422944.87742470246</v>
      </c>
      <c r="GL64" s="979">
        <f t="shared" ca="1" si="79"/>
        <v>439859.36994988687</v>
      </c>
      <c r="GM64" s="979">
        <f t="shared" ref="GM64:IQ64" ca="1" si="80">IF(GM98="S",$U28+(GL66-$U31)*$I19,IF(GM98="T",$U27+(AVERAGE($U32,$I19)*(GL66-$U30)),GM46))</f>
        <v>457450.44217955018</v>
      </c>
      <c r="GN64" s="979">
        <f t="shared" ca="1" si="80"/>
        <v>475745.15730173793</v>
      </c>
      <c r="GO64" s="979">
        <f t="shared" ca="1" si="80"/>
        <v>494771.66103202268</v>
      </c>
      <c r="GP64" s="979">
        <f t="shared" ca="1" si="80"/>
        <v>514559.22491460503</v>
      </c>
      <c r="GQ64" s="979">
        <f t="shared" ca="1" si="80"/>
        <v>535138.2913554582</v>
      </c>
      <c r="GR64" s="979">
        <f t="shared" ca="1" si="80"/>
        <v>556540.52045679861</v>
      </c>
      <c r="GS64" s="979">
        <f t="shared" ca="1" si="80"/>
        <v>578798.83872493636</v>
      </c>
      <c r="GT64" s="979">
        <f t="shared" ca="1" si="80"/>
        <v>601947.4897264376</v>
      </c>
      <c r="GU64" s="979">
        <f t="shared" ca="1" si="80"/>
        <v>626022.08677053545</v>
      </c>
      <c r="GV64" s="979">
        <f t="shared" ca="1" si="80"/>
        <v>651059.6676988363</v>
      </c>
      <c r="GW64" s="979">
        <f t="shared" ca="1" si="80"/>
        <v>677098.75186661445</v>
      </c>
      <c r="GX64" s="979">
        <f t="shared" ca="1" si="80"/>
        <v>704179.39940335869</v>
      </c>
      <c r="GY64" s="979">
        <f t="shared" ca="1" si="80"/>
        <v>732343.27284374076</v>
      </c>
      <c r="GZ64" s="979">
        <f t="shared" ca="1" si="80"/>
        <v>761633.70122382313</v>
      </c>
      <c r="HA64" s="979">
        <f t="shared" ca="1" si="80"/>
        <v>792095.74674111349</v>
      </c>
      <c r="HB64" s="979">
        <f t="shared" ca="1" si="80"/>
        <v>823776.27408102318</v>
      </c>
      <c r="HC64" s="979">
        <f t="shared" ca="1" si="80"/>
        <v>856724.02251638263</v>
      </c>
      <c r="HD64" s="979">
        <f t="shared" ca="1" si="80"/>
        <v>890989.68089093862</v>
      </c>
      <c r="HE64" s="979">
        <f t="shared" ca="1" si="80"/>
        <v>926625.96560219047</v>
      </c>
      <c r="HF64" s="979">
        <f t="shared" ca="1" si="80"/>
        <v>963687.70170354005</v>
      </c>
      <c r="HG64" s="979">
        <f t="shared" ca="1" si="80"/>
        <v>1002231.907250528</v>
      </c>
      <c r="HH64" s="979">
        <f t="shared" ca="1" si="80"/>
        <v>1042317.8810209188</v>
      </c>
      <c r="HI64" s="979">
        <f t="shared" ca="1" si="80"/>
        <v>1084007.2937435901</v>
      </c>
      <c r="HJ64" s="979">
        <f t="shared" ca="1" si="80"/>
        <v>1127364.2829765768</v>
      </c>
      <c r="HK64" s="979">
        <f t="shared" ca="1" si="80"/>
        <v>1172455.5517802371</v>
      </c>
      <c r="HL64" s="979">
        <f t="shared" ca="1" si="80"/>
        <v>1219350.4713373461</v>
      </c>
      <c r="HM64" s="979">
        <f t="shared" ca="1" si="80"/>
        <v>1268121.187677992</v>
      </c>
      <c r="HN64" s="979">
        <f t="shared" ca="1" si="80"/>
        <v>1318842.7326734671</v>
      </c>
      <c r="HO64" s="979">
        <f t="shared" ca="1" si="80"/>
        <v>1371593.1394699193</v>
      </c>
      <c r="HP64" s="979">
        <f t="shared" ca="1" si="80"/>
        <v>1426453.5625393426</v>
      </c>
      <c r="HQ64" s="979">
        <f t="shared" ca="1" si="80"/>
        <v>1483508.4025326129</v>
      </c>
      <c r="HR64" s="979">
        <f t="shared" ca="1" si="80"/>
        <v>1542845.4361266436</v>
      </c>
      <c r="HS64" s="979">
        <f t="shared" ca="1" si="80"/>
        <v>1604555.9510654246</v>
      </c>
      <c r="HT64" s="979">
        <f t="shared" ca="1" si="80"/>
        <v>1668734.8866027088</v>
      </c>
      <c r="HU64" s="979">
        <f t="shared" ca="1" si="80"/>
        <v>1735480.9795623987</v>
      </c>
      <c r="HV64" s="979">
        <f t="shared" ca="1" si="80"/>
        <v>1804896.9162413566</v>
      </c>
      <c r="HW64" s="979">
        <f t="shared" ca="1" si="80"/>
        <v>1877089.4903883182</v>
      </c>
      <c r="HX64" s="979">
        <f t="shared" ca="1" si="80"/>
        <v>1952169.7675019717</v>
      </c>
      <c r="HY64" s="979">
        <f t="shared" ca="1" si="80"/>
        <v>2030253.2557009538</v>
      </c>
      <c r="HZ64" s="979">
        <f t="shared" ca="1" si="80"/>
        <v>2111460.0834286469</v>
      </c>
      <c r="IA64" s="979">
        <f t="shared" ca="1" si="80"/>
        <v>2195915.1842661705</v>
      </c>
      <c r="IB64" s="979">
        <f t="shared" ca="1" si="80"/>
        <v>2283748.4891378912</v>
      </c>
      <c r="IC64" s="979">
        <f t="shared" ca="1" si="80"/>
        <v>2375095.1262051482</v>
      </c>
      <c r="ID64" s="979">
        <f t="shared" ca="1" si="80"/>
        <v>2470095.6287557385</v>
      </c>
      <c r="IE64" s="979">
        <f t="shared" ca="1" si="80"/>
        <v>2568896.1514089718</v>
      </c>
      <c r="IF64" s="979">
        <f t="shared" ca="1" si="80"/>
        <v>2671648.6949689277</v>
      </c>
      <c r="IG64" s="979">
        <f t="shared" ca="1" si="80"/>
        <v>2778511.3402718534</v>
      </c>
      <c r="IH64" s="979">
        <f t="shared" ca="1" si="80"/>
        <v>2889648.491387445</v>
      </c>
      <c r="II64" s="979">
        <f t="shared" ca="1" si="80"/>
        <v>3005231.1285481891</v>
      </c>
      <c r="IJ64" s="979">
        <f t="shared" ca="1" si="80"/>
        <v>3125437.0711958711</v>
      </c>
      <c r="IK64" s="979">
        <f t="shared" ca="1" si="80"/>
        <v>3250451.2515499489</v>
      </c>
      <c r="IL64" s="979">
        <f t="shared" ca="1" si="80"/>
        <v>3380465.9991186596</v>
      </c>
      <c r="IM64" s="979">
        <f t="shared" ca="1" si="80"/>
        <v>3515681.3365905695</v>
      </c>
      <c r="IN64" s="979">
        <f t="shared" ca="1" si="80"/>
        <v>3656305.287561791</v>
      </c>
      <c r="IO64" s="979">
        <f t="shared" ca="1" si="80"/>
        <v>3802554.1965722791</v>
      </c>
      <c r="IP64" s="979">
        <f t="shared" ca="1" si="80"/>
        <v>3954653.0619435874</v>
      </c>
      <c r="IQ64" s="979">
        <f t="shared" ca="1" si="80"/>
        <v>4112835.8819301347</v>
      </c>
      <c r="IR64" s="1036">
        <f ca="1">IF(IR$97&gt;$C$14,OFFSET($B64,0,$C$14)+(IQ66-OFFSET($B66,0,$C$14-1))*$I$19,IF(IR$97&gt;$I$20,OFFSET($B64,0,$I$20)+(AVERAGE(OFFSET($B67,0,$I$20),$I$19)*(IQ66-OFFSET($B66,0,$I$20-1))),IR46))</f>
        <v>4277346.0147165144</v>
      </c>
    </row>
    <row r="65" spans="2:252" s="960" customFormat="1" ht="11.25" customHeight="1">
      <c r="B65" s="1025" t="s">
        <v>710</v>
      </c>
      <c r="C65" s="1042">
        <f t="shared" ref="C65:BN65" si="81">C64/C61</f>
        <v>3.6547474082169525E-2</v>
      </c>
      <c r="D65" s="1042">
        <f t="shared" si="81"/>
        <v>3.602368357906198E-2</v>
      </c>
      <c r="E65" s="1043">
        <f t="shared" si="81"/>
        <v>3.4892950443617794E-2</v>
      </c>
      <c r="F65" s="1042">
        <f t="shared" si="81"/>
        <v>3.6037608415931538E-2</v>
      </c>
      <c r="G65" s="1042">
        <f t="shared" ca="1" si="81"/>
        <v>3.2577229597507223E-2</v>
      </c>
      <c r="H65" s="1042">
        <f t="shared" ca="1" si="81"/>
        <v>3.5683359203314946E-2</v>
      </c>
      <c r="I65" s="1042">
        <f t="shared" ca="1" si="81"/>
        <v>3.5533813396857433E-2</v>
      </c>
      <c r="J65" s="1042">
        <f t="shared" ca="1" si="81"/>
        <v>3.5399789299360745E-2</v>
      </c>
      <c r="K65" s="1042">
        <f t="shared" ca="1" si="81"/>
        <v>3.5279498151700402E-2</v>
      </c>
      <c r="L65" s="1042">
        <f t="shared" ca="1" si="81"/>
        <v>3.5171387954451079E-2</v>
      </c>
      <c r="M65" s="1042">
        <f t="shared" ca="1" si="81"/>
        <v>3.5074109196158387E-2</v>
      </c>
      <c r="N65" s="1042">
        <f t="shared" ca="1" si="81"/>
        <v>3.4986486058610114E-2</v>
      </c>
      <c r="O65" s="1042">
        <f t="shared" ca="1" si="81"/>
        <v>3.4907492149842088E-2</v>
      </c>
      <c r="P65" s="1042">
        <f t="shared" ca="1" si="81"/>
        <v>3.4836229993961632E-2</v>
      </c>
      <c r="Q65" s="1042">
        <f t="shared" ca="1" si="81"/>
        <v>3.4771913649392493E-2</v>
      </c>
      <c r="R65" s="1042">
        <f t="shared" ca="1" si="81"/>
        <v>3.4713853941470828E-2</v>
      </c>
      <c r="S65" s="1042">
        <f t="shared" ca="1" si="81"/>
        <v>3.4661445887383166E-2</v>
      </c>
      <c r="T65" s="1042">
        <f t="shared" ca="1" si="81"/>
        <v>3.4614157965862327E-2</v>
      </c>
      <c r="U65" s="1042">
        <f t="shared" ca="1" si="81"/>
        <v>3.4571522944460018E-2</v>
      </c>
      <c r="V65" s="1042">
        <f t="shared" ca="1" si="81"/>
        <v>3.4533130026432164E-2</v>
      </c>
      <c r="W65" s="1044">
        <f t="shared" ca="1" si="81"/>
        <v>3.4300922329957753E-2</v>
      </c>
      <c r="X65" s="1042">
        <f t="shared" ca="1" si="81"/>
        <v>3.5559015331747476E-2</v>
      </c>
      <c r="Y65" s="1042">
        <f t="shared" ca="1" si="81"/>
        <v>3.5379679048808232E-2</v>
      </c>
      <c r="Z65" s="1042">
        <f t="shared" ca="1" si="81"/>
        <v>3.5207374035923708E-2</v>
      </c>
      <c r="AA65" s="1042">
        <f t="shared" ca="1" si="81"/>
        <v>3.5041819811424804E-2</v>
      </c>
      <c r="AB65" s="1042">
        <f t="shared" ca="1" si="81"/>
        <v>3.4882747433655929E-2</v>
      </c>
      <c r="AC65" s="1042">
        <f t="shared" ca="1" si="81"/>
        <v>3.4729899001216126E-2</v>
      </c>
      <c r="AD65" s="1042">
        <f t="shared" ca="1" si="81"/>
        <v>3.4583027176518677E-2</v>
      </c>
      <c r="AE65" s="1042">
        <f t="shared" ca="1" si="81"/>
        <v>3.4441894731480516E-2</v>
      </c>
      <c r="AF65" s="1042">
        <f t="shared" ca="1" si="81"/>
        <v>3.4306274114218389E-2</v>
      </c>
      <c r="AG65" s="1042">
        <f t="shared" ca="1" si="81"/>
        <v>3.417594703568981E-2</v>
      </c>
      <c r="AH65" s="1042">
        <f t="shared" ca="1" si="81"/>
        <v>3.4050704075275509E-2</v>
      </c>
      <c r="AI65" s="1042">
        <f t="shared" ca="1" si="81"/>
        <v>3.3930344304354432E-2</v>
      </c>
      <c r="AJ65" s="1042">
        <f t="shared" ca="1" si="81"/>
        <v>3.3814674926974653E-2</v>
      </c>
      <c r="AK65" s="1042">
        <f t="shared" ca="1" si="81"/>
        <v>3.3703510936771687E-2</v>
      </c>
      <c r="AL65" s="1042">
        <f t="shared" ca="1" si="81"/>
        <v>3.3596674789332433E-2</v>
      </c>
      <c r="AM65" s="1042">
        <f t="shared" ca="1" si="81"/>
        <v>3.3493996089245727E-2</v>
      </c>
      <c r="AN65" s="1042">
        <f t="shared" ca="1" si="81"/>
        <v>3.3395311291121707E-2</v>
      </c>
      <c r="AO65" s="1042">
        <f t="shared" ca="1" si="81"/>
        <v>3.3300463413900729E-2</v>
      </c>
      <c r="AP65" s="1042">
        <f t="shared" ca="1" si="81"/>
        <v>3.320930176780866E-2</v>
      </c>
      <c r="AQ65" s="1042">
        <f t="shared" ca="1" si="81"/>
        <v>3.3121681693349836E-2</v>
      </c>
      <c r="AR65" s="1042">
        <f t="shared" ca="1" si="81"/>
        <v>3.3037464311761064E-2</v>
      </c>
      <c r="AS65" s="1042">
        <f t="shared" ca="1" si="81"/>
        <v>3.2956516286380647E-2</v>
      </c>
      <c r="AT65" s="1042">
        <f t="shared" ca="1" si="81"/>
        <v>3.2878709594414864E-2</v>
      </c>
      <c r="AU65" s="1042">
        <f t="shared" ca="1" si="81"/>
        <v>3.28039213086114E-2</v>
      </c>
      <c r="AV65" s="1042">
        <f t="shared" ca="1" si="81"/>
        <v>3.2732033388374972E-2</v>
      </c>
      <c r="AW65" s="1042">
        <f t="shared" ca="1" si="81"/>
        <v>3.2662932479883992E-2</v>
      </c>
      <c r="AX65" s="1042">
        <f t="shared" ca="1" si="81"/>
        <v>3.259650972479021E-2</v>
      </c>
      <c r="AY65" s="1042">
        <f t="shared" ca="1" si="81"/>
        <v>3.2532660577104223E-2</v>
      </c>
      <c r="AZ65" s="1042">
        <f t="shared" ca="1" si="81"/>
        <v>3.2471284627890555E-2</v>
      </c>
      <c r="BA65" s="1042">
        <f t="shared" ca="1" si="81"/>
        <v>3.241228543741425E-2</v>
      </c>
      <c r="BB65" s="1042">
        <f t="shared" ca="1" si="81"/>
        <v>3.2355570374399713E-2</v>
      </c>
      <c r="BC65" s="1042">
        <f t="shared" ca="1" si="81"/>
        <v>3.230105046207897E-2</v>
      </c>
      <c r="BD65" s="1042">
        <f t="shared" ca="1" si="81"/>
        <v>3.2248640230722783E-2</v>
      </c>
      <c r="BE65" s="1042">
        <f t="shared" ca="1" si="81"/>
        <v>3.2198257576363284E-2</v>
      </c>
      <c r="BF65" s="1042">
        <f t="shared" ca="1" si="81"/>
        <v>3.2149823625431007E-2</v>
      </c>
      <c r="BG65" s="1042">
        <f t="shared" ca="1" si="81"/>
        <v>3.2103262605042766E-2</v>
      </c>
      <c r="BH65" s="1042">
        <f t="shared" ca="1" si="81"/>
        <v>3.2058501718689722E-2</v>
      </c>
      <c r="BI65" s="1042">
        <f t="shared" ca="1" si="81"/>
        <v>3.2015471027087183E-2</v>
      </c>
      <c r="BJ65" s="1042">
        <f t="shared" ca="1" si="81"/>
        <v>3.1974103333958698E-2</v>
      </c>
      <c r="BK65" s="1042">
        <f t="shared" ca="1" si="81"/>
        <v>3.1934334076538763E-2</v>
      </c>
      <c r="BL65" s="1042">
        <f t="shared" ca="1" si="81"/>
        <v>3.1896101220587725E-2</v>
      </c>
      <c r="BM65" s="1042">
        <f t="shared" ca="1" si="81"/>
        <v>3.1859345159722961E-2</v>
      </c>
      <c r="BN65" s="1042">
        <f t="shared" ca="1" si="81"/>
        <v>3.1824008618879428E-2</v>
      </c>
      <c r="BO65" s="1042">
        <f t="shared" ref="BO65:DZ65" ca="1" si="82">BO64/BO61</f>
        <v>3.1790036561721205E-2</v>
      </c>
      <c r="BP65" s="1042">
        <f t="shared" ca="1" si="82"/>
        <v>3.1757376101834392E-2</v>
      </c>
      <c r="BQ65" s="1042">
        <f t="shared" ca="1" si="82"/>
        <v>3.1725976417539173E-2</v>
      </c>
      <c r="BR65" s="1042">
        <f t="shared" ca="1" si="82"/>
        <v>3.1695788670166695E-2</v>
      </c>
      <c r="BS65" s="1042">
        <f t="shared" ca="1" si="82"/>
        <v>3.1666765925653123E-2</v>
      </c>
      <c r="BT65" s="1042">
        <f t="shared" ca="1" si="82"/>
        <v>3.1638863079310429E-2</v>
      </c>
      <c r="BU65" s="1042">
        <f t="shared" ca="1" si="82"/>
        <v>3.1612036783639455E-2</v>
      </c>
      <c r="BV65" s="1042">
        <f t="shared" ca="1" si="82"/>
        <v>3.1586245379056951E-2</v>
      </c>
      <c r="BW65" s="1042">
        <f t="shared" ca="1" si="82"/>
        <v>3.1561448827414407E-2</v>
      </c>
      <c r="BX65" s="1042">
        <f t="shared" ca="1" si="82"/>
        <v>3.1537608648191454E-2</v>
      </c>
      <c r="BY65" s="1042">
        <f t="shared" ca="1" si="82"/>
        <v>3.1514687857252255E-2</v>
      </c>
      <c r="BZ65" s="1042">
        <f t="shared" ca="1" si="82"/>
        <v>3.1492650908058042E-2</v>
      </c>
      <c r="CA65" s="1042">
        <f t="shared" ca="1" si="82"/>
        <v>3.1471463635233801E-2</v>
      </c>
      <c r="CB65" s="1042">
        <f t="shared" ca="1" si="82"/>
        <v>3.1451093200391356E-2</v>
      </c>
      <c r="CC65" s="1042">
        <f t="shared" ca="1" si="82"/>
        <v>3.1431508040116053E-2</v>
      </c>
      <c r="CD65" s="1042">
        <f t="shared" ca="1" si="82"/>
        <v>3.1412677816027176E-2</v>
      </c>
      <c r="CE65" s="1042">
        <f t="shared" ca="1" si="82"/>
        <v>3.1394573366827376E-2</v>
      </c>
      <c r="CF65" s="1042">
        <f t="shared" ca="1" si="82"/>
        <v>3.1377166662259114E-2</v>
      </c>
      <c r="CG65" s="1042">
        <f t="shared" ca="1" si="82"/>
        <v>3.1360430758890223E-2</v>
      </c>
      <c r="CH65" s="1042">
        <f t="shared" ca="1" si="82"/>
        <v>3.1344339757653786E-2</v>
      </c>
      <c r="CI65" s="1042">
        <f t="shared" ca="1" si="82"/>
        <v>3.1328868763070783E-2</v>
      </c>
      <c r="CJ65" s="1042">
        <f t="shared" ca="1" si="82"/>
        <v>3.1313993844087069E-2</v>
      </c>
      <c r="CK65" s="1042">
        <f t="shared" ca="1" si="82"/>
        <v>3.1299691996459177E-2</v>
      </c>
      <c r="CL65" s="1042">
        <f t="shared" ca="1" si="82"/>
        <v>3.1285941106625983E-2</v>
      </c>
      <c r="CM65" s="1042">
        <f t="shared" ca="1" si="82"/>
        <v>3.127271991700642E-2</v>
      </c>
      <c r="CN65" s="1042">
        <f t="shared" ca="1" si="82"/>
        <v>3.126000799266538E-2</v>
      </c>
      <c r="CO65" s="1042">
        <f t="shared" ca="1" si="82"/>
        <v>3.1247785689292727E-2</v>
      </c>
      <c r="CP65" s="1042">
        <f t="shared" ca="1" si="82"/>
        <v>3.1236034122442781E-2</v>
      </c>
      <c r="CQ65" s="1042">
        <f t="shared" ca="1" si="82"/>
        <v>3.1224735137983184E-2</v>
      </c>
      <c r="CR65" s="1042">
        <f t="shared" ca="1" si="82"/>
        <v>3.1213871283705143E-2</v>
      </c>
      <c r="CS65" s="1042">
        <f t="shared" ca="1" si="82"/>
        <v>3.1203425782048117E-2</v>
      </c>
      <c r="CT65" s="1042">
        <f t="shared" ca="1" si="82"/>
        <v>3.1193382503894643E-2</v>
      </c>
      <c r="CU65" s="1042">
        <f t="shared" ca="1" si="82"/>
        <v>3.1183725943392356E-2</v>
      </c>
      <c r="CV65" s="1042">
        <f t="shared" ca="1" si="82"/>
        <v>3.1174441193762472E-2</v>
      </c>
      <c r="CW65" s="1042">
        <f t="shared" ca="1" si="82"/>
        <v>3.1165513924055126E-2</v>
      </c>
      <c r="CX65" s="1042">
        <f t="shared" ca="1" si="82"/>
        <v>3.1156930356814248E-2</v>
      </c>
      <c r="CY65" s="1042">
        <f t="shared" ca="1" si="82"/>
        <v>3.1148677246615485E-2</v>
      </c>
      <c r="CZ65" s="1042">
        <f t="shared" ca="1" si="82"/>
        <v>3.114074185944286E-2</v>
      </c>
      <c r="DA65" s="1042">
        <f t="shared" ca="1" si="82"/>
        <v>3.1133111952870642E-2</v>
      </c>
      <c r="DB65" s="1042">
        <f t="shared" ca="1" si="82"/>
        <v>3.1125775757018678E-2</v>
      </c>
      <c r="DC65" s="1042">
        <f t="shared" ca="1" si="82"/>
        <v>3.1118721956250654E-2</v>
      </c>
      <c r="DD65" s="1042">
        <f t="shared" ca="1" si="82"/>
        <v>3.1111939671585695E-2</v>
      </c>
      <c r="DE65" s="1042">
        <f t="shared" ca="1" si="82"/>
        <v>3.1105418443795482E-2</v>
      </c>
      <c r="DF65" s="1042">
        <f t="shared" ca="1" si="82"/>
        <v>3.1099148217159481E-2</v>
      </c>
      <c r="DG65" s="1042">
        <f t="shared" ca="1" si="82"/>
        <v>3.1093119323852725E-2</v>
      </c>
      <c r="DH65" s="1042">
        <f t="shared" ca="1" si="82"/>
        <v>3.1087322468940862E-2</v>
      </c>
      <c r="DI65" s="1042">
        <f t="shared" ca="1" si="82"/>
        <v>3.1081748715959024E-2</v>
      </c>
      <c r="DJ65" s="1042">
        <f t="shared" ca="1" si="82"/>
        <v>3.1076389473051119E-2</v>
      </c>
      <c r="DK65" s="1042">
        <f t="shared" ca="1" si="82"/>
        <v>3.1071236479647883E-2</v>
      </c>
      <c r="DL65" s="1042">
        <f t="shared" ca="1" si="82"/>
        <v>3.1066281793662429E-2</v>
      </c>
      <c r="DM65" s="1042">
        <f t="shared" ca="1" si="82"/>
        <v>3.1061517779182916E-2</v>
      </c>
      <c r="DN65" s="1042">
        <f t="shared" ca="1" si="82"/>
        <v>3.1056937094643057E-2</v>
      </c>
      <c r="DO65" s="1042">
        <f t="shared" ca="1" si="82"/>
        <v>3.105253268145157E-2</v>
      </c>
      <c r="DP65" s="1042">
        <f t="shared" ca="1" si="82"/>
        <v>3.1048297753062722E-2</v>
      </c>
      <c r="DQ65" s="1042">
        <f t="shared" ca="1" si="82"/>
        <v>3.1044225784470737E-2</v>
      </c>
      <c r="DR65" s="1042">
        <f t="shared" ca="1" si="82"/>
        <v>3.1040310502111361E-2</v>
      </c>
      <c r="DS65" s="1042">
        <f t="shared" ca="1" si="82"/>
        <v>3.1036545874154855E-2</v>
      </c>
      <c r="DT65" s="1042">
        <f t="shared" ca="1" si="82"/>
        <v>3.1032926101175078E-2</v>
      </c>
      <c r="DU65" s="1042">
        <f t="shared" ca="1" si="82"/>
        <v>3.102944560717991E-2</v>
      </c>
      <c r="DV65" s="1042">
        <f t="shared" ca="1" si="82"/>
        <v>3.1026099030989036E-2</v>
      </c>
      <c r="DW65" s="1042">
        <f t="shared" ca="1" si="82"/>
        <v>3.1022881217945532E-2</v>
      </c>
      <c r="DX65" s="1042">
        <f t="shared" ca="1" si="82"/>
        <v>3.1019787211948157E-2</v>
      </c>
      <c r="DY65" s="1042">
        <f t="shared" ca="1" si="82"/>
        <v>3.1016812247792024E-2</v>
      </c>
      <c r="DZ65" s="1042">
        <f t="shared" ca="1" si="82"/>
        <v>3.1013951743805546E-2</v>
      </c>
      <c r="EA65" s="1042">
        <f t="shared" ref="EA65:GL65" ca="1" si="83">EA64/EA61</f>
        <v>3.1011201294772056E-2</v>
      </c>
      <c r="EB65" s="1042">
        <f t="shared" ca="1" si="83"/>
        <v>3.1008556665125312E-2</v>
      </c>
      <c r="EC65" s="1042">
        <f t="shared" ca="1" si="83"/>
        <v>3.1006013782407898E-2</v>
      </c>
      <c r="ED65" s="1042">
        <f t="shared" ca="1" si="83"/>
        <v>3.1003568730982551E-2</v>
      </c>
      <c r="EE65" s="1042">
        <f t="shared" ca="1" si="83"/>
        <v>3.1001217745986496E-2</v>
      </c>
      <c r="EF65" s="1042">
        <f t="shared" ca="1" si="83"/>
        <v>3.0998957207519374E-2</v>
      </c>
      <c r="EG65" s="1042">
        <f t="shared" ca="1" si="83"/>
        <v>3.0996783635055702E-2</v>
      </c>
      <c r="EH65" s="1042">
        <f t="shared" ca="1" si="83"/>
        <v>3.0994693682073096E-2</v>
      </c>
      <c r="EI65" s="1042">
        <f t="shared" ca="1" si="83"/>
        <v>3.0992684130888057E-2</v>
      </c>
      <c r="EJ65" s="1042">
        <f t="shared" ca="1" si="83"/>
        <v>3.0990751887691036E-2</v>
      </c>
      <c r="EK65" s="1042">
        <f t="shared" ca="1" si="83"/>
        <v>3.0988893977773248E-2</v>
      </c>
      <c r="EL65" s="1042">
        <f t="shared" ca="1" si="83"/>
        <v>3.0987107540937722E-2</v>
      </c>
      <c r="EM65" s="1042">
        <f t="shared" ca="1" si="83"/>
        <v>3.0985389827087456E-2</v>
      </c>
      <c r="EN65" s="1042">
        <f t="shared" ca="1" si="83"/>
        <v>3.0983738191983835E-2</v>
      </c>
      <c r="EO65" s="1042">
        <f t="shared" ca="1" si="83"/>
        <v>3.0982150093168719E-2</v>
      </c>
      <c r="EP65" s="1042">
        <f t="shared" ca="1" si="83"/>
        <v>3.0980623086043827E-2</v>
      </c>
      <c r="EQ65" s="1042">
        <f t="shared" ca="1" si="83"/>
        <v>3.0979154820101409E-2</v>
      </c>
      <c r="ER65" s="1042">
        <f t="shared" ca="1" si="83"/>
        <v>3.0977743035300265E-2</v>
      </c>
      <c r="ES65" s="1042">
        <f t="shared" ca="1" si="83"/>
        <v>3.0976385558581589E-2</v>
      </c>
      <c r="ET65" s="1042">
        <f t="shared" ca="1" si="83"/>
        <v>3.0975080300519115E-2</v>
      </c>
      <c r="EU65" s="1042">
        <f t="shared" ca="1" si="83"/>
        <v>3.0973825252098425E-2</v>
      </c>
      <c r="EV65" s="1042">
        <f t="shared" ca="1" si="83"/>
        <v>3.0972618481620522E-2</v>
      </c>
      <c r="EW65" s="1042">
        <f t="shared" ca="1" si="83"/>
        <v>3.0971458131724694E-2</v>
      </c>
      <c r="EX65" s="1042">
        <f t="shared" ca="1" si="83"/>
        <v>3.0970342416526148E-2</v>
      </c>
      <c r="EY65" s="1042">
        <f t="shared" ca="1" si="83"/>
        <v>3.096926961886403E-2</v>
      </c>
      <c r="EZ65" s="1042">
        <f t="shared" ca="1" si="83"/>
        <v>3.0968238087655458E-2</v>
      </c>
      <c r="FA65" s="1042">
        <f t="shared" ca="1" si="83"/>
        <v>3.0967246235351534E-2</v>
      </c>
      <c r="FB65" s="1042">
        <f t="shared" ca="1" si="83"/>
        <v>3.0966292535491449E-2</v>
      </c>
      <c r="FC65" s="1042">
        <f t="shared" ca="1" si="83"/>
        <v>3.0965375520350728E-2</v>
      </c>
      <c r="FD65" s="1042">
        <f t="shared" ca="1" si="83"/>
        <v>3.0964493778680224E-2</v>
      </c>
      <c r="FE65" s="1042">
        <f t="shared" ca="1" si="83"/>
        <v>3.0963645953532085E-2</v>
      </c>
      <c r="FF65" s="1042">
        <f t="shared" ca="1" si="83"/>
        <v>3.0962830740169599E-2</v>
      </c>
      <c r="FG65" s="1042">
        <f t="shared" ca="1" si="83"/>
        <v>3.0962046884057466E-2</v>
      </c>
      <c r="FH65" s="1042">
        <f t="shared" ca="1" si="83"/>
        <v>3.0961293178929556E-2</v>
      </c>
      <c r="FI65" s="1042">
        <f t="shared" ca="1" si="83"/>
        <v>3.0960568464931015E-2</v>
      </c>
      <c r="FJ65" s="1042">
        <f t="shared" ca="1" si="83"/>
        <v>3.0959871626832017E-2</v>
      </c>
      <c r="FK65" s="1042">
        <f t="shared" ca="1" si="83"/>
        <v>3.0959201592310259E-2</v>
      </c>
      <c r="FL65" s="1042">
        <f t="shared" ca="1" si="83"/>
        <v>3.0958557330299584E-2</v>
      </c>
      <c r="FM65" s="1042">
        <f t="shared" ca="1" si="83"/>
        <v>3.0957937849402251E-2</v>
      </c>
      <c r="FN65" s="1042">
        <f t="shared" ca="1" si="83"/>
        <v>3.0957342196362352E-2</v>
      </c>
      <c r="FO65" s="1042">
        <f t="shared" ca="1" si="83"/>
        <v>3.0956769454597875E-2</v>
      </c>
      <c r="FP65" s="1042">
        <f t="shared" ca="1" si="83"/>
        <v>3.0956218742789518E-2</v>
      </c>
      <c r="FQ65" s="1042">
        <f t="shared" ca="1" si="83"/>
        <v>3.0955689213523638E-2</v>
      </c>
      <c r="FR65" s="1042">
        <f t="shared" ca="1" si="83"/>
        <v>3.0955180051987552E-2</v>
      </c>
      <c r="FS65" s="1042">
        <f t="shared" ca="1" si="83"/>
        <v>3.0954690474715024E-2</v>
      </c>
      <c r="FT65" s="1042">
        <f t="shared" ca="1" si="83"/>
        <v>3.095421972838007E-2</v>
      </c>
      <c r="FU65" s="1042">
        <f t="shared" ca="1" si="83"/>
        <v>3.0953767088637226E-2</v>
      </c>
      <c r="FV65" s="1042">
        <f t="shared" ca="1" si="83"/>
        <v>3.0953331859006381E-2</v>
      </c>
      <c r="FW65" s="1042">
        <f t="shared" ca="1" si="83"/>
        <v>3.0952913369800616E-2</v>
      </c>
      <c r="FX65" s="1042">
        <f t="shared" ca="1" si="83"/>
        <v>3.0952510977095268E-2</v>
      </c>
      <c r="FY65" s="1042">
        <f t="shared" ca="1" si="83"/>
        <v>3.0952124061736704E-2</v>
      </c>
      <c r="FZ65" s="1042">
        <f t="shared" ca="1" si="83"/>
        <v>3.095175202838921E-2</v>
      </c>
      <c r="GA65" s="1042">
        <f t="shared" ca="1" si="83"/>
        <v>3.0951394304618636E-2</v>
      </c>
      <c r="GB65" s="1042">
        <f t="shared" ca="1" si="83"/>
        <v>3.0951050340011214E-2</v>
      </c>
      <c r="GC65" s="1042">
        <f t="shared" ca="1" si="83"/>
        <v>3.0950719605326367E-2</v>
      </c>
      <c r="GD65" s="1042">
        <f t="shared" ca="1" si="83"/>
        <v>3.0950401591682105E-2</v>
      </c>
      <c r="GE65" s="1042">
        <f t="shared" ca="1" si="83"/>
        <v>3.0950095809771733E-2</v>
      </c>
      <c r="GF65" s="1042">
        <f t="shared" ca="1" si="83"/>
        <v>3.0949801789110762E-2</v>
      </c>
      <c r="GG65" s="1042">
        <f t="shared" ca="1" si="83"/>
        <v>3.0949519077312769E-2</v>
      </c>
      <c r="GH65" s="1042">
        <f t="shared" ca="1" si="83"/>
        <v>3.0949247239393109E-2</v>
      </c>
      <c r="GI65" s="1042">
        <f t="shared" ca="1" si="83"/>
        <v>3.0948985857099473E-2</v>
      </c>
      <c r="GJ65" s="1042">
        <f t="shared" ca="1" si="83"/>
        <v>3.0948734528268147E-2</v>
      </c>
      <c r="GK65" s="1042">
        <f t="shared" ca="1" si="83"/>
        <v>3.0948492866205077E-2</v>
      </c>
      <c r="GL65" s="1042">
        <f t="shared" ca="1" si="83"/>
        <v>3.0948260499090767E-2</v>
      </c>
      <c r="GM65" s="1042">
        <f t="shared" ref="GM65:IR65" ca="1" si="84">GM64/GM61</f>
        <v>3.0948037069408022E-2</v>
      </c>
      <c r="GN65" s="1042">
        <f t="shared" ca="1" si="84"/>
        <v>3.0947822233391747E-2</v>
      </c>
      <c r="GO65" s="1042">
        <f t="shared" ca="1" si="84"/>
        <v>3.0947615660499927E-2</v>
      </c>
      <c r="GP65" s="1042">
        <f t="shared" ca="1" si="84"/>
        <v>3.0947417032904947E-2</v>
      </c>
      <c r="GQ65" s="1042">
        <f t="shared" ca="1" si="84"/>
        <v>3.0947226045004463E-2</v>
      </c>
      <c r="GR65" s="1042">
        <f t="shared" ca="1" si="84"/>
        <v>3.0947042402951111E-2</v>
      </c>
      <c r="GS65" s="1042">
        <f t="shared" ca="1" si="84"/>
        <v>3.0946865824200354E-2</v>
      </c>
      <c r="GT65" s="1042">
        <f t="shared" ca="1" si="84"/>
        <v>3.0946696037075633E-2</v>
      </c>
      <c r="GU65" s="1042">
        <f t="shared" ca="1" si="84"/>
        <v>3.0946532780350328E-2</v>
      </c>
      <c r="GV65" s="1042">
        <f t="shared" ca="1" si="84"/>
        <v>3.0946375802845778E-2</v>
      </c>
      <c r="GW65" s="1042">
        <f t="shared" ca="1" si="84"/>
        <v>3.0946224863044748E-2</v>
      </c>
      <c r="GX65" s="1042">
        <f t="shared" ca="1" si="84"/>
        <v>3.0946079728719777E-2</v>
      </c>
      <c r="GY65" s="1042">
        <f t="shared" ca="1" si="84"/>
        <v>3.0945940176575842E-2</v>
      </c>
      <c r="GZ65" s="1042">
        <f t="shared" ca="1" si="84"/>
        <v>3.0945805991906775E-2</v>
      </c>
      <c r="HA65" s="1042">
        <f t="shared" ca="1" si="84"/>
        <v>3.0945676968264838E-2</v>
      </c>
      <c r="HB65" s="1042">
        <f t="shared" ca="1" si="84"/>
        <v>3.0945552907143084E-2</v>
      </c>
      <c r="HC65" s="1042">
        <f t="shared" ca="1" si="84"/>
        <v>3.0945433617669878E-2</v>
      </c>
      <c r="HD65" s="1042">
        <f t="shared" ca="1" si="84"/>
        <v>3.0945318916315231E-2</v>
      </c>
      <c r="HE65" s="1042">
        <f t="shared" ca="1" si="84"/>
        <v>3.0945208626608375E-2</v>
      </c>
      <c r="HF65" s="1042">
        <f t="shared" ca="1" si="84"/>
        <v>3.0945102578866228E-2</v>
      </c>
      <c r="HG65" s="1042">
        <f t="shared" ca="1" si="84"/>
        <v>3.0945000609932317E-2</v>
      </c>
      <c r="HH65" s="1042">
        <f t="shared" ca="1" si="84"/>
        <v>3.0944902562925706E-2</v>
      </c>
      <c r="HI65" s="1042">
        <f t="shared" ca="1" si="84"/>
        <v>3.0944808286999623E-2</v>
      </c>
      <c r="HJ65" s="1042">
        <f t="shared" ca="1" si="84"/>
        <v>3.0944717637109365E-2</v>
      </c>
      <c r="HK65" s="1042">
        <f t="shared" ca="1" si="84"/>
        <v>3.0944630473789085E-2</v>
      </c>
      <c r="HL65" s="1042">
        <f t="shared" ca="1" si="84"/>
        <v>3.0944546662937247E-2</v>
      </c>
      <c r="HM65" s="1042">
        <f t="shared" ca="1" si="84"/>
        <v>3.0944466075610275E-2</v>
      </c>
      <c r="HN65" s="1042">
        <f t="shared" ca="1" si="84"/>
        <v>3.0944388587824112E-2</v>
      </c>
      <c r="HO65" s="1042">
        <f t="shared" ca="1" si="84"/>
        <v>3.094431408036355E-2</v>
      </c>
      <c r="HP65" s="1042">
        <f t="shared" ca="1" si="84"/>
        <v>3.0944242438598689E-2</v>
      </c>
      <c r="HQ65" s="1042">
        <f t="shared" ca="1" si="84"/>
        <v>3.0944173552308645E-2</v>
      </c>
      <c r="HR65" s="1042">
        <f t="shared" ca="1" si="84"/>
        <v>3.0944107315511941E-2</v>
      </c>
      <c r="HS65" s="1042">
        <f t="shared" ca="1" si="84"/>
        <v>3.094404362630342E-2</v>
      </c>
      <c r="HT65" s="1042">
        <f t="shared" ca="1" si="84"/>
        <v>3.0943982386697495E-2</v>
      </c>
      <c r="HU65" s="1042">
        <f t="shared" ca="1" si="84"/>
        <v>3.0943923502477329E-2</v>
      </c>
      <c r="HV65" s="1042">
        <f t="shared" ca="1" si="84"/>
        <v>3.0943866883049957E-2</v>
      </c>
      <c r="HW65" s="1042">
        <f t="shared" ca="1" si="84"/>
        <v>3.0943812441306805E-2</v>
      </c>
      <c r="HX65" s="1042">
        <f t="shared" ca="1" si="84"/>
        <v>3.0943760093489744E-2</v>
      </c>
      <c r="HY65" s="1042">
        <f t="shared" ca="1" si="84"/>
        <v>3.0943709759062184E-2</v>
      </c>
      <c r="HZ65" s="1042">
        <f t="shared" ca="1" si="84"/>
        <v>3.0943661360585167E-2</v>
      </c>
      <c r="IA65" s="1042">
        <f t="shared" ca="1" si="84"/>
        <v>3.0943614823598219E-2</v>
      </c>
      <c r="IB65" s="1042">
        <f t="shared" ca="1" si="84"/>
        <v>3.0943570076504816E-2</v>
      </c>
      <c r="IC65" s="1042">
        <f t="shared" ca="1" si="84"/>
        <v>3.0943527050462164E-2</v>
      </c>
      <c r="ID65" s="1042">
        <f t="shared" ca="1" si="84"/>
        <v>3.0943485679275365E-2</v>
      </c>
      <c r="IE65" s="1042">
        <f t="shared" ca="1" si="84"/>
        <v>3.094344589929551E-2</v>
      </c>
      <c r="IF65" s="1042">
        <f t="shared" ca="1" si="84"/>
        <v>3.0943407649321755E-2</v>
      </c>
      <c r="IG65" s="1042">
        <f t="shared" ca="1" si="84"/>
        <v>3.0943370870507202E-2</v>
      </c>
      <c r="IH65" s="1042">
        <f t="shared" ca="1" si="84"/>
        <v>3.0943335506268321E-2</v>
      </c>
      <c r="II65" s="1042">
        <f t="shared" ca="1" si="84"/>
        <v>3.0943301502197918E-2</v>
      </c>
      <c r="IJ65" s="1042">
        <f t="shared" ca="1" si="84"/>
        <v>3.0943268805981406E-2</v>
      </c>
      <c r="IK65" s="1042">
        <f t="shared" ca="1" si="84"/>
        <v>3.0943237367316332E-2</v>
      </c>
      <c r="IL65" s="1042">
        <f t="shared" ca="1" si="84"/>
        <v>3.0943207137834987E-2</v>
      </c>
      <c r="IM65" s="1042">
        <f t="shared" ca="1" si="84"/>
        <v>3.0943178071029968E-2</v>
      </c>
      <c r="IN65" s="1042">
        <f t="shared" ca="1" si="84"/>
        <v>3.0943150122182669E-2</v>
      </c>
      <c r="IO65" s="1042">
        <f t="shared" ca="1" si="84"/>
        <v>3.0943123248294437E-2</v>
      </c>
      <c r="IP65" s="1042">
        <f t="shared" ca="1" si="84"/>
        <v>3.0943097408020422E-2</v>
      </c>
      <c r="IQ65" s="1042">
        <f t="shared" ca="1" si="84"/>
        <v>3.0943072561606014E-2</v>
      </c>
      <c r="IR65" s="1042">
        <f t="shared" ca="1" si="84"/>
        <v>3.0943048670825608E-2</v>
      </c>
    </row>
    <row r="66" spans="2:252" s="960" customFormat="1" ht="11.25" customHeight="1">
      <c r="B66" s="958" t="s">
        <v>700</v>
      </c>
      <c r="C66" s="979">
        <f t="shared" ref="C66:BN66" si="85">IF(C98="S", ($U30*$I19-$U27+(($U27-$U30*$I19)^2+4*$I19*($U29/($U25/$U30))*(D61^2))^0.5)/(2*$I19), IF(C98="T", ($U30*AVERAGE($U32,$I19)-$U27+(($U27-$U30*AVERAGE($U32,$I19))^2+4*AVERAGE($U32,$I$19)*($U29/($U25/$U30))*(D61^2))^0.5)/(2*AVERAGE($U32,$I19)), C53))</f>
        <v>2651.3169214531003</v>
      </c>
      <c r="D66" s="979">
        <f t="shared" si="85"/>
        <v>2451.0129808685442</v>
      </c>
      <c r="E66" s="1050">
        <f t="shared" si="85"/>
        <v>2500.1628321429534</v>
      </c>
      <c r="F66" s="979">
        <f t="shared" si="85"/>
        <v>2431.7804672226002</v>
      </c>
      <c r="G66" s="979">
        <f t="shared" ca="1" si="85"/>
        <v>2937.5513685135124</v>
      </c>
      <c r="H66" s="979">
        <f t="shared" ca="1" si="85"/>
        <v>3170.0203916358137</v>
      </c>
      <c r="I66" s="979">
        <f t="shared" ca="1" si="85"/>
        <v>3410.9743212749549</v>
      </c>
      <c r="J66" s="979">
        <f t="shared" ca="1" si="85"/>
        <v>3659.7539203889019</v>
      </c>
      <c r="K66" s="979">
        <f t="shared" ca="1" si="85"/>
        <v>3915.5893834209419</v>
      </c>
      <c r="L66" s="979">
        <f t="shared" ca="1" si="85"/>
        <v>4177.6001382048335</v>
      </c>
      <c r="M66" s="979">
        <f t="shared" ca="1" si="85"/>
        <v>4444.796127914663</v>
      </c>
      <c r="N66" s="979">
        <f t="shared" ca="1" si="85"/>
        <v>4716.0806602010716</v>
      </c>
      <c r="O66" s="979">
        <f t="shared" ca="1" si="85"/>
        <v>4990.2548883345071</v>
      </c>
      <c r="P66" s="979">
        <f t="shared" ca="1" si="85"/>
        <v>5266.0239637611721</v>
      </c>
      <c r="Q66" s="979">
        <f t="shared" ca="1" si="85"/>
        <v>5542.0048713505612</v>
      </c>
      <c r="R66" s="979">
        <f t="shared" ca="1" si="85"/>
        <v>5816.7359282574625</v>
      </c>
      <c r="S66" s="979">
        <f t="shared" ca="1" si="85"/>
        <v>6088.6878953140822</v>
      </c>
      <c r="T66" s="979">
        <f t="shared" ca="1" si="85"/>
        <v>6356.2766168704811</v>
      </c>
      <c r="U66" s="979">
        <f t="shared" ca="1" si="85"/>
        <v>6617.8770717455018</v>
      </c>
      <c r="V66" s="979">
        <f t="shared" ca="1" si="85"/>
        <v>6889.9497813792095</v>
      </c>
      <c r="W66" s="1051">
        <f t="shared" ca="1" si="85"/>
        <v>7555.3559767991464</v>
      </c>
      <c r="X66" s="979">
        <f t="shared" ca="1" si="85"/>
        <v>7874.4200859357188</v>
      </c>
      <c r="Y66" s="979">
        <f t="shared" ca="1" si="85"/>
        <v>8206.2840996892392</v>
      </c>
      <c r="Z66" s="979">
        <f t="shared" ca="1" si="85"/>
        <v>8551.4585897528577</v>
      </c>
      <c r="AA66" s="979">
        <f t="shared" ca="1" si="85"/>
        <v>8910.4746041853668</v>
      </c>
      <c r="AB66" s="979">
        <f t="shared" ca="1" si="85"/>
        <v>9283.8844845504718</v>
      </c>
      <c r="AC66" s="979">
        <f t="shared" ca="1" si="85"/>
        <v>9672.2627157996867</v>
      </c>
      <c r="AD66" s="979">
        <f t="shared" ca="1" si="85"/>
        <v>10076.20681020805</v>
      </c>
      <c r="AE66" s="979">
        <f t="shared" ca="1" si="85"/>
        <v>10496.338226724107</v>
      </c>
      <c r="AF66" s="979">
        <f t="shared" ca="1" si="85"/>
        <v>10933.303327149872</v>
      </c>
      <c r="AG66" s="979">
        <f t="shared" ca="1" si="85"/>
        <v>11387.774370623059</v>
      </c>
      <c r="AH66" s="979">
        <f t="shared" ca="1" si="85"/>
        <v>11860.450547932605</v>
      </c>
      <c r="AI66" s="979">
        <f t="shared" ca="1" si="85"/>
        <v>12352.059057259701</v>
      </c>
      <c r="AJ66" s="979">
        <f t="shared" ca="1" si="85"/>
        <v>12863.356223000181</v>
      </c>
      <c r="AK66" s="979">
        <f t="shared" ca="1" si="85"/>
        <v>13395.128659390315</v>
      </c>
      <c r="AL66" s="979">
        <f t="shared" ca="1" si="85"/>
        <v>13948.194480726832</v>
      </c>
      <c r="AM66" s="979">
        <f t="shared" ca="1" si="85"/>
        <v>14523.404560043704</v>
      </c>
      <c r="AN66" s="979">
        <f t="shared" ca="1" si="85"/>
        <v>15121.643838182625</v>
      </c>
      <c r="AO66" s="979">
        <f t="shared" ca="1" si="85"/>
        <v>15743.832685271625</v>
      </c>
      <c r="AP66" s="979">
        <f t="shared" ca="1" si="85"/>
        <v>16390.928316706842</v>
      </c>
      <c r="AQ66" s="979">
        <f t="shared" ca="1" si="85"/>
        <v>17063.926265816244</v>
      </c>
      <c r="AR66" s="979">
        <f t="shared" ca="1" si="85"/>
        <v>17763.861915471301</v>
      </c>
      <c r="AS66" s="979">
        <f t="shared" ca="1" si="85"/>
        <v>18491.812091003201</v>
      </c>
      <c r="AT66" s="979">
        <f t="shared" ca="1" si="85"/>
        <v>19248.896716874555</v>
      </c>
      <c r="AU66" s="979">
        <f t="shared" ca="1" si="85"/>
        <v>20036.280539655545</v>
      </c>
      <c r="AV66" s="979">
        <f t="shared" ca="1" si="85"/>
        <v>20855.174919955414</v>
      </c>
      <c r="AW66" s="979">
        <f t="shared" ca="1" si="85"/>
        <v>21706.839696066396</v>
      </c>
      <c r="AX66" s="979">
        <f t="shared" ca="1" si="85"/>
        <v>22592.585122187294</v>
      </c>
      <c r="AY66" s="979">
        <f t="shared" ca="1" si="85"/>
        <v>23513.773884208833</v>
      </c>
      <c r="AZ66" s="979">
        <f t="shared" ca="1" si="85"/>
        <v>24471.823196162055</v>
      </c>
      <c r="BA66" s="979">
        <f t="shared" ca="1" si="85"/>
        <v>25468.206980555224</v>
      </c>
      <c r="BB66" s="979">
        <f t="shared" ca="1" si="85"/>
        <v>26504.458135953722</v>
      </c>
      <c r="BC66" s="979">
        <f t="shared" ca="1" si="85"/>
        <v>27582.170895291507</v>
      </c>
      <c r="BD66" s="979">
        <f t="shared" ca="1" si="85"/>
        <v>28703.003278542579</v>
      </c>
      <c r="BE66" s="979">
        <f t="shared" ca="1" si="85"/>
        <v>29868.67964352568</v>
      </c>
      <c r="BF66" s="979">
        <f t="shared" ca="1" si="85"/>
        <v>31080.993338766715</v>
      </c>
      <c r="BG66" s="979">
        <f t="shared" ca="1" si="85"/>
        <v>32341.809462500249</v>
      </c>
      <c r="BH66" s="979">
        <f t="shared" ca="1" si="85"/>
        <v>33653.067732054784</v>
      </c>
      <c r="BI66" s="979">
        <f t="shared" ca="1" si="85"/>
        <v>35016.7854680362</v>
      </c>
      <c r="BJ66" s="979">
        <f t="shared" ca="1" si="85"/>
        <v>36435.060697900597</v>
      </c>
      <c r="BK66" s="979">
        <f t="shared" ca="1" si="85"/>
        <v>37910.075383691175</v>
      </c>
      <c r="BL66" s="979">
        <f t="shared" ca="1" si="85"/>
        <v>39444.098778905027</v>
      </c>
      <c r="BM66" s="979">
        <f t="shared" ca="1" si="85"/>
        <v>41039.490919654228</v>
      </c>
      <c r="BN66" s="979">
        <f t="shared" ca="1" si="85"/>
        <v>42698.706255492252</v>
      </c>
      <c r="BO66" s="979">
        <f t="shared" ref="BO66:DZ66" ca="1" si="86">IF(BO98="S", ($U30*$I19-$U27+(($U27-$U30*$I19)^2+4*$I19*($U29/($U25/$U30))*(BP61^2))^0.5)/(2*$I19), IF(BO98="T", ($U30*AVERAGE($U32,$I19)-$U27+(($U27-$U30*AVERAGE($U32,$I19))^2+4*AVERAGE($U32,$I$19)*($U29/($U25/$U30))*(BP61^2))^0.5)/(2*AVERAGE($U32,$I19)), BO53))</f>
        <v>44424.297425491699</v>
      </c>
      <c r="BP66" s="979">
        <f t="shared" ca="1" si="86"/>
        <v>46218.919185382649</v>
      </c>
      <c r="BQ66" s="979">
        <f t="shared" ca="1" si="86"/>
        <v>48085.332491793379</v>
      </c>
      <c r="BR66" s="979">
        <f t="shared" ca="1" si="86"/>
        <v>50026.408749876988</v>
      </c>
      <c r="BS66" s="979">
        <f t="shared" ca="1" si="86"/>
        <v>52045.134230858712</v>
      </c>
      <c r="BT66" s="979">
        <f t="shared" ca="1" si="86"/>
        <v>54144.614666300193</v>
      </c>
      <c r="BU66" s="979">
        <f t="shared" ca="1" si="86"/>
        <v>56328.080026148702</v>
      </c>
      <c r="BV66" s="979">
        <f t="shared" ca="1" si="86"/>
        <v>58598.889487922352</v>
      </c>
      <c r="BW66" s="979">
        <f t="shared" ca="1" si="86"/>
        <v>60960.536604676076</v>
      </c>
      <c r="BX66" s="979">
        <f t="shared" ca="1" si="86"/>
        <v>63416.654679699168</v>
      </c>
      <c r="BY66" s="979">
        <f t="shared" ca="1" si="86"/>
        <v>65971.022356213085</v>
      </c>
      <c r="BZ66" s="979">
        <f t="shared" ca="1" si="86"/>
        <v>68627.569430669115</v>
      </c>
      <c r="CA66" s="979">
        <f t="shared" ca="1" si="86"/>
        <v>71390.382898589378</v>
      </c>
      <c r="CB66" s="979">
        <f t="shared" ca="1" si="86"/>
        <v>74263.713242252721</v>
      </c>
      <c r="CC66" s="979">
        <f t="shared" ca="1" si="86"/>
        <v>77251.980969898315</v>
      </c>
      <c r="CD66" s="979">
        <f t="shared" ca="1" si="86"/>
        <v>80359.783416507955</v>
      </c>
      <c r="CE66" s="979">
        <f t="shared" ca="1" si="86"/>
        <v>83591.901816629237</v>
      </c>
      <c r="CF66" s="979">
        <f t="shared" ca="1" si="86"/>
        <v>86953.308660121271</v>
      </c>
      <c r="CG66" s="979">
        <f t="shared" ca="1" si="86"/>
        <v>90449.175342139264</v>
      </c>
      <c r="CH66" s="979">
        <f t="shared" ca="1" si="86"/>
        <v>94084.880119127163</v>
      </c>
      <c r="CI66" s="979">
        <f t="shared" ca="1" si="86"/>
        <v>97866.016383058552</v>
      </c>
      <c r="CJ66" s="979">
        <f t="shared" ca="1" si="86"/>
        <v>101798.40126665517</v>
      </c>
      <c r="CK66" s="979">
        <f t="shared" ca="1" si="86"/>
        <v>105888.08459282191</v>
      </c>
      <c r="CL66" s="979">
        <f t="shared" ca="1" si="86"/>
        <v>110141.35818206689</v>
      </c>
      <c r="CM66" s="979">
        <f t="shared" ca="1" si="86"/>
        <v>114564.76553222536</v>
      </c>
      <c r="CN66" s="979">
        <f t="shared" ca="1" si="86"/>
        <v>119165.1118853794</v>
      </c>
      <c r="CO66" s="979">
        <f t="shared" ca="1" si="86"/>
        <v>123949.47469746144</v>
      </c>
      <c r="CP66" s="979">
        <f t="shared" ca="1" si="86"/>
        <v>128925.2145266478</v>
      </c>
      <c r="CQ66" s="979">
        <f t="shared" ca="1" si="86"/>
        <v>134099.98635729461</v>
      </c>
      <c r="CR66" s="979">
        <f t="shared" ca="1" si="86"/>
        <v>139481.75137683671</v>
      </c>
      <c r="CS66" s="979">
        <f t="shared" ca="1" si="86"/>
        <v>145078.78922376852</v>
      </c>
      <c r="CT66" s="979">
        <f t="shared" ca="1" si="86"/>
        <v>150899.71072554926</v>
      </c>
      <c r="CU66" s="979">
        <f t="shared" ca="1" si="86"/>
        <v>156953.47114603006</v>
      </c>
      <c r="CV66" s="979">
        <f t="shared" ca="1" si="86"/>
        <v>163249.3839627828</v>
      </c>
      <c r="CW66" s="979">
        <f t="shared" ca="1" si="86"/>
        <v>169797.13519552734</v>
      </c>
      <c r="CX66" s="979">
        <f t="shared" ca="1" si="86"/>
        <v>176606.79830770014</v>
      </c>
      <c r="CY66" s="979">
        <f t="shared" ca="1" si="86"/>
        <v>183688.84970409056</v>
      </c>
      <c r="CZ66" s="979">
        <f t="shared" ca="1" si="86"/>
        <v>191054.18484838659</v>
      </c>
      <c r="DA66" s="979">
        <f t="shared" ca="1" si="86"/>
        <v>198714.13502542663</v>
      </c>
      <c r="DB66" s="979">
        <f t="shared" ca="1" si="86"/>
        <v>206680.48477394562</v>
      </c>
      <c r="DC66" s="979">
        <f t="shared" ca="1" si="86"/>
        <v>214965.49001663437</v>
      </c>
      <c r="DD66" s="979">
        <f t="shared" ca="1" si="86"/>
        <v>223581.89691540555</v>
      </c>
      <c r="DE66" s="979">
        <f t="shared" ca="1" si="86"/>
        <v>232542.96148087323</v>
      </c>
      <c r="DF66" s="979">
        <f t="shared" ca="1" si="86"/>
        <v>241862.46996621575</v>
      </c>
      <c r="DG66" s="979">
        <f t="shared" ca="1" si="86"/>
        <v>251554.76007679559</v>
      </c>
      <c r="DH66" s="979">
        <f t="shared" ca="1" si="86"/>
        <v>261634.74302816807</v>
      </c>
      <c r="DI66" s="979">
        <f t="shared" ca="1" si="86"/>
        <v>272117.92648641265</v>
      </c>
      <c r="DJ66" s="979">
        <f t="shared" ca="1" si="86"/>
        <v>283020.43842608074</v>
      </c>
      <c r="DK66" s="979">
        <f t="shared" ca="1" si="86"/>
        <v>294359.0519424646</v>
      </c>
      <c r="DL66" s="979">
        <f t="shared" ca="1" si="86"/>
        <v>306151.21105635888</v>
      </c>
      <c r="DM66" s="979">
        <f t="shared" ca="1" si="86"/>
        <v>318415.05755101604</v>
      </c>
      <c r="DN66" s="979">
        <f t="shared" ca="1" si="86"/>
        <v>331169.45888258191</v>
      </c>
      <c r="DO66" s="979">
        <f t="shared" ca="1" si="86"/>
        <v>344434.03720695135</v>
      </c>
      <c r="DP66" s="979">
        <f t="shared" ca="1" si="86"/>
        <v>358229.19956770062</v>
      </c>
      <c r="DQ66" s="979">
        <f t="shared" ca="1" si="86"/>
        <v>372576.16929153871</v>
      </c>
      <c r="DR66" s="979">
        <f t="shared" ca="1" si="86"/>
        <v>387497.01863957924</v>
      </c>
      <c r="DS66" s="979">
        <f t="shared" ca="1" si="86"/>
        <v>403014.70276466559</v>
      </c>
      <c r="DT66" s="979">
        <f t="shared" ca="1" si="86"/>
        <v>419153.09502699028</v>
      </c>
      <c r="DU66" s="979">
        <f t="shared" ca="1" si="86"/>
        <v>435937.02372234158</v>
      </c>
      <c r="DV66" s="979">
        <f t="shared" ca="1" si="86"/>
        <v>453392.31027948181</v>
      </c>
      <c r="DW66" s="979">
        <f t="shared" ca="1" si="86"/>
        <v>471545.80898542196</v>
      </c>
      <c r="DX66" s="979">
        <f t="shared" ca="1" si="86"/>
        <v>490425.44829970942</v>
      </c>
      <c r="DY66" s="979">
        <f t="shared" ca="1" si="86"/>
        <v>510060.27382128977</v>
      </c>
      <c r="DZ66" s="979">
        <f t="shared" ca="1" si="86"/>
        <v>530480.49297404208</v>
      </c>
      <c r="EA66" s="979">
        <f t="shared" ref="EA66:GL66" ca="1" si="87">IF(EA98="S", ($U30*$I19-$U27+(($U27-$U30*$I19)^2+4*$I19*($U29/($U25/$U30))*(EB61^2))^0.5)/(2*$I19), IF(EA98="T", ($U30*AVERAGE($U32,$I19)-$U27+(($U27-$U30*AVERAGE($U32,$I19))^2+4*AVERAGE($U32,$I$19)*($U29/($U25/$U30))*(EB61^2))^0.5)/(2*AVERAGE($U32,$I19)), EA53))</f>
        <v>551717.52147974004</v>
      </c>
      <c r="EB66" s="979">
        <f t="shared" ca="1" si="87"/>
        <v>573804.03168993082</v>
      </c>
      <c r="EC66" s="979">
        <f t="shared" ca="1" si="87"/>
        <v>596774.00285109179</v>
      </c>
      <c r="ED66" s="979">
        <f t="shared" ca="1" si="87"/>
        <v>620662.77338039398</v>
      </c>
      <c r="EE66" s="979">
        <f t="shared" ca="1" si="87"/>
        <v>645507.09523249778</v>
      </c>
      <c r="EF66" s="979">
        <f t="shared" ca="1" si="87"/>
        <v>671345.19044102204</v>
      </c>
      <c r="EG66" s="979">
        <f t="shared" ca="1" si="87"/>
        <v>698216.80992167175</v>
      </c>
      <c r="EH66" s="979">
        <f t="shared" ca="1" si="87"/>
        <v>726163.29462749476</v>
      </c>
      <c r="EI66" s="979">
        <f t="shared" ca="1" si="87"/>
        <v>755227.6391503457</v>
      </c>
      <c r="EJ66" s="979">
        <f t="shared" ca="1" si="87"/>
        <v>785454.55786641384</v>
      </c>
      <c r="EK66" s="979">
        <f t="shared" ca="1" si="87"/>
        <v>816890.55372756999</v>
      </c>
      <c r="EL66" s="979">
        <f t="shared" ca="1" si="87"/>
        <v>849583.98980436963</v>
      </c>
      <c r="EM66" s="979">
        <f t="shared" ca="1" si="87"/>
        <v>883585.16369077726</v>
      </c>
      <c r="EN66" s="979">
        <f t="shared" ca="1" si="87"/>
        <v>918946.38488507969</v>
      </c>
      <c r="EO66" s="979">
        <f t="shared" ca="1" si="87"/>
        <v>955722.05526603723</v>
      </c>
      <c r="EP66" s="979">
        <f t="shared" ca="1" si="87"/>
        <v>993968.75278808246</v>
      </c>
      <c r="EQ66" s="979">
        <f t="shared" ca="1" si="87"/>
        <v>1033745.3185243258</v>
      </c>
      <c r="ER66" s="979">
        <f t="shared" ca="1" si="87"/>
        <v>1075112.9471912847</v>
      </c>
      <c r="ES66" s="979">
        <f t="shared" ca="1" si="87"/>
        <v>1118135.281294601</v>
      </c>
      <c r="ET66" s="979">
        <f t="shared" ca="1" si="87"/>
        <v>1162878.5090405871</v>
      </c>
      <c r="EU66" s="979">
        <f t="shared" ca="1" si="87"/>
        <v>1209411.4661642369</v>
      </c>
      <c r="EV66" s="979">
        <f t="shared" ca="1" si="87"/>
        <v>1257805.7418303562</v>
      </c>
      <c r="EW66" s="979">
        <f t="shared" ca="1" si="87"/>
        <v>1308135.7887707385</v>
      </c>
      <c r="EX66" s="979">
        <f t="shared" ca="1" si="87"/>
        <v>1360479.037826831</v>
      </c>
      <c r="EY66" s="979">
        <f t="shared" ca="1" si="87"/>
        <v>1414916.0170741049</v>
      </c>
      <c r="EZ66" s="979">
        <f t="shared" ca="1" si="87"/>
        <v>1471530.4757114013</v>
      </c>
      <c r="FA66" s="979">
        <f t="shared" ca="1" si="87"/>
        <v>1530409.5129058557</v>
      </c>
      <c r="FB66" s="979">
        <f t="shared" ca="1" si="87"/>
        <v>1591643.7117916122</v>
      </c>
      <c r="FC66" s="979">
        <f t="shared" ca="1" si="87"/>
        <v>1655327.2788284959</v>
      </c>
      <c r="FD66" s="979">
        <f t="shared" ca="1" si="87"/>
        <v>1721558.1887350245</v>
      </c>
      <c r="FE66" s="979">
        <f t="shared" ca="1" si="87"/>
        <v>1790438.3352187469</v>
      </c>
      <c r="FF66" s="979">
        <f t="shared" ca="1" si="87"/>
        <v>1862073.6877357913</v>
      </c>
      <c r="FG66" s="979">
        <f t="shared" ca="1" si="87"/>
        <v>1936574.4545208006</v>
      </c>
      <c r="FH66" s="979">
        <f t="shared" ca="1" si="87"/>
        <v>2014055.2521380582</v>
      </c>
      <c r="FI66" s="979">
        <f t="shared" ca="1" si="87"/>
        <v>2094635.2818146679</v>
      </c>
      <c r="FJ66" s="979">
        <f t="shared" ca="1" si="87"/>
        <v>2178438.5128270555</v>
      </c>
      <c r="FK66" s="979">
        <f t="shared" ca="1" si="87"/>
        <v>2265593.8732229322</v>
      </c>
      <c r="FL66" s="979">
        <f t="shared" ca="1" si="87"/>
        <v>2356235.4481721371</v>
      </c>
      <c r="FM66" s="979">
        <f t="shared" ca="1" si="87"/>
        <v>2450502.6862515174</v>
      </c>
      <c r="FN66" s="979">
        <f t="shared" ca="1" si="87"/>
        <v>2548540.6139811925</v>
      </c>
      <c r="FO66" s="979">
        <f t="shared" ca="1" si="87"/>
        <v>2650500.0589422863</v>
      </c>
      <c r="FP66" s="979">
        <f t="shared" ca="1" si="87"/>
        <v>2756537.8818193539</v>
      </c>
      <c r="FQ66" s="979">
        <f t="shared" ca="1" si="87"/>
        <v>2866817.2177245147</v>
      </c>
      <c r="FR66" s="979">
        <f t="shared" ca="1" si="87"/>
        <v>2981507.7271745456</v>
      </c>
      <c r="FS66" s="979">
        <f t="shared" ca="1" si="87"/>
        <v>3100785.857107061</v>
      </c>
      <c r="FT66" s="979">
        <f t="shared" ca="1" si="87"/>
        <v>3224835.1123373429</v>
      </c>
      <c r="FU66" s="979">
        <f t="shared" ca="1" si="87"/>
        <v>3353846.337873437</v>
      </c>
      <c r="FV66" s="979">
        <f t="shared" ca="1" si="87"/>
        <v>3488018.0125238611</v>
      </c>
      <c r="FW66" s="979">
        <f t="shared" ca="1" si="87"/>
        <v>3627556.5542496154</v>
      </c>
      <c r="FX66" s="979">
        <f t="shared" ca="1" si="87"/>
        <v>3772676.637730279</v>
      </c>
      <c r="FY66" s="979">
        <f t="shared" ca="1" si="87"/>
        <v>3923601.5246327431</v>
      </c>
      <c r="FZ66" s="979">
        <f t="shared" ca="1" si="87"/>
        <v>4080563.4070907058</v>
      </c>
      <c r="GA66" s="979">
        <f t="shared" ca="1" si="87"/>
        <v>4243803.7649233323</v>
      </c>
      <c r="GB66" s="979">
        <f t="shared" ca="1" si="87"/>
        <v>4413573.7371426718</v>
      </c>
      <c r="GC66" s="979">
        <f t="shared" ca="1" si="87"/>
        <v>4590134.5083213719</v>
      </c>
      <c r="GD66" s="979">
        <f t="shared" ca="1" si="87"/>
        <v>4773757.7104150914</v>
      </c>
      <c r="GE66" s="979">
        <f t="shared" ca="1" si="87"/>
        <v>4964725.8406578191</v>
      </c>
      <c r="GF66" s="979">
        <f t="shared" ca="1" si="87"/>
        <v>5163332.6961730067</v>
      </c>
      <c r="GG66" s="979">
        <f t="shared" ca="1" si="87"/>
        <v>5369883.8259691373</v>
      </c>
      <c r="GH66" s="979">
        <f t="shared" ca="1" si="87"/>
        <v>5584697.0010151314</v>
      </c>
      <c r="GI66" s="979">
        <f t="shared" ca="1" si="87"/>
        <v>5808102.7031187499</v>
      </c>
      <c r="GJ66" s="979">
        <f t="shared" ca="1" si="87"/>
        <v>6040444.6333601512</v>
      </c>
      <c r="GK66" s="979">
        <f t="shared" ca="1" si="87"/>
        <v>6282080.2408627858</v>
      </c>
      <c r="GL66" s="979">
        <f t="shared" ca="1" si="87"/>
        <v>6533381.2727151187</v>
      </c>
      <c r="GM66" s="979">
        <f t="shared" ref="GM66:IQ66" ca="1" si="88">IF(GM98="S", ($U30*$I19-$U27+(($U27-$U30*$I19)^2+4*$I19*($U29/($U25/$U30))*(GN61^2))^0.5)/(2*$I19), IF(GM98="T", ($U30*AVERAGE($U32,$I19)-$U27+(($U27-$U30*AVERAGE($U32,$I19))^2+4*AVERAGE($U32,$I$19)*($U29/($U25/$U30))*(GN61^2))^0.5)/(2*AVERAGE($U32,$I19)), GM53))</f>
        <v>6794734.3458892293</v>
      </c>
      <c r="GN66" s="979">
        <f t="shared" ca="1" si="88"/>
        <v>7066541.5420361543</v>
      </c>
      <c r="GO66" s="979">
        <f t="shared" ca="1" si="88"/>
        <v>7349221.0260730451</v>
      </c>
      <c r="GP66" s="979">
        <f t="shared" ca="1" si="88"/>
        <v>7643207.6895138044</v>
      </c>
      <c r="GQ66" s="979">
        <f t="shared" ca="1" si="88"/>
        <v>7948953.8195329532</v>
      </c>
      <c r="GR66" s="979">
        <f t="shared" ca="1" si="88"/>
        <v>8266929.7947920635</v>
      </c>
      <c r="GS66" s="979">
        <f t="shared" ca="1" si="88"/>
        <v>8597624.8090992253</v>
      </c>
      <c r="GT66" s="979">
        <f t="shared" ca="1" si="88"/>
        <v>8941547.6240149084</v>
      </c>
      <c r="GU66" s="979">
        <f t="shared" ca="1" si="88"/>
        <v>9299227.3515620641</v>
      </c>
      <c r="GV66" s="979">
        <f t="shared" ca="1" si="88"/>
        <v>9671214.2682446074</v>
      </c>
      <c r="GW66" s="979">
        <f t="shared" ca="1" si="88"/>
        <v>10058080.661626669</v>
      </c>
      <c r="GX66" s="979">
        <f t="shared" ca="1" si="88"/>
        <v>10460421.710774984</v>
      </c>
      <c r="GY66" s="979">
        <f t="shared" ca="1" si="88"/>
        <v>10878856.401919018</v>
      </c>
      <c r="GZ66" s="979">
        <f t="shared" ca="1" si="88"/>
        <v>11314028.480737451</v>
      </c>
      <c r="HA66" s="979">
        <f t="shared" ca="1" si="88"/>
        <v>11766607.442736162</v>
      </c>
      <c r="HB66" s="979">
        <f t="shared" ca="1" si="88"/>
        <v>12237289.563241296</v>
      </c>
      <c r="HC66" s="979">
        <f t="shared" ca="1" si="88"/>
        <v>12726798.968592096</v>
      </c>
      <c r="HD66" s="979">
        <f t="shared" ca="1" si="88"/>
        <v>13235888.750181409</v>
      </c>
      <c r="HE66" s="979">
        <f t="shared" ca="1" si="88"/>
        <v>13765342.123057831</v>
      </c>
      <c r="HF66" s="979">
        <f t="shared" ca="1" si="88"/>
        <v>14315973.630871944</v>
      </c>
      <c r="HG66" s="979">
        <f t="shared" ca="1" si="88"/>
        <v>14888630.399020385</v>
      </c>
      <c r="HH66" s="979">
        <f t="shared" ca="1" si="88"/>
        <v>15484193.43791569</v>
      </c>
      <c r="HI66" s="979">
        <f t="shared" ca="1" si="88"/>
        <v>16103578.998386929</v>
      </c>
      <c r="HJ66" s="979">
        <f t="shared" ca="1" si="88"/>
        <v>16747739.98129636</v>
      </c>
      <c r="HK66" s="979">
        <f t="shared" ca="1" si="88"/>
        <v>17417667.403540775</v>
      </c>
      <c r="HL66" s="979">
        <f t="shared" ca="1" si="88"/>
        <v>18114391.922692858</v>
      </c>
      <c r="HM66" s="979">
        <f t="shared" ca="1" si="88"/>
        <v>18838985.422628216</v>
      </c>
      <c r="HN66" s="979">
        <f t="shared" ca="1" si="88"/>
        <v>19592562.662577532</v>
      </c>
      <c r="HO66" s="979">
        <f t="shared" ca="1" si="88"/>
        <v>20376282.992140722</v>
      </c>
      <c r="HP66" s="979">
        <f t="shared" ca="1" si="88"/>
        <v>21191352.134901728</v>
      </c>
      <c r="HQ66" s="979">
        <f t="shared" ca="1" si="88"/>
        <v>22039024.043387879</v>
      </c>
      <c r="HR66" s="979">
        <f t="shared" ca="1" si="88"/>
        <v>22920602.828227609</v>
      </c>
      <c r="HS66" s="979">
        <f t="shared" ca="1" si="88"/>
        <v>23837444.764474526</v>
      </c>
      <c r="HT66" s="979">
        <f t="shared" ca="1" si="88"/>
        <v>24790960.378184382</v>
      </c>
      <c r="HU66" s="979">
        <f t="shared" ca="1" si="88"/>
        <v>25782616.616455209</v>
      </c>
      <c r="HV66" s="979">
        <f t="shared" ca="1" si="88"/>
        <v>26813939.104268946</v>
      </c>
      <c r="HW66" s="979">
        <f t="shared" ca="1" si="88"/>
        <v>27886514.491606854</v>
      </c>
      <c r="HX66" s="979">
        <f t="shared" ca="1" si="88"/>
        <v>29001992.894449454</v>
      </c>
      <c r="HY66" s="979">
        <f t="shared" ca="1" si="88"/>
        <v>30162090.433416493</v>
      </c>
      <c r="HZ66" s="979">
        <f t="shared" ca="1" si="88"/>
        <v>31368591.873952549</v>
      </c>
      <c r="IA66" s="979">
        <f t="shared" ca="1" si="88"/>
        <v>32623353.372119982</v>
      </c>
      <c r="IB66" s="979">
        <f t="shared" ca="1" si="88"/>
        <v>33928305.330223657</v>
      </c>
      <c r="IC66" s="979">
        <f t="shared" ca="1" si="88"/>
        <v>35285455.366660662</v>
      </c>
      <c r="ID66" s="979">
        <f t="shared" ca="1" si="88"/>
        <v>36696891.404563993</v>
      </c>
      <c r="IE66" s="979">
        <f t="shared" ca="1" si="88"/>
        <v>38164784.883991934</v>
      </c>
      <c r="IF66" s="979">
        <f t="shared" ca="1" si="88"/>
        <v>39691394.102605157</v>
      </c>
      <c r="IG66" s="979">
        <f t="shared" ca="1" si="88"/>
        <v>41279067.689970754</v>
      </c>
      <c r="IH66" s="979">
        <f t="shared" ca="1" si="88"/>
        <v>42930248.220838524</v>
      </c>
      <c r="II66" s="979">
        <f t="shared" ca="1" si="88"/>
        <v>44647475.972948268</v>
      </c>
      <c r="IJ66" s="979">
        <f t="shared" ca="1" si="88"/>
        <v>46433392.835149378</v>
      </c>
      <c r="IK66" s="979">
        <f t="shared" ca="1" si="88"/>
        <v>48290746.371845245</v>
      </c>
      <c r="IL66" s="979">
        <f t="shared" ca="1" si="88"/>
        <v>50222394.05001539</v>
      </c>
      <c r="IM66" s="979">
        <f t="shared" ca="1" si="88"/>
        <v>52231307.635318555</v>
      </c>
      <c r="IN66" s="979">
        <f t="shared" ca="1" si="88"/>
        <v>54320577.764039807</v>
      </c>
      <c r="IO66" s="979">
        <f t="shared" ca="1" si="88"/>
        <v>56493418.697915643</v>
      </c>
      <c r="IP66" s="979">
        <f t="shared" ca="1" si="88"/>
        <v>58753173.26915203</v>
      </c>
      <c r="IQ66" s="979">
        <f t="shared" ca="1" si="88"/>
        <v>61103318.023243181</v>
      </c>
      <c r="IR66" s="979"/>
    </row>
    <row r="67" spans="2:252" s="960" customFormat="1" ht="11.25" customHeight="1">
      <c r="B67" s="1025" t="s">
        <v>675</v>
      </c>
      <c r="C67" s="1052">
        <f>C64/C26</f>
        <v>7.0304978364622739E-2</v>
      </c>
      <c r="D67" s="1052">
        <f>D64/C66</f>
        <v>7.5626263340537361E-2</v>
      </c>
      <c r="E67" s="1052">
        <f t="shared" ref="E67:BP67" si="89">E64/D66</f>
        <v>8.6623547144076773E-2</v>
      </c>
      <c r="F67" s="1052">
        <f t="shared" si="89"/>
        <v>9.4951215544327477E-2</v>
      </c>
      <c r="G67" s="1052">
        <f t="shared" ca="1" si="89"/>
        <v>9.5302033216719456E-2</v>
      </c>
      <c r="H67" s="1052">
        <f t="shared" ca="1" si="89"/>
        <v>9.3093652172912753E-2</v>
      </c>
      <c r="I67" s="1052">
        <f t="shared" ca="1" si="89"/>
        <v>9.2314992699357265E-2</v>
      </c>
      <c r="J67" s="1052">
        <f t="shared" ca="1" si="89"/>
        <v>9.1619930749271036E-2</v>
      </c>
      <c r="K67" s="1052">
        <f t="shared" ca="1" si="89"/>
        <v>9.0998325839788091E-2</v>
      </c>
      <c r="L67" s="1052">
        <f t="shared" ca="1" si="89"/>
        <v>9.0441471351328628E-2</v>
      </c>
      <c r="M67" s="1052">
        <f t="shared" ca="1" si="89"/>
        <v>8.9941868263470767E-2</v>
      </c>
      <c r="N67" s="1052">
        <f t="shared" ca="1" si="89"/>
        <v>8.949303893497193E-2</v>
      </c>
      <c r="O67" s="1052">
        <f t="shared" ca="1" si="89"/>
        <v>8.9089373122612114E-2</v>
      </c>
      <c r="P67" s="1052">
        <f t="shared" ca="1" si="89"/>
        <v>8.8726000098469843E-2</v>
      </c>
      <c r="Q67" s="1052">
        <f t="shared" ca="1" si="89"/>
        <v>8.8398682007108889E-2</v>
      </c>
      <c r="R67" s="1052">
        <f t="shared" ca="1" si="89"/>
        <v>8.8103724597105554E-2</v>
      </c>
      <c r="S67" s="1052">
        <f t="shared" ca="1" si="89"/>
        <v>8.7837902235082838E-2</v>
      </c>
      <c r="T67" s="1052">
        <f t="shared" ca="1" si="89"/>
        <v>8.7598394716845621E-2</v>
      </c>
      <c r="U67" s="1052">
        <f t="shared" ca="1" si="89"/>
        <v>8.7382733868213727E-2</v>
      </c>
      <c r="V67" s="1052">
        <f t="shared" ca="1" si="89"/>
        <v>8.7188758307027145E-2</v>
      </c>
      <c r="W67" s="1052">
        <f t="shared" ca="1" si="89"/>
        <v>8.6510002699769939E-2</v>
      </c>
      <c r="X67" s="1052">
        <f t="shared" ca="1" si="89"/>
        <v>8.50559536626945E-2</v>
      </c>
      <c r="Y67" s="1052">
        <f t="shared" ca="1" si="89"/>
        <v>8.4445900555270237E-2</v>
      </c>
      <c r="Z67" s="1052">
        <f t="shared" ca="1" si="89"/>
        <v>8.386170501898145E-2</v>
      </c>
      <c r="AA67" s="1052">
        <f t="shared" ca="1" si="89"/>
        <v>8.3302185621077482E-2</v>
      </c>
      <c r="AB67" s="1052">
        <f t="shared" ca="1" si="89"/>
        <v>8.2766221166089018E-2</v>
      </c>
      <c r="AC67" s="1052">
        <f t="shared" ca="1" si="89"/>
        <v>8.2252747185851904E-2</v>
      </c>
      <c r="AD67" s="1052">
        <f t="shared" ca="1" si="89"/>
        <v>8.1760752662976555E-2</v>
      </c>
      <c r="AE67" s="1052">
        <f t="shared" ca="1" si="89"/>
        <v>8.1289276970437765E-2</v>
      </c>
      <c r="AF67" s="1052">
        <f t="shared" ca="1" si="89"/>
        <v>8.0837407011354681E-2</v>
      </c>
      <c r="AG67" s="1052">
        <f t="shared" ca="1" si="89"/>
        <v>8.0404274544306764E-2</v>
      </c>
      <c r="AH67" s="1052">
        <f t="shared" ca="1" si="89"/>
        <v>7.9989053680699709E-2</v>
      </c>
      <c r="AI67" s="1052">
        <f t="shared" ca="1" si="89"/>
        <v>7.9590958541762832E-2</v>
      </c>
      <c r="AJ67" s="1052">
        <f t="shared" ca="1" si="89"/>
        <v>7.9209241063739388E-2</v>
      </c>
      <c r="AK67" s="1052">
        <f t="shared" ca="1" si="89"/>
        <v>7.8843188940725673E-2</v>
      </c>
      <c r="AL67" s="1052">
        <f t="shared" ca="1" si="89"/>
        <v>7.8492123695438065E-2</v>
      </c>
      <c r="AM67" s="1052">
        <f t="shared" ca="1" si="89"/>
        <v>7.8155398868938228E-2</v>
      </c>
      <c r="AN67" s="1052">
        <f t="shared" ca="1" si="89"/>
        <v>7.7832398321038568E-2</v>
      </c>
      <c r="AO67" s="1052">
        <f t="shared" ca="1" si="89"/>
        <v>7.7522534633742646E-2</v>
      </c>
      <c r="AP67" s="1052">
        <f t="shared" ca="1" si="89"/>
        <v>7.722524761065748E-2</v>
      </c>
      <c r="AQ67" s="1052">
        <f t="shared" ca="1" si="89"/>
        <v>7.694000286584772E-2</v>
      </c>
      <c r="AR67" s="1052">
        <f t="shared" ca="1" si="89"/>
        <v>7.6666290496093442E-2</v>
      </c>
      <c r="AS67" s="1052">
        <f t="shared" ca="1" si="89"/>
        <v>7.6403623830963108E-2</v>
      </c>
      <c r="AT67" s="1052">
        <f t="shared" ca="1" si="89"/>
        <v>7.6151538255528478E-2</v>
      </c>
      <c r="AU67" s="1052">
        <f t="shared" ca="1" si="89"/>
        <v>7.5909590100929181E-2</v>
      </c>
      <c r="AV67" s="1052">
        <f t="shared" ca="1" si="89"/>
        <v>7.5677355598346291E-2</v>
      </c>
      <c r="AW67" s="1052">
        <f t="shared" ca="1" si="89"/>
        <v>7.5454429892266431E-2</v>
      </c>
      <c r="AX67" s="1052">
        <f t="shared" ca="1" si="89"/>
        <v>7.5240426109216801E-2</v>
      </c>
      <c r="AY67" s="1052">
        <f t="shared" ca="1" si="89"/>
        <v>7.5034974478424679E-2</v>
      </c>
      <c r="AZ67" s="1052">
        <f t="shared" ca="1" si="89"/>
        <v>7.48377215011089E-2</v>
      </c>
      <c r="BA67" s="1052">
        <f t="shared" ca="1" si="89"/>
        <v>7.4648329165343516E-2</v>
      </c>
      <c r="BB67" s="1052">
        <f t="shared" ca="1" si="89"/>
        <v>7.4466474203649269E-2</v>
      </c>
      <c r="BC67" s="1052">
        <f t="shared" ca="1" si="89"/>
        <v>7.4291847390667548E-2</v>
      </c>
      <c r="BD67" s="1052">
        <f t="shared" ca="1" si="89"/>
        <v>7.4124152878454849E-2</v>
      </c>
      <c r="BE67" s="1052">
        <f t="shared" ca="1" si="89"/>
        <v>7.3963107567105627E-2</v>
      </c>
      <c r="BF67" s="1052">
        <f t="shared" ca="1" si="89"/>
        <v>7.3808440508568218E-2</v>
      </c>
      <c r="BG67" s="1052">
        <f t="shared" ca="1" si="89"/>
        <v>7.3659892341663619E-2</v>
      </c>
      <c r="BH67" s="1052">
        <f t="shared" ca="1" si="89"/>
        <v>7.3517214756451538E-2</v>
      </c>
      <c r="BI67" s="1052">
        <f t="shared" ca="1" si="89"/>
        <v>7.3380169986211982E-2</v>
      </c>
      <c r="BJ67" s="1052">
        <f t="shared" ca="1" si="89"/>
        <v>7.3248530325425956E-2</v>
      </c>
      <c r="BK67" s="1052">
        <f t="shared" ca="1" si="89"/>
        <v>7.3122077672246183E-2</v>
      </c>
      <c r="BL67" s="1052">
        <f t="shared" ca="1" si="89"/>
        <v>7.3000603094046781E-2</v>
      </c>
      <c r="BM67" s="1052">
        <f t="shared" ca="1" si="89"/>
        <v>7.2883906414733093E-2</v>
      </c>
      <c r="BN67" s="1052">
        <f t="shared" ca="1" si="89"/>
        <v>7.2771795822578603E-2</v>
      </c>
      <c r="BO67" s="1052">
        <f t="shared" ca="1" si="89"/>
        <v>7.2664087497433666E-2</v>
      </c>
      <c r="BP67" s="1052">
        <f t="shared" ca="1" si="89"/>
        <v>7.2560605256225749E-2</v>
      </c>
      <c r="BQ67" s="1052">
        <f t="shared" ref="BQ67:EB67" ca="1" si="90">BQ64/BP66</f>
        <v>7.2461180215737844E-2</v>
      </c>
      <c r="BR67" s="1052">
        <f t="shared" ca="1" si="90"/>
        <v>7.2365650471716378E-2</v>
      </c>
      <c r="BS67" s="1052">
        <f t="shared" ca="1" si="90"/>
        <v>7.2273860793418035E-2</v>
      </c>
      <c r="BT67" s="1052">
        <f t="shared" ca="1" si="90"/>
        <v>7.2185662332760456E-2</v>
      </c>
      <c r="BU67" s="1052">
        <f t="shared" ca="1" si="90"/>
        <v>7.2100912347292961E-2</v>
      </c>
      <c r="BV67" s="1052">
        <f t="shared" ca="1" si="90"/>
        <v>7.2019473936250675E-2</v>
      </c>
      <c r="BW67" s="1052">
        <f t="shared" ca="1" si="90"/>
        <v>7.1941215789000493E-2</v>
      </c>
      <c r="BX67" s="1052">
        <f t="shared" ca="1" si="90"/>
        <v>7.1866011945228264E-2</v>
      </c>
      <c r="BY67" s="1052">
        <f t="shared" ca="1" si="90"/>
        <v>7.1793741566255551E-2</v>
      </c>
      <c r="BZ67" s="1052">
        <f t="shared" ca="1" si="90"/>
        <v>7.1724288716910209E-2</v>
      </c>
      <c r="CA67" s="1052">
        <f t="shared" ca="1" si="90"/>
        <v>7.1657542157409049E-2</v>
      </c>
      <c r="CB67" s="1052">
        <f t="shared" ca="1" si="90"/>
        <v>7.1593395144741528E-2</v>
      </c>
      <c r="CC67" s="1052">
        <f t="shared" ca="1" si="90"/>
        <v>7.1531745243074249E-2</v>
      </c>
      <c r="CD67" s="1052">
        <f t="shared" ca="1" si="90"/>
        <v>7.147249414272204E-2</v>
      </c>
      <c r="CE67" s="1052">
        <f t="shared" ca="1" si="90"/>
        <v>7.1415547487258188E-2</v>
      </c>
      <c r="CF67" s="1052">
        <f t="shared" ca="1" si="90"/>
        <v>7.1360814708359949E-2</v>
      </c>
      <c r="CG67" s="1052">
        <f t="shared" ca="1" si="90"/>
        <v>7.1308208868008496E-2</v>
      </c>
      <c r="CH67" s="1052">
        <f t="shared" ca="1" si="90"/>
        <v>7.1257646507683015E-2</v>
      </c>
      <c r="CI67" s="1052">
        <f t="shared" ca="1" si="90"/>
        <v>7.1209047504209172E-2</v>
      </c>
      <c r="CJ67" s="1052">
        <f t="shared" ca="1" si="90"/>
        <v>7.1162334931940088E-2</v>
      </c>
      <c r="CK67" s="1052">
        <f t="shared" ca="1" si="90"/>
        <v>7.1117434930965964E-2</v>
      </c>
      <c r="CL67" s="1052">
        <f t="shared" ca="1" si="90"/>
        <v>7.1074276581064549E-2</v>
      </c>
      <c r="CM67" s="1052">
        <f t="shared" ca="1" si="90"/>
        <v>7.1032791781120166E-2</v>
      </c>
      <c r="CN67" s="1052">
        <f t="shared" ca="1" si="90"/>
        <v>7.0992915133753359E-2</v>
      </c>
      <c r="CO67" s="1052">
        <f t="shared" ca="1" si="90"/>
        <v>7.0954583834916929E-2</v>
      </c>
      <c r="CP67" s="1052">
        <f t="shared" ca="1" si="90"/>
        <v>7.0917737568226905E-2</v>
      </c>
      <c r="CQ67" s="1052">
        <f t="shared" ca="1" si="90"/>
        <v>7.0882318403808736E-2</v>
      </c>
      <c r="CR67" s="1052">
        <f t="shared" ca="1" si="90"/>
        <v>7.0848270701450833E-2</v>
      </c>
      <c r="CS67" s="1052">
        <f t="shared" ca="1" si="90"/>
        <v>7.0815541017867814E-2</v>
      </c>
      <c r="CT67" s="1052">
        <f t="shared" ca="1" si="90"/>
        <v>7.078407801788586E-2</v>
      </c>
      <c r="CU67" s="1052">
        <f t="shared" ca="1" si="90"/>
        <v>7.075383238937244E-2</v>
      </c>
      <c r="CV67" s="1052">
        <f t="shared" ca="1" si="90"/>
        <v>7.0724756761741295E-2</v>
      </c>
      <c r="CW67" s="1052">
        <f t="shared" ca="1" si="90"/>
        <v>7.0696805627871673E-2</v>
      </c>
      <c r="CX67" s="1052">
        <f t="shared" ca="1" si="90"/>
        <v>7.0669935269289802E-2</v>
      </c>
      <c r="CY67" s="1052">
        <f t="shared" ca="1" si="90"/>
        <v>7.0644103684466664E-2</v>
      </c>
      <c r="CZ67" s="1052">
        <f t="shared" ca="1" si="90"/>
        <v>7.0619270520094701E-2</v>
      </c>
      <c r="DA67" s="1052">
        <f t="shared" ca="1" si="90"/>
        <v>7.0595397005211488E-2</v>
      </c>
      <c r="DB67" s="1052">
        <f t="shared" ca="1" si="90"/>
        <v>7.0572445888045635E-2</v>
      </c>
      <c r="DC67" s="1052">
        <f t="shared" ca="1" si="90"/>
        <v>7.0550381375465945E-2</v>
      </c>
      <c r="DD67" s="1052">
        <f t="shared" ca="1" si="90"/>
        <v>7.0529169074920114E-2</v>
      </c>
      <c r="DE67" s="1052">
        <f t="shared" ca="1" si="90"/>
        <v>7.0508775938755416E-2</v>
      </c>
      <c r="DF67" s="1052">
        <f t="shared" ca="1" si="90"/>
        <v>7.0489170210818047E-2</v>
      </c>
      <c r="DG67" s="1052">
        <f t="shared" ca="1" si="90"/>
        <v>7.0470321375233388E-2</v>
      </c>
      <c r="DH67" s="1052">
        <f t="shared" ca="1" si="90"/>
        <v>7.0452200107273377E-2</v>
      </c>
      <c r="DI67" s="1052">
        <f t="shared" ca="1" si="90"/>
        <v>7.0434778226222072E-2</v>
      </c>
      <c r="DJ67" s="1052">
        <f t="shared" ca="1" si="90"/>
        <v>7.0418028650154119E-2</v>
      </c>
      <c r="DK67" s="1052">
        <f t="shared" ca="1" si="90"/>
        <v>7.0401925352545025E-2</v>
      </c>
      <c r="DL67" s="1052">
        <f t="shared" ca="1" si="90"/>
        <v>7.0386443320635803E-2</v>
      </c>
      <c r="DM67" s="1052">
        <f t="shared" ca="1" si="90"/>
        <v>7.0371558515477869E-2</v>
      </c>
      <c r="DN67" s="1052">
        <f t="shared" ca="1" si="90"/>
        <v>7.0357247833587849E-2</v>
      </c>
      <c r="DO67" s="1052">
        <f t="shared" ca="1" si="90"/>
        <v>7.0343489070144552E-2</v>
      </c>
      <c r="DP67" s="1052">
        <f t="shared" ca="1" si="90"/>
        <v>7.0330260883663773E-2</v>
      </c>
      <c r="DQ67" s="1052">
        <f t="shared" ca="1" si="90"/>
        <v>7.0317542762089541E-2</v>
      </c>
      <c r="DR67" s="1052">
        <f t="shared" ca="1" si="90"/>
        <v>7.0305314990242548E-2</v>
      </c>
      <c r="DS67" s="1052">
        <f t="shared" ca="1" si="90"/>
        <v>7.0293558618570062E-2</v>
      </c>
      <c r="DT67" s="1052">
        <f t="shared" ca="1" si="90"/>
        <v>7.0282255433143037E-2</v>
      </c>
      <c r="DU67" s="1052">
        <f t="shared" ca="1" si="90"/>
        <v>7.0271387926849324E-2</v>
      </c>
      <c r="DV67" s="1052">
        <f t="shared" ca="1" si="90"/>
        <v>7.0260939271733672E-2</v>
      </c>
      <c r="DW67" s="1052">
        <f t="shared" ca="1" si="90"/>
        <v>7.0250893292437472E-2</v>
      </c>
      <c r="DX67" s="1052">
        <f t="shared" ca="1" si="90"/>
        <v>7.0241234440693259E-2</v>
      </c>
      <c r="DY67" s="1052">
        <f t="shared" ca="1" si="90"/>
        <v>7.0231947770830874E-2</v>
      </c>
      <c r="DZ67" s="1052">
        <f t="shared" ca="1" si="90"/>
        <v>7.0223018916254029E-2</v>
      </c>
      <c r="EA67" s="1052">
        <f t="shared" ca="1" si="90"/>
        <v>7.0214434066847811E-2</v>
      </c>
      <c r="EB67" s="1052">
        <f t="shared" ca="1" si="90"/>
        <v>7.0206179947279471E-2</v>
      </c>
      <c r="EC67" s="1052">
        <f t="shared" ref="EC67:GN67" ca="1" si="91">EC64/EB66</f>
        <v>7.0198243796156051E-2</v>
      </c>
      <c r="ED67" s="1052">
        <f t="shared" ca="1" si="91"/>
        <v>7.0190613346004363E-2</v>
      </c>
      <c r="EE67" s="1052">
        <f t="shared" ca="1" si="91"/>
        <v>7.0183276804040157E-2</v>
      </c>
      <c r="EF67" s="1052">
        <f t="shared" ca="1" si="91"/>
        <v>7.0176222833694624E-2</v>
      </c>
      <c r="EG67" s="1052">
        <f t="shared" ca="1" si="91"/>
        <v>7.0169440536867675E-2</v>
      </c>
      <c r="EH67" s="1052">
        <f t="shared" ca="1" si="91"/>
        <v>7.0162919436878954E-2</v>
      </c>
      <c r="EI67" s="1052">
        <f t="shared" ca="1" si="91"/>
        <v>7.0156649462088563E-2</v>
      </c>
      <c r="EJ67" s="1052">
        <f t="shared" ca="1" si="91"/>
        <v>7.0150620930160654E-2</v>
      </c>
      <c r="EK67" s="1052">
        <f t="shared" ca="1" si="91"/>
        <v>7.0144824532944156E-2</v>
      </c>
      <c r="EL67" s="1052">
        <f t="shared" ca="1" si="91"/>
        <v>7.0139251321946122E-2</v>
      </c>
      <c r="EM67" s="1052">
        <f t="shared" ca="1" si="91"/>
        <v>7.0133892694373937E-2</v>
      </c>
      <c r="EN67" s="1052">
        <f t="shared" ca="1" si="91"/>
        <v>7.0128740379723789E-2</v>
      </c>
      <c r="EO67" s="1052">
        <f t="shared" ca="1" si="91"/>
        <v>7.0123786426893764E-2</v>
      </c>
      <c r="EP67" s="1052">
        <f t="shared" ca="1" si="91"/>
        <v>7.0119023191800467E-2</v>
      </c>
      <c r="EQ67" s="1052">
        <f t="shared" ca="1" si="91"/>
        <v>7.0114443325479586E-2</v>
      </c>
      <c r="ER67" s="1052">
        <f t="shared" ca="1" si="91"/>
        <v>7.0110039762650858E-2</v>
      </c>
      <c r="ES67" s="1052">
        <f t="shared" ca="1" si="91"/>
        <v>7.0105805710729316E-2</v>
      </c>
      <c r="ET67" s="1052">
        <f t="shared" ca="1" si="91"/>
        <v>7.0101734639264904E-2</v>
      </c>
      <c r="EU67" s="1052">
        <f t="shared" ca="1" si="91"/>
        <v>7.0097820269793887E-2</v>
      </c>
      <c r="EV67" s="1052">
        <f t="shared" ca="1" si="91"/>
        <v>7.0094056566085514E-2</v>
      </c>
      <c r="EW67" s="1052">
        <f t="shared" ca="1" si="91"/>
        <v>7.0090437724768473E-2</v>
      </c>
      <c r="EX67" s="1052">
        <f t="shared" ca="1" si="91"/>
        <v>7.0086958166322141E-2</v>
      </c>
      <c r="EY67" s="1052">
        <f t="shared" ca="1" si="91"/>
        <v>7.0083612526418329E-2</v>
      </c>
      <c r="EZ67" s="1052">
        <f t="shared" ca="1" si="91"/>
        <v>7.00803956475997E-2</v>
      </c>
      <c r="FA67" s="1052">
        <f t="shared" ca="1" si="91"/>
        <v>7.0077302571281697E-2</v>
      </c>
      <c r="FB67" s="1052">
        <f t="shared" ca="1" si="91"/>
        <v>7.0074328530065053E-2</v>
      </c>
      <c r="FC67" s="1052">
        <f t="shared" ca="1" si="91"/>
        <v>7.007146894034709E-2</v>
      </c>
      <c r="FD67" s="1052">
        <f t="shared" ca="1" si="91"/>
        <v>7.0068719395219761E-2</v>
      </c>
      <c r="FE67" s="1052">
        <f t="shared" ca="1" si="91"/>
        <v>7.0066075657643292E-2</v>
      </c>
      <c r="FF67" s="1052">
        <f t="shared" ca="1" si="91"/>
        <v>7.0063533653884805E-2</v>
      </c>
      <c r="FG67" s="1052">
        <f t="shared" ca="1" si="91"/>
        <v>7.0061089467211249E-2</v>
      </c>
      <c r="FH67" s="1052">
        <f t="shared" ca="1" si="91"/>
        <v>7.0058739331827047E-2</v>
      </c>
      <c r="FI67" s="1052">
        <f t="shared" ca="1" si="91"/>
        <v>7.0056479627046531E-2</v>
      </c>
      <c r="FJ67" s="1052">
        <f t="shared" ca="1" si="91"/>
        <v>7.0054306871692396E-2</v>
      </c>
      <c r="FK67" s="1052">
        <f t="shared" ca="1" si="91"/>
        <v>7.0052217718710938E-2</v>
      </c>
      <c r="FL67" s="1052">
        <f t="shared" ca="1" si="91"/>
        <v>7.0050208949995987E-2</v>
      </c>
      <c r="FM67" s="1052">
        <f t="shared" ca="1" si="91"/>
        <v>7.0048277471413178E-2</v>
      </c>
      <c r="FN67" s="1052">
        <f t="shared" ca="1" si="91"/>
        <v>7.0046420308016832E-2</v>
      </c>
      <c r="FO67" s="1052">
        <f t="shared" ca="1" si="91"/>
        <v>7.0044634599451872E-2</v>
      </c>
      <c r="FP67" s="1052">
        <f t="shared" ca="1" si="91"/>
        <v>7.0042917595533744E-2</v>
      </c>
      <c r="FQ67" s="1052">
        <f t="shared" ca="1" si="91"/>
        <v>7.0041266651999279E-2</v>
      </c>
      <c r="FR67" s="1052">
        <f t="shared" ca="1" si="91"/>
        <v>7.003967922642175E-2</v>
      </c>
      <c r="FS67" s="1052">
        <f t="shared" ca="1" si="91"/>
        <v>7.0038152874284068E-2</v>
      </c>
      <c r="FT67" s="1052">
        <f t="shared" ca="1" si="91"/>
        <v>7.0036685245203609E-2</v>
      </c>
      <c r="FU67" s="1052">
        <f t="shared" ca="1" si="91"/>
        <v>7.0035274079303045E-2</v>
      </c>
      <c r="FV67" s="1052">
        <f t="shared" ca="1" si="91"/>
        <v>7.0033917203721388E-2</v>
      </c>
      <c r="FW67" s="1052">
        <f t="shared" ca="1" si="91"/>
        <v>7.0032612529259713E-2</v>
      </c>
      <c r="FX67" s="1052">
        <f t="shared" ca="1" si="91"/>
        <v>7.0031358047156725E-2</v>
      </c>
      <c r="FY67" s="1052">
        <f t="shared" ca="1" si="91"/>
        <v>7.0030151825988526E-2</v>
      </c>
      <c r="FZ67" s="1052">
        <f t="shared" ca="1" si="91"/>
        <v>7.0028992008688368E-2</v>
      </c>
      <c r="GA67" s="1052">
        <f t="shared" ca="1" si="91"/>
        <v>7.0027876809681269E-2</v>
      </c>
      <c r="GB67" s="1052">
        <f t="shared" ca="1" si="91"/>
        <v>7.0026804512129434E-2</v>
      </c>
      <c r="GC67" s="1052">
        <f t="shared" ca="1" si="91"/>
        <v>7.0025773465283825E-2</v>
      </c>
      <c r="GD67" s="1052">
        <f t="shared" ca="1" si="91"/>
        <v>7.0024782081938047E-2</v>
      </c>
      <c r="GE67" s="1052">
        <f t="shared" ca="1" si="91"/>
        <v>7.0023828835980434E-2</v>
      </c>
      <c r="GF67" s="1052">
        <f t="shared" ca="1" si="91"/>
        <v>7.0022912260040676E-2</v>
      </c>
      <c r="GG67" s="1052">
        <f t="shared" ca="1" si="91"/>
        <v>7.0022030943227065E-2</v>
      </c>
      <c r="GH67" s="1052">
        <f t="shared" ca="1" si="91"/>
        <v>7.0021183528951175E-2</v>
      </c>
      <c r="GI67" s="1052">
        <f t="shared" ca="1" si="91"/>
        <v>7.0020368712836373E-2</v>
      </c>
      <c r="GJ67" s="1052">
        <f t="shared" ca="1" si="91"/>
        <v>7.0019585240707047E-2</v>
      </c>
      <c r="GK67" s="1052">
        <f t="shared" ca="1" si="91"/>
        <v>7.0018831906655282E-2</v>
      </c>
      <c r="GL67" s="1052">
        <f t="shared" ca="1" si="91"/>
        <v>7.0018107551182165E-2</v>
      </c>
      <c r="GM67" s="1052">
        <f t="shared" ca="1" si="91"/>
        <v>7.0017411059410686E-2</v>
      </c>
      <c r="GN67" s="1052">
        <f t="shared" ca="1" si="91"/>
        <v>7.0016741359367599E-2</v>
      </c>
      <c r="GO67" s="1052">
        <f t="shared" ref="GO67:IQ67" ca="1" si="92">GO64/GN66</f>
        <v>7.0016097420331463E-2</v>
      </c>
      <c r="GP67" s="1052">
        <f t="shared" ca="1" si="92"/>
        <v>7.0015478251244351E-2</v>
      </c>
      <c r="GQ67" s="1052">
        <f t="shared" ca="1" si="92"/>
        <v>7.0014882899184852E-2</v>
      </c>
      <c r="GR67" s="1052">
        <f t="shared" ca="1" si="92"/>
        <v>7.0014310447899741E-2</v>
      </c>
      <c r="GS67" s="1052">
        <f t="shared" ca="1" si="92"/>
        <v>7.0013760016392493E-2</v>
      </c>
      <c r="GT67" s="1052">
        <f t="shared" ca="1" si="92"/>
        <v>7.0013230757565909E-2</v>
      </c>
      <c r="GU67" s="1052">
        <f t="shared" ca="1" si="92"/>
        <v>7.0012721856917287E-2</v>
      </c>
      <c r="GV67" s="1052">
        <f t="shared" ca="1" si="92"/>
        <v>7.001223253128365E-2</v>
      </c>
      <c r="GW67" s="1052">
        <f t="shared" ca="1" si="92"/>
        <v>7.0011762027635496E-2</v>
      </c>
      <c r="GX67" s="1052">
        <f t="shared" ca="1" si="92"/>
        <v>7.0011309621916817E-2</v>
      </c>
      <c r="GY67" s="1052">
        <f t="shared" ca="1" si="92"/>
        <v>7.0010874617930055E-2</v>
      </c>
      <c r="GZ67" s="1052">
        <f t="shared" ca="1" si="92"/>
        <v>7.0010456346263725E-2</v>
      </c>
      <c r="HA67" s="1052">
        <f t="shared" ca="1" si="92"/>
        <v>7.0010054163261615E-2</v>
      </c>
      <c r="HB67" s="1052">
        <f t="shared" ca="1" si="92"/>
        <v>7.0009667450031413E-2</v>
      </c>
      <c r="HC67" s="1052">
        <f t="shared" ca="1" si="92"/>
        <v>7.0009295611491745E-2</v>
      </c>
      <c r="HD67" s="1052">
        <f t="shared" ca="1" si="92"/>
        <v>7.0008938075455787E-2</v>
      </c>
      <c r="HE67" s="1052">
        <f t="shared" ca="1" si="92"/>
        <v>7.0008594291750173E-2</v>
      </c>
      <c r="HF67" s="1052">
        <f t="shared" ca="1" si="92"/>
        <v>7.0008263731367884E-2</v>
      </c>
      <c r="HG67" s="1052">
        <f t="shared" ca="1" si="92"/>
        <v>7.0007945885653677E-2</v>
      </c>
      <c r="HH67" s="1052">
        <f t="shared" ca="1" si="92"/>
        <v>7.0007640265520962E-2</v>
      </c>
      <c r="HI67" s="1052">
        <f t="shared" ca="1" si="92"/>
        <v>7.000734640069875E-2</v>
      </c>
      <c r="HJ67" s="1052">
        <f t="shared" ca="1" si="92"/>
        <v>7.0007063839007663E-2</v>
      </c>
      <c r="HK67" s="1052">
        <f t="shared" ca="1" si="92"/>
        <v>7.0006792145663771E-2</v>
      </c>
      <c r="HL67" s="1052">
        <f t="shared" ca="1" si="92"/>
        <v>7.0006530902609193E-2</v>
      </c>
      <c r="HM67" s="1052">
        <f t="shared" ca="1" si="92"/>
        <v>7.0006279707868616E-2</v>
      </c>
      <c r="HN67" s="1052">
        <f t="shared" ca="1" si="92"/>
        <v>7.0006038174930341E-2</v>
      </c>
      <c r="HO67" s="1052">
        <f t="shared" ca="1" si="92"/>
        <v>7.0005805932151458E-2</v>
      </c>
      <c r="HP67" s="1052">
        <f t="shared" ca="1" si="92"/>
        <v>7.0005582622185605E-2</v>
      </c>
      <c r="HQ67" s="1052">
        <f t="shared" ca="1" si="92"/>
        <v>7.0005367901432983E-2</v>
      </c>
      <c r="HR67" s="1052">
        <f t="shared" ca="1" si="92"/>
        <v>7.0005161439511479E-2</v>
      </c>
      <c r="HS67" s="1052">
        <f t="shared" ca="1" si="92"/>
        <v>7.0004962918748012E-2</v>
      </c>
      <c r="HT67" s="1052">
        <f t="shared" ca="1" si="92"/>
        <v>7.0004772033689683E-2</v>
      </c>
      <c r="HU67" s="1052">
        <f t="shared" ca="1" si="92"/>
        <v>7.0004588490633554E-2</v>
      </c>
      <c r="HV67" s="1052">
        <f t="shared" ca="1" si="92"/>
        <v>7.000441200717461E-2</v>
      </c>
      <c r="HW67" s="1052">
        <f t="shared" ca="1" si="92"/>
        <v>7.0004242311771117E-2</v>
      </c>
      <c r="HX67" s="1052">
        <f t="shared" ca="1" si="92"/>
        <v>7.0004079143326653E-2</v>
      </c>
      <c r="HY67" s="1052">
        <f t="shared" ca="1" si="92"/>
        <v>7.0003922250788275E-2</v>
      </c>
      <c r="HZ67" s="1052">
        <f t="shared" ca="1" si="92"/>
        <v>7.0003771392760178E-2</v>
      </c>
      <c r="IA67" s="1052">
        <f t="shared" ca="1" si="92"/>
        <v>7.000362633713203E-2</v>
      </c>
      <c r="IB67" s="1052">
        <f t="shared" ca="1" si="92"/>
        <v>7.0003486860721983E-2</v>
      </c>
      <c r="IC67" s="1052">
        <f t="shared" ca="1" si="92"/>
        <v>7.0003352748932934E-2</v>
      </c>
      <c r="ID67" s="1052">
        <f t="shared" ca="1" si="92"/>
        <v>7.0003223795422509E-2</v>
      </c>
      <c r="IE67" s="1052">
        <f t="shared" ca="1" si="92"/>
        <v>7.0003099801785332E-2</v>
      </c>
      <c r="IF67" s="1052">
        <f t="shared" ca="1" si="92"/>
        <v>7.0002980577247798E-2</v>
      </c>
      <c r="IG67" s="1052">
        <f t="shared" ca="1" si="92"/>
        <v>7.0002865938374403E-2</v>
      </c>
      <c r="IH67" s="1052">
        <f t="shared" ca="1" si="92"/>
        <v>7.0002755708785544E-2</v>
      </c>
      <c r="II67" s="1052">
        <f t="shared" ca="1" si="92"/>
        <v>7.000264971888602E-2</v>
      </c>
      <c r="IJ67" s="1052">
        <f t="shared" ca="1" si="92"/>
        <v>7.0002547805604096E-2</v>
      </c>
      <c r="IK67" s="1052">
        <f t="shared" ca="1" si="92"/>
        <v>7.0002449812140502E-2</v>
      </c>
      <c r="IL67" s="1052">
        <f t="shared" ca="1" si="92"/>
        <v>7.000235558772723E-2</v>
      </c>
      <c r="IM67" s="1052">
        <f t="shared" ca="1" si="92"/>
        <v>7.0002264987395438E-2</v>
      </c>
      <c r="IN67" s="1052">
        <f t="shared" ca="1" si="92"/>
        <v>7.0002177871752447E-2</v>
      </c>
      <c r="IO67" s="1052">
        <f t="shared" ca="1" si="92"/>
        <v>7.0002094106767179E-2</v>
      </c>
      <c r="IP67" s="1052">
        <f t="shared" ca="1" si="92"/>
        <v>7.0002013563563933E-2</v>
      </c>
      <c r="IQ67" s="1052">
        <f t="shared" ca="1" si="92"/>
        <v>7.000193611822414E-2</v>
      </c>
      <c r="IR67" s="1052"/>
    </row>
    <row r="68" spans="2:252" s="960" customFormat="1" ht="11.25" customHeight="1">
      <c r="B68" s="958" t="s">
        <v>711</v>
      </c>
      <c r="C68" s="979">
        <f>C64-(C66-C26)</f>
        <v>185.67470237795447</v>
      </c>
      <c r="D68" s="979">
        <f>D64-(D66-C66)</f>
        <v>400.81313228559111</v>
      </c>
      <c r="E68" s="979">
        <f t="shared" ref="E68:BP68" si="93">E64-(E66-D66)</f>
        <v>163.16558722460124</v>
      </c>
      <c r="F68" s="979">
        <f t="shared" si="93"/>
        <v>305.775864891075</v>
      </c>
      <c r="G68" s="979">
        <f t="shared" ca="1" si="93"/>
        <v>-274.01727842789444</v>
      </c>
      <c r="H68" s="979">
        <f t="shared" ca="1" si="93"/>
        <v>40.998362218159571</v>
      </c>
      <c r="I68" s="979">
        <f t="shared" ca="1" si="93"/>
        <v>51.686479671532538</v>
      </c>
      <c r="J68" s="979">
        <f t="shared" ca="1" si="93"/>
        <v>63.733631988806223</v>
      </c>
      <c r="K68" s="979">
        <f t="shared" ca="1" si="93"/>
        <v>77.196016708951163</v>
      </c>
      <c r="L68" s="979">
        <f t="shared" ca="1" si="93"/>
        <v>92.120910260340054</v>
      </c>
      <c r="M68" s="979">
        <f t="shared" ca="1" si="93"/>
        <v>108.5451715780469</v>
      </c>
      <c r="N68" s="979">
        <f t="shared" ca="1" si="93"/>
        <v>126.49378064707076</v>
      </c>
      <c r="O68" s="979">
        <f t="shared" ca="1" si="93"/>
        <v>145.97844147955266</v>
      </c>
      <c r="P68" s="979">
        <f t="shared" ca="1" si="93"/>
        <v>166.99628028709208</v>
      </c>
      <c r="Q68" s="979">
        <f t="shared" ca="1" si="93"/>
        <v>189.52867022494991</v>
      </c>
      <c r="R68" s="979">
        <f t="shared" ca="1" si="93"/>
        <v>213.54021399438585</v>
      </c>
      <c r="S68" s="979">
        <f t="shared" ca="1" si="93"/>
        <v>238.97791473695315</v>
      </c>
      <c r="T68" s="979">
        <f t="shared" ca="1" si="93"/>
        <v>265.77056400500408</v>
      </c>
      <c r="U68" s="979">
        <f t="shared" ca="1" si="93"/>
        <v>293.82837312972254</v>
      </c>
      <c r="V68" s="979">
        <f t="shared" ca="1" si="93"/>
        <v>304.93177488032734</v>
      </c>
      <c r="W68" s="979">
        <f t="shared" ca="1" si="93"/>
        <v>-69.356621231542249</v>
      </c>
      <c r="X68" s="979">
        <f t="shared" ca="1" si="93"/>
        <v>323.56389873121782</v>
      </c>
      <c r="Y68" s="979">
        <f t="shared" ca="1" si="93"/>
        <v>333.0984817538299</v>
      </c>
      <c r="Z68" s="979">
        <f t="shared" ca="1" si="93"/>
        <v>343.01848640647813</v>
      </c>
      <c r="AA68" s="979">
        <f t="shared" ca="1" si="93"/>
        <v>353.3391763420409</v>
      </c>
      <c r="AB68" s="979">
        <f t="shared" ca="1" si="93"/>
        <v>364.07643141972062</v>
      </c>
      <c r="AC68" s="979">
        <f t="shared" ca="1" si="93"/>
        <v>375.24677216116811</v>
      </c>
      <c r="AD68" s="979">
        <f t="shared" ca="1" si="93"/>
        <v>386.86738518946458</v>
      </c>
      <c r="AE68" s="979">
        <f t="shared" ca="1" si="93"/>
        <v>398.95614969035694</v>
      </c>
      <c r="AF68" s="979">
        <f t="shared" ca="1" si="93"/>
        <v>411.53166493677259</v>
      </c>
      <c r="AG68" s="979">
        <f t="shared" ca="1" si="93"/>
        <v>424.61327891915312</v>
      </c>
      <c r="AH68" s="979">
        <f t="shared" ca="1" si="93"/>
        <v>438.22111812591834</v>
      </c>
      <c r="AI68" s="979">
        <f t="shared" ca="1" si="93"/>
        <v>452.37611852003647</v>
      </c>
      <c r="AJ68" s="979">
        <f t="shared" ca="1" si="93"/>
        <v>467.10005775954949</v>
      </c>
      <c r="AK68" s="979">
        <f t="shared" ca="1" si="93"/>
        <v>482.41558871172833</v>
      </c>
      <c r="AL68" s="979">
        <f t="shared" ca="1" si="93"/>
        <v>498.34627431265517</v>
      </c>
      <c r="AM68" s="979">
        <f t="shared" ca="1" si="93"/>
        <v>514.91662382585628</v>
      </c>
      <c r="AN68" s="979">
        <f t="shared" ca="1" si="93"/>
        <v>532.15213055598861</v>
      </c>
      <c r="AO68" s="979">
        <f t="shared" ca="1" si="93"/>
        <v>550.07931107563286</v>
      </c>
      <c r="AP68" s="979">
        <f t="shared" ca="1" si="93"/>
        <v>568.72574602564669</v>
      </c>
      <c r="AQ68" s="979">
        <f t="shared" ca="1" si="93"/>
        <v>588.12012255192712</v>
      </c>
      <c r="AR68" s="979">
        <f t="shared" ca="1" si="93"/>
        <v>608.29227844392994</v>
      </c>
      <c r="AS68" s="979">
        <f t="shared" ca="1" si="93"/>
        <v>629.2732480429413</v>
      </c>
      <c r="AT68" s="979">
        <f t="shared" ca="1" si="93"/>
        <v>651.09530999072058</v>
      </c>
      <c r="AU68" s="979">
        <f t="shared" ca="1" si="93"/>
        <v>673.79203689207884</v>
      </c>
      <c r="AV68" s="979">
        <f t="shared" ca="1" si="93"/>
        <v>697.3983469678692</v>
      </c>
      <c r="AW68" s="979">
        <f t="shared" ca="1" si="93"/>
        <v>721.95055777774746</v>
      </c>
      <c r="AX68" s="979">
        <f t="shared" ca="1" si="93"/>
        <v>747.48644209559916</v>
      </c>
      <c r="AY68" s="979">
        <f t="shared" ca="1" si="93"/>
        <v>774.04528602342225</v>
      </c>
      <c r="AZ68" s="979">
        <f t="shared" ca="1" si="93"/>
        <v>801.66794943324635</v>
      </c>
      <c r="BA68" s="979">
        <f t="shared" ca="1" si="93"/>
        <v>830.39692883002522</v>
      </c>
      <c r="BB68" s="979">
        <f t="shared" ca="1" si="93"/>
        <v>860.27642273221704</v>
      </c>
      <c r="BC68" s="979">
        <f t="shared" ca="1" si="93"/>
        <v>891.35239967082612</v>
      </c>
      <c r="BD68" s="979">
        <f t="shared" ca="1" si="93"/>
        <v>923.67266891118334</v>
      </c>
      <c r="BE68" s="979">
        <f t="shared" ca="1" si="93"/>
        <v>957.2869540067295</v>
      </c>
      <c r="BF68" s="979">
        <f t="shared" ca="1" si="93"/>
        <v>992.24696929761285</v>
      </c>
      <c r="BG68" s="979">
        <f t="shared" ca="1" si="93"/>
        <v>1028.6064994719868</v>
      </c>
      <c r="BH68" s="979">
        <f t="shared" ca="1" si="93"/>
        <v>1066.421482312332</v>
      </c>
      <c r="BI68" s="979">
        <f t="shared" ca="1" si="93"/>
        <v>1105.7500947542694</v>
      </c>
      <c r="BJ68" s="979">
        <f t="shared" ca="1" si="93"/>
        <v>1146.6528423899872</v>
      </c>
      <c r="BK68" s="979">
        <f t="shared" ca="1" si="93"/>
        <v>1189.1926525543136</v>
      </c>
      <c r="BL68" s="979">
        <f t="shared" ca="1" si="93"/>
        <v>1233.4349711363811</v>
      </c>
      <c r="BM68" s="979">
        <f t="shared" ca="1" si="93"/>
        <v>1279.4478632660002</v>
      </c>
      <c r="BN68" s="979">
        <f t="shared" ca="1" si="93"/>
        <v>1327.3021180296223</v>
      </c>
      <c r="BO68" s="979">
        <f t="shared" ca="1" si="93"/>
        <v>1377.0713573768608</v>
      </c>
      <c r="BP68" s="979">
        <f t="shared" ca="1" si="93"/>
        <v>1428.8321493853191</v>
      </c>
      <c r="BQ68" s="979">
        <f t="shared" ref="BQ68:EB68" ca="1" si="94">BQ64-(BQ66-BP66)</f>
        <v>1482.6641260579054</v>
      </c>
      <c r="BR68" s="979">
        <f t="shared" ca="1" si="94"/>
        <v>1538.6501058337776</v>
      </c>
      <c r="BS68" s="979">
        <f t="shared" ca="1" si="94"/>
        <v>1596.8762210015152</v>
      </c>
      <c r="BT68" s="979">
        <f t="shared" ca="1" si="94"/>
        <v>1657.4320502104788</v>
      </c>
      <c r="BU68" s="979">
        <f t="shared" ca="1" si="94"/>
        <v>1720.4107562843542</v>
      </c>
      <c r="BV68" s="979">
        <f t="shared" ca="1" si="94"/>
        <v>1785.9092295486093</v>
      </c>
      <c r="BW68" s="979">
        <f t="shared" ca="1" si="94"/>
        <v>1854.028236892691</v>
      </c>
      <c r="BX68" s="979">
        <f t="shared" ca="1" si="94"/>
        <v>1924.8725767960832</v>
      </c>
      <c r="BY68" s="979">
        <f t="shared" ca="1" si="94"/>
        <v>1998.5512405568752</v>
      </c>
      <c r="BZ68" s="979">
        <f t="shared" ca="1" si="94"/>
        <v>2075.1775799707357</v>
      </c>
      <c r="CA68" s="979">
        <f t="shared" ca="1" si="94"/>
        <v>2154.869481718426</v>
      </c>
      <c r="CB68" s="979">
        <f t="shared" ca="1" si="94"/>
        <v>2237.7495487297638</v>
      </c>
      <c r="CC68" s="979">
        <f t="shared" ca="1" si="94"/>
        <v>2323.9452888039468</v>
      </c>
      <c r="CD68" s="979">
        <f t="shared" ca="1" si="94"/>
        <v>2413.5893107750926</v>
      </c>
      <c r="CE68" s="979">
        <f t="shared" ca="1" si="94"/>
        <v>2506.8195285261245</v>
      </c>
      <c r="CF68" s="979">
        <f t="shared" ca="1" si="94"/>
        <v>2603.7793731638631</v>
      </c>
      <c r="CG68" s="979">
        <f t="shared" ca="1" si="94"/>
        <v>2704.6180136823459</v>
      </c>
      <c r="CH68" s="979">
        <f t="shared" ca="1" si="94"/>
        <v>2809.4905864536995</v>
      </c>
      <c r="CI68" s="979">
        <f t="shared" ca="1" si="94"/>
        <v>2918.5584338993631</v>
      </c>
      <c r="CJ68" s="979">
        <f t="shared" ca="1" si="94"/>
        <v>3031.9893527093282</v>
      </c>
      <c r="CK68" s="979">
        <f t="shared" ca="1" si="94"/>
        <v>3149.9578519909774</v>
      </c>
      <c r="CL68" s="979">
        <f t="shared" ca="1" si="94"/>
        <v>3272.6454217443988</v>
      </c>
      <c r="CM68" s="979">
        <f t="shared" ca="1" si="94"/>
        <v>3400.2408120780692</v>
      </c>
      <c r="CN68" s="979">
        <f t="shared" ca="1" si="94"/>
        <v>3532.9403235935788</v>
      </c>
      <c r="CO68" s="979">
        <f t="shared" ca="1" si="94"/>
        <v>3670.9481093863724</v>
      </c>
      <c r="CP68" s="979">
        <f t="shared" ca="1" si="94"/>
        <v>3814.4764891277864</v>
      </c>
      <c r="CQ68" s="979">
        <f t="shared" ca="1" si="94"/>
        <v>3963.7462757103949</v>
      </c>
      <c r="CR68" s="979">
        <f t="shared" ca="1" si="94"/>
        <v>4118.9871149603714</v>
      </c>
      <c r="CS68" s="979">
        <f t="shared" ca="1" si="94"/>
        <v>4280.4378389386111</v>
      </c>
      <c r="CT68" s="979">
        <f t="shared" ca="1" si="94"/>
        <v>4448.3468333749042</v>
      </c>
      <c r="CU68" s="979">
        <f t="shared" ca="1" si="94"/>
        <v>4622.9724197994983</v>
      </c>
      <c r="CV68" s="979">
        <f t="shared" ca="1" si="94"/>
        <v>4804.583252961218</v>
      </c>
      <c r="CW68" s="979">
        <f t="shared" ca="1" si="94"/>
        <v>4993.4587341421029</v>
      </c>
      <c r="CX68" s="979">
        <f t="shared" ca="1" si="94"/>
        <v>5189.8894410059675</v>
      </c>
      <c r="CY68" s="979">
        <f t="shared" ca="1" si="94"/>
        <v>5394.1775746404383</v>
      </c>
      <c r="CZ68" s="979">
        <f t="shared" ca="1" si="94"/>
        <v>5606.6374244821636</v>
      </c>
      <c r="DA68" s="979">
        <f t="shared" ca="1" si="94"/>
        <v>5827.5958518388743</v>
      </c>
      <c r="DB68" s="979">
        <f t="shared" ca="1" si="94"/>
        <v>6057.3927927527275</v>
      </c>
      <c r="DC68" s="979">
        <f t="shared" ca="1" si="94"/>
        <v>6296.381780979289</v>
      </c>
      <c r="DD68" s="979">
        <f t="shared" ca="1" si="94"/>
        <v>6544.9304918850776</v>
      </c>
      <c r="DE68" s="979">
        <f t="shared" ca="1" si="94"/>
        <v>6803.4213081025628</v>
      </c>
      <c r="DF68" s="979">
        <f t="shared" ca="1" si="94"/>
        <v>7072.251907810456</v>
      </c>
      <c r="DG68" s="979">
        <f t="shared" ca="1" si="94"/>
        <v>7351.8358765471203</v>
      </c>
      <c r="DH68" s="979">
        <f t="shared" ca="1" si="94"/>
        <v>7642.6033434950623</v>
      </c>
      <c r="DI68" s="979">
        <f t="shared" ca="1" si="94"/>
        <v>7945.0016432190459</v>
      </c>
      <c r="DJ68" s="979">
        <f t="shared" ca="1" si="94"/>
        <v>8259.4960038726422</v>
      </c>
      <c r="DK68" s="979">
        <f t="shared" ca="1" si="94"/>
        <v>8586.5702629336411</v>
      </c>
      <c r="DL68" s="979">
        <f t="shared" ca="1" si="94"/>
        <v>8926.7276115700988</v>
      </c>
      <c r="DM68" s="979">
        <f t="shared" ca="1" si="94"/>
        <v>9280.4913687798107</v>
      </c>
      <c r="DN68" s="979">
        <f t="shared" ca="1" si="94"/>
        <v>9648.4057864971073</v>
      </c>
      <c r="DO68" s="979">
        <f t="shared" ca="1" si="94"/>
        <v>10031.036886903141</v>
      </c>
      <c r="DP68" s="979">
        <f t="shared" ca="1" si="94"/>
        <v>10428.97333322918</v>
      </c>
      <c r="DQ68" s="979">
        <f t="shared" ca="1" si="94"/>
        <v>10842.827335392805</v>
      </c>
      <c r="DR68" s="979">
        <f t="shared" ca="1" si="94"/>
        <v>11273.235591859033</v>
      </c>
      <c r="DS68" s="979">
        <f t="shared" ca="1" si="94"/>
        <v>11720.86026917605</v>
      </c>
      <c r="DT68" s="979">
        <f t="shared" ca="1" si="94"/>
        <v>12186.390020693754</v>
      </c>
      <c r="DU68" s="979">
        <f t="shared" ca="1" si="94"/>
        <v>12670.541046029881</v>
      </c>
      <c r="DV68" s="979">
        <f t="shared" ca="1" si="94"/>
        <v>13174.058192915527</v>
      </c>
      <c r="DW68" s="979">
        <f t="shared" ca="1" si="94"/>
        <v>13697.716103115432</v>
      </c>
      <c r="DX68" s="979">
        <f t="shared" ca="1" si="94"/>
        <v>14242.320404183927</v>
      </c>
      <c r="DY68" s="979">
        <f t="shared" ca="1" si="94"/>
        <v>14808.708948891159</v>
      </c>
      <c r="DZ68" s="979">
        <f t="shared" ca="1" si="94"/>
        <v>15397.753104229829</v>
      </c>
      <c r="EA68" s="979">
        <f t="shared" ca="1" si="94"/>
        <v>16010.359091976839</v>
      </c>
      <c r="EB68" s="979">
        <f t="shared" ca="1" si="94"/>
        <v>16647.469382882875</v>
      </c>
      <c r="EC68" s="979">
        <f t="shared" ref="EC68:GN68" ca="1" si="95">EC64-(EC66-EB66)</f>
        <v>17310.064146626049</v>
      </c>
      <c r="ED68" s="979">
        <f t="shared" ca="1" si="95"/>
        <v>17999.162759766099</v>
      </c>
      <c r="EE68" s="979">
        <f t="shared" ca="1" si="95"/>
        <v>18715.825374015629</v>
      </c>
      <c r="EF68" s="979">
        <f t="shared" ca="1" si="95"/>
        <v>19461.15454724244</v>
      </c>
      <c r="EG68" s="979">
        <f t="shared" ca="1" si="95"/>
        <v>20236.296939713691</v>
      </c>
      <c r="EH68" s="979">
        <f t="shared" ca="1" si="95"/>
        <v>21042.445078185876</v>
      </c>
      <c r="EI68" s="979">
        <f t="shared" ca="1" si="95"/>
        <v>21880.839190565552</v>
      </c>
      <c r="EJ68" s="979">
        <f t="shared" ca="1" si="95"/>
        <v>22752.769113947914</v>
      </c>
      <c r="EK68" s="979">
        <f t="shared" ca="1" si="95"/>
        <v>23659.576278984685</v>
      </c>
      <c r="EL68" s="979">
        <f t="shared" ca="1" si="95"/>
        <v>24602.655773622122</v>
      </c>
      <c r="EM68" s="979">
        <f t="shared" ca="1" si="95"/>
        <v>25583.458489390105</v>
      </c>
      <c r="EN68" s="979">
        <f t="shared" ca="1" si="95"/>
        <v>26603.493353543839</v>
      </c>
      <c r="EO68" s="979">
        <f t="shared" ca="1" si="95"/>
        <v>27664.329650489897</v>
      </c>
      <c r="EP68" s="979">
        <f t="shared" ca="1" si="95"/>
        <v>28767.599436069242</v>
      </c>
      <c r="EQ68" s="979">
        <f t="shared" ca="1" si="95"/>
        <v>29915.000048414251</v>
      </c>
      <c r="ER68" s="979">
        <f t="shared" ca="1" si="95"/>
        <v>31108.296719235776</v>
      </c>
      <c r="ES68" s="979">
        <f t="shared" ca="1" si="95"/>
        <v>32349.325289565488</v>
      </c>
      <c r="ET68" s="979">
        <f t="shared" ca="1" si="95"/>
        <v>33639.99503412786</v>
      </c>
      <c r="EU68" s="979">
        <f t="shared" ca="1" si="95"/>
        <v>34982.291598683194</v>
      </c>
      <c r="EV68" s="979">
        <f t="shared" ca="1" si="95"/>
        <v>36378.280054869145</v>
      </c>
      <c r="EW68" s="979">
        <f t="shared" ca="1" si="95"/>
        <v>37830.108077234458</v>
      </c>
      <c r="EX68" s="979">
        <f t="shared" ca="1" si="95"/>
        <v>39340.009247351103</v>
      </c>
      <c r="EY68" s="979">
        <f t="shared" ca="1" si="95"/>
        <v>40910.306490096162</v>
      </c>
      <c r="EZ68" s="979">
        <f t="shared" ca="1" si="95"/>
        <v>42543.415647382746</v>
      </c>
      <c r="FA68" s="979">
        <f t="shared" ca="1" si="95"/>
        <v>44241.84919483561</v>
      </c>
      <c r="FB68" s="979">
        <f t="shared" ca="1" si="95"/>
        <v>46008.220107145215</v>
      </c>
      <c r="FC68" s="979">
        <f t="shared" ca="1" si="95"/>
        <v>47845.245878021044</v>
      </c>
      <c r="FD68" s="979">
        <f t="shared" ca="1" si="95"/>
        <v>49755.752700957921</v>
      </c>
      <c r="FE68" s="979">
        <f t="shared" ca="1" si="95"/>
        <v>51742.679817221215</v>
      </c>
      <c r="FF68" s="979">
        <f t="shared" ca="1" si="95"/>
        <v>53809.084037759749</v>
      </c>
      <c r="FG68" s="979">
        <f t="shared" ca="1" si="95"/>
        <v>55958.144445987957</v>
      </c>
      <c r="FH68" s="979">
        <f t="shared" ca="1" si="95"/>
        <v>58193.16728869034</v>
      </c>
      <c r="FI68" s="979">
        <f t="shared" ca="1" si="95"/>
        <v>60517.591062546271</v>
      </c>
      <c r="FJ68" s="979">
        <f t="shared" ca="1" si="95"/>
        <v>62934.991804130957</v>
      </c>
      <c r="FK68" s="979">
        <f t="shared" ca="1" si="95"/>
        <v>65449.088591509062</v>
      </c>
      <c r="FL68" s="979">
        <f t="shared" ca="1" si="95"/>
        <v>68063.749265892198</v>
      </c>
      <c r="FM68" s="979">
        <f t="shared" ca="1" si="95"/>
        <v>70782.996382161218</v>
      </c>
      <c r="FN68" s="979">
        <f t="shared" ca="1" si="95"/>
        <v>73611.013397422998</v>
      </c>
      <c r="FO68" s="979">
        <f t="shared" ca="1" si="95"/>
        <v>76552.151107081503</v>
      </c>
      <c r="FP68" s="979">
        <f t="shared" ca="1" si="95"/>
        <v>79610.934338384279</v>
      </c>
      <c r="FQ68" s="979">
        <f t="shared" ca="1" si="95"/>
        <v>82792.06891168587</v>
      </c>
      <c r="FR68" s="979">
        <f t="shared" ca="1" si="95"/>
        <v>86100.448880176904</v>
      </c>
      <c r="FS68" s="979">
        <f t="shared" ca="1" si="95"/>
        <v>89541.164059194736</v>
      </c>
      <c r="FT68" s="979">
        <f t="shared" ca="1" si="95"/>
        <v>93119.507856704149</v>
      </c>
      <c r="FU68" s="979">
        <f t="shared" ca="1" si="95"/>
        <v>96840.985417011805</v>
      </c>
      <c r="FV68" s="979">
        <f t="shared" ca="1" si="95"/>
        <v>100711.3220902083</v>
      </c>
      <c r="FW68" s="979">
        <f t="shared" ca="1" si="95"/>
        <v>104736.47224040786</v>
      </c>
      <c r="FX68" s="979">
        <f t="shared" ca="1" si="95"/>
        <v>108922.62840630134</v>
      </c>
      <c r="FY68" s="979">
        <f t="shared" ca="1" si="95"/>
        <v>113276.23082814727</v>
      </c>
      <c r="FZ68" s="979">
        <f t="shared" ca="1" si="95"/>
        <v>117803.97735582112</v>
      </c>
      <c r="GA68" s="979">
        <f t="shared" ca="1" si="95"/>
        <v>122512.8337532148</v>
      </c>
      <c r="GB68" s="979">
        <f t="shared" ca="1" si="95"/>
        <v>127410.04441478552</v>
      </c>
      <c r="GC68" s="979">
        <f t="shared" ca="1" si="95"/>
        <v>132503.14351077884</v>
      </c>
      <c r="GD68" s="979">
        <f t="shared" ca="1" si="95"/>
        <v>137799.96657826839</v>
      </c>
      <c r="GE68" s="979">
        <f t="shared" ca="1" si="95"/>
        <v>143308.66257582052</v>
      </c>
      <c r="GF68" s="979">
        <f t="shared" ca="1" si="95"/>
        <v>149037.70642035158</v>
      </c>
      <c r="GG68" s="979">
        <f t="shared" ca="1" si="95"/>
        <v>154995.91202547174</v>
      </c>
      <c r="GH68" s="979">
        <f t="shared" ca="1" si="95"/>
        <v>161192.44586133736</v>
      </c>
      <c r="GI68" s="979">
        <f t="shared" ca="1" si="95"/>
        <v>167636.84105693252</v>
      </c>
      <c r="GJ68" s="979">
        <f t="shared" ca="1" si="95"/>
        <v>174339.01206640305</v>
      </c>
      <c r="GK68" s="979">
        <f t="shared" ca="1" si="95"/>
        <v>181309.26992206782</v>
      </c>
      <c r="GL68" s="979">
        <f t="shared" ca="1" si="95"/>
        <v>188558.33809755399</v>
      </c>
      <c r="GM68" s="979">
        <f t="shared" ca="1" si="95"/>
        <v>196097.36900543957</v>
      </c>
      <c r="GN68" s="979">
        <f t="shared" ca="1" si="95"/>
        <v>203937.96115481295</v>
      </c>
      <c r="GO68" s="979">
        <f t="shared" ref="GO68:IR68" ca="1" si="96">GO64-(GO66-GN66)</f>
        <v>212092.17699513189</v>
      </c>
      <c r="GP68" s="979">
        <f t="shared" ca="1" si="96"/>
        <v>220572.56147384574</v>
      </c>
      <c r="GQ68" s="979">
        <f t="shared" ca="1" si="96"/>
        <v>229392.16133630939</v>
      </c>
      <c r="GR68" s="979">
        <f t="shared" ca="1" si="96"/>
        <v>238564.54519768828</v>
      </c>
      <c r="GS68" s="979">
        <f t="shared" ca="1" si="96"/>
        <v>248103.82441777457</v>
      </c>
      <c r="GT68" s="979">
        <f t="shared" ca="1" si="96"/>
        <v>258024.67481075448</v>
      </c>
      <c r="GU68" s="979">
        <f t="shared" ca="1" si="96"/>
        <v>268342.35922337975</v>
      </c>
      <c r="GV68" s="979">
        <f t="shared" ca="1" si="96"/>
        <v>279072.75101629307</v>
      </c>
      <c r="GW68" s="979">
        <f t="shared" ca="1" si="96"/>
        <v>290232.35848455317</v>
      </c>
      <c r="GX68" s="979">
        <f t="shared" ca="1" si="96"/>
        <v>301838.35025504313</v>
      </c>
      <c r="GY68" s="979">
        <f t="shared" ca="1" si="96"/>
        <v>313908.5816997065</v>
      </c>
      <c r="GZ68" s="979">
        <f t="shared" ca="1" si="96"/>
        <v>326461.62240539014</v>
      </c>
      <c r="HA68" s="979">
        <f t="shared" ca="1" si="96"/>
        <v>339516.78474240308</v>
      </c>
      <c r="HB68" s="979">
        <f t="shared" ca="1" si="96"/>
        <v>353094.15357588953</v>
      </c>
      <c r="HC68" s="979">
        <f t="shared" ca="1" si="96"/>
        <v>367214.61716558202</v>
      </c>
      <c r="HD68" s="979">
        <f t="shared" ca="1" si="96"/>
        <v>381899.89930162614</v>
      </c>
      <c r="HE68" s="979">
        <f t="shared" ca="1" si="96"/>
        <v>397172.59272576799</v>
      </c>
      <c r="HF68" s="979">
        <f t="shared" ca="1" si="96"/>
        <v>413056.193889427</v>
      </c>
      <c r="HG68" s="979">
        <f t="shared" ca="1" si="96"/>
        <v>429575.13910208712</v>
      </c>
      <c r="HH68" s="979">
        <f t="shared" ca="1" si="96"/>
        <v>446754.84212561359</v>
      </c>
      <c r="HI68" s="979">
        <f t="shared" ca="1" si="96"/>
        <v>464621.73327235156</v>
      </c>
      <c r="HJ68" s="979">
        <f t="shared" ca="1" si="96"/>
        <v>483203.30006714514</v>
      </c>
      <c r="HK68" s="979">
        <f t="shared" ca="1" si="96"/>
        <v>502528.12953582243</v>
      </c>
      <c r="HL68" s="979">
        <f t="shared" ca="1" si="96"/>
        <v>522625.95218526362</v>
      </c>
      <c r="HM68" s="979">
        <f t="shared" ca="1" si="96"/>
        <v>543527.68774263328</v>
      </c>
      <c r="HN68" s="979">
        <f t="shared" ca="1" si="96"/>
        <v>565265.49272415135</v>
      </c>
      <c r="HO68" s="979">
        <f t="shared" ca="1" si="96"/>
        <v>587872.80990672996</v>
      </c>
      <c r="HP68" s="979">
        <f t="shared" ca="1" si="96"/>
        <v>611384.41977833561</v>
      </c>
      <c r="HQ68" s="979">
        <f t="shared" ca="1" si="96"/>
        <v>635836.4940464627</v>
      </c>
      <c r="HR68" s="979">
        <f t="shared" ca="1" si="96"/>
        <v>661266.65128691285</v>
      </c>
      <c r="HS68" s="979">
        <f t="shared" ca="1" si="96"/>
        <v>687714.01481850795</v>
      </c>
      <c r="HT68" s="979">
        <f t="shared" ca="1" si="96"/>
        <v>715219.27289285301</v>
      </c>
      <c r="HU68" s="979">
        <f t="shared" ca="1" si="96"/>
        <v>743824.74129157211</v>
      </c>
      <c r="HV68" s="979">
        <f t="shared" ca="1" si="96"/>
        <v>773574.42842761939</v>
      </c>
      <c r="HW68" s="979">
        <f t="shared" ca="1" si="96"/>
        <v>804514.10305041005</v>
      </c>
      <c r="HX68" s="979">
        <f t="shared" ca="1" si="96"/>
        <v>836691.36465937179</v>
      </c>
      <c r="HY68" s="979">
        <f t="shared" ca="1" si="96"/>
        <v>870155.71673391433</v>
      </c>
      <c r="HZ68" s="979">
        <f t="shared" ca="1" si="96"/>
        <v>904958.64289259119</v>
      </c>
      <c r="IA68" s="979">
        <f t="shared" ca="1" si="96"/>
        <v>941153.68609873764</v>
      </c>
      <c r="IB68" s="979">
        <f t="shared" ca="1" si="96"/>
        <v>978796.53103421582</v>
      </c>
      <c r="IC68" s="979">
        <f t="shared" ca="1" si="96"/>
        <v>1017945.0897681434</v>
      </c>
      <c r="ID68" s="979">
        <f t="shared" ca="1" si="96"/>
        <v>1058659.5908524073</v>
      </c>
      <c r="IE68" s="979">
        <f t="shared" ca="1" si="96"/>
        <v>1101002.6719810306</v>
      </c>
      <c r="IF68" s="979">
        <f t="shared" ca="1" si="96"/>
        <v>1145039.4763557054</v>
      </c>
      <c r="IG68" s="979">
        <f t="shared" ca="1" si="96"/>
        <v>1190837.7529062559</v>
      </c>
      <c r="IH68" s="979">
        <f t="shared" ca="1" si="96"/>
        <v>1238467.9605196747</v>
      </c>
      <c r="II68" s="979">
        <f t="shared" ca="1" si="96"/>
        <v>1288003.3764384454</v>
      </c>
      <c r="IJ68" s="979">
        <f t="shared" ca="1" si="96"/>
        <v>1339520.2089947616</v>
      </c>
      <c r="IK68" s="979">
        <f t="shared" ca="1" si="96"/>
        <v>1393097.7148540812</v>
      </c>
      <c r="IL68" s="979">
        <f t="shared" ca="1" si="96"/>
        <v>1448818.3209485151</v>
      </c>
      <c r="IM68" s="979">
        <f t="shared" ca="1" si="96"/>
        <v>1506767.7512874044</v>
      </c>
      <c r="IN68" s="979">
        <f t="shared" ca="1" si="96"/>
        <v>1567035.1588405389</v>
      </c>
      <c r="IO68" s="979">
        <f t="shared" ca="1" si="96"/>
        <v>1629713.2626964427</v>
      </c>
      <c r="IP68" s="979">
        <f t="shared" ca="1" si="96"/>
        <v>1694898.4907072005</v>
      </c>
      <c r="IQ68" s="979">
        <f t="shared" ca="1" si="96"/>
        <v>1762691.1278389837</v>
      </c>
      <c r="IR68" s="979">
        <f t="shared" ca="1" si="96"/>
        <v>65380664.037959695</v>
      </c>
    </row>
    <row r="69" spans="2:252" s="960" customFormat="1" ht="11.25" customHeight="1">
      <c r="B69" s="958" t="s">
        <v>712</v>
      </c>
      <c r="C69" s="979">
        <f t="shared" ref="C69:BN69" ca="1" si="97">C68/(1+$I$18)^C97</f>
        <v>176.9982542437298</v>
      </c>
      <c r="D69" s="979">
        <f t="shared" ca="1" si="97"/>
        <v>364.2289276774373</v>
      </c>
      <c r="E69" s="979">
        <f t="shared" ca="1" si="97"/>
        <v>141.34397722508498</v>
      </c>
      <c r="F69" s="979">
        <f t="shared" ca="1" si="97"/>
        <v>252.50395736702569</v>
      </c>
      <c r="G69" s="979">
        <f t="shared" ca="1" si="97"/>
        <v>-215.70448774210678</v>
      </c>
      <c r="H69" s="979">
        <f t="shared" ca="1" si="97"/>
        <v>30.765500642285474</v>
      </c>
      <c r="I69" s="979">
        <f t="shared" ca="1" si="97"/>
        <v>36.973509777937537</v>
      </c>
      <c r="J69" s="979">
        <f t="shared" ca="1" si="97"/>
        <v>43.460892417326747</v>
      </c>
      <c r="K69" s="979">
        <f t="shared" ca="1" si="97"/>
        <v>50.181207720325212</v>
      </c>
      <c r="L69" s="979">
        <f t="shared" ca="1" si="97"/>
        <v>57.084826440602669</v>
      </c>
      <c r="M69" s="979">
        <f t="shared" ca="1" si="97"/>
        <v>64.119366111165547</v>
      </c>
      <c r="N69" s="979">
        <f t="shared" ca="1" si="97"/>
        <v>71.230194490314801</v>
      </c>
      <c r="O69" s="979">
        <f t="shared" ca="1" si="97"/>
        <v>78.36099218639356</v>
      </c>
      <c r="P69" s="979">
        <f t="shared" ca="1" si="97"/>
        <v>85.454364293007103</v>
      </c>
      <c r="Q69" s="979">
        <f t="shared" ca="1" si="97"/>
        <v>92.452489917134898</v>
      </c>
      <c r="R69" s="979">
        <f t="shared" ca="1" si="97"/>
        <v>99.297797709004229</v>
      </c>
      <c r="S69" s="979">
        <f t="shared" ca="1" si="97"/>
        <v>105.93365493684203</v>
      </c>
      <c r="T69" s="979">
        <f t="shared" ca="1" si="97"/>
        <v>112.30505731885602</v>
      </c>
      <c r="U69" s="979">
        <f t="shared" ca="1" si="97"/>
        <v>118.35930674825619</v>
      </c>
      <c r="V69" s="979">
        <f t="shared" ca="1" si="97"/>
        <v>117.09210412866175</v>
      </c>
      <c r="W69" s="979">
        <f t="shared" ca="1" si="97"/>
        <v>-25.388035858392733</v>
      </c>
      <c r="X69" s="979">
        <f t="shared" ca="1" si="97"/>
        <v>112.90611949720174</v>
      </c>
      <c r="Y69" s="979">
        <f t="shared" ca="1" si="97"/>
        <v>110.80167383968399</v>
      </c>
      <c r="Z69" s="979">
        <f t="shared" ca="1" si="97"/>
        <v>108.76957726540476</v>
      </c>
      <c r="AA69" s="979">
        <f t="shared" ca="1" si="97"/>
        <v>106.80656627747011</v>
      </c>
      <c r="AB69" s="979">
        <f t="shared" ca="1" si="97"/>
        <v>104.90953762660372</v>
      </c>
      <c r="AC69" s="979">
        <f t="shared" ca="1" si="97"/>
        <v>103.0755400408032</v>
      </c>
      <c r="AD69" s="979">
        <f t="shared" ca="1" si="97"/>
        <v>101.30176640563892</v>
      </c>
      <c r="AE69" s="979">
        <f t="shared" ca="1" si="97"/>
        <v>99.58554636911667</v>
      </c>
      <c r="AF69" s="979">
        <f t="shared" ca="1" si="97"/>
        <v>97.924339346635136</v>
      </c>
      <c r="AG69" s="979">
        <f t="shared" ca="1" si="97"/>
        <v>96.315727903027962</v>
      </c>
      <c r="AH69" s="979">
        <f t="shared" ca="1" si="97"/>
        <v>94.757411490101376</v>
      </c>
      <c r="AI69" s="979">
        <f t="shared" ca="1" si="97"/>
        <v>93.247200519365492</v>
      </c>
      <c r="AJ69" s="979">
        <f t="shared" ca="1" si="97"/>
        <v>91.783010750897986</v>
      </c>
      <c r="AK69" s="979">
        <f t="shared" ca="1" si="97"/>
        <v>90.362857980415711</v>
      </c>
      <c r="AL69" s="979">
        <f t="shared" ca="1" si="97"/>
        <v>88.984853007738892</v>
      </c>
      <c r="AM69" s="979">
        <f t="shared" ca="1" si="97"/>
        <v>87.647196870797771</v>
      </c>
      <c r="AN69" s="979">
        <f t="shared" ca="1" si="97"/>
        <v>86.348176330327917</v>
      </c>
      <c r="AO69" s="979">
        <f t="shared" ca="1" si="97"/>
        <v>85.086159591254116</v>
      </c>
      <c r="AP69" s="979">
        <f t="shared" ca="1" si="97"/>
        <v>83.859592247611559</v>
      </c>
      <c r="AQ69" s="979">
        <f t="shared" ca="1" si="97"/>
        <v>82.666993438631138</v>
      </c>
      <c r="AR69" s="979">
        <f t="shared" ca="1" si="97"/>
        <v>81.506952204344586</v>
      </c>
      <c r="AS69" s="979">
        <f t="shared" ca="1" si="97"/>
        <v>80.378124029756989</v>
      </c>
      <c r="AT69" s="979">
        <f t="shared" ca="1" si="97"/>
        <v>79.27922756726359</v>
      </c>
      <c r="AU69" s="979">
        <f t="shared" ca="1" si="97"/>
        <v>78.209041527608349</v>
      </c>
      <c r="AV69" s="979">
        <f t="shared" ca="1" si="97"/>
        <v>77.166401730240437</v>
      </c>
      <c r="AW69" s="979">
        <f t="shared" ca="1" si="97"/>
        <v>76.150198304435577</v>
      </c>
      <c r="AX69" s="979">
        <f t="shared" ca="1" si="97"/>
        <v>75.159373033088627</v>
      </c>
      <c r="AY69" s="979">
        <f t="shared" ca="1" si="97"/>
        <v>74.192916831501819</v>
      </c>
      <c r="AZ69" s="979">
        <f t="shared" ca="1" si="97"/>
        <v>73.249867353970643</v>
      </c>
      <c r="BA69" s="979">
        <f t="shared" ca="1" si="97"/>
        <v>72.329306721356076</v>
      </c>
      <c r="BB69" s="979">
        <f t="shared" ca="1" si="97"/>
        <v>71.430359363224611</v>
      </c>
      <c r="BC69" s="979">
        <f t="shared" ca="1" si="97"/>
        <v>70.55218996851535</v>
      </c>
      <c r="BD69" s="979">
        <f t="shared" ca="1" si="97"/>
        <v>69.694001538989426</v>
      </c>
      <c r="BE69" s="979">
        <f t="shared" ca="1" si="97"/>
        <v>68.855033540105225</v>
      </c>
      <c r="BF69" s="979">
        <f t="shared" ca="1" si="97"/>
        <v>68.034560144194586</v>
      </c>
      <c r="BG69" s="979">
        <f t="shared" ca="1" si="97"/>
        <v>67.231888561144174</v>
      </c>
      <c r="BH69" s="979">
        <f t="shared" ca="1" si="97"/>
        <v>66.446357452030313</v>
      </c>
      <c r="BI69" s="979">
        <f t="shared" ca="1" si="97"/>
        <v>65.677335421421304</v>
      </c>
      <c r="BJ69" s="979">
        <f t="shared" ca="1" si="97"/>
        <v>64.924219584269807</v>
      </c>
      <c r="BK69" s="979">
        <f t="shared" ca="1" si="97"/>
        <v>64.186434203576738</v>
      </c>
      <c r="BL69" s="979">
        <f t="shared" ca="1" si="97"/>
        <v>63.463429395180832</v>
      </c>
      <c r="BM69" s="979">
        <f t="shared" ca="1" si="97"/>
        <v>62.754679896250053</v>
      </c>
      <c r="BN69" s="979">
        <f t="shared" ca="1" si="97"/>
        <v>62.05968389422447</v>
      </c>
      <c r="BO69" s="979">
        <f t="shared" ref="BO69:DZ69" ca="1" si="98">BO68/(1+$I$18)^BO97</f>
        <v>61.377961913129802</v>
      </c>
      <c r="BP69" s="979">
        <f t="shared" ca="1" si="98"/>
        <v>60.709055754361835</v>
      </c>
      <c r="BQ69" s="979">
        <f t="shared" ca="1" si="98"/>
        <v>60.052527489182459</v>
      </c>
      <c r="BR69" s="979">
        <f t="shared" ca="1" si="98"/>
        <v>59.407958500315516</v>
      </c>
      <c r="BS69" s="979">
        <f t="shared" ca="1" si="98"/>
        <v>58.774948570176527</v>
      </c>
      <c r="BT69" s="979">
        <f t="shared" ca="1" si="98"/>
        <v>58.153115013393595</v>
      </c>
      <c r="BU69" s="979">
        <f t="shared" ca="1" si="98"/>
        <v>57.542091851406042</v>
      </c>
      <c r="BV69" s="979">
        <f t="shared" ca="1" si="98"/>
        <v>56.941529027028395</v>
      </c>
      <c r="BW69" s="979">
        <f t="shared" ca="1" si="98"/>
        <v>56.351091656999714</v>
      </c>
      <c r="BX69" s="979">
        <f t="shared" ca="1" si="98"/>
        <v>55.770459320621733</v>
      </c>
      <c r="BY69" s="979">
        <f t="shared" ca="1" si="98"/>
        <v>55.199325382699904</v>
      </c>
      <c r="BZ69" s="979">
        <f t="shared" ca="1" si="98"/>
        <v>54.637396349083978</v>
      </c>
      <c r="CA69" s="979">
        <f t="shared" ca="1" si="98"/>
        <v>54.084391253202178</v>
      </c>
      <c r="CB69" s="979">
        <f t="shared" ca="1" si="98"/>
        <v>53.540041072050379</v>
      </c>
      <c r="CC69" s="979">
        <f t="shared" ca="1" si="98"/>
        <v>53.004088170208718</v>
      </c>
      <c r="CD69" s="979">
        <f t="shared" ca="1" si="98"/>
        <v>52.476285770475641</v>
      </c>
      <c r="CE69" s="979">
        <f t="shared" ca="1" si="98"/>
        <v>51.956397449846307</v>
      </c>
      <c r="CF69" s="979">
        <f t="shared" ca="1" si="98"/>
        <v>51.444196659570892</v>
      </c>
      <c r="CG69" s="979">
        <f t="shared" ca="1" si="98"/>
        <v>50.93946626812928</v>
      </c>
      <c r="CH69" s="979">
        <f t="shared" ca="1" si="98"/>
        <v>50.441998126000342</v>
      </c>
      <c r="CI69" s="979">
        <f t="shared" ca="1" si="98"/>
        <v>49.951592651158954</v>
      </c>
      <c r="CJ69" s="979">
        <f t="shared" ca="1" si="98"/>
        <v>49.468058434301483</v>
      </c>
      <c r="CK69" s="979">
        <f t="shared" ca="1" si="98"/>
        <v>48.991211862835989</v>
      </c>
      <c r="CL69" s="979">
        <f t="shared" ca="1" si="98"/>
        <v>48.520876762722807</v>
      </c>
      <c r="CM69" s="979">
        <f t="shared" ca="1" si="98"/>
        <v>48.056884057314619</v>
      </c>
      <c r="CN69" s="979">
        <f t="shared" ca="1" si="98"/>
        <v>47.599071442359609</v>
      </c>
      <c r="CO69" s="979">
        <f t="shared" ca="1" si="98"/>
        <v>47.147283076391162</v>
      </c>
      <c r="CP69" s="979">
        <f t="shared" ca="1" si="98"/>
        <v>46.701369285770653</v>
      </c>
      <c r="CQ69" s="979">
        <f t="shared" ca="1" si="98"/>
        <v>46.261186283661175</v>
      </c>
      <c r="CR69" s="979">
        <f t="shared" ca="1" si="98"/>
        <v>45.826595902277489</v>
      </c>
      <c r="CS69" s="979">
        <f t="shared" ca="1" si="98"/>
        <v>45.397465337762483</v>
      </c>
      <c r="CT69" s="979">
        <f t="shared" ca="1" si="98"/>
        <v>44.973666907092948</v>
      </c>
      <c r="CU69" s="979">
        <f t="shared" ca="1" si="98"/>
        <v>44.555077816427229</v>
      </c>
      <c r="CV69" s="979">
        <f t="shared" ca="1" si="98"/>
        <v>44.141579940359989</v>
      </c>
      <c r="CW69" s="979">
        <f t="shared" ca="1" si="98"/>
        <v>43.733059611547269</v>
      </c>
      <c r="CX69" s="979">
        <f t="shared" ca="1" si="98"/>
        <v>43.329407420220946</v>
      </c>
      <c r="CY69" s="979">
        <f t="shared" ca="1" si="98"/>
        <v>42.930518023103865</v>
      </c>
      <c r="CZ69" s="979">
        <f t="shared" ca="1" si="98"/>
        <v>42.536289961294493</v>
      </c>
      <c r="DA69" s="979">
        <f t="shared" ca="1" si="98"/>
        <v>42.146625486679177</v>
      </c>
      <c r="DB69" s="979">
        <f t="shared" ca="1" si="98"/>
        <v>41.761430396471212</v>
      </c>
      <c r="DC69" s="979">
        <f t="shared" ca="1" si="98"/>
        <v>41.380613875494525</v>
      </c>
      <c r="DD69" s="979">
        <f t="shared" ca="1" si="98"/>
        <v>41.004088345832038</v>
      </c>
      <c r="DE69" s="979">
        <f t="shared" ca="1" si="98"/>
        <v>40.631769323503242</v>
      </c>
      <c r="DF69" s="979">
        <f t="shared" ca="1" si="98"/>
        <v>40.263575281821517</v>
      </c>
      <c r="DG69" s="979">
        <f t="shared" ca="1" si="98"/>
        <v>39.899427521131479</v>
      </c>
      <c r="DH69" s="979">
        <f t="shared" ca="1" si="98"/>
        <v>39.539250044604401</v>
      </c>
      <c r="DI69" s="979">
        <f t="shared" ca="1" si="98"/>
        <v>39.182969439825342</v>
      </c>
      <c r="DJ69" s="979">
        <f t="shared" ca="1" si="98"/>
        <v>38.830514765879741</v>
      </c>
      <c r="DK69" s="979">
        <f t="shared" ca="1" si="98"/>
        <v>38.481817445688705</v>
      </c>
      <c r="DL69" s="979">
        <f t="shared" ca="1" si="98"/>
        <v>38.136811163347005</v>
      </c>
      <c r="DM69" s="979">
        <f t="shared" ca="1" si="98"/>
        <v>37.795431766216559</v>
      </c>
      <c r="DN69" s="979">
        <f t="shared" ca="1" si="98"/>
        <v>37.45761717156406</v>
      </c>
      <c r="DO69" s="979">
        <f t="shared" ca="1" si="98"/>
        <v>37.123307277517313</v>
      </c>
      <c r="DP69" s="979">
        <f t="shared" ca="1" si="98"/>
        <v>36.792443878142606</v>
      </c>
      <c r="DQ69" s="979">
        <f t="shared" ca="1" si="98"/>
        <v>36.464970582449119</v>
      </c>
      <c r="DR69" s="979">
        <f t="shared" ca="1" si="98"/>
        <v>36.140832737130808</v>
      </c>
      <c r="DS69" s="979">
        <f t="shared" ca="1" si="98"/>
        <v>35.819977352872428</v>
      </c>
      <c r="DT69" s="979">
        <f t="shared" ca="1" si="98"/>
        <v>35.502353034055851</v>
      </c>
      <c r="DU69" s="979">
        <f t="shared" ca="1" si="98"/>
        <v>35.187909911698355</v>
      </c>
      <c r="DV69" s="979">
        <f t="shared" ca="1" si="98"/>
        <v>34.876599579477663</v>
      </c>
      <c r="DW69" s="979">
        <f t="shared" ca="1" si="98"/>
        <v>34.568375032698142</v>
      </c>
      <c r="DX69" s="979">
        <f t="shared" ca="1" si="98"/>
        <v>34.263190610055034</v>
      </c>
      <c r="DY69" s="979">
        <f t="shared" ca="1" si="98"/>
        <v>33.961001938068804</v>
      </c>
      <c r="DZ69" s="979">
        <f t="shared" ca="1" si="98"/>
        <v>33.66176587807179</v>
      </c>
      <c r="EA69" s="979">
        <f t="shared" ref="EA69:GL69" ca="1" si="99">EA68/(1+$I$18)^EA97</f>
        <v>33.365440475607414</v>
      </c>
      <c r="EB69" s="979">
        <f t="shared" ca="1" si="99"/>
        <v>33.07198491215334</v>
      </c>
      <c r="EC69" s="979">
        <f t="shared" ca="1" si="99"/>
        <v>32.781359459039898</v>
      </c>
      <c r="ED69" s="979">
        <f t="shared" ca="1" si="99"/>
        <v>32.493525433473557</v>
      </c>
      <c r="EE69" s="979">
        <f t="shared" ca="1" si="99"/>
        <v>32.208445156559875</v>
      </c>
      <c r="EF69" s="979">
        <f t="shared" ca="1" si="99"/>
        <v>31.926081913234988</v>
      </c>
      <c r="EG69" s="979">
        <f t="shared" ca="1" si="99"/>
        <v>31.646399914019</v>
      </c>
      <c r="EH69" s="979">
        <f t="shared" ca="1" si="99"/>
        <v>31.369364258496717</v>
      </c>
      <c r="EI69" s="979">
        <f t="shared" ca="1" si="99"/>
        <v>31.094940900462625</v>
      </c>
      <c r="EJ69" s="979">
        <f t="shared" ca="1" si="99"/>
        <v>30.823096614628401</v>
      </c>
      <c r="EK69" s="979">
        <f t="shared" ca="1" si="99"/>
        <v>30.553798964844212</v>
      </c>
      <c r="EL69" s="979">
        <f t="shared" ca="1" si="99"/>
        <v>30.287016273745458</v>
      </c>
      <c r="EM69" s="979">
        <f t="shared" ca="1" si="99"/>
        <v>30.022717593767197</v>
      </c>
      <c r="EN69" s="979">
        <f t="shared" ca="1" si="99"/>
        <v>29.760872679461517</v>
      </c>
      <c r="EO69" s="979">
        <f t="shared" ca="1" si="99"/>
        <v>29.501451961054382</v>
      </c>
      <c r="EP69" s="979">
        <f t="shared" ca="1" si="99"/>
        <v>29.24442651918589</v>
      </c>
      <c r="EQ69" s="979">
        <f t="shared" ca="1" si="99"/>
        <v>28.989768060781639</v>
      </c>
      <c r="ER69" s="979">
        <f t="shared" ca="1" si="99"/>
        <v>28.737448895995499</v>
      </c>
      <c r="ES69" s="979">
        <f t="shared" ca="1" si="99"/>
        <v>28.487441916182124</v>
      </c>
      <c r="ET69" s="979">
        <f t="shared" ca="1" si="99"/>
        <v>28.239720572847325</v>
      </c>
      <c r="EU69" s="979">
        <f t="shared" ca="1" si="99"/>
        <v>27.994258857527868</v>
      </c>
      <c r="EV69" s="979">
        <f t="shared" ca="1" si="99"/>
        <v>27.751031282564874</v>
      </c>
      <c r="EW69" s="979">
        <f t="shared" ca="1" si="99"/>
        <v>27.510012862724142</v>
      </c>
      <c r="EX69" s="979">
        <f t="shared" ca="1" si="99"/>
        <v>27.27117909762309</v>
      </c>
      <c r="EY69" s="979">
        <f t="shared" ca="1" si="99"/>
        <v>27.03450595493312</v>
      </c>
      <c r="EZ69" s="979">
        <f t="shared" ca="1" si="99"/>
        <v>26.799969854315872</v>
      </c>
      <c r="FA69" s="979">
        <f t="shared" ca="1" si="99"/>
        <v>26.567547652058273</v>
      </c>
      <c r="FB69" s="979">
        <f t="shared" ca="1" si="99"/>
        <v>26.337216626384066</v>
      </c>
      <c r="FC69" s="979">
        <f t="shared" ca="1" si="99"/>
        <v>26.108954463394419</v>
      </c>
      <c r="FD69" s="979">
        <f t="shared" ca="1" si="99"/>
        <v>25.88273924362619</v>
      </c>
      <c r="FE69" s="979">
        <f t="shared" ca="1" si="99"/>
        <v>25.658549429184148</v>
      </c>
      <c r="FF69" s="979">
        <f t="shared" ca="1" si="99"/>
        <v>25.436363851431622</v>
      </c>
      <c r="FG69" s="979">
        <f t="shared" ca="1" si="99"/>
        <v>25.216161699205937</v>
      </c>
      <c r="FH69" s="979">
        <f t="shared" ca="1" si="99"/>
        <v>24.997922507542992</v>
      </c>
      <c r="FI69" s="979">
        <f t="shared" ca="1" si="99"/>
        <v>24.781626146875535</v>
      </c>
      <c r="FJ69" s="979">
        <f t="shared" ca="1" si="99"/>
        <v>24.56725281269701</v>
      </c>
      <c r="FK69" s="979">
        <f t="shared" ca="1" si="99"/>
        <v>24.354783015659656</v>
      </c>
      <c r="FL69" s="979">
        <f t="shared" ca="1" si="99"/>
        <v>24.144197572090384</v>
      </c>
      <c r="FM69" s="979">
        <f t="shared" ca="1" si="99"/>
        <v>23.93547759490464</v>
      </c>
      <c r="FN69" s="979">
        <f t="shared" ca="1" si="99"/>
        <v>23.728604484905016</v>
      </c>
      <c r="FO69" s="979">
        <f t="shared" ca="1" si="99"/>
        <v>23.523559922433144</v>
      </c>
      <c r="FP69" s="979">
        <f t="shared" ca="1" si="99"/>
        <v>23.320325859378578</v>
      </c>
      <c r="FQ69" s="979">
        <f t="shared" ca="1" si="99"/>
        <v>23.118884511509943</v>
      </c>
      <c r="FR69" s="979">
        <f t="shared" ca="1" si="99"/>
        <v>22.919218351125938</v>
      </c>
      <c r="FS69" s="979">
        <f t="shared" ca="1" si="99"/>
        <v>22.72131010000501</v>
      </c>
      <c r="FT69" s="979">
        <f t="shared" ca="1" si="99"/>
        <v>22.525142722641647</v>
      </c>
      <c r="FU69" s="979">
        <f t="shared" ca="1" si="99"/>
        <v>22.330699419760428</v>
      </c>
      <c r="FV69" s="979">
        <f t="shared" ca="1" si="99"/>
        <v>22.13796362208646</v>
      </c>
      <c r="FW69" s="979">
        <f t="shared" ca="1" si="99"/>
        <v>21.946918984370395</v>
      </c>
      <c r="FX69" s="979">
        <f t="shared" ca="1" si="99"/>
        <v>21.757549379648093</v>
      </c>
      <c r="FY69" s="979">
        <f t="shared" ca="1" si="99"/>
        <v>21.56983889373128</v>
      </c>
      <c r="FZ69" s="979">
        <f t="shared" ca="1" si="99"/>
        <v>21.383771819911313</v>
      </c>
      <c r="GA69" s="979">
        <f t="shared" ca="1" si="99"/>
        <v>21.199332653875818</v>
      </c>
      <c r="GB69" s="979">
        <f t="shared" ca="1" si="99"/>
        <v>21.016506088818442</v>
      </c>
      <c r="GC69" s="979">
        <f t="shared" ca="1" si="99"/>
        <v>20.835277010740246</v>
      </c>
      <c r="GD69" s="979">
        <f t="shared" ca="1" si="99"/>
        <v>20.655630493932861</v>
      </c>
      <c r="GE69" s="979">
        <f t="shared" ca="1" si="99"/>
        <v>20.477551796631516</v>
      </c>
      <c r="GF69" s="979">
        <f t="shared" ca="1" si="99"/>
        <v>20.3010263568341</v>
      </c>
      <c r="GG69" s="979">
        <f t="shared" ca="1" si="99"/>
        <v>20.126039788279233</v>
      </c>
      <c r="GH69" s="979">
        <f t="shared" ca="1" si="99"/>
        <v>19.952577876571407</v>
      </c>
      <c r="GI69" s="979">
        <f t="shared" ca="1" si="99"/>
        <v>19.780626575454381</v>
      </c>
      <c r="GJ69" s="979">
        <f t="shared" ca="1" si="99"/>
        <v>19.610172003216931</v>
      </c>
      <c r="GK69" s="979">
        <f t="shared" ca="1" si="99"/>
        <v>19.441200439232986</v>
      </c>
      <c r="GL69" s="979">
        <f t="shared" ca="1" si="99"/>
        <v>19.273698320627275</v>
      </c>
      <c r="GM69" s="979">
        <f t="shared" ref="GM69:IR69" ca="1" si="100">GM68/(1+$I$18)^GM97</f>
        <v>19.10765223905889</v>
      </c>
      <c r="GN69" s="979">
        <f t="shared" ca="1" si="100"/>
        <v>18.943048937620649</v>
      </c>
      <c r="GO69" s="979">
        <f t="shared" ca="1" si="100"/>
        <v>18.779875307847664</v>
      </c>
      <c r="GP69" s="979">
        <f t="shared" ca="1" si="100"/>
        <v>18.618118386831391</v>
      </c>
      <c r="GQ69" s="979">
        <f t="shared" ca="1" si="100"/>
        <v>18.457765354432496</v>
      </c>
      <c r="GR69" s="979">
        <f t="shared" ca="1" si="100"/>
        <v>18.298803530589176</v>
      </c>
      <c r="GS69" s="979">
        <f t="shared" ca="1" si="100"/>
        <v>18.141220372719765</v>
      </c>
      <c r="GT69" s="979">
        <f t="shared" ca="1" si="100"/>
        <v>17.985003473209527</v>
      </c>
      <c r="GU69" s="979">
        <f t="shared" ca="1" si="100"/>
        <v>17.830140556982442</v>
      </c>
      <c r="GV69" s="979">
        <f t="shared" ca="1" si="100"/>
        <v>17.676619479154876</v>
      </c>
      <c r="GW69" s="979">
        <f t="shared" ca="1" si="100"/>
        <v>17.524428222762324</v>
      </c>
      <c r="GX69" s="979">
        <f t="shared" ca="1" si="100"/>
        <v>17.373554896563562</v>
      </c>
      <c r="GY69" s="979">
        <f t="shared" ca="1" si="100"/>
        <v>17.223987732910807</v>
      </c>
      <c r="GZ69" s="979">
        <f t="shared" ca="1" si="100"/>
        <v>17.075715085691623</v>
      </c>
      <c r="HA69" s="979">
        <f t="shared" ca="1" si="100"/>
        <v>16.928725428330772</v>
      </c>
      <c r="HB69" s="979">
        <f t="shared" ca="1" si="100"/>
        <v>16.783007351857556</v>
      </c>
      <c r="HC69" s="979">
        <f t="shared" ca="1" si="100"/>
        <v>16.638549563028363</v>
      </c>
      <c r="HD69" s="979">
        <f t="shared" ca="1" si="100"/>
        <v>16.495340882509744</v>
      </c>
      <c r="HE69" s="979">
        <f t="shared" ca="1" si="100"/>
        <v>16.353370243112206</v>
      </c>
      <c r="HF69" s="979">
        <f t="shared" ca="1" si="100"/>
        <v>16.212626688077776</v>
      </c>
      <c r="HG69" s="979">
        <f t="shared" ca="1" si="100"/>
        <v>16.073099369416965</v>
      </c>
      <c r="HH69" s="979">
        <f t="shared" ca="1" si="100"/>
        <v>15.934777546292947</v>
      </c>
      <c r="HI69" s="979">
        <f t="shared" ca="1" si="100"/>
        <v>15.79765058345191</v>
      </c>
      <c r="HJ69" s="979">
        <f t="shared" ca="1" si="100"/>
        <v>15.661707949696947</v>
      </c>
      <c r="HK69" s="979">
        <f t="shared" ca="1" si="100"/>
        <v>15.526939216403564</v>
      </c>
      <c r="HL69" s="979">
        <f t="shared" ca="1" si="100"/>
        <v>15.393334056076892</v>
      </c>
      <c r="HM69" s="979">
        <f t="shared" ca="1" si="100"/>
        <v>15.260882240946236</v>
      </c>
      <c r="HN69" s="979">
        <f t="shared" ca="1" si="100"/>
        <v>15.129573641596041</v>
      </c>
      <c r="HO69" s="979">
        <f t="shared" ca="1" si="100"/>
        <v>14.999398225635616</v>
      </c>
      <c r="HP69" s="979">
        <f t="shared" ca="1" si="100"/>
        <v>14.870346056399216</v>
      </c>
      <c r="HQ69" s="979">
        <f t="shared" ca="1" si="100"/>
        <v>14.742407291681596</v>
      </c>
      <c r="HR69" s="979">
        <f t="shared" ca="1" si="100"/>
        <v>14.615572182504192</v>
      </c>
      <c r="HS69" s="979">
        <f t="shared" ca="1" si="100"/>
        <v>14.489831071911253</v>
      </c>
      <c r="HT69" s="979">
        <f t="shared" ca="1" si="100"/>
        <v>14.365174393796437</v>
      </c>
      <c r="HU69" s="979">
        <f t="shared" ca="1" si="100"/>
        <v>14.241592671754946</v>
      </c>
      <c r="HV69" s="979">
        <f t="shared" ca="1" si="100"/>
        <v>14.119076517966326</v>
      </c>
      <c r="HW69" s="979">
        <f t="shared" ca="1" si="100"/>
        <v>13.997616632098605</v>
      </c>
      <c r="HX69" s="979">
        <f t="shared" ca="1" si="100"/>
        <v>13.877203800241466</v>
      </c>
      <c r="HY69" s="979">
        <f t="shared" ca="1" si="100"/>
        <v>13.757828893861019</v>
      </c>
      <c r="HZ69" s="979">
        <f t="shared" ca="1" si="100"/>
        <v>13.639482868777678</v>
      </c>
      <c r="IA69" s="979">
        <f t="shared" ca="1" si="100"/>
        <v>13.522156764167979</v>
      </c>
      <c r="IB69" s="979">
        <f t="shared" ca="1" si="100"/>
        <v>13.405841701585908</v>
      </c>
      <c r="IC69" s="979">
        <f t="shared" ca="1" si="100"/>
        <v>13.290528884005445</v>
      </c>
      <c r="ID69" s="979">
        <f t="shared" ca="1" si="100"/>
        <v>13.176209594883463</v>
      </c>
      <c r="IE69" s="979">
        <f t="shared" ca="1" si="100"/>
        <v>13.062875197242095</v>
      </c>
      <c r="IF69" s="979">
        <f t="shared" ca="1" si="100"/>
        <v>12.950517132767033</v>
      </c>
      <c r="IG69" s="979">
        <f t="shared" ca="1" si="100"/>
        <v>12.839126920927436</v>
      </c>
      <c r="IH69" s="979">
        <f t="shared" ca="1" si="100"/>
        <v>12.728696158110038</v>
      </c>
      <c r="II69" s="979">
        <f t="shared" ca="1" si="100"/>
        <v>12.619216516771354</v>
      </c>
      <c r="IJ69" s="979">
        <f t="shared" ca="1" si="100"/>
        <v>12.510679744605461</v>
      </c>
      <c r="IK69" s="979">
        <f t="shared" ca="1" si="100"/>
        <v>12.403077663726933</v>
      </c>
      <c r="IL69" s="979">
        <f t="shared" ca="1" si="100"/>
        <v>12.296402169869655</v>
      </c>
      <c r="IM69" s="979">
        <f t="shared" ca="1" si="100"/>
        <v>12.190645231598733</v>
      </c>
      <c r="IN69" s="979">
        <f t="shared" ca="1" si="100"/>
        <v>12.085798889538241</v>
      </c>
      <c r="IO69" s="979">
        <f t="shared" ca="1" si="100"/>
        <v>11.981855255610364</v>
      </c>
      <c r="IP69" s="979">
        <f t="shared" ca="1" si="100"/>
        <v>11.878806512289295</v>
      </c>
      <c r="IQ69" s="979">
        <f t="shared" ca="1" si="100"/>
        <v>11.776644911867049</v>
      </c>
      <c r="IR69" s="979">
        <f t="shared" ca="1" si="100"/>
        <v>416.40020579544654</v>
      </c>
    </row>
    <row r="70" spans="2:252" s="960" customFormat="1" ht="11.25" customHeight="1">
      <c r="B70" s="958" t="s">
        <v>713</v>
      </c>
      <c r="C70" s="1053">
        <f ca="1">C64-($I$18*C26)</f>
        <v>56.41887812697999</v>
      </c>
      <c r="D70" s="1053">
        <f t="shared" ref="D70:BO70" ca="1" si="101">D64-($I$18*C66)</f>
        <v>70.541730413517797</v>
      </c>
      <c r="E70" s="1053">
        <f t="shared" ca="1" si="101"/>
        <v>92.166869262087005</v>
      </c>
      <c r="F70" s="1053">
        <f t="shared" ca="1" si="101"/>
        <v>114.83560677063629</v>
      </c>
      <c r="G70" s="1053">
        <f t="shared" ca="1" si="101"/>
        <v>112.54783076168131</v>
      </c>
      <c r="H70" s="1053">
        <f t="shared" ca="1" si="101"/>
        <v>129.46872162804104</v>
      </c>
      <c r="I70" s="1053">
        <f t="shared" ca="1" si="101"/>
        <v>137.24612234449546</v>
      </c>
      <c r="J70" s="1053">
        <f t="shared" ca="1" si="101"/>
        <v>145.30739106683203</v>
      </c>
      <c r="K70" s="1053">
        <f t="shared" ca="1" si="101"/>
        <v>153.63047259572085</v>
      </c>
      <c r="L70" s="1053">
        <f t="shared" ca="1" si="101"/>
        <v>162.18961259104415</v>
      </c>
      <c r="M70" s="1053">
        <f t="shared" ca="1" si="101"/>
        <v>170.95535094450608</v>
      </c>
      <c r="N70" s="1053">
        <f t="shared" ca="1" si="101"/>
        <v>179.89456466808974</v>
      </c>
      <c r="O70" s="1053">
        <f t="shared" ca="1" si="101"/>
        <v>188.97056321374239</v>
      </c>
      <c r="P70" s="1053">
        <f t="shared" ca="1" si="101"/>
        <v>198.14323839290589</v>
      </c>
      <c r="Q70" s="1053">
        <f t="shared" ca="1" si="101"/>
        <v>207.36927021423355</v>
      </c>
      <c r="R70" s="1053">
        <f t="shared" ca="1" si="101"/>
        <v>216.60238901683726</v>
      </c>
      <c r="S70" s="1053">
        <f t="shared" ca="1" si="101"/>
        <v>225.79369326082639</v>
      </c>
      <c r="T70" s="1053">
        <f t="shared" ca="1" si="101"/>
        <v>234.89202126607893</v>
      </c>
      <c r="U70" s="1053">
        <f t="shared" ca="1" si="101"/>
        <v>243.84437408623484</v>
      </c>
      <c r="V70" s="1053">
        <f t="shared" ca="1" si="101"/>
        <v>252.59638559229865</v>
      </c>
      <c r="W70" s="1053">
        <f t="shared" ca="1" si="101"/>
        <v>258.30448070724179</v>
      </c>
      <c r="X70" s="1053">
        <f t="shared" ca="1" si="101"/>
        <v>272.26472632924083</v>
      </c>
      <c r="Y70" s="1053">
        <f t="shared" ca="1" si="101"/>
        <v>278.95870267537299</v>
      </c>
      <c r="Z70" s="1053">
        <f t="shared" ca="1" si="101"/>
        <v>285.9212214751534</v>
      </c>
      <c r="AA70" s="1053">
        <f t="shared" ca="1" si="101"/>
        <v>293.16299454084498</v>
      </c>
      <c r="AB70" s="1053">
        <f t="shared" ca="1" si="101"/>
        <v>300.69516327958945</v>
      </c>
      <c r="AC70" s="1053">
        <f t="shared" ca="1" si="101"/>
        <v>308.52931583701843</v>
      </c>
      <c r="AD70" s="1053">
        <f t="shared" ca="1" si="101"/>
        <v>316.67750492782625</v>
      </c>
      <c r="AE70" s="1053">
        <f t="shared" ca="1" si="101"/>
        <v>325.1522663807728</v>
      </c>
      <c r="AF70" s="1053">
        <f t="shared" ca="1" si="101"/>
        <v>333.96663842667942</v>
      </c>
      <c r="AG70" s="1053">
        <f t="shared" ca="1" si="101"/>
        <v>343.13418175911761</v>
      </c>
      <c r="AH70" s="1053">
        <f t="shared" ca="1" si="101"/>
        <v>352.66900039868267</v>
      </c>
      <c r="AI70" s="1053">
        <f t="shared" ca="1" si="101"/>
        <v>362.58576339296815</v>
      </c>
      <c r="AJ70" s="1053">
        <f t="shared" ca="1" si="101"/>
        <v>372.89972738565382</v>
      </c>
      <c r="AK70" s="1053">
        <f t="shared" ca="1" si="101"/>
        <v>383.62676008943617</v>
      </c>
      <c r="AL70" s="1053">
        <f t="shared" ca="1" si="101"/>
        <v>394.78336469894089</v>
      </c>
      <c r="AM70" s="1053">
        <f t="shared" ca="1" si="101"/>
        <v>406.38670528118155</v>
      </c>
      <c r="AN70" s="1053">
        <f t="shared" ca="1" si="101"/>
        <v>418.4546331826424</v>
      </c>
      <c r="AO70" s="1053">
        <f t="shared" ca="1" si="101"/>
        <v>431.00571449362417</v>
      </c>
      <c r="AP70" s="1053">
        <f t="shared" ca="1" si="101"/>
        <v>444.05925861211438</v>
      </c>
      <c r="AQ70" s="1053">
        <f t="shared" ca="1" si="101"/>
        <v>457.63534795113412</v>
      </c>
      <c r="AR70" s="1053">
        <f t="shared" ca="1" si="101"/>
        <v>471.7548688352756</v>
      </c>
      <c r="AS70" s="1053">
        <f t="shared" ca="1" si="101"/>
        <v>486.43954363396972</v>
      </c>
      <c r="AT70" s="1053">
        <f t="shared" ca="1" si="101"/>
        <v>501.71196418092495</v>
      </c>
      <c r="AU70" s="1053">
        <f t="shared" ca="1" si="101"/>
        <v>517.5956265311579</v>
      </c>
      <c r="AV70" s="1053">
        <f t="shared" ca="1" si="101"/>
        <v>534.11496710909501</v>
      </c>
      <c r="AW70" s="1053">
        <f t="shared" ca="1" si="101"/>
        <v>551.29540030335784</v>
      </c>
      <c r="AX70" s="1053">
        <f t="shared" ca="1" si="101"/>
        <v>569.16335756608032</v>
      </c>
      <c r="AY70" s="1053">
        <f t="shared" ca="1" si="101"/>
        <v>587.74632807690682</v>
      </c>
      <c r="AZ70" s="1053">
        <f t="shared" ca="1" si="101"/>
        <v>607.07290103424157</v>
      </c>
      <c r="BA70" s="1053">
        <f t="shared" ca="1" si="101"/>
        <v>627.17280963880989</v>
      </c>
      <c r="BB70" s="1053">
        <f t="shared" ca="1" si="101"/>
        <v>648.0769768372038</v>
      </c>
      <c r="BC70" s="1053">
        <f t="shared" ca="1" si="101"/>
        <v>669.81756289578971</v>
      </c>
      <c r="BD70" s="1053">
        <f t="shared" ca="1" si="101"/>
        <v>692.42801487816564</v>
      </c>
      <c r="BE70" s="1053">
        <f t="shared" ca="1" si="101"/>
        <v>715.94311810229578</v>
      </c>
      <c r="BF70" s="1053">
        <f t="shared" ca="1" si="101"/>
        <v>740.39904965648498</v>
      </c>
      <c r="BG70" s="1053">
        <f t="shared" ca="1" si="101"/>
        <v>765.83343405652386</v>
      </c>
      <c r="BH70" s="1053">
        <f t="shared" ca="1" si="101"/>
        <v>792.28540112964151</v>
      </c>
      <c r="BI70" s="1053">
        <f t="shared" ca="1" si="101"/>
        <v>819.79564621430995</v>
      </c>
      <c r="BJ70" s="1053">
        <f t="shared" ca="1" si="101"/>
        <v>848.40649276851491</v>
      </c>
      <c r="BK70" s="1053">
        <f t="shared" ca="1" si="101"/>
        <v>878.16195748282917</v>
      </c>
      <c r="BL70" s="1053">
        <f t="shared" ca="1" si="101"/>
        <v>909.10781799844563</v>
      </c>
      <c r="BM70" s="1053">
        <f t="shared" ca="1" si="101"/>
        <v>941.2916833343595</v>
      </c>
      <c r="BN70" s="1053">
        <f t="shared" ca="1" si="101"/>
        <v>974.76306713205622</v>
      </c>
      <c r="BO70" s="1053">
        <f t="shared" ca="1" si="101"/>
        <v>1009.5734638303738</v>
      </c>
      <c r="BP70" s="1053">
        <f t="shared" ref="BP70:EA70" ca="1" si="102">BP64-($I$18*BO66)</f>
        <v>1045.776427887753</v>
      </c>
      <c r="BQ70" s="1053">
        <f t="shared" ca="1" si="102"/>
        <v>1083.4276561737338</v>
      </c>
      <c r="BR70" s="1053">
        <f t="shared" ca="1" si="102"/>
        <v>1122.5850736564753</v>
      </c>
      <c r="BS70" s="1053">
        <f t="shared" ca="1" si="102"/>
        <v>1163.308922518112</v>
      </c>
      <c r="BT70" s="1053">
        <f t="shared" ca="1" si="102"/>
        <v>1205.6618548350516</v>
      </c>
      <c r="BU70" s="1053">
        <f t="shared" ca="1" si="102"/>
        <v>1249.7090289658058</v>
      </c>
      <c r="BV70" s="1053">
        <f t="shared" ca="1" si="102"/>
        <v>1295.5182097946304</v>
      </c>
      <c r="BW70" s="1053">
        <f t="shared" ca="1" si="102"/>
        <v>1343.1598729852071</v>
      </c>
      <c r="BX70" s="1053">
        <f t="shared" ca="1" si="102"/>
        <v>1392.707313404756</v>
      </c>
      <c r="BY70" s="1053">
        <f t="shared" ca="1" si="102"/>
        <v>1444.2367578853791</v>
      </c>
      <c r="BZ70" s="1053">
        <f t="shared" ca="1" si="102"/>
        <v>1497.8274824961168</v>
      </c>
      <c r="CA70" s="1053">
        <f t="shared" ca="1" si="102"/>
        <v>1553.5619345061486</v>
      </c>
      <c r="CB70" s="1053">
        <f t="shared" ca="1" si="102"/>
        <v>1611.525859226736</v>
      </c>
      <c r="CC70" s="1053">
        <f t="shared" ca="1" si="102"/>
        <v>1671.8084319271129</v>
      </c>
      <c r="CD70" s="1053">
        <f t="shared" ca="1" si="102"/>
        <v>1734.5023950271971</v>
      </c>
      <c r="CE70" s="1053">
        <f t="shared" ca="1" si="102"/>
        <v>1799.7042007782538</v>
      </c>
      <c r="CF70" s="1053">
        <f t="shared" ca="1" si="102"/>
        <v>1867.5141596509693</v>
      </c>
      <c r="CG70" s="1053">
        <f t="shared" ca="1" si="102"/>
        <v>1938.0365946592619</v>
      </c>
      <c r="CH70" s="1053">
        <f t="shared" ca="1" si="102"/>
        <v>2011.3800018572283</v>
      </c>
      <c r="CI70" s="1053">
        <f t="shared" ca="1" si="102"/>
        <v>2087.6572172561546</v>
      </c>
      <c r="CJ70" s="1053">
        <f t="shared" ca="1" si="102"/>
        <v>2166.9855904183805</v>
      </c>
      <c r="CK70" s="1053">
        <f t="shared" ca="1" si="102"/>
        <v>2249.4871649950937</v>
      </c>
      <c r="CL70" s="1053">
        <f t="shared" ca="1" si="102"/>
        <v>2335.2888664857919</v>
      </c>
      <c r="CM70" s="1053">
        <f t="shared" ca="1" si="102"/>
        <v>2424.5226975082842</v>
      </c>
      <c r="CN70" s="1053">
        <f t="shared" ca="1" si="102"/>
        <v>2517.3259408796457</v>
      </c>
      <c r="CO70" s="1053">
        <f t="shared" ca="1" si="102"/>
        <v>2613.8413708205517</v>
      </c>
      <c r="CP70" s="1053">
        <f t="shared" ca="1" si="102"/>
        <v>2714.2174726079302</v>
      </c>
      <c r="CQ70" s="1053">
        <f t="shared" ca="1" si="102"/>
        <v>2818.6086710138416</v>
      </c>
      <c r="CR70" s="1053">
        <f t="shared" ca="1" si="102"/>
        <v>2927.1755678820618</v>
      </c>
      <c r="CS70" s="1053">
        <f t="shared" ca="1" si="102"/>
        <v>3040.085189207839</v>
      </c>
      <c r="CT70" s="1053">
        <f t="shared" ca="1" si="102"/>
        <v>3157.5112421009626</v>
      </c>
      <c r="CU70" s="1053">
        <f t="shared" ca="1" si="102"/>
        <v>3279.6343820274706</v>
      </c>
      <c r="CV70" s="1053">
        <f t="shared" ca="1" si="102"/>
        <v>3406.6424907411465</v>
      </c>
      <c r="CW70" s="1053">
        <f t="shared" ca="1" si="102"/>
        <v>3538.7309653323564</v>
      </c>
      <c r="CX70" s="1053">
        <f t="shared" ca="1" si="102"/>
        <v>3676.1030188389741</v>
      </c>
      <c r="CY70" s="1053">
        <f t="shared" ca="1" si="102"/>
        <v>3818.9699928818045</v>
      </c>
      <c r="CZ70" s="1053">
        <f t="shared" ca="1" si="102"/>
        <v>3967.5516828055606</v>
      </c>
      <c r="DA70" s="1053">
        <f t="shared" ca="1" si="102"/>
        <v>4122.0766758255377</v>
      </c>
      <c r="DB70" s="1053">
        <f t="shared" ca="1" si="102"/>
        <v>4282.7827027002459</v>
      </c>
      <c r="DC70" s="1053">
        <f t="shared" ca="1" si="102"/>
        <v>4449.9170034710569</v>
      </c>
      <c r="DD70" s="1053">
        <f t="shared" ca="1" si="102"/>
        <v>4623.7367078314746</v>
      </c>
      <c r="DE70" s="1053">
        <f t="shared" ca="1" si="102"/>
        <v>4804.5092307113082</v>
      </c>
      <c r="DF70" s="1053">
        <f t="shared" ca="1" si="102"/>
        <v>4992.5126836842283</v>
      </c>
      <c r="DG70" s="1053">
        <f t="shared" ca="1" si="102"/>
        <v>5188.0363028317497</v>
      </c>
      <c r="DH70" s="1053">
        <f t="shared" ca="1" si="102"/>
        <v>5391.3808937217927</v>
      </c>
      <c r="DI70" s="1053">
        <f t="shared" ca="1" si="102"/>
        <v>5602.8592941865118</v>
      </c>
      <c r="DJ70" s="1053">
        <f t="shared" ca="1" si="102"/>
        <v>5822.7968556112464</v>
      </c>
      <c r="DK70" s="1053">
        <f t="shared" ca="1" si="102"/>
        <v>6051.5319434751182</v>
      </c>
      <c r="DL70" s="1053">
        <f t="shared" ca="1" si="102"/>
        <v>6289.4164579133103</v>
      </c>
      <c r="DM70" s="1053">
        <f t="shared" ca="1" si="102"/>
        <v>6536.8163751018892</v>
      </c>
      <c r="DN70" s="1053">
        <f t="shared" ca="1" si="102"/>
        <v>6794.112310298071</v>
      </c>
      <c r="DO70" s="1053">
        <f t="shared" ca="1" si="102"/>
        <v>7061.7001034021669</v>
      </c>
      <c r="DP70" s="1053">
        <f t="shared" ca="1" si="102"/>
        <v>7339.9914279420227</v>
      </c>
      <c r="DQ70" s="1053">
        <f t="shared" ca="1" si="102"/>
        <v>7629.4144244169474</v>
      </c>
      <c r="DR70" s="1053">
        <f t="shared" ca="1" si="102"/>
        <v>7930.4143589753658</v>
      </c>
      <c r="DS70" s="1053">
        <f t="shared" ca="1" si="102"/>
        <v>8243.4543084396682</v>
      </c>
      <c r="DT70" s="1053">
        <f t="shared" ca="1" si="102"/>
        <v>8569.0158727321141</v>
      </c>
      <c r="DU70" s="1053">
        <f t="shared" ca="1" si="102"/>
        <v>8907.5999157977785</v>
      </c>
      <c r="DV70" s="1053">
        <f t="shared" ca="1" si="102"/>
        <v>9259.7273361644475</v>
      </c>
      <c r="DW70" s="1053">
        <f t="shared" ca="1" si="102"/>
        <v>9625.9398683250001</v>
      </c>
      <c r="DX70" s="1053">
        <f t="shared" ca="1" si="102"/>
        <v>10006.800916175071</v>
      </c>
      <c r="DY70" s="1053">
        <f t="shared" ca="1" si="102"/>
        <v>10402.896419788274</v>
      </c>
      <c r="DZ70" s="1053">
        <f t="shared" ca="1" si="102"/>
        <v>10814.835756862482</v>
      </c>
      <c r="EA70" s="1053">
        <f t="shared" ca="1" si="102"/>
        <v>11243.252680223959</v>
      </c>
      <c r="EB70" s="1053">
        <f t="shared" ref="EB70:GM70" ca="1" si="103">EB64-($I$18*EA66)</f>
        <v>11688.806292831719</v>
      </c>
      <c r="EC70" s="1053">
        <f t="shared" ca="1" si="103"/>
        <v>12152.182061782096</v>
      </c>
      <c r="ED70" s="1053">
        <f t="shared" ca="1" si="103"/>
        <v>12634.092872873462</v>
      </c>
      <c r="EE70" s="1053">
        <f t="shared" ca="1" si="103"/>
        <v>13135.280127353657</v>
      </c>
      <c r="EF70" s="1053">
        <f t="shared" ca="1" si="103"/>
        <v>13656.514882537267</v>
      </c>
      <c r="EG70" s="1053">
        <f t="shared" ca="1" si="103"/>
        <v>14198.599038047658</v>
      </c>
      <c r="EH70" s="1053">
        <f t="shared" ca="1" si="103"/>
        <v>14762.366569508675</v>
      </c>
      <c r="EI70" s="1053">
        <f t="shared" ca="1" si="103"/>
        <v>15348.68481158412</v>
      </c>
      <c r="EJ70" s="1053">
        <f t="shared" ca="1" si="103"/>
        <v>15958.455792338733</v>
      </c>
      <c r="EK70" s="1053">
        <f t="shared" ca="1" si="103"/>
        <v>16592.617620973651</v>
      </c>
      <c r="EL70" s="1053">
        <f t="shared" ca="1" si="103"/>
        <v>17252.145931071405</v>
      </c>
      <c r="EM70" s="1053">
        <f t="shared" ca="1" si="103"/>
        <v>17938.055381570601</v>
      </c>
      <c r="EN70" s="1053">
        <f t="shared" ca="1" si="103"/>
        <v>18651.401217779705</v>
      </c>
      <c r="EO70" s="1053">
        <f t="shared" ca="1" si="103"/>
        <v>19393.28089483134</v>
      </c>
      <c r="EP70" s="1053">
        <f t="shared" ca="1" si="103"/>
        <v>20164.835766074822</v>
      </c>
      <c r="EQ70" s="1053">
        <f t="shared" ca="1" si="103"/>
        <v>20967.252839004374</v>
      </c>
      <c r="ER70" s="1053">
        <f t="shared" ca="1" si="103"/>
        <v>21801.76660142449</v>
      </c>
      <c r="ES70" s="1053">
        <f t="shared" ca="1" si="103"/>
        <v>22669.660920661991</v>
      </c>
      <c r="ET70" s="1053">
        <f t="shared" ca="1" si="103"/>
        <v>23572.271018746469</v>
      </c>
      <c r="EU70" s="1053">
        <f t="shared" ca="1" si="103"/>
        <v>24510.985526598037</v>
      </c>
      <c r="EV70" s="1053">
        <f t="shared" ca="1" si="103"/>
        <v>25487.248620382619</v>
      </c>
      <c r="EW70" s="1053">
        <f t="shared" ca="1" si="103"/>
        <v>26502.562243321452</v>
      </c>
      <c r="EX70" s="1053">
        <f t="shared" ca="1" si="103"/>
        <v>27558.488416372886</v>
      </c>
      <c r="EY70" s="1053">
        <f t="shared" ca="1" si="103"/>
        <v>28656.65164134161</v>
      </c>
      <c r="EZ70" s="1053">
        <f t="shared" ca="1" si="103"/>
        <v>29798.74140011218</v>
      </c>
      <c r="FA70" s="1053">
        <f t="shared" ca="1" si="103"/>
        <v>30986.514753851967</v>
      </c>
      <c r="FB70" s="1053">
        <f t="shared" ca="1" si="103"/>
        <v>32221.799046182103</v>
      </c>
      <c r="FC70" s="1053">
        <f t="shared" ca="1" si="103"/>
        <v>33506.494714475382</v>
      </c>
      <c r="FD70" s="1053">
        <f t="shared" ca="1" si="103"/>
        <v>34842.578213606117</v>
      </c>
      <c r="FE70" s="1053">
        <f t="shared" ca="1" si="103"/>
        <v>36232.105056649903</v>
      </c>
      <c r="FF70" s="1053">
        <f t="shared" ca="1" si="103"/>
        <v>37677.212977211399</v>
      </c>
      <c r="FG70" s="1053">
        <f t="shared" ca="1" si="103"/>
        <v>39180.125218245303</v>
      </c>
      <c r="FH70" s="1053">
        <f t="shared" ca="1" si="103"/>
        <v>40743.153952430192</v>
      </c>
      <c r="FI70" s="1053">
        <f t="shared" ca="1" si="103"/>
        <v>42368.703839357069</v>
      </c>
      <c r="FJ70" s="1053">
        <f t="shared" ca="1" si="103"/>
        <v>44059.27572500582</v>
      </c>
      <c r="FK70" s="1053">
        <f t="shared" ca="1" si="103"/>
        <v>45817.470489200539</v>
      </c>
      <c r="FL70" s="1053">
        <f t="shared" ca="1" si="103"/>
        <v>47645.993046963064</v>
      </c>
      <c r="FM70" s="1053">
        <f t="shared" ca="1" si="103"/>
        <v>49547.656509920693</v>
      </c>
      <c r="FN70" s="1053">
        <f t="shared" ca="1" si="103"/>
        <v>51525.386514170343</v>
      </c>
      <c r="FO70" s="1053">
        <f t="shared" ca="1" si="103"/>
        <v>53582.225721256953</v>
      </c>
      <c r="FP70" s="1053">
        <f t="shared" ca="1" si="103"/>
        <v>55721.338499191435</v>
      </c>
      <c r="FQ70" s="1053">
        <f t="shared" ca="1" si="103"/>
        <v>57946.015790709091</v>
      </c>
      <c r="FR70" s="1053">
        <f t="shared" ca="1" si="103"/>
        <v>60259.680176258436</v>
      </c>
      <c r="FS70" s="1053">
        <f t="shared" ca="1" si="103"/>
        <v>62665.891139509535</v>
      </c>
      <c r="FT70" s="1053">
        <f t="shared" ca="1" si="103"/>
        <v>65168.350543482695</v>
      </c>
      <c r="FU70" s="1053">
        <f t="shared" ca="1" si="103"/>
        <v>67770.908325722587</v>
      </c>
      <c r="FV70" s="1053">
        <f t="shared" ca="1" si="103"/>
        <v>70477.56842127876</v>
      </c>
      <c r="FW70" s="1053">
        <f t="shared" ca="1" si="103"/>
        <v>73292.494922605925</v>
      </c>
      <c r="FX70" s="1053">
        <f t="shared" ca="1" si="103"/>
        <v>76220.018485859997</v>
      </c>
      <c r="FY70" s="1053">
        <f t="shared" ca="1" si="103"/>
        <v>79264.642993445916</v>
      </c>
      <c r="FZ70" s="1053">
        <f t="shared" ca="1" si="103"/>
        <v>82431.052483067731</v>
      </c>
      <c r="GA70" s="1053">
        <f t="shared" ca="1" si="103"/>
        <v>85724.118353940226</v>
      </c>
      <c r="GB70" s="1053">
        <f t="shared" ca="1" si="103"/>
        <v>89148.906861249357</v>
      </c>
      <c r="GC70" s="1053">
        <f t="shared" ca="1" si="103"/>
        <v>92710.68691039097</v>
      </c>
      <c r="GD70" s="1053">
        <f t="shared" ca="1" si="103"/>
        <v>96414.938162979146</v>
      </c>
      <c r="GE70" s="1053">
        <f t="shared" ca="1" si="103"/>
        <v>100267.35946709476</v>
      </c>
      <c r="GF70" s="1053">
        <f t="shared" ca="1" si="103"/>
        <v>104273.8776247442</v>
      </c>
      <c r="GG70" s="1053">
        <f t="shared" ca="1" si="103"/>
        <v>108440.65651001612</v>
      </c>
      <c r="GH70" s="1053">
        <f t="shared" ca="1" si="103"/>
        <v>112774.10655196477</v>
      </c>
      <c r="GI70" s="1053">
        <f t="shared" ca="1" si="103"/>
        <v>117280.89459680853</v>
      </c>
      <c r="GJ70" s="1053">
        <f t="shared" ca="1" si="103"/>
        <v>121967.95416461647</v>
      </c>
      <c r="GK70" s="1053">
        <f t="shared" ca="1" si="103"/>
        <v>126842.49611626199</v>
      </c>
      <c r="GL70" s="1053">
        <f t="shared" ca="1" si="103"/>
        <v>131912.01974705548</v>
      </c>
      <c r="GM70" s="1053">
        <f t="shared" ca="1" si="103"/>
        <v>137184.32432412117</v>
      </c>
      <c r="GN70" s="1053">
        <f t="shared" ref="GN70:IR70" ca="1" si="104">GN64-($I$18*GM66)</f>
        <v>142667.52108526987</v>
      </c>
      <c r="GO70" s="1053">
        <f t="shared" ca="1" si="104"/>
        <v>148370.04571782646</v>
      </c>
      <c r="GP70" s="1053">
        <f t="shared" ca="1" si="104"/>
        <v>154300.67133661028</v>
      </c>
      <c r="GQ70" s="1053">
        <f t="shared" ca="1" si="104"/>
        <v>160468.52198103495</v>
      </c>
      <c r="GR70" s="1053">
        <f t="shared" ca="1" si="104"/>
        <v>166883.08665209165</v>
      </c>
      <c r="GS70" s="1053">
        <f t="shared" ca="1" si="104"/>
        <v>173554.233910813</v>
      </c>
      <c r="GT70" s="1053">
        <f t="shared" ca="1" si="104"/>
        <v>180492.2270606737</v>
      </c>
      <c r="GU70" s="1053">
        <f t="shared" ca="1" si="104"/>
        <v>187707.73993728921</v>
      </c>
      <c r="GV70" s="1053">
        <f t="shared" ca="1" si="104"/>
        <v>195211.87332970032</v>
      </c>
      <c r="GW70" s="1053">
        <f t="shared" ca="1" si="104"/>
        <v>203016.17205851089</v>
      </c>
      <c r="GX70" s="1053">
        <f t="shared" ca="1" si="104"/>
        <v>211132.64273714967</v>
      </c>
      <c r="GY70" s="1053">
        <f t="shared" ca="1" si="104"/>
        <v>219573.77224358375</v>
      </c>
      <c r="GZ70" s="1053">
        <f t="shared" ca="1" si="104"/>
        <v>228352.54693090008</v>
      </c>
      <c r="HA70" s="1053">
        <f t="shared" ca="1" si="104"/>
        <v>237482.47260631004</v>
      </c>
      <c r="HB70" s="1053">
        <f t="shared" ca="1" si="104"/>
        <v>246977.59530931397</v>
      </c>
      <c r="HC70" s="1053">
        <f t="shared" ca="1" si="104"/>
        <v>256852.52292099374</v>
      </c>
      <c r="HD70" s="1053">
        <f t="shared" ca="1" si="104"/>
        <v>267122.44763767475</v>
      </c>
      <c r="HE70" s="1053">
        <f t="shared" ca="1" si="104"/>
        <v>277803.1693435366</v>
      </c>
      <c r="HF70" s="1053">
        <f t="shared" ca="1" si="104"/>
        <v>288911.11991812673</v>
      </c>
      <c r="HG70" s="1053">
        <f t="shared" ca="1" si="104"/>
        <v>300463.38851617533</v>
      </c>
      <c r="HH70" s="1053">
        <f t="shared" ca="1" si="104"/>
        <v>312477.74785860255</v>
      </c>
      <c r="HI70" s="1053">
        <f t="shared" ca="1" si="104"/>
        <v>324972.68157516571</v>
      </c>
      <c r="HJ70" s="1053">
        <f t="shared" ca="1" si="104"/>
        <v>337967.41264081362</v>
      </c>
      <c r="HK70" s="1053">
        <f t="shared" ca="1" si="104"/>
        <v>351481.93294949341</v>
      </c>
      <c r="HL70" s="1053">
        <f t="shared" ca="1" si="104"/>
        <v>365537.03407091065</v>
      </c>
      <c r="HM70" s="1053">
        <f t="shared" ca="1" si="104"/>
        <v>380154.33923756005</v>
      </c>
      <c r="HN70" s="1053">
        <f t="shared" ca="1" si="104"/>
        <v>395356.33661123598</v>
      </c>
      <c r="HO70" s="1053">
        <f t="shared" ca="1" si="104"/>
        <v>411166.41388020606</v>
      </c>
      <c r="HP70" s="1053">
        <f t="shared" ca="1" si="104"/>
        <v>427608.89424026862</v>
      </c>
      <c r="HQ70" s="1053">
        <f t="shared" ca="1" si="104"/>
        <v>444709.07381505414</v>
      </c>
      <c r="HR70" s="1053">
        <f t="shared" ca="1" si="104"/>
        <v>462493.26057313988</v>
      </c>
      <c r="HS70" s="1053">
        <f t="shared" ca="1" si="104"/>
        <v>480988.81480184547</v>
      </c>
      <c r="HT70" s="1053">
        <f t="shared" ca="1" si="104"/>
        <v>500224.19119998463</v>
      </c>
      <c r="HU70" s="1053">
        <f t="shared" ca="1" si="104"/>
        <v>520228.98265432334</v>
      </c>
      <c r="HV70" s="1053">
        <f t="shared" ca="1" si="104"/>
        <v>541033.96576709952</v>
      </c>
      <c r="HW70" s="1053">
        <f t="shared" ca="1" si="104"/>
        <v>562671.14820464002</v>
      </c>
      <c r="HX70" s="1053">
        <f t="shared" ca="1" si="104"/>
        <v>585173.81793992594</v>
      </c>
      <c r="HY70" s="1053">
        <f t="shared" ca="1" si="104"/>
        <v>608576.59446485806</v>
      </c>
      <c r="HZ70" s="1053">
        <f t="shared" ca="1" si="104"/>
        <v>632915.4820510128</v>
      </c>
      <c r="IA70" s="1053">
        <f t="shared" ca="1" si="104"/>
        <v>658227.92514082976</v>
      </c>
      <c r="IB70" s="1053">
        <f t="shared" ca="1" si="104"/>
        <v>684552.8659544487</v>
      </c>
      <c r="IC70" s="1053">
        <f t="shared" ca="1" si="104"/>
        <v>711930.80440081214</v>
      </c>
      <c r="ID70" s="1053">
        <f t="shared" ca="1" si="104"/>
        <v>740403.86038522283</v>
      </c>
      <c r="IE70" s="1053">
        <f t="shared" ca="1" si="104"/>
        <v>770015.83860919555</v>
      </c>
      <c r="IF70" s="1053">
        <f t="shared" ca="1" si="104"/>
        <v>800812.29596230504</v>
      </c>
      <c r="IG70" s="1053">
        <f t="shared" ca="1" si="104"/>
        <v>832840.61160971038</v>
      </c>
      <c r="IH70" s="1053">
        <f t="shared" ca="1" si="104"/>
        <v>866150.05988317612</v>
      </c>
      <c r="II70" s="1053">
        <f t="shared" ca="1" si="104"/>
        <v>900791.88608773937</v>
      </c>
      <c r="IJ70" s="1053">
        <f t="shared" ca="1" si="104"/>
        <v>936819.38534063706</v>
      </c>
      <c r="IK70" s="1053">
        <f t="shared" ca="1" si="104"/>
        <v>974287.98456379771</v>
      </c>
      <c r="IL70" s="1053">
        <f t="shared" ca="1" si="104"/>
        <v>1013255.3277560249</v>
      </c>
      <c r="IM70" s="1053">
        <f t="shared" ca="1" si="104"/>
        <v>1053781.3646760765</v>
      </c>
      <c r="IN70" s="1053">
        <f t="shared" ca="1" si="104"/>
        <v>1095928.4430730604</v>
      </c>
      <c r="IO70" s="1053">
        <f t="shared" ca="1" si="104"/>
        <v>1139761.4046060494</v>
      </c>
      <c r="IP70" s="1053">
        <f t="shared" ca="1" si="104"/>
        <v>1185347.6846004776</v>
      </c>
      <c r="IQ70" s="1053">
        <f t="shared" ca="1" si="104"/>
        <v>1232757.4157947991</v>
      </c>
      <c r="IR70" s="1053">
        <f t="shared" ca="1" si="104"/>
        <v>1282063.5362370037</v>
      </c>
    </row>
    <row r="71" spans="2:252" s="960" customFormat="1" ht="11.25" customHeight="1">
      <c r="B71" s="958" t="s">
        <v>714</v>
      </c>
      <c r="C71" s="979">
        <f t="shared" ref="C71:BN71" ca="1" si="105">C70/(1+$I$18)^C$97</f>
        <v>53.782463668841046</v>
      </c>
      <c r="D71" s="979">
        <f t="shared" ca="1" si="105"/>
        <v>64.103036441229165</v>
      </c>
      <c r="E71" s="979">
        <f t="shared" ca="1" si="105"/>
        <v>79.840560080573383</v>
      </c>
      <c r="F71" s="979">
        <f t="shared" ca="1" si="105"/>
        <v>94.829083932306204</v>
      </c>
      <c r="G71" s="979">
        <f t="shared" ca="1" si="105"/>
        <v>88.596866300612206</v>
      </c>
      <c r="H71" s="979">
        <f t="shared" ca="1" si="105"/>
        <v>97.154369660139594</v>
      </c>
      <c r="I71" s="979">
        <f t="shared" ca="1" si="105"/>
        <v>98.177915747724839</v>
      </c>
      <c r="J71" s="979">
        <f t="shared" ca="1" si="105"/>
        <v>99.087227473669998</v>
      </c>
      <c r="K71" s="979">
        <f t="shared" ca="1" si="105"/>
        <v>99.867363449125591</v>
      </c>
      <c r="L71" s="979">
        <f t="shared" ca="1" si="105"/>
        <v>100.50449847991075</v>
      </c>
      <c r="M71" s="979">
        <f t="shared" ca="1" si="105"/>
        <v>100.98605563483704</v>
      </c>
      <c r="N71" s="979">
        <f t="shared" ca="1" si="105"/>
        <v>101.3008288906359</v>
      </c>
      <c r="O71" s="979">
        <f t="shared" ca="1" si="105"/>
        <v>101.43909386458698</v>
      </c>
      <c r="P71" s="979">
        <f t="shared" ca="1" si="105"/>
        <v>101.39270435673471</v>
      </c>
      <c r="Q71" s="979">
        <f t="shared" ca="1" si="105"/>
        <v>101.15517267572342</v>
      </c>
      <c r="R71" s="979">
        <f t="shared" ca="1" si="105"/>
        <v>100.72173201271782</v>
      </c>
      <c r="S71" s="979">
        <f t="shared" ca="1" si="105"/>
        <v>100.08937945222149</v>
      </c>
      <c r="T71" s="979">
        <f t="shared" ca="1" si="105"/>
        <v>99.256898561317911</v>
      </c>
      <c r="U71" s="979">
        <f t="shared" ca="1" si="105"/>
        <v>98.224860873348064</v>
      </c>
      <c r="V71" s="979">
        <f t="shared" ca="1" si="105"/>
        <v>96.995605970892171</v>
      </c>
      <c r="W71" s="979">
        <f t="shared" ca="1" si="105"/>
        <v>94.552521477164589</v>
      </c>
      <c r="X71" s="979">
        <f t="shared" ca="1" si="105"/>
        <v>95.005511573891582</v>
      </c>
      <c r="Y71" s="979">
        <f t="shared" ca="1" si="105"/>
        <v>92.792651067742881</v>
      </c>
      <c r="Z71" s="979">
        <f t="shared" ca="1" si="105"/>
        <v>90.664298349819987</v>
      </c>
      <c r="AA71" s="979">
        <f t="shared" ca="1" si="105"/>
        <v>88.616646279318459</v>
      </c>
      <c r="AB71" s="979">
        <f t="shared" ca="1" si="105"/>
        <v>86.646066110911477</v>
      </c>
      <c r="AC71" s="979">
        <f t="shared" ca="1" si="105"/>
        <v>84.749099013332383</v>
      </c>
      <c r="AD71" s="979">
        <f t="shared" ca="1" si="105"/>
        <v>82.922447997027078</v>
      </c>
      <c r="AE71" s="979">
        <f t="shared" ca="1" si="105"/>
        <v>81.162970230731815</v>
      </c>
      <c r="AF71" s="979">
        <f t="shared" ca="1" si="105"/>
        <v>79.467669727853604</v>
      </c>
      <c r="AG71" s="979">
        <f t="shared" ca="1" si="105"/>
        <v>77.83369038449672</v>
      </c>
      <c r="AH71" s="979">
        <f t="shared" ca="1" si="105"/>
        <v>76.258309351897495</v>
      </c>
      <c r="AI71" s="979">
        <f t="shared" ca="1" si="105"/>
        <v>74.73893072689647</v>
      </c>
      <c r="AJ71" s="979">
        <f t="shared" ca="1" si="105"/>
        <v>73.273079544903297</v>
      </c>
      <c r="AK71" s="979">
        <f t="shared" ca="1" si="105"/>
        <v>71.858396060587239</v>
      </c>
      <c r="AL71" s="979">
        <f t="shared" ca="1" si="105"/>
        <v>70.492630302270399</v>
      </c>
      <c r="AM71" s="979">
        <f t="shared" ca="1" si="105"/>
        <v>69.17363688669866</v>
      </c>
      <c r="AN71" s="979">
        <f t="shared" ca="1" si="105"/>
        <v>67.899370081533306</v>
      </c>
      <c r="AO71" s="979">
        <f t="shared" ca="1" si="105"/>
        <v>66.667879103536634</v>
      </c>
      <c r="AP71" s="979">
        <f t="shared" ca="1" si="105"/>
        <v>65.477303641023013</v>
      </c>
      <c r="AQ71" s="979">
        <f t="shared" ca="1" si="105"/>
        <v>64.325869589714344</v>
      </c>
      <c r="AR71" s="979">
        <f t="shared" ca="1" si="105"/>
        <v>63.211884991678311</v>
      </c>
      <c r="AS71" s="979">
        <f t="shared" ca="1" si="105"/>
        <v>62.13373616753767</v>
      </c>
      <c r="AT71" s="979">
        <f t="shared" ca="1" si="105"/>
        <v>61.089884032623772</v>
      </c>
      <c r="AU71" s="979">
        <f t="shared" ca="1" si="105"/>
        <v>60.078860588207831</v>
      </c>
      <c r="AV71" s="979">
        <f t="shared" ca="1" si="105"/>
        <v>59.099265579379825</v>
      </c>
      <c r="AW71" s="979">
        <f t="shared" ca="1" si="105"/>
        <v>58.149763311558829</v>
      </c>
      <c r="AX71" s="979">
        <f t="shared" ca="1" si="105"/>
        <v>57.229079618012911</v>
      </c>
      <c r="AY71" s="979">
        <f t="shared" ca="1" si="105"/>
        <v>56.335998971139027</v>
      </c>
      <c r="AZ71" s="979">
        <f t="shared" ca="1" si="105"/>
        <v>55.469361730609037</v>
      </c>
      <c r="BA71" s="979">
        <f t="shared" ca="1" si="105"/>
        <v>54.628061521823781</v>
      </c>
      <c r="BB71" s="979">
        <f t="shared" ca="1" si="105"/>
        <v>53.811042738437742</v>
      </c>
      <c r="BC71" s="979">
        <f t="shared" ca="1" si="105"/>
        <v>53.017298163020193</v>
      </c>
      <c r="BD71" s="979">
        <f t="shared" ca="1" si="105"/>
        <v>52.245866700207159</v>
      </c>
      <c r="BE71" s="979">
        <f t="shared" ca="1" si="105"/>
        <v>51.495831216973372</v>
      </c>
      <c r="BF71" s="979">
        <f t="shared" ca="1" si="105"/>
        <v>50.766316484913276</v>
      </c>
      <c r="BG71" s="979">
        <f t="shared" ca="1" si="105"/>
        <v>50.05648721966763</v>
      </c>
      <c r="BH71" s="979">
        <f t="shared" ca="1" si="105"/>
        <v>49.365546212868708</v>
      </c>
      <c r="BI71" s="979">
        <f t="shared" ca="1" si="105"/>
        <v>48.692732552198756</v>
      </c>
      <c r="BJ71" s="979">
        <f t="shared" ca="1" si="105"/>
        <v>48.037319925370518</v>
      </c>
      <c r="BK71" s="979">
        <f t="shared" ca="1" si="105"/>
        <v>47.398615004040636</v>
      </c>
      <c r="BL71" s="979">
        <f t="shared" ca="1" si="105"/>
        <v>46.775955903857621</v>
      </c>
      <c r="BM71" s="979">
        <f t="shared" ca="1" si="105"/>
        <v>46.168710717029988</v>
      </c>
      <c r="BN71" s="979">
        <f t="shared" ca="1" si="105"/>
        <v>45.576276113973655</v>
      </c>
      <c r="BO71" s="979">
        <f t="shared" ref="BO71:DZ71" ca="1" si="106">BO70/(1+$I$18)^BO$97</f>
        <v>44.99807601076202</v>
      </c>
      <c r="BP71" s="979">
        <f t="shared" ca="1" si="106"/>
        <v>44.433560299260776</v>
      </c>
      <c r="BQ71" s="979">
        <f t="shared" ca="1" si="106"/>
        <v>43.882203636977088</v>
      </c>
      <c r="BR71" s="979">
        <f t="shared" ca="1" si="106"/>
        <v>43.343504293796983</v>
      </c>
      <c r="BS71" s="979">
        <f t="shared" ca="1" si="106"/>
        <v>42.816983052917926</v>
      </c>
      <c r="BT71" s="979">
        <f t="shared" ca="1" si="106"/>
        <v>42.302182163413875</v>
      </c>
      <c r="BU71" s="979">
        <f t="shared" ca="1" si="106"/>
        <v>41.798664341991724</v>
      </c>
      <c r="BV71" s="979">
        <f t="shared" ca="1" si="106"/>
        <v>41.306011821614227</v>
      </c>
      <c r="BW71" s="979">
        <f t="shared" ca="1" si="106"/>
        <v>40.823825444776254</v>
      </c>
      <c r="BX71" s="979">
        <f t="shared" ca="1" si="106"/>
        <v>40.351723799325924</v>
      </c>
      <c r="BY71" s="979">
        <f t="shared" ca="1" si="106"/>
        <v>39.889342394822577</v>
      </c>
      <c r="BZ71" s="979">
        <f t="shared" ca="1" si="106"/>
        <v>39.436332877519355</v>
      </c>
      <c r="CA71" s="979">
        <f t="shared" ca="1" si="106"/>
        <v>38.992362282149323</v>
      </c>
      <c r="CB71" s="979">
        <f t="shared" ca="1" si="106"/>
        <v>38.55711231877909</v>
      </c>
      <c r="CC71" s="979">
        <f t="shared" ca="1" si="106"/>
        <v>38.130278693079262</v>
      </c>
      <c r="CD71" s="979">
        <f t="shared" ca="1" si="106"/>
        <v>37.711570458435475</v>
      </c>
      <c r="CE71" s="979">
        <f t="shared" ca="1" si="106"/>
        <v>37.300709398402347</v>
      </c>
      <c r="CF71" s="979">
        <f t="shared" ca="1" si="106"/>
        <v>36.897429438070759</v>
      </c>
      <c r="CG71" s="979">
        <f t="shared" ca="1" si="106"/>
        <v>36.501476082988354</v>
      </c>
      <c r="CH71" s="979">
        <f t="shared" ca="1" si="106"/>
        <v>36.112605884336858</v>
      </c>
      <c r="CI71" s="979">
        <f t="shared" ca="1" si="106"/>
        <v>35.730585929131102</v>
      </c>
      <c r="CJ71" s="979">
        <f t="shared" ca="1" si="106"/>
        <v>35.355193354263243</v>
      </c>
      <c r="CK71" s="979">
        <f t="shared" ca="1" si="106"/>
        <v>34.986214883271586</v>
      </c>
      <c r="CL71" s="979">
        <f t="shared" ca="1" si="106"/>
        <v>34.623446384765586</v>
      </c>
      <c r="CM71" s="979">
        <f t="shared" ca="1" si="106"/>
        <v>34.266692451489853</v>
      </c>
      <c r="CN71" s="979">
        <f t="shared" ca="1" si="106"/>
        <v>33.915765999057804</v>
      </c>
      <c r="CO71" s="979">
        <f t="shared" ca="1" si="106"/>
        <v>33.570487883430928</v>
      </c>
      <c r="CP71" s="979">
        <f t="shared" ca="1" si="106"/>
        <v>33.230686536263931</v>
      </c>
      <c r="CQ71" s="979">
        <f t="shared" ca="1" si="106"/>
        <v>32.896197617276776</v>
      </c>
      <c r="CR71" s="979">
        <f t="shared" ca="1" si="106"/>
        <v>32.566863682855065</v>
      </c>
      <c r="CS71" s="979">
        <f t="shared" ca="1" si="106"/>
        <v>32.242533870116858</v>
      </c>
      <c r="CT71" s="979">
        <f t="shared" ca="1" si="106"/>
        <v>31.923063595720734</v>
      </c>
      <c r="CU71" s="979">
        <f t="shared" ca="1" si="106"/>
        <v>31.608314268723607</v>
      </c>
      <c r="CV71" s="979">
        <f t="shared" ca="1" si="106"/>
        <v>31.298153016829652</v>
      </c>
      <c r="CW71" s="979">
        <f t="shared" ca="1" si="106"/>
        <v>30.992452425402188</v>
      </c>
      <c r="CX71" s="979">
        <f t="shared" ca="1" si="106"/>
        <v>30.691090288640872</v>
      </c>
      <c r="CY71" s="979">
        <f t="shared" ca="1" si="106"/>
        <v>30.39394937235333</v>
      </c>
      <c r="CZ71" s="979">
        <f t="shared" ca="1" si="106"/>
        <v>30.100917187778837</v>
      </c>
      <c r="DA71" s="979">
        <f t="shared" ca="1" si="106"/>
        <v>29.811885775945509</v>
      </c>
      <c r="DB71" s="979">
        <f t="shared" ca="1" si="106"/>
        <v>29.526751502067953</v>
      </c>
      <c r="DC71" s="979">
        <f t="shared" ca="1" si="106"/>
        <v>29.24541485951535</v>
      </c>
      <c r="DD71" s="979">
        <f t="shared" ca="1" si="106"/>
        <v>28.967780282901344</v>
      </c>
      <c r="DE71" s="979">
        <f t="shared" ca="1" si="106"/>
        <v>28.693755969869297</v>
      </c>
      <c r="DF71" s="979">
        <f t="shared" ca="1" si="106"/>
        <v>28.423253711165199</v>
      </c>
      <c r="DG71" s="979">
        <f t="shared" ca="1" si="106"/>
        <v>28.156188728611045</v>
      </c>
      <c r="DH71" s="979">
        <f t="shared" ca="1" si="106"/>
        <v>27.892479520608322</v>
      </c>
      <c r="DI71" s="979">
        <f t="shared" ca="1" si="106"/>
        <v>27.632047714819937</v>
      </c>
      <c r="DJ71" s="979">
        <f t="shared" ca="1" si="106"/>
        <v>27.374817927694107</v>
      </c>
      <c r="DK71" s="979">
        <f t="shared" ca="1" si="106"/>
        <v>27.120717630510697</v>
      </c>
      <c r="DL71" s="979">
        <f t="shared" ca="1" si="106"/>
        <v>26.86967702164474</v>
      </c>
      <c r="DM71" s="979">
        <f t="shared" ca="1" si="106"/>
        <v>26.62162890475636</v>
      </c>
      <c r="DN71" s="979">
        <f t="shared" ca="1" si="106"/>
        <v>26.3765085726302</v>
      </c>
      <c r="DO71" s="979">
        <f t="shared" ca="1" si="106"/>
        <v>26.134253696400126</v>
      </c>
      <c r="DP71" s="979">
        <f t="shared" ca="1" si="106"/>
        <v>25.894804219907396</v>
      </c>
      <c r="DQ71" s="979">
        <f t="shared" ca="1" si="106"/>
        <v>25.65810225895277</v>
      </c>
      <c r="DR71" s="979">
        <f t="shared" ca="1" si="106"/>
        <v>25.424092005213286</v>
      </c>
      <c r="DS71" s="979">
        <f t="shared" ca="1" si="106"/>
        <v>25.192719634606235</v>
      </c>
      <c r="DT71" s="979">
        <f t="shared" ca="1" si="106"/>
        <v>24.963933219892535</v>
      </c>
      <c r="DU71" s="979">
        <f t="shared" ca="1" si="106"/>
        <v>24.737682647321179</v>
      </c>
      <c r="DV71" s="979">
        <f t="shared" ca="1" si="106"/>
        <v>24.513919537126306</v>
      </c>
      <c r="DW71" s="979">
        <f t="shared" ca="1" si="106"/>
        <v>24.292597167697004</v>
      </c>
      <c r="DX71" s="979">
        <f t="shared" ca="1" si="106"/>
        <v>24.073670403248148</v>
      </c>
      <c r="DY71" s="979">
        <f t="shared" ca="1" si="106"/>
        <v>23.857095624829089</v>
      </c>
      <c r="DZ71" s="979">
        <f t="shared" ca="1" si="106"/>
        <v>23.642830664514232</v>
      </c>
      <c r="EA71" s="979">
        <f t="shared" ref="EA71:GL71" ca="1" si="107">EA70/(1+$I$18)^EA$97</f>
        <v>23.430834742627066</v>
      </c>
      <c r="EB71" s="979">
        <f t="shared" ca="1" si="107"/>
        <v>23.221068407856126</v>
      </c>
      <c r="EC71" s="979">
        <f t="shared" ca="1" si="107"/>
        <v>23.013493480127966</v>
      </c>
      <c r="ED71" s="979">
        <f t="shared" ca="1" si="107"/>
        <v>22.808072996108386</v>
      </c>
      <c r="EE71" s="979">
        <f t="shared" ca="1" si="107"/>
        <v>22.604771157209655</v>
      </c>
      <c r="EF71" s="979">
        <f t="shared" ca="1" si="107"/>
        <v>22.403553279986497</v>
      </c>
      <c r="EG71" s="979">
        <f t="shared" ca="1" si="107"/>
        <v>22.204385748809777</v>
      </c>
      <c r="EH71" s="979">
        <f t="shared" ca="1" si="107"/>
        <v>22.007235970711445</v>
      </c>
      <c r="EI71" s="979">
        <f t="shared" ca="1" si="107"/>
        <v>21.812072332299824</v>
      </c>
      <c r="EJ71" s="979">
        <f t="shared" ca="1" si="107"/>
        <v>21.618864158648492</v>
      </c>
      <c r="EK71" s="979">
        <f t="shared" ca="1" si="107"/>
        <v>21.427581674066918</v>
      </c>
      <c r="EL71" s="979">
        <f t="shared" ca="1" si="107"/>
        <v>21.238195964665312</v>
      </c>
      <c r="EM71" s="979">
        <f t="shared" ca="1" si="107"/>
        <v>21.050678942629887</v>
      </c>
      <c r="EN71" s="979">
        <f t="shared" ca="1" si="107"/>
        <v>20.865003312129048</v>
      </c>
      <c r="EO71" s="979">
        <f t="shared" ca="1" si="107"/>
        <v>20.681142536774569</v>
      </c>
      <c r="EP71" s="979">
        <f t="shared" ca="1" si="107"/>
        <v>20.499070808565303</v>
      </c>
      <c r="EQ71" s="979">
        <f t="shared" ca="1" si="107"/>
        <v>20.318763018244507</v>
      </c>
      <c r="ER71" s="979">
        <f t="shared" ca="1" si="107"/>
        <v>20.14019472700495</v>
      </c>
      <c r="ES71" s="979">
        <f t="shared" ca="1" si="107"/>
        <v>19.963342139479181</v>
      </c>
      <c r="ET71" s="979">
        <f t="shared" ca="1" si="107"/>
        <v>19.788182077955099</v>
      </c>
      <c r="EU71" s="979">
        <f t="shared" ca="1" si="107"/>
        <v>19.614691957759941</v>
      </c>
      <c r="EV71" s="979">
        <f t="shared" ca="1" si="107"/>
        <v>19.442849763758318</v>
      </c>
      <c r="EW71" s="979">
        <f t="shared" ca="1" si="107"/>
        <v>19.272634027912606</v>
      </c>
      <c r="EX71" s="979">
        <f t="shared" ca="1" si="107"/>
        <v>19.104023807856141</v>
      </c>
      <c r="EY71" s="979">
        <f t="shared" ca="1" si="107"/>
        <v>18.936998666432448</v>
      </c>
      <c r="EZ71" s="979">
        <f t="shared" ca="1" si="107"/>
        <v>18.771538652155463</v>
      </c>
      <c r="FA71" s="979">
        <f t="shared" ca="1" si="107"/>
        <v>18.607624280548063</v>
      </c>
      <c r="FB71" s="979">
        <f t="shared" ca="1" si="107"/>
        <v>18.445236516318054</v>
      </c>
      <c r="FC71" s="979">
        <f t="shared" ca="1" si="107"/>
        <v>18.284356756332912</v>
      </c>
      <c r="FD71" s="979">
        <f t="shared" ca="1" si="107"/>
        <v>18.124966813356153</v>
      </c>
      <c r="FE71" s="979">
        <f t="shared" ca="1" si="107"/>
        <v>17.967048900509983</v>
      </c>
      <c r="FF71" s="979">
        <f t="shared" ca="1" si="107"/>
        <v>17.810585616430622</v>
      </c>
      <c r="FG71" s="979">
        <f t="shared" ca="1" si="107"/>
        <v>17.655559931084255</v>
      </c>
      <c r="FH71" s="979">
        <f t="shared" ca="1" si="107"/>
        <v>17.501955172212892</v>
      </c>
      <c r="FI71" s="979">
        <f t="shared" ca="1" si="107"/>
        <v>17.349755012381021</v>
      </c>
      <c r="FJ71" s="979">
        <f t="shared" ca="1" si="107"/>
        <v>17.198943456595387</v>
      </c>
      <c r="FK71" s="979">
        <f t="shared" ca="1" si="107"/>
        <v>17.049504830471164</v>
      </c>
      <c r="FL71" s="979">
        <f t="shared" ca="1" si="107"/>
        <v>16.9014237689194</v>
      </c>
      <c r="FM71" s="979">
        <f t="shared" ca="1" si="107"/>
        <v>16.754685205331615</v>
      </c>
      <c r="FN71" s="979">
        <f t="shared" ca="1" si="107"/>
        <v>16.609274361238572</v>
      </c>
      <c r="FO71" s="979">
        <f t="shared" ca="1" si="107"/>
        <v>16.465176736421299</v>
      </c>
      <c r="FP71" s="979">
        <f t="shared" ca="1" si="107"/>
        <v>16.322378099453587</v>
      </c>
      <c r="FQ71" s="979">
        <f t="shared" ca="1" si="107"/>
        <v>16.180864478655966</v>
      </c>
      <c r="FR71" s="979">
        <f t="shared" ca="1" si="107"/>
        <v>16.04062215344219</v>
      </c>
      <c r="FS71" s="979">
        <f t="shared" ca="1" si="107"/>
        <v>15.901637646040196</v>
      </c>
      <c r="FT71" s="979">
        <f t="shared" ca="1" si="107"/>
        <v>15.763897713570289</v>
      </c>
      <c r="FU71" s="979">
        <f t="shared" ca="1" si="107"/>
        <v>15.627389340464109</v>
      </c>
      <c r="FV71" s="979">
        <f t="shared" ca="1" si="107"/>
        <v>15.492099731208599</v>
      </c>
      <c r="FW71" s="979">
        <f t="shared" ca="1" si="107"/>
        <v>15.358016303400243</v>
      </c>
      <c r="FX71" s="979">
        <f t="shared" ca="1" si="107"/>
        <v>15.225126681095134</v>
      </c>
      <c r="FY71" s="979">
        <f t="shared" ca="1" si="107"/>
        <v>15.093418688441352</v>
      </c>
      <c r="FZ71" s="979">
        <f t="shared" ca="1" si="107"/>
        <v>14.962880343580807</v>
      </c>
      <c r="GA71" s="979">
        <f t="shared" ca="1" si="107"/>
        <v>14.83349985280798</v>
      </c>
      <c r="GB71" s="979">
        <f t="shared" ca="1" si="107"/>
        <v>14.705265604974</v>
      </c>
      <c r="GC71" s="979">
        <f t="shared" ca="1" si="107"/>
        <v>14.578166166124729</v>
      </c>
      <c r="GD71" s="979">
        <f t="shared" ca="1" si="107"/>
        <v>14.452190274362176</v>
      </c>
      <c r="GE71" s="979">
        <f t="shared" ca="1" si="107"/>
        <v>14.327326834918992</v>
      </c>
      <c r="GF71" s="979">
        <f t="shared" ca="1" si="107"/>
        <v>14.203564915436466</v>
      </c>
      <c r="GG71" s="979">
        <f t="shared" ca="1" si="107"/>
        <v>14.080893741436491</v>
      </c>
      <c r="GH71" s="979">
        <f t="shared" ca="1" si="107"/>
        <v>13.959302691978959</v>
      </c>
      <c r="GI71" s="979">
        <f t="shared" ca="1" si="107"/>
        <v>13.838781295495886</v>
      </c>
      <c r="GJ71" s="979">
        <f t="shared" ca="1" si="107"/>
        <v>13.719319225794415</v>
      </c>
      <c r="GK71" s="979">
        <f t="shared" ca="1" si="107"/>
        <v>13.600906298220876</v>
      </c>
      <c r="GL71" s="979">
        <f t="shared" ca="1" si="107"/>
        <v>13.483532465978795</v>
      </c>
      <c r="GM71" s="979">
        <f t="shared" ref="GM71:IR71" ca="1" si="108">GM70/(1+$I$18)^GM$97</f>
        <v>13.367187816593619</v>
      </c>
      <c r="GN71" s="979">
        <f t="shared" ca="1" si="108"/>
        <v>13.251862568517751</v>
      </c>
      <c r="GO71" s="979">
        <f t="shared" ca="1" si="108"/>
        <v>13.137547067869425</v>
      </c>
      <c r="GP71" s="979">
        <f t="shared" ca="1" si="108"/>
        <v>13.024231785299417</v>
      </c>
      <c r="GQ71" s="979">
        <f t="shared" ca="1" si="108"/>
        <v>12.911907312979805</v>
      </c>
      <c r="GR71" s="979">
        <f t="shared" ca="1" si="108"/>
        <v>12.800564361709291</v>
      </c>
      <c r="GS71" s="979">
        <f t="shared" ca="1" si="108"/>
        <v>12.690193758129951</v>
      </c>
      <c r="GT71" s="979">
        <f t="shared" ca="1" si="108"/>
        <v>12.580786442050151</v>
      </c>
      <c r="GU71" s="979">
        <f t="shared" ca="1" si="108"/>
        <v>12.472333463869216</v>
      </c>
      <c r="GV71" s="979">
        <f t="shared" ca="1" si="108"/>
        <v>12.364825982098962</v>
      </c>
      <c r="GW71" s="979">
        <f t="shared" ca="1" si="108"/>
        <v>12.258255260978045</v>
      </c>
      <c r="GX71" s="979">
        <f t="shared" ca="1" si="108"/>
        <v>12.152612668174774</v>
      </c>
      <c r="GY71" s="979">
        <f t="shared" ca="1" si="108"/>
        <v>12.047889672574614</v>
      </c>
      <c r="GZ71" s="979">
        <f t="shared" ca="1" si="108"/>
        <v>11.944077842148513</v>
      </c>
      <c r="HA71" s="979">
        <f t="shared" ca="1" si="108"/>
        <v>11.84116884189851</v>
      </c>
      <c r="HB71" s="979">
        <f t="shared" ca="1" si="108"/>
        <v>11.739154431877155</v>
      </c>
      <c r="HC71" s="979">
        <f t="shared" ca="1" si="108"/>
        <v>11.638026465277621</v>
      </c>
      <c r="HD71" s="979">
        <f t="shared" ca="1" si="108"/>
        <v>11.537776886591189</v>
      </c>
      <c r="HE71" s="979">
        <f t="shared" ca="1" si="108"/>
        <v>11.438397729829328</v>
      </c>
      <c r="HF71" s="979">
        <f t="shared" ca="1" si="108"/>
        <v>11.339881116807426</v>
      </c>
      <c r="HG71" s="979">
        <f t="shared" ca="1" si="108"/>
        <v>11.242219255487539</v>
      </c>
      <c r="HH71" s="979">
        <f t="shared" ca="1" si="108"/>
        <v>11.145404438377492</v>
      </c>
      <c r="HI71" s="979">
        <f t="shared" ca="1" si="108"/>
        <v>11.049429040984011</v>
      </c>
      <c r="HJ71" s="979">
        <f t="shared" ca="1" si="108"/>
        <v>10.954285520317457</v>
      </c>
      <c r="HK71" s="979">
        <f t="shared" ca="1" si="108"/>
        <v>10.859966413445891</v>
      </c>
      <c r="HL71" s="979">
        <f t="shared" ca="1" si="108"/>
        <v>10.766464336096448</v>
      </c>
      <c r="HM71" s="979">
        <f t="shared" ca="1" si="108"/>
        <v>10.673771981301908</v>
      </c>
      <c r="HN71" s="979">
        <f t="shared" ca="1" si="108"/>
        <v>10.581882118090526</v>
      </c>
      <c r="HO71" s="979">
        <f t="shared" ca="1" si="108"/>
        <v>10.490787590217344</v>
      </c>
      <c r="HP71" s="979">
        <f t="shared" ca="1" si="108"/>
        <v>10.400481314935085</v>
      </c>
      <c r="HQ71" s="979">
        <f t="shared" ca="1" si="108"/>
        <v>10.310956281803083</v>
      </c>
      <c r="HR71" s="979">
        <f t="shared" ca="1" si="108"/>
        <v>10.222205551532591</v>
      </c>
      <c r="HS71" s="979">
        <f t="shared" ca="1" si="108"/>
        <v>10.13422225486684</v>
      </c>
      <c r="HT71" s="979">
        <f t="shared" ca="1" si="108"/>
        <v>10.04699959149459</v>
      </c>
      <c r="HU71" s="979">
        <f t="shared" ca="1" si="108"/>
        <v>9.9605308289955481</v>
      </c>
      <c r="HV71" s="979">
        <f t="shared" ca="1" si="108"/>
        <v>9.8748093018165175</v>
      </c>
      <c r="HW71" s="979">
        <f t="shared" ca="1" si="108"/>
        <v>9.7898284102768329</v>
      </c>
      <c r="HX71" s="979">
        <f t="shared" ca="1" si="108"/>
        <v>9.7055816196020412</v>
      </c>
      <c r="HY71" s="979">
        <f t="shared" ca="1" si="108"/>
        <v>9.6220624589845194</v>
      </c>
      <c r="HZ71" s="979">
        <f t="shared" ca="1" si="108"/>
        <v>9.5392645206699864</v>
      </c>
      <c r="IA71" s="979">
        <f t="shared" ca="1" si="108"/>
        <v>9.4571814590688916</v>
      </c>
      <c r="IB71" s="979">
        <f t="shared" ca="1" si="108"/>
        <v>9.3758069898916467</v>
      </c>
      <c r="IC71" s="979">
        <f t="shared" ca="1" si="108"/>
        <v>9.2951348893066168</v>
      </c>
      <c r="ID71" s="979">
        <f t="shared" ca="1" si="108"/>
        <v>9.215158993120216</v>
      </c>
      <c r="IE71" s="979">
        <f t="shared" ca="1" si="108"/>
        <v>9.1358731959779789</v>
      </c>
      <c r="IF71" s="979">
        <f t="shared" ca="1" si="108"/>
        <v>9.0572714505858798</v>
      </c>
      <c r="IG71" s="979">
        <f t="shared" ca="1" si="108"/>
        <v>8.9793477669511415</v>
      </c>
      <c r="IH71" s="979">
        <f t="shared" ca="1" si="108"/>
        <v>8.9020962116416555</v>
      </c>
      <c r="II71" s="979">
        <f t="shared" ca="1" si="108"/>
        <v>8.8255109070634283</v>
      </c>
      <c r="IJ71" s="979">
        <f t="shared" ca="1" si="108"/>
        <v>8.7495860307551965</v>
      </c>
      <c r="IK71" s="979">
        <f t="shared" ca="1" si="108"/>
        <v>8.6743158146996997</v>
      </c>
      <c r="IL71" s="979">
        <f t="shared" ca="1" si="108"/>
        <v>8.5996945446508661</v>
      </c>
      <c r="IM71" s="979">
        <f t="shared" ca="1" si="108"/>
        <v>8.5257165594763826</v>
      </c>
      <c r="IN71" s="979">
        <f t="shared" ca="1" si="108"/>
        <v>8.4523762505149964</v>
      </c>
      <c r="IO71" s="979">
        <f t="shared" ca="1" si="108"/>
        <v>8.3796680609480649</v>
      </c>
      <c r="IP71" s="979">
        <f t="shared" ca="1" si="108"/>
        <v>8.3075864851847623</v>
      </c>
      <c r="IQ71" s="979">
        <f t="shared" ca="1" si="108"/>
        <v>8.2361260682605213</v>
      </c>
      <c r="IR71" s="979">
        <f t="shared" ca="1" si="108"/>
        <v>8.1652814052481126</v>
      </c>
    </row>
    <row r="72" spans="2:252" s="960" customFormat="1" ht="11.85" customHeight="1">
      <c r="B72" s="958"/>
      <c r="C72" s="979"/>
      <c r="D72" s="979"/>
      <c r="E72" s="1050"/>
      <c r="F72" s="979"/>
      <c r="G72" s="979"/>
      <c r="H72" s="979"/>
      <c r="I72" s="979"/>
      <c r="J72" s="979"/>
      <c r="K72" s="979"/>
      <c r="L72" s="979"/>
      <c r="M72" s="979"/>
      <c r="N72" s="979"/>
      <c r="O72" s="979"/>
      <c r="P72" s="979"/>
      <c r="Q72" s="979"/>
      <c r="R72" s="979"/>
      <c r="S72" s="979"/>
      <c r="T72" s="979"/>
      <c r="U72" s="979"/>
      <c r="V72" s="979"/>
      <c r="W72" s="1051"/>
      <c r="X72" s="979"/>
      <c r="Y72" s="979"/>
      <c r="Z72" s="979"/>
      <c r="AA72" s="979"/>
      <c r="AB72" s="979"/>
      <c r="AC72" s="979"/>
      <c r="AD72" s="979"/>
      <c r="AE72" s="979"/>
      <c r="AF72" s="979"/>
      <c r="AG72" s="979"/>
      <c r="AH72" s="979"/>
      <c r="AI72" s="979"/>
      <c r="AJ72" s="979"/>
      <c r="AK72" s="979"/>
      <c r="AL72" s="979"/>
      <c r="AM72" s="979"/>
      <c r="AN72" s="979"/>
      <c r="AO72" s="979"/>
      <c r="AP72" s="979"/>
      <c r="AQ72" s="979"/>
      <c r="AR72" s="979"/>
      <c r="AS72" s="979"/>
      <c r="AT72" s="979"/>
      <c r="AU72" s="979"/>
      <c r="AV72" s="979"/>
      <c r="AW72" s="979"/>
      <c r="AX72" s="979"/>
      <c r="AY72" s="979"/>
      <c r="AZ72" s="979"/>
      <c r="BA72" s="979"/>
      <c r="BB72" s="979"/>
      <c r="BC72" s="979"/>
      <c r="BD72" s="979"/>
      <c r="BE72" s="979"/>
      <c r="BF72" s="979"/>
      <c r="BG72" s="979"/>
      <c r="BH72" s="979"/>
      <c r="BI72" s="979"/>
      <c r="BJ72" s="979"/>
      <c r="BK72" s="979"/>
      <c r="BL72" s="979"/>
      <c r="BM72" s="979"/>
      <c r="BN72" s="979"/>
      <c r="BO72" s="979"/>
      <c r="BP72" s="979"/>
      <c r="BQ72" s="979"/>
      <c r="BR72" s="979"/>
      <c r="BS72" s="979"/>
      <c r="BT72" s="979"/>
      <c r="BU72" s="979"/>
      <c r="BV72" s="979"/>
      <c r="BW72" s="979"/>
      <c r="BX72" s="979"/>
      <c r="BY72" s="979"/>
      <c r="BZ72" s="979"/>
      <c r="CA72" s="979"/>
      <c r="CB72" s="979"/>
      <c r="CC72" s="979"/>
      <c r="CD72" s="979"/>
      <c r="CE72" s="979"/>
      <c r="CF72" s="979"/>
      <c r="CG72" s="979"/>
      <c r="CH72" s="979"/>
      <c r="CI72" s="979"/>
      <c r="CJ72" s="979"/>
      <c r="CK72" s="979"/>
      <c r="CL72" s="979"/>
      <c r="CM72" s="979"/>
      <c r="CN72" s="979"/>
      <c r="CO72" s="979"/>
      <c r="CP72" s="979"/>
      <c r="CQ72" s="979"/>
      <c r="CR72" s="979"/>
      <c r="CS72" s="979"/>
      <c r="CT72" s="979"/>
      <c r="CU72" s="979"/>
      <c r="CV72" s="979"/>
      <c r="CW72" s="979"/>
      <c r="CX72" s="979"/>
      <c r="CY72" s="979"/>
      <c r="CZ72" s="979"/>
      <c r="DA72" s="979"/>
      <c r="DB72" s="979"/>
      <c r="DC72" s="979"/>
      <c r="DD72" s="979"/>
      <c r="DE72" s="979"/>
      <c r="DF72" s="979"/>
      <c r="DG72" s="979"/>
      <c r="DH72" s="979"/>
      <c r="DI72" s="979"/>
      <c r="DJ72" s="979"/>
      <c r="DK72" s="979"/>
      <c r="DL72" s="979"/>
      <c r="DM72" s="979"/>
      <c r="DN72" s="979"/>
      <c r="DO72" s="979"/>
      <c r="DP72" s="979"/>
      <c r="DQ72" s="979"/>
      <c r="DR72" s="979"/>
      <c r="DS72" s="979"/>
      <c r="DT72" s="979"/>
      <c r="DU72" s="979"/>
      <c r="DV72" s="979"/>
      <c r="DW72" s="979"/>
      <c r="DX72" s="979"/>
      <c r="DY72" s="979"/>
      <c r="DZ72" s="979"/>
      <c r="EA72" s="979"/>
      <c r="EB72" s="979"/>
      <c r="EC72" s="979"/>
      <c r="ED72" s="979"/>
      <c r="EE72" s="979"/>
      <c r="EF72" s="979"/>
      <c r="EG72" s="979"/>
      <c r="EH72" s="979"/>
      <c r="EI72" s="979"/>
      <c r="EJ72" s="979"/>
      <c r="EK72" s="979"/>
      <c r="EL72" s="979"/>
      <c r="EM72" s="979"/>
      <c r="EN72" s="979"/>
      <c r="EO72" s="979"/>
      <c r="EP72" s="979"/>
      <c r="EQ72" s="979"/>
      <c r="ER72" s="979"/>
      <c r="ES72" s="979"/>
      <c r="ET72" s="979"/>
      <c r="EU72" s="979"/>
      <c r="EV72" s="979"/>
      <c r="EW72" s="979"/>
      <c r="EX72" s="979"/>
      <c r="EY72" s="979"/>
      <c r="EZ72" s="979"/>
      <c r="FA72" s="979"/>
      <c r="FB72" s="979"/>
      <c r="FC72" s="979"/>
      <c r="FD72" s="979"/>
      <c r="FE72" s="979"/>
      <c r="FF72" s="979"/>
      <c r="FG72" s="979"/>
      <c r="FH72" s="979"/>
      <c r="FI72" s="979"/>
      <c r="FJ72" s="979"/>
      <c r="FK72" s="979"/>
      <c r="FL72" s="979"/>
      <c r="FM72" s="979"/>
      <c r="FN72" s="979"/>
      <c r="FO72" s="979"/>
      <c r="FP72" s="979"/>
      <c r="FQ72" s="979"/>
      <c r="FR72" s="979"/>
      <c r="FS72" s="979"/>
      <c r="FT72" s="979"/>
      <c r="FU72" s="979"/>
      <c r="FV72" s="979"/>
      <c r="FW72" s="979"/>
      <c r="FX72" s="979"/>
      <c r="FY72" s="979"/>
      <c r="FZ72" s="979"/>
      <c r="GA72" s="979"/>
      <c r="GB72" s="979"/>
      <c r="GC72" s="979"/>
      <c r="GD72" s="979"/>
      <c r="GE72" s="979"/>
      <c r="GF72" s="979"/>
      <c r="GG72" s="979"/>
      <c r="GH72" s="979"/>
      <c r="GI72" s="979"/>
      <c r="GJ72" s="979"/>
      <c r="GK72" s="979"/>
      <c r="GL72" s="979"/>
      <c r="GM72" s="979"/>
      <c r="GN72" s="979"/>
      <c r="GO72" s="979"/>
      <c r="GP72" s="979"/>
      <c r="GQ72" s="979"/>
      <c r="GR72" s="979"/>
      <c r="GS72" s="979"/>
      <c r="GT72" s="979"/>
      <c r="GU72" s="979"/>
      <c r="GV72" s="979"/>
      <c r="GW72" s="979"/>
      <c r="GX72" s="979"/>
      <c r="GY72" s="979"/>
      <c r="GZ72" s="979"/>
      <c r="HA72" s="979"/>
      <c r="HB72" s="979"/>
      <c r="HC72" s="979"/>
      <c r="HD72" s="979"/>
      <c r="HE72" s="979"/>
      <c r="HF72" s="979"/>
      <c r="HG72" s="979"/>
      <c r="HH72" s="979"/>
      <c r="HI72" s="979"/>
      <c r="HJ72" s="979"/>
      <c r="HK72" s="979"/>
      <c r="HL72" s="979"/>
      <c r="HM72" s="979"/>
      <c r="HN72" s="979"/>
      <c r="HO72" s="979"/>
      <c r="HP72" s="979"/>
      <c r="HQ72" s="979"/>
      <c r="HR72" s="979"/>
      <c r="HS72" s="979"/>
      <c r="HT72" s="979"/>
      <c r="HU72" s="979"/>
      <c r="HV72" s="979"/>
      <c r="HW72" s="979"/>
      <c r="HX72" s="979"/>
      <c r="HY72" s="979"/>
      <c r="HZ72" s="979"/>
      <c r="IA72" s="979"/>
      <c r="IB72" s="979"/>
      <c r="IC72" s="979"/>
      <c r="ID72" s="979"/>
      <c r="IE72" s="979"/>
      <c r="IF72" s="979"/>
      <c r="IG72" s="979"/>
      <c r="IH72" s="979"/>
      <c r="II72" s="979"/>
      <c r="IJ72" s="979"/>
      <c r="IK72" s="979"/>
      <c r="IL72" s="979"/>
      <c r="IM72" s="979"/>
      <c r="IN72" s="979"/>
      <c r="IO72" s="979"/>
      <c r="IP72" s="979"/>
      <c r="IQ72" s="979"/>
      <c r="IR72" s="979"/>
    </row>
    <row r="73" spans="2:252" s="960" customFormat="1" ht="15">
      <c r="B73" s="1054" t="s">
        <v>715</v>
      </c>
      <c r="C73" s="979"/>
      <c r="D73" s="979"/>
      <c r="E73" s="1050"/>
      <c r="F73" s="979"/>
      <c r="G73" s="1055"/>
      <c r="H73" s="1055"/>
      <c r="I73" s="1055"/>
      <c r="J73" s="1055"/>
      <c r="K73" s="1055"/>
      <c r="L73" s="1055"/>
      <c r="M73" s="1055"/>
      <c r="N73" s="1055"/>
      <c r="O73" s="1055"/>
      <c r="P73" s="1055"/>
      <c r="Q73" s="1055"/>
      <c r="R73" s="1055"/>
      <c r="S73" s="1055"/>
      <c r="T73" s="1055"/>
      <c r="U73" s="1055"/>
      <c r="V73" s="1055"/>
      <c r="W73" s="1056"/>
      <c r="X73" s="1055"/>
      <c r="Y73" s="1055"/>
      <c r="Z73" s="1055"/>
      <c r="AA73" s="1055"/>
      <c r="AB73" s="1055"/>
      <c r="AC73" s="1055"/>
      <c r="AD73" s="1055"/>
      <c r="AE73" s="1055"/>
      <c r="AF73" s="1055"/>
      <c r="AG73" s="1055"/>
      <c r="AH73" s="1055"/>
      <c r="AI73" s="1055"/>
      <c r="AJ73" s="1055"/>
      <c r="AK73" s="1055"/>
      <c r="AL73" s="1055"/>
      <c r="AM73" s="1055"/>
      <c r="AN73" s="1055"/>
      <c r="AO73" s="1055"/>
      <c r="AP73" s="1055"/>
      <c r="AQ73" s="1055"/>
      <c r="AR73" s="1055"/>
      <c r="AS73" s="1055"/>
      <c r="AT73" s="1055"/>
      <c r="AU73" s="1055"/>
      <c r="AV73" s="1055"/>
      <c r="AW73" s="1055"/>
      <c r="AX73" s="1055"/>
      <c r="AY73" s="1055"/>
      <c r="AZ73" s="1055"/>
      <c r="BA73" s="1055"/>
      <c r="BB73" s="1055"/>
      <c r="BC73" s="1055"/>
      <c r="BD73" s="1055"/>
      <c r="BE73" s="1055"/>
      <c r="BF73" s="1055"/>
      <c r="BG73" s="1055"/>
      <c r="BH73" s="1055"/>
      <c r="BI73" s="1055"/>
      <c r="BJ73" s="1055"/>
      <c r="BK73" s="1055"/>
      <c r="BL73" s="1055"/>
      <c r="BM73" s="1055"/>
      <c r="BN73" s="1055"/>
      <c r="BO73" s="1055"/>
      <c r="BP73" s="1055"/>
      <c r="BQ73" s="1055"/>
      <c r="BR73" s="1055"/>
      <c r="BS73" s="1055"/>
      <c r="BT73" s="1055"/>
      <c r="BU73" s="1055"/>
      <c r="BV73" s="1055"/>
      <c r="BW73" s="1055"/>
      <c r="BX73" s="1055"/>
      <c r="BY73" s="1055"/>
      <c r="BZ73" s="1055"/>
      <c r="CA73" s="1055"/>
      <c r="CB73" s="1055"/>
      <c r="CC73" s="1055"/>
      <c r="CD73" s="1055"/>
      <c r="CE73" s="1055"/>
      <c r="CF73" s="1055"/>
      <c r="CG73" s="1055"/>
      <c r="CH73" s="1055"/>
      <c r="CI73" s="1055"/>
      <c r="CJ73" s="1055"/>
      <c r="CK73" s="1055"/>
      <c r="CL73" s="1055"/>
      <c r="CM73" s="1055"/>
      <c r="CN73" s="1055"/>
      <c r="CO73" s="1055"/>
      <c r="CP73" s="1055"/>
      <c r="CQ73" s="1055"/>
      <c r="CR73" s="1055"/>
      <c r="CS73" s="1055"/>
      <c r="CT73" s="1055"/>
      <c r="CU73" s="1055"/>
      <c r="CV73" s="1055"/>
      <c r="CW73" s="1055"/>
      <c r="CX73" s="1055"/>
      <c r="CY73" s="1055"/>
      <c r="CZ73" s="1055"/>
      <c r="DA73" s="1055"/>
      <c r="DB73" s="1055"/>
      <c r="DC73" s="1055"/>
      <c r="DD73" s="1055"/>
      <c r="DE73" s="1055"/>
      <c r="DF73" s="1055"/>
      <c r="DG73" s="1055"/>
      <c r="DH73" s="1055"/>
      <c r="DI73" s="1055"/>
      <c r="DJ73" s="1055"/>
      <c r="DK73" s="1055"/>
      <c r="DL73" s="1055"/>
      <c r="DM73" s="1055"/>
      <c r="DN73" s="1055"/>
      <c r="DO73" s="1055"/>
      <c r="DP73" s="1055"/>
      <c r="DQ73" s="1055"/>
      <c r="DR73" s="1055"/>
      <c r="DS73" s="1055"/>
      <c r="DT73" s="1055"/>
      <c r="DU73" s="1055"/>
      <c r="DV73" s="1055"/>
      <c r="DW73" s="1055"/>
      <c r="DX73" s="1055"/>
      <c r="DY73" s="1055"/>
      <c r="DZ73" s="1055"/>
      <c r="EA73" s="1055"/>
      <c r="EB73" s="1055"/>
      <c r="EC73" s="1055"/>
      <c r="ED73" s="1055"/>
      <c r="EE73" s="1055"/>
      <c r="EF73" s="1055"/>
      <c r="EG73" s="1055"/>
      <c r="EH73" s="1055"/>
      <c r="EI73" s="1055"/>
      <c r="EJ73" s="1055"/>
      <c r="EK73" s="1055"/>
      <c r="EL73" s="1055"/>
      <c r="EM73" s="1055"/>
      <c r="EN73" s="1055"/>
      <c r="EO73" s="1055"/>
      <c r="EP73" s="1055"/>
      <c r="EQ73" s="1055"/>
      <c r="ER73" s="1055"/>
      <c r="ES73" s="1055"/>
      <c r="ET73" s="1055"/>
      <c r="EU73" s="1055"/>
      <c r="EV73" s="1055"/>
      <c r="EW73" s="1055"/>
      <c r="EX73" s="1055"/>
      <c r="EY73" s="1055"/>
      <c r="EZ73" s="1055"/>
      <c r="FA73" s="1055"/>
      <c r="FB73" s="1055"/>
      <c r="FC73" s="1055"/>
      <c r="FD73" s="1055"/>
      <c r="FE73" s="1055"/>
      <c r="FF73" s="1055"/>
      <c r="FG73" s="1055"/>
      <c r="FH73" s="1055"/>
      <c r="FI73" s="1055"/>
      <c r="FJ73" s="1055"/>
      <c r="FK73" s="1055"/>
      <c r="FL73" s="1055"/>
      <c r="FM73" s="1055"/>
      <c r="FN73" s="1055"/>
      <c r="FO73" s="1055"/>
      <c r="FP73" s="1055"/>
      <c r="FQ73" s="1055"/>
      <c r="FR73" s="1055"/>
      <c r="FS73" s="1055"/>
      <c r="FT73" s="1055"/>
      <c r="FU73" s="1055"/>
      <c r="FV73" s="1055"/>
      <c r="FW73" s="1055"/>
      <c r="FX73" s="1055"/>
      <c r="FY73" s="1055"/>
      <c r="FZ73" s="1055"/>
      <c r="GA73" s="1055"/>
      <c r="GB73" s="1055"/>
      <c r="GC73" s="1055"/>
      <c r="GD73" s="1055"/>
      <c r="GE73" s="1055"/>
      <c r="GF73" s="1055"/>
      <c r="GG73" s="1055"/>
      <c r="GH73" s="1055"/>
      <c r="GI73" s="1055"/>
      <c r="GJ73" s="1055"/>
      <c r="GK73" s="1055"/>
      <c r="GL73" s="1055"/>
      <c r="GM73" s="1055"/>
      <c r="GN73" s="1055"/>
      <c r="GO73" s="1055"/>
      <c r="GP73" s="1055"/>
      <c r="GQ73" s="1055"/>
      <c r="GR73" s="1055"/>
      <c r="GS73" s="1055"/>
      <c r="GT73" s="1055"/>
      <c r="GU73" s="1055"/>
      <c r="GV73" s="1055"/>
      <c r="GW73" s="1055"/>
      <c r="GX73" s="1055"/>
      <c r="GY73" s="1055"/>
      <c r="GZ73" s="1055"/>
      <c r="HA73" s="1055"/>
      <c r="HB73" s="1055"/>
      <c r="HC73" s="1055"/>
      <c r="HD73" s="1055"/>
      <c r="HE73" s="1055"/>
      <c r="HF73" s="1055"/>
      <c r="HG73" s="1055"/>
      <c r="HH73" s="1055"/>
      <c r="HI73" s="1055"/>
      <c r="HJ73" s="1055"/>
      <c r="HK73" s="1055"/>
      <c r="HL73" s="1055"/>
      <c r="HM73" s="1055"/>
      <c r="HN73" s="1055"/>
      <c r="HO73" s="1055"/>
      <c r="HP73" s="1055"/>
      <c r="HQ73" s="1055"/>
      <c r="HR73" s="1055"/>
      <c r="HS73" s="1055"/>
      <c r="HT73" s="1055"/>
      <c r="HU73" s="1055"/>
      <c r="HV73" s="1055"/>
      <c r="HW73" s="1055"/>
      <c r="HX73" s="1055"/>
      <c r="HY73" s="1055"/>
      <c r="HZ73" s="1055"/>
      <c r="IA73" s="1055"/>
      <c r="IB73" s="1055"/>
      <c r="IC73" s="1055"/>
      <c r="ID73" s="1055"/>
      <c r="IE73" s="1055"/>
      <c r="IF73" s="1055"/>
      <c r="IG73" s="1055"/>
      <c r="IH73" s="1055"/>
      <c r="II73" s="1055"/>
      <c r="IJ73" s="1055"/>
      <c r="IK73" s="1055"/>
      <c r="IL73" s="1055"/>
      <c r="IM73" s="1055"/>
      <c r="IN73" s="1055"/>
      <c r="IO73" s="1055"/>
      <c r="IP73" s="1055"/>
      <c r="IQ73" s="1055"/>
      <c r="IR73" s="1057"/>
    </row>
    <row r="74" spans="2:252" s="960" customFormat="1" ht="11.85" customHeight="1">
      <c r="B74" s="1021" t="s">
        <v>716</v>
      </c>
      <c r="C74" s="979">
        <f t="shared" ref="C74:BN74" si="109">IF(C98="E",-C47,$C$17*B76)</f>
        <v>108.56715376418965</v>
      </c>
      <c r="D74" s="979">
        <f t="shared" si="109"/>
        <v>102.62650998353591</v>
      </c>
      <c r="E74" s="1050">
        <f t="shared" si="109"/>
        <v>99.654102495731024</v>
      </c>
      <c r="F74" s="979">
        <f t="shared" si="109"/>
        <v>95.66711413079571</v>
      </c>
      <c r="G74" s="979">
        <f t="shared" si="109"/>
        <v>125.97747061111966</v>
      </c>
      <c r="H74" s="979">
        <f t="shared" ca="1" si="109"/>
        <v>110.00465079954331</v>
      </c>
      <c r="I74" s="979">
        <f t="shared" ca="1" si="109"/>
        <v>117.6807611134814</v>
      </c>
      <c r="J74" s="979">
        <f t="shared" ca="1" si="109"/>
        <v>125.28348665107431</v>
      </c>
      <c r="K74" s="979">
        <f t="shared" ca="1" si="109"/>
        <v>132.70758434613151</v>
      </c>
      <c r="L74" s="979">
        <f t="shared" ca="1" si="109"/>
        <v>139.82727588628401</v>
      </c>
      <c r="M74" s="979">
        <f t="shared" ca="1" si="109"/>
        <v>146.49173019597399</v>
      </c>
      <c r="N74" s="979">
        <f t="shared" ca="1" si="109"/>
        <v>152.51886931799649</v>
      </c>
      <c r="O74" s="979">
        <f t="shared" ca="1" si="109"/>
        <v>157.68666348844528</v>
      </c>
      <c r="P74" s="979">
        <f t="shared" ca="1" si="109"/>
        <v>161.72058848948527</v>
      </c>
      <c r="Q74" s="979">
        <f t="shared" ca="1" si="109"/>
        <v>164.27507542506987</v>
      </c>
      <c r="R74" s="979">
        <f t="shared" ca="1" si="109"/>
        <v>164.90528906340649</v>
      </c>
      <c r="S74" s="979">
        <f t="shared" ca="1" si="109"/>
        <v>163.0228138587</v>
      </c>
      <c r="T74" s="979">
        <f t="shared" ca="1" si="109"/>
        <v>157.82349614343366</v>
      </c>
      <c r="U74" s="979">
        <f t="shared" ca="1" si="109"/>
        <v>148.16480693691986</v>
      </c>
      <c r="V74" s="979">
        <f t="shared" ca="1" si="109"/>
        <v>132.34638008594294</v>
      </c>
      <c r="W74" s="1051">
        <f t="shared" ca="1" si="109"/>
        <v>107.99337030334323</v>
      </c>
      <c r="X74" s="979">
        <f t="shared" ca="1" si="109"/>
        <v>119.08347356034201</v>
      </c>
      <c r="Y74" s="979">
        <f t="shared" ca="1" si="109"/>
        <v>124.4012087126182</v>
      </c>
      <c r="Z74" s="979">
        <f t="shared" ca="1" si="109"/>
        <v>129.93227560851025</v>
      </c>
      <c r="AA74" s="979">
        <f t="shared" ca="1" si="109"/>
        <v>135.68518377623718</v>
      </c>
      <c r="AB74" s="979">
        <f t="shared" ca="1" si="109"/>
        <v>141.668784016779</v>
      </c>
      <c r="AC74" s="979">
        <f t="shared" ca="1" si="109"/>
        <v>147.89228202286409</v>
      </c>
      <c r="AD74" s="979">
        <f t="shared" ca="1" si="109"/>
        <v>154.36525254368436</v>
      </c>
      <c r="AE74" s="979">
        <f t="shared" ca="1" si="109"/>
        <v>161.09765411715708</v>
      </c>
      <c r="AF74" s="979">
        <f t="shared" ca="1" si="109"/>
        <v>168.09984439242467</v>
      </c>
      <c r="AG74" s="979">
        <f t="shared" ca="1" si="109"/>
        <v>175.38259606618746</v>
      </c>
      <c r="AH74" s="979">
        <f t="shared" ca="1" si="109"/>
        <v>182.95711345740725</v>
      </c>
      <c r="AI74" s="979">
        <f t="shared" ca="1" si="109"/>
        <v>190.83504974589965</v>
      </c>
      <c r="AJ74" s="979">
        <f t="shared" ca="1" si="109"/>
        <v>199.0285249013512</v>
      </c>
      <c r="AK74" s="979">
        <f t="shared" ca="1" si="109"/>
        <v>207.55014433035913</v>
      </c>
      <c r="AL74" s="979">
        <f t="shared" ca="1" si="109"/>
        <v>216.4130182701947</v>
      </c>
      <c r="AM74" s="979">
        <f t="shared" ca="1" si="109"/>
        <v>225.6307819591367</v>
      </c>
      <c r="AN74" s="979">
        <f t="shared" ca="1" si="109"/>
        <v>235.21761661441789</v>
      </c>
      <c r="AO74" s="979">
        <f t="shared" ca="1" si="109"/>
        <v>245.18827125006658</v>
      </c>
      <c r="AP74" s="979">
        <f t="shared" ca="1" si="109"/>
        <v>255.55808536821661</v>
      </c>
      <c r="AQ74" s="979">
        <f t="shared" ca="1" si="109"/>
        <v>266.34301255880354</v>
      </c>
      <c r="AR74" s="979">
        <f t="shared" ca="1" si="109"/>
        <v>277.55964504396024</v>
      </c>
      <c r="AS74" s="979">
        <f t="shared" ca="1" si="109"/>
        <v>289.22523920487782</v>
      </c>
      <c r="AT74" s="979">
        <f t="shared" ca="1" si="109"/>
        <v>301.35774213040952</v>
      </c>
      <c r="AU74" s="979">
        <f t="shared" ca="1" si="109"/>
        <v>313.97581922826544</v>
      </c>
      <c r="AV74" s="979">
        <f t="shared" ca="1" si="109"/>
        <v>327.09888294128189</v>
      </c>
      <c r="AW74" s="979">
        <f t="shared" ca="1" si="109"/>
        <v>340.74712261294638</v>
      </c>
      <c r="AX74" s="979">
        <f t="shared" ca="1" si="109"/>
        <v>354.94153554812942</v>
      </c>
      <c r="AY74" s="979">
        <f t="shared" ca="1" si="109"/>
        <v>369.70395931681105</v>
      </c>
      <c r="AZ74" s="979">
        <f t="shared" ca="1" si="109"/>
        <v>385.05710535050343</v>
      </c>
      <c r="BA74" s="979">
        <f t="shared" ca="1" si="109"/>
        <v>401.02459388305709</v>
      </c>
      <c r="BB74" s="979">
        <f t="shared" ca="1" si="109"/>
        <v>417.63099028960988</v>
      </c>
      <c r="BC74" s="979">
        <f t="shared" ca="1" si="109"/>
        <v>434.90184287958493</v>
      </c>
      <c r="BD74" s="979">
        <f t="shared" ca="1" si="109"/>
        <v>452.86372220188133</v>
      </c>
      <c r="BE74" s="979">
        <f t="shared" ca="1" si="109"/>
        <v>471.5442619227324</v>
      </c>
      <c r="BF74" s="979">
        <f t="shared" ca="1" si="109"/>
        <v>490.97220133911742</v>
      </c>
      <c r="BG74" s="979">
        <f t="shared" ca="1" si="109"/>
        <v>511.17742959313455</v>
      </c>
      <c r="BH74" s="979">
        <f t="shared" ca="1" si="109"/>
        <v>532.19103165536023</v>
      </c>
      <c r="BI74" s="979">
        <f t="shared" ca="1" si="109"/>
        <v>554.0453361479357</v>
      </c>
      <c r="BJ74" s="979">
        <f t="shared" ca="1" si="109"/>
        <v>576.77396508095933</v>
      </c>
      <c r="BK74" s="979">
        <f t="shared" ca="1" si="109"/>
        <v>600.41188557869918</v>
      </c>
      <c r="BL74" s="979">
        <f t="shared" ca="1" si="109"/>
        <v>624.99546367520895</v>
      </c>
      <c r="BM74" s="979">
        <f t="shared" ca="1" si="109"/>
        <v>650.56252026210643</v>
      </c>
      <c r="BN74" s="979">
        <f t="shared" ca="1" si="109"/>
        <v>677.15238927459313</v>
      </c>
      <c r="BO74" s="979">
        <f t="shared" ref="BO74:DZ74" ca="1" si="110">IF(BO98="E",-BO47,$C$17*BN76)</f>
        <v>704.80597820522689</v>
      </c>
      <c r="BP74" s="979">
        <f t="shared" ca="1" si="110"/>
        <v>733.5658310385511</v>
      </c>
      <c r="BQ74" s="979">
        <f t="shared" ca="1" si="110"/>
        <v>763.47619370340021</v>
      </c>
      <c r="BR74" s="979">
        <f t="shared" ca="1" si="110"/>
        <v>794.58308214357896</v>
      </c>
      <c r="BS74" s="979">
        <f t="shared" ca="1" si="110"/>
        <v>826.93435311163921</v>
      </c>
      <c r="BT74" s="979">
        <f t="shared" ca="1" si="110"/>
        <v>860.57977779466785</v>
      </c>
      <c r="BU74" s="979">
        <f t="shared" ca="1" si="110"/>
        <v>895.57111838535934</v>
      </c>
      <c r="BV74" s="979">
        <f t="shared" ca="1" si="110"/>
        <v>931.96220771616754</v>
      </c>
      <c r="BW74" s="979">
        <f t="shared" ca="1" si="110"/>
        <v>969.80903207906204</v>
      </c>
      <c r="BX74" s="979">
        <f t="shared" ca="1" si="110"/>
        <v>1009.1698173582907</v>
      </c>
      <c r="BY74" s="979">
        <f t="shared" ca="1" si="110"/>
        <v>1050.1051186086756</v>
      </c>
      <c r="BZ74" s="979">
        <f t="shared" ca="1" si="110"/>
        <v>1092.6779132172408</v>
      </c>
      <c r="CA74" s="979">
        <f t="shared" ca="1" si="110"/>
        <v>1136.9536977915079</v>
      </c>
      <c r="CB74" s="979">
        <f t="shared" ca="1" si="110"/>
        <v>1183.0005889235124</v>
      </c>
      <c r="CC74" s="979">
        <f t="shared" ca="1" si="110"/>
        <v>1230.8894279845681</v>
      </c>
      <c r="CD74" s="979">
        <f t="shared" ca="1" si="110"/>
        <v>1280.6938901119947</v>
      </c>
      <c r="CE74" s="979">
        <f t="shared" ca="1" si="110"/>
        <v>1332.4905975554884</v>
      </c>
      <c r="CF74" s="979">
        <f t="shared" ca="1" si="110"/>
        <v>1386.3592375575099</v>
      </c>
      <c r="CG74" s="979">
        <f t="shared" ca="1" si="110"/>
        <v>1442.3826849490438</v>
      </c>
      <c r="CH74" s="979">
        <f t="shared" ca="1" si="110"/>
        <v>1500.6471296493437</v>
      </c>
      <c r="CI74" s="979">
        <f t="shared" ca="1" si="110"/>
        <v>1561.2422092658087</v>
      </c>
      <c r="CJ74" s="979">
        <f t="shared" ca="1" si="110"/>
        <v>1624.2611469979984</v>
      </c>
      <c r="CK74" s="979">
        <f t="shared" ca="1" si="110"/>
        <v>1689.8008950579417</v>
      </c>
      <c r="CL74" s="979">
        <f t="shared" ca="1" si="110"/>
        <v>1757.9622838273872</v>
      </c>
      <c r="CM74" s="979">
        <f t="shared" ca="1" si="110"/>
        <v>1828.85017698147</v>
      </c>
      <c r="CN74" s="979">
        <f t="shared" ca="1" si="110"/>
        <v>1902.5736328174448</v>
      </c>
      <c r="CO74" s="979">
        <f t="shared" ca="1" si="110"/>
        <v>1979.2460720366785</v>
      </c>
      <c r="CP74" s="979">
        <f t="shared" ca="1" si="110"/>
        <v>2058.985452238046</v>
      </c>
      <c r="CQ74" s="979">
        <f t="shared" ca="1" si="110"/>
        <v>2141.9144493911517</v>
      </c>
      <c r="CR74" s="979">
        <f t="shared" ca="1" si="110"/>
        <v>2228.1606465685991</v>
      </c>
      <c r="CS74" s="979">
        <f t="shared" ca="1" si="110"/>
        <v>2317.8567302276338</v>
      </c>
      <c r="CT74" s="979">
        <f t="shared" ca="1" si="110"/>
        <v>2411.1406943431643</v>
      </c>
      <c r="CU74" s="979">
        <f t="shared" ca="1" si="110"/>
        <v>2508.1560527061761</v>
      </c>
      <c r="CV74" s="979">
        <f t="shared" ca="1" si="110"/>
        <v>2609.0520597141899</v>
      </c>
      <c r="CW74" s="979">
        <f t="shared" ca="1" si="110"/>
        <v>2713.9839399934021</v>
      </c>
      <c r="CX74" s="979">
        <f t="shared" ca="1" si="110"/>
        <v>2823.1131272058115</v>
      </c>
      <c r="CY74" s="979">
        <f t="shared" ca="1" si="110"/>
        <v>2936.607512408691</v>
      </c>
      <c r="CZ74" s="979">
        <f t="shared" ca="1" si="110"/>
        <v>3054.6417023485319</v>
      </c>
      <c r="DA74" s="979">
        <f t="shared" ca="1" si="110"/>
        <v>3177.3972880867987</v>
      </c>
      <c r="DB74" s="979">
        <f t="shared" ca="1" si="110"/>
        <v>3305.0631243707994</v>
      </c>
      <c r="DC74" s="979">
        <f t="shared" ca="1" si="110"/>
        <v>3437.8356201794495</v>
      </c>
      <c r="DD74" s="979">
        <f t="shared" ca="1" si="110"/>
        <v>3575.919040890929</v>
      </c>
      <c r="DE74" s="979">
        <f t="shared" ca="1" si="110"/>
        <v>3719.5258225371144</v>
      </c>
      <c r="DF74" s="979">
        <f t="shared" ca="1" si="110"/>
        <v>3868.8768986282421</v>
      </c>
      <c r="DG74" s="979">
        <f t="shared" ca="1" si="110"/>
        <v>4024.2020400506185</v>
      </c>
      <c r="DH74" s="979">
        <f t="shared" ca="1" si="110"/>
        <v>4185.7402085602826</v>
      </c>
      <c r="DI74" s="979">
        <f t="shared" ca="1" si="110"/>
        <v>4353.7399244164908</v>
      </c>
      <c r="DJ74" s="979">
        <f t="shared" ca="1" si="110"/>
        <v>4528.4596487205663</v>
      </c>
      <c r="DK74" s="979">
        <f t="shared" ca="1" si="110"/>
        <v>4710.1681810483669</v>
      </c>
      <c r="DL74" s="979">
        <f t="shared" ca="1" si="110"/>
        <v>4899.1450729880989</v>
      </c>
      <c r="DM74" s="979">
        <f t="shared" ca="1" si="110"/>
        <v>5095.6810582196704</v>
      </c>
      <c r="DN74" s="979">
        <f t="shared" ca="1" si="110"/>
        <v>5300.0784997972896</v>
      </c>
      <c r="DO74" s="979">
        <f t="shared" ca="1" si="110"/>
        <v>5512.6518553233873</v>
      </c>
      <c r="DP74" s="979">
        <f t="shared" ca="1" si="110"/>
        <v>5733.7281607295445</v>
      </c>
      <c r="DQ74" s="979">
        <f t="shared" ca="1" si="110"/>
        <v>5963.6475334086999</v>
      </c>
      <c r="DR74" s="979">
        <f t="shared" ca="1" si="110"/>
        <v>6202.7636954726668</v>
      </c>
      <c r="DS74" s="979">
        <f t="shared" ca="1" si="110"/>
        <v>6451.44451794001</v>
      </c>
      <c r="DT74" s="979">
        <f t="shared" ca="1" si="110"/>
        <v>6710.0725866914499</v>
      </c>
      <c r="DU74" s="979">
        <f t="shared" ca="1" si="110"/>
        <v>6979.0457910635278</v>
      </c>
      <c r="DV74" s="979">
        <f t="shared" ca="1" si="110"/>
        <v>7258.7779359860497</v>
      </c>
      <c r="DW74" s="979">
        <f t="shared" ca="1" si="110"/>
        <v>7549.6993786050534</v>
      </c>
      <c r="DX74" s="979">
        <f t="shared" ca="1" si="110"/>
        <v>7852.2576903707204</v>
      </c>
      <c r="DY74" s="979">
        <f t="shared" ca="1" si="110"/>
        <v>8166.9183456088476</v>
      </c>
      <c r="DZ74" s="979">
        <f t="shared" ca="1" si="110"/>
        <v>8494.1654376351889</v>
      </c>
      <c r="EA74" s="979">
        <f t="shared" ref="EA74:GL74" ca="1" si="111">IF(EA98="E",-EA47,$C$17*DZ76)</f>
        <v>8834.5024235143937</v>
      </c>
      <c r="EB74" s="979">
        <f t="shared" ca="1" si="111"/>
        <v>9188.4528986093592</v>
      </c>
      <c r="EC74" s="979">
        <f t="shared" ca="1" si="111"/>
        <v>9556.5614021125402</v>
      </c>
      <c r="ED74" s="979">
        <f t="shared" ca="1" si="111"/>
        <v>9939.3942547985571</v>
      </c>
      <c r="EE74" s="979">
        <f t="shared" ca="1" si="111"/>
        <v>10337.540430286926</v>
      </c>
      <c r="EF74" s="979">
        <f t="shared" ca="1" si="111"/>
        <v>10751.612461155322</v>
      </c>
      <c r="EG74" s="979">
        <f t="shared" ca="1" si="111"/>
        <v>11182.247381297391</v>
      </c>
      <c r="EH74" s="979">
        <f t="shared" ca="1" si="111"/>
        <v>11630.107705974888</v>
      </c>
      <c r="EI74" s="979">
        <f t="shared" ca="1" si="111"/>
        <v>12095.882451071937</v>
      </c>
      <c r="EJ74" s="979">
        <f t="shared" ca="1" si="111"/>
        <v>12580.288193119455</v>
      </c>
      <c r="EK74" s="979">
        <f t="shared" ca="1" si="111"/>
        <v>13084.07017172059</v>
      </c>
      <c r="EL74" s="979">
        <f t="shared" ca="1" si="111"/>
        <v>13608.00343607319</v>
      </c>
      <c r="EM74" s="979">
        <f t="shared" ca="1" si="111"/>
        <v>14152.894037353184</v>
      </c>
      <c r="EN74" s="979">
        <f t="shared" ca="1" si="111"/>
        <v>14719.580268793316</v>
      </c>
      <c r="EO74" s="979">
        <f t="shared" ca="1" si="111"/>
        <v>15308.933955365019</v>
      </c>
      <c r="EP74" s="979">
        <f t="shared" ca="1" si="111"/>
        <v>15921.861795047647</v>
      </c>
      <c r="EQ74" s="979">
        <f t="shared" ca="1" si="111"/>
        <v>16559.306753748398</v>
      </c>
      <c r="ER74" s="979">
        <f t="shared" ca="1" si="111"/>
        <v>17222.249516019121</v>
      </c>
      <c r="ES74" s="979">
        <f t="shared" ca="1" si="111"/>
        <v>17911.709993801775</v>
      </c>
      <c r="ET74" s="979">
        <f t="shared" ca="1" si="111"/>
        <v>18628.74889552371</v>
      </c>
      <c r="EU74" s="979">
        <f t="shared" ca="1" si="111"/>
        <v>19374.469357956812</v>
      </c>
      <c r="EV74" s="979">
        <f t="shared" ca="1" si="111"/>
        <v>20150.018643350977</v>
      </c>
      <c r="EW74" s="979">
        <f t="shared" ca="1" si="111"/>
        <v>20956.589904452961</v>
      </c>
      <c r="EX74" s="979">
        <f t="shared" ca="1" si="111"/>
        <v>21795.424020126004</v>
      </c>
      <c r="EY74" s="979">
        <f t="shared" ca="1" si="111"/>
        <v>22667.811504394209</v>
      </c>
      <c r="EZ74" s="979">
        <f t="shared" ca="1" si="111"/>
        <v>23575.094491848777</v>
      </c>
      <c r="FA74" s="979">
        <f t="shared" ca="1" si="111"/>
        <v>24518.668802470384</v>
      </c>
      <c r="FB74" s="979">
        <f t="shared" ca="1" si="111"/>
        <v>25499.986089044629</v>
      </c>
      <c r="FC74" s="979">
        <f t="shared" ca="1" si="111"/>
        <v>26520.556070473907</v>
      </c>
      <c r="FD74" s="979">
        <f t="shared" ca="1" si="111"/>
        <v>27581.948854421964</v>
      </c>
      <c r="FE74" s="979">
        <f t="shared" ca="1" si="111"/>
        <v>28685.797352864116</v>
      </c>
      <c r="FF74" s="979">
        <f t="shared" ca="1" si="111"/>
        <v>29833.799794259481</v>
      </c>
      <c r="FG74" s="979">
        <f t="shared" ca="1" si="111"/>
        <v>31027.72233621023</v>
      </c>
      <c r="FH74" s="979">
        <f t="shared" ca="1" si="111"/>
        <v>32269.401782627043</v>
      </c>
      <c r="FI74" s="979">
        <f t="shared" ca="1" si="111"/>
        <v>33560.748409581334</v>
      </c>
      <c r="FJ74" s="979">
        <f t="shared" ca="1" si="111"/>
        <v>34903.748904191503</v>
      </c>
      <c r="FK74" s="979">
        <f t="shared" ca="1" si="111"/>
        <v>36300.469421064634</v>
      </c>
      <c r="FL74" s="979">
        <f t="shared" ca="1" si="111"/>
        <v>37753.058760995911</v>
      </c>
      <c r="FM74" s="979">
        <f t="shared" ca="1" si="111"/>
        <v>39263.751676815991</v>
      </c>
      <c r="FN74" s="979">
        <f t="shared" ca="1" si="111"/>
        <v>40834.872311472325</v>
      </c>
      <c r="FO74" s="979">
        <f t="shared" ca="1" si="111"/>
        <v>42468.837773633575</v>
      </c>
      <c r="FP74" s="979">
        <f t="shared" ca="1" si="111"/>
        <v>44168.161856318475</v>
      </c>
      <c r="FQ74" s="979">
        <f t="shared" ca="1" si="111"/>
        <v>45935.45890426961</v>
      </c>
      <c r="FR74" s="979">
        <f t="shared" ca="1" si="111"/>
        <v>47773.447836022278</v>
      </c>
      <c r="FS74" s="979">
        <f t="shared" ca="1" si="111"/>
        <v>49684.956326856132</v>
      </c>
      <c r="FT74" s="979">
        <f t="shared" ca="1" si="111"/>
        <v>51672.925159064718</v>
      </c>
      <c r="FU74" s="979">
        <f t="shared" ca="1" si="111"/>
        <v>53740.412746236078</v>
      </c>
      <c r="FV74" s="979">
        <f t="shared" ca="1" si="111"/>
        <v>55890.599838504313</v>
      </c>
      <c r="FW74" s="979">
        <f t="shared" ca="1" si="111"/>
        <v>58126.794416011362</v>
      </c>
      <c r="FX74" s="979">
        <f t="shared" ca="1" si="111"/>
        <v>60452.436778107265</v>
      </c>
      <c r="FY74" s="979">
        <f t="shared" ca="1" si="111"/>
        <v>62871.104836118342</v>
      </c>
      <c r="FZ74" s="979">
        <f t="shared" ca="1" si="111"/>
        <v>65386.519617826074</v>
      </c>
      <c r="GA74" s="979">
        <f t="shared" ca="1" si="111"/>
        <v>68002.550992125442</v>
      </c>
      <c r="GB74" s="979">
        <f t="shared" ca="1" si="111"/>
        <v>70723.223622669218</v>
      </c>
      <c r="GC74" s="979">
        <f t="shared" ca="1" si="111"/>
        <v>73552.723159658213</v>
      </c>
      <c r="GD74" s="979">
        <f t="shared" ca="1" si="111"/>
        <v>76495.402679303224</v>
      </c>
      <c r="GE74" s="979">
        <f t="shared" ca="1" si="111"/>
        <v>79555.789380865201</v>
      </c>
      <c r="GF74" s="979">
        <f t="shared" ca="1" si="111"/>
        <v>82738.591551577323</v>
      </c>
      <c r="GG74" s="979">
        <f t="shared" ca="1" si="111"/>
        <v>86048.70581016381</v>
      </c>
      <c r="GH74" s="979">
        <f t="shared" ca="1" si="111"/>
        <v>89491.224640099317</v>
      </c>
      <c r="GI74" s="979">
        <f t="shared" ca="1" si="111"/>
        <v>93071.444224199222</v>
      </c>
      <c r="GJ74" s="979">
        <f t="shared" ca="1" si="111"/>
        <v>96794.872592592845</v>
      </c>
      <c r="GK74" s="979">
        <f t="shared" ca="1" si="111"/>
        <v>100667.23809661622</v>
      </c>
      <c r="GL74" s="979">
        <f t="shared" ca="1" si="111"/>
        <v>104694.49822166011</v>
      </c>
      <c r="GM74" s="979">
        <f t="shared" ref="GM74:IR74" ca="1" si="112">IF(GM98="E",-GM47,$C$17*GL76)</f>
        <v>108882.84875253234</v>
      </c>
      <c r="GN74" s="979">
        <f t="shared" ca="1" si="112"/>
        <v>113238.73330543419</v>
      </c>
      <c r="GO74" s="979">
        <f t="shared" ca="1" si="112"/>
        <v>117768.85324121626</v>
      </c>
      <c r="GP74" s="979">
        <f t="shared" ca="1" si="112"/>
        <v>122480.17797516445</v>
      </c>
      <c r="GQ74" s="979">
        <f t="shared" ca="1" si="112"/>
        <v>127379.9556991771</v>
      </c>
      <c r="GR74" s="979">
        <f t="shared" ca="1" si="112"/>
        <v>132475.72453282957</v>
      </c>
      <c r="GS74" s="979">
        <f t="shared" ca="1" si="112"/>
        <v>137775.32412048141</v>
      </c>
      <c r="GT74" s="979">
        <f t="shared" ca="1" si="112"/>
        <v>143286.90769226741</v>
      </c>
      <c r="GU74" s="979">
        <f t="shared" ca="1" si="112"/>
        <v>149018.95460752884</v>
      </c>
      <c r="GV74" s="979">
        <f t="shared" ca="1" si="112"/>
        <v>154980.28339998142</v>
      </c>
      <c r="GW74" s="979">
        <f t="shared" ca="1" si="112"/>
        <v>161180.06534469049</v>
      </c>
      <c r="GX74" s="979">
        <f t="shared" ca="1" si="112"/>
        <v>167627.83856772483</v>
      </c>
      <c r="GY74" s="979">
        <f t="shared" ca="1" si="112"/>
        <v>174333.52272019675</v>
      </c>
      <c r="GZ74" s="979">
        <f t="shared" ca="1" si="112"/>
        <v>181307.434239264</v>
      </c>
      <c r="HA74" s="979">
        <f t="shared" ca="1" si="112"/>
        <v>188560.30221957123</v>
      </c>
      <c r="HB74" s="979">
        <f t="shared" ca="1" si="112"/>
        <v>196103.28491954971</v>
      </c>
      <c r="HC74" s="979">
        <f t="shared" ca="1" si="112"/>
        <v>203947.9869279686</v>
      </c>
      <c r="HD74" s="979">
        <f t="shared" ca="1" si="112"/>
        <v>212106.4770171486</v>
      </c>
      <c r="HE74" s="979">
        <f t="shared" ca="1" si="112"/>
        <v>220591.30671030388</v>
      </c>
      <c r="HF74" s="979">
        <f t="shared" ca="1" si="112"/>
        <v>229415.52959157751</v>
      </c>
      <c r="HG74" s="979">
        <f t="shared" ca="1" si="112"/>
        <v>238592.72138847943</v>
      </c>
      <c r="HH74" s="979">
        <f t="shared" ca="1" si="112"/>
        <v>248137.00085762015</v>
      </c>
      <c r="HI74" s="979">
        <f t="shared" ca="1" si="112"/>
        <v>258063.05150587522</v>
      </c>
      <c r="HJ74" s="979">
        <f t="shared" ca="1" si="112"/>
        <v>268386.14418039582</v>
      </c>
      <c r="HK74" s="979">
        <f t="shared" ca="1" si="112"/>
        <v>279122.16056221968</v>
      </c>
      <c r="HL74" s="979">
        <f t="shared" ca="1" si="112"/>
        <v>290287.61759962665</v>
      </c>
      <c r="HM74" s="979">
        <f t="shared" ca="1" si="112"/>
        <v>301899.69291882793</v>
      </c>
      <c r="HN74" s="979">
        <f t="shared" ca="1" si="112"/>
        <v>313976.25125108397</v>
      </c>
      <c r="HO74" s="979">
        <f t="shared" ca="1" si="112"/>
        <v>326535.87191690592</v>
      </c>
      <c r="HP74" s="979">
        <f t="shared" ca="1" si="112"/>
        <v>339597.87740962574</v>
      </c>
      <c r="HQ74" s="979">
        <f t="shared" ca="1" si="112"/>
        <v>353182.36312230921</v>
      </c>
      <c r="HR74" s="979">
        <f t="shared" ca="1" si="112"/>
        <v>367310.22826374503</v>
      </c>
      <c r="HS74" s="979">
        <f t="shared" ca="1" si="112"/>
        <v>382003.20801107382</v>
      </c>
      <c r="HT74" s="979">
        <f t="shared" ca="1" si="112"/>
        <v>397283.90694852249</v>
      </c>
      <c r="HU74" s="979">
        <f t="shared" ca="1" si="112"/>
        <v>413175.83384368662</v>
      </c>
      <c r="HV74" s="979">
        <f t="shared" ca="1" si="112"/>
        <v>429703.43781486712</v>
      </c>
      <c r="HW74" s="979">
        <f t="shared" ca="1" si="112"/>
        <v>446892.14594509604</v>
      </c>
      <c r="HX74" s="979">
        <f t="shared" ca="1" si="112"/>
        <v>464768.40240072779</v>
      </c>
      <c r="HY74" s="979">
        <f t="shared" ca="1" si="112"/>
        <v>483359.70911477116</v>
      </c>
      <c r="HZ74" s="979">
        <f t="shared" ca="1" si="112"/>
        <v>502694.66809755511</v>
      </c>
      <c r="IA74" s="979">
        <f t="shared" ca="1" si="112"/>
        <v>522803.0254398227</v>
      </c>
      <c r="IB74" s="979">
        <f t="shared" ca="1" si="112"/>
        <v>543715.71707594662</v>
      </c>
      <c r="IC74" s="979">
        <f t="shared" ca="1" si="112"/>
        <v>565464.91637767467</v>
      </c>
      <c r="ID74" s="979">
        <f t="shared" ca="1" si="112"/>
        <v>588084.08365162462</v>
      </c>
      <c r="IE74" s="979">
        <f t="shared" ca="1" si="112"/>
        <v>611608.01761668012</v>
      </c>
      <c r="IF74" s="979">
        <f t="shared" ca="1" si="112"/>
        <v>636072.90894047916</v>
      </c>
      <c r="IG74" s="979">
        <f t="shared" ca="1" si="112"/>
        <v>661516.39591736626</v>
      </c>
      <c r="IH74" s="979">
        <f t="shared" ca="1" si="112"/>
        <v>687977.62237345951</v>
      </c>
      <c r="II74" s="979">
        <f t="shared" ca="1" si="112"/>
        <v>715497.29788792226</v>
      </c>
      <c r="IJ74" s="979">
        <f t="shared" ca="1" si="112"/>
        <v>744117.76042308472</v>
      </c>
      <c r="IK74" s="979">
        <f t="shared" ca="1" si="112"/>
        <v>773883.04145976994</v>
      </c>
      <c r="IL74" s="979">
        <f t="shared" ca="1" si="112"/>
        <v>804838.93373803445</v>
      </c>
      <c r="IM74" s="979">
        <f t="shared" ca="1" si="112"/>
        <v>837033.06170753669</v>
      </c>
      <c r="IN74" s="979">
        <f t="shared" ca="1" si="112"/>
        <v>870514.95479592273</v>
      </c>
      <c r="IO74" s="979">
        <f t="shared" ca="1" si="112"/>
        <v>905336.12360794365</v>
      </c>
      <c r="IP74" s="979">
        <f t="shared" ca="1" si="112"/>
        <v>941550.13917254098</v>
      </c>
      <c r="IQ74" s="979">
        <f t="shared" ca="1" si="112"/>
        <v>979212.71535981412</v>
      </c>
      <c r="IR74" s="979">
        <f t="shared" ca="1" si="112"/>
        <v>1018381.7945946668</v>
      </c>
    </row>
    <row r="75" spans="2:252" s="960" customFormat="1" ht="11.85" customHeight="1">
      <c r="B75" s="1021" t="s">
        <v>717</v>
      </c>
      <c r="C75" s="979">
        <f t="shared" ref="C75:BN75" si="113">IF(C98="E",-C48,B75)</f>
        <v>-24.830345757199993</v>
      </c>
      <c r="D75" s="979">
        <f t="shared" si="113"/>
        <v>-27.069507715539444</v>
      </c>
      <c r="E75" s="1050">
        <f t="shared" si="113"/>
        <v>-29.619041611513545</v>
      </c>
      <c r="F75" s="979">
        <f t="shared" si="113"/>
        <v>-31.635997197332507</v>
      </c>
      <c r="G75" s="979">
        <f t="shared" si="113"/>
        <v>-31.635997197332507</v>
      </c>
      <c r="H75" s="979">
        <f t="shared" si="113"/>
        <v>-31.635997197332507</v>
      </c>
      <c r="I75" s="979">
        <f t="shared" si="113"/>
        <v>-31.635997197332507</v>
      </c>
      <c r="J75" s="979">
        <f t="shared" si="113"/>
        <v>-31.635997197332507</v>
      </c>
      <c r="K75" s="979">
        <f t="shared" si="113"/>
        <v>-31.635997197332507</v>
      </c>
      <c r="L75" s="979">
        <f t="shared" si="113"/>
        <v>-31.635997197332507</v>
      </c>
      <c r="M75" s="979">
        <f t="shared" si="113"/>
        <v>-31.635997197332507</v>
      </c>
      <c r="N75" s="979">
        <f t="shared" si="113"/>
        <v>-31.635997197332507</v>
      </c>
      <c r="O75" s="979">
        <f t="shared" si="113"/>
        <v>-31.635997197332507</v>
      </c>
      <c r="P75" s="979">
        <f t="shared" si="113"/>
        <v>-31.635997197332507</v>
      </c>
      <c r="Q75" s="979">
        <f t="shared" si="113"/>
        <v>-31.635997197332507</v>
      </c>
      <c r="R75" s="979">
        <f t="shared" si="113"/>
        <v>-31.635997197332507</v>
      </c>
      <c r="S75" s="979">
        <f t="shared" si="113"/>
        <v>-31.635997197332507</v>
      </c>
      <c r="T75" s="979">
        <f t="shared" si="113"/>
        <v>-31.635997197332507</v>
      </c>
      <c r="U75" s="979">
        <f t="shared" si="113"/>
        <v>-31.635997197332507</v>
      </c>
      <c r="V75" s="979">
        <f t="shared" si="113"/>
        <v>-31.635997197332507</v>
      </c>
      <c r="W75" s="1051">
        <f t="shared" si="113"/>
        <v>-31.635997197332507</v>
      </c>
      <c r="X75" s="979">
        <f t="shared" si="113"/>
        <v>-31.635997197332507</v>
      </c>
      <c r="Y75" s="979">
        <f t="shared" si="113"/>
        <v>-31.635997197332507</v>
      </c>
      <c r="Z75" s="979">
        <f t="shared" si="113"/>
        <v>-31.635997197332507</v>
      </c>
      <c r="AA75" s="979">
        <f t="shared" si="113"/>
        <v>-31.635997197332507</v>
      </c>
      <c r="AB75" s="979">
        <f t="shared" si="113"/>
        <v>-31.635997197332507</v>
      </c>
      <c r="AC75" s="979">
        <f t="shared" si="113"/>
        <v>-31.635997197332507</v>
      </c>
      <c r="AD75" s="979">
        <f t="shared" si="113"/>
        <v>-31.635997197332507</v>
      </c>
      <c r="AE75" s="979">
        <f t="shared" si="113"/>
        <v>-31.635997197332507</v>
      </c>
      <c r="AF75" s="979">
        <f t="shared" si="113"/>
        <v>-31.635997197332507</v>
      </c>
      <c r="AG75" s="979">
        <f t="shared" si="113"/>
        <v>-31.635997197332507</v>
      </c>
      <c r="AH75" s="979">
        <f t="shared" si="113"/>
        <v>-31.635997197332507</v>
      </c>
      <c r="AI75" s="979">
        <f t="shared" si="113"/>
        <v>-31.635997197332507</v>
      </c>
      <c r="AJ75" s="979">
        <f t="shared" si="113"/>
        <v>-31.635997197332507</v>
      </c>
      <c r="AK75" s="979">
        <f t="shared" si="113"/>
        <v>-31.635997197332507</v>
      </c>
      <c r="AL75" s="979">
        <f t="shared" si="113"/>
        <v>-31.635997197332507</v>
      </c>
      <c r="AM75" s="979">
        <f t="shared" si="113"/>
        <v>-31.635997197332507</v>
      </c>
      <c r="AN75" s="979">
        <f t="shared" si="113"/>
        <v>-31.635997197332507</v>
      </c>
      <c r="AO75" s="979">
        <f t="shared" si="113"/>
        <v>-31.635997197332507</v>
      </c>
      <c r="AP75" s="979">
        <f t="shared" si="113"/>
        <v>-31.635997197332507</v>
      </c>
      <c r="AQ75" s="979">
        <f t="shared" si="113"/>
        <v>-31.635997197332507</v>
      </c>
      <c r="AR75" s="979">
        <f t="shared" si="113"/>
        <v>-31.635997197332507</v>
      </c>
      <c r="AS75" s="979">
        <f t="shared" si="113"/>
        <v>-31.635997197332507</v>
      </c>
      <c r="AT75" s="979">
        <f t="shared" si="113"/>
        <v>-31.635997197332507</v>
      </c>
      <c r="AU75" s="979">
        <f t="shared" si="113"/>
        <v>-31.635997197332507</v>
      </c>
      <c r="AV75" s="979">
        <f t="shared" si="113"/>
        <v>-31.635997197332507</v>
      </c>
      <c r="AW75" s="979">
        <f t="shared" si="113"/>
        <v>-31.635997197332507</v>
      </c>
      <c r="AX75" s="979">
        <f t="shared" si="113"/>
        <v>-31.635997197332507</v>
      </c>
      <c r="AY75" s="979">
        <f t="shared" si="113"/>
        <v>-31.635997197332507</v>
      </c>
      <c r="AZ75" s="979">
        <f t="shared" si="113"/>
        <v>-31.635997197332507</v>
      </c>
      <c r="BA75" s="979">
        <f t="shared" si="113"/>
        <v>-31.635997197332507</v>
      </c>
      <c r="BB75" s="979">
        <f t="shared" si="113"/>
        <v>-31.635997197332507</v>
      </c>
      <c r="BC75" s="979">
        <f t="shared" si="113"/>
        <v>-31.635997197332507</v>
      </c>
      <c r="BD75" s="979">
        <f t="shared" si="113"/>
        <v>-31.635997197332507</v>
      </c>
      <c r="BE75" s="979">
        <f t="shared" si="113"/>
        <v>-31.635997197332507</v>
      </c>
      <c r="BF75" s="979">
        <f t="shared" si="113"/>
        <v>-31.635997197332507</v>
      </c>
      <c r="BG75" s="979">
        <f t="shared" si="113"/>
        <v>-31.635997197332507</v>
      </c>
      <c r="BH75" s="979">
        <f t="shared" si="113"/>
        <v>-31.635997197332507</v>
      </c>
      <c r="BI75" s="979">
        <f t="shared" si="113"/>
        <v>-31.635997197332507</v>
      </c>
      <c r="BJ75" s="979">
        <f t="shared" si="113"/>
        <v>-31.635997197332507</v>
      </c>
      <c r="BK75" s="979">
        <f t="shared" si="113"/>
        <v>-31.635997197332507</v>
      </c>
      <c r="BL75" s="979">
        <f t="shared" si="113"/>
        <v>-31.635997197332507</v>
      </c>
      <c r="BM75" s="979">
        <f t="shared" si="113"/>
        <v>-31.635997197332507</v>
      </c>
      <c r="BN75" s="979">
        <f t="shared" si="113"/>
        <v>-31.635997197332507</v>
      </c>
      <c r="BO75" s="979">
        <f t="shared" ref="BO75:DZ75" si="114">IF(BO98="E",-BO48,BN75)</f>
        <v>-31.635997197332507</v>
      </c>
      <c r="BP75" s="979">
        <f t="shared" si="114"/>
        <v>-31.635997197332507</v>
      </c>
      <c r="BQ75" s="979">
        <f t="shared" si="114"/>
        <v>-31.635997197332507</v>
      </c>
      <c r="BR75" s="979">
        <f t="shared" si="114"/>
        <v>-31.635997197332507</v>
      </c>
      <c r="BS75" s="979">
        <f t="shared" si="114"/>
        <v>-31.635997197332507</v>
      </c>
      <c r="BT75" s="979">
        <f t="shared" si="114"/>
        <v>-31.635997197332507</v>
      </c>
      <c r="BU75" s="979">
        <f t="shared" si="114"/>
        <v>-31.635997197332507</v>
      </c>
      <c r="BV75" s="979">
        <f t="shared" si="114"/>
        <v>-31.635997197332507</v>
      </c>
      <c r="BW75" s="979">
        <f t="shared" si="114"/>
        <v>-31.635997197332507</v>
      </c>
      <c r="BX75" s="979">
        <f t="shared" si="114"/>
        <v>-31.635997197332507</v>
      </c>
      <c r="BY75" s="979">
        <f t="shared" si="114"/>
        <v>-31.635997197332507</v>
      </c>
      <c r="BZ75" s="979">
        <f t="shared" si="114"/>
        <v>-31.635997197332507</v>
      </c>
      <c r="CA75" s="979">
        <f t="shared" si="114"/>
        <v>-31.635997197332507</v>
      </c>
      <c r="CB75" s="979">
        <f t="shared" si="114"/>
        <v>-31.635997197332507</v>
      </c>
      <c r="CC75" s="979">
        <f t="shared" si="114"/>
        <v>-31.635997197332507</v>
      </c>
      <c r="CD75" s="979">
        <f t="shared" si="114"/>
        <v>-31.635997197332507</v>
      </c>
      <c r="CE75" s="979">
        <f t="shared" si="114"/>
        <v>-31.635997197332507</v>
      </c>
      <c r="CF75" s="979">
        <f t="shared" si="114"/>
        <v>-31.635997197332507</v>
      </c>
      <c r="CG75" s="979">
        <f t="shared" si="114"/>
        <v>-31.635997197332507</v>
      </c>
      <c r="CH75" s="979">
        <f t="shared" si="114"/>
        <v>-31.635997197332507</v>
      </c>
      <c r="CI75" s="979">
        <f t="shared" si="114"/>
        <v>-31.635997197332507</v>
      </c>
      <c r="CJ75" s="979">
        <f t="shared" si="114"/>
        <v>-31.635997197332507</v>
      </c>
      <c r="CK75" s="979">
        <f t="shared" si="114"/>
        <v>-31.635997197332507</v>
      </c>
      <c r="CL75" s="979">
        <f t="shared" si="114"/>
        <v>-31.635997197332507</v>
      </c>
      <c r="CM75" s="979">
        <f t="shared" si="114"/>
        <v>-31.635997197332507</v>
      </c>
      <c r="CN75" s="979">
        <f t="shared" si="114"/>
        <v>-31.635997197332507</v>
      </c>
      <c r="CO75" s="979">
        <f t="shared" si="114"/>
        <v>-31.635997197332507</v>
      </c>
      <c r="CP75" s="979">
        <f t="shared" si="114"/>
        <v>-31.635997197332507</v>
      </c>
      <c r="CQ75" s="979">
        <f t="shared" si="114"/>
        <v>-31.635997197332507</v>
      </c>
      <c r="CR75" s="979">
        <f t="shared" si="114"/>
        <v>-31.635997197332507</v>
      </c>
      <c r="CS75" s="979">
        <f t="shared" si="114"/>
        <v>-31.635997197332507</v>
      </c>
      <c r="CT75" s="979">
        <f t="shared" si="114"/>
        <v>-31.635997197332507</v>
      </c>
      <c r="CU75" s="979">
        <f t="shared" si="114"/>
        <v>-31.635997197332507</v>
      </c>
      <c r="CV75" s="979">
        <f t="shared" si="114"/>
        <v>-31.635997197332507</v>
      </c>
      <c r="CW75" s="979">
        <f t="shared" si="114"/>
        <v>-31.635997197332507</v>
      </c>
      <c r="CX75" s="979">
        <f t="shared" si="114"/>
        <v>-31.635997197332507</v>
      </c>
      <c r="CY75" s="979">
        <f t="shared" si="114"/>
        <v>-31.635997197332507</v>
      </c>
      <c r="CZ75" s="979">
        <f t="shared" si="114"/>
        <v>-31.635997197332507</v>
      </c>
      <c r="DA75" s="979">
        <f t="shared" si="114"/>
        <v>-31.635997197332507</v>
      </c>
      <c r="DB75" s="979">
        <f t="shared" si="114"/>
        <v>-31.635997197332507</v>
      </c>
      <c r="DC75" s="979">
        <f t="shared" si="114"/>
        <v>-31.635997197332507</v>
      </c>
      <c r="DD75" s="979">
        <f t="shared" si="114"/>
        <v>-31.635997197332507</v>
      </c>
      <c r="DE75" s="979">
        <f t="shared" si="114"/>
        <v>-31.635997197332507</v>
      </c>
      <c r="DF75" s="979">
        <f t="shared" si="114"/>
        <v>-31.635997197332507</v>
      </c>
      <c r="DG75" s="979">
        <f t="shared" si="114"/>
        <v>-31.635997197332507</v>
      </c>
      <c r="DH75" s="979">
        <f t="shared" si="114"/>
        <v>-31.635997197332507</v>
      </c>
      <c r="DI75" s="979">
        <f t="shared" si="114"/>
        <v>-31.635997197332507</v>
      </c>
      <c r="DJ75" s="979">
        <f t="shared" si="114"/>
        <v>-31.635997197332507</v>
      </c>
      <c r="DK75" s="979">
        <f t="shared" si="114"/>
        <v>-31.635997197332507</v>
      </c>
      <c r="DL75" s="979">
        <f t="shared" si="114"/>
        <v>-31.635997197332507</v>
      </c>
      <c r="DM75" s="979">
        <f t="shared" si="114"/>
        <v>-31.635997197332507</v>
      </c>
      <c r="DN75" s="979">
        <f t="shared" si="114"/>
        <v>-31.635997197332507</v>
      </c>
      <c r="DO75" s="979">
        <f t="shared" si="114"/>
        <v>-31.635997197332507</v>
      </c>
      <c r="DP75" s="979">
        <f t="shared" si="114"/>
        <v>-31.635997197332507</v>
      </c>
      <c r="DQ75" s="979">
        <f t="shared" si="114"/>
        <v>-31.635997197332507</v>
      </c>
      <c r="DR75" s="979">
        <f t="shared" si="114"/>
        <v>-31.635997197332507</v>
      </c>
      <c r="DS75" s="979">
        <f t="shared" si="114"/>
        <v>-31.635997197332507</v>
      </c>
      <c r="DT75" s="979">
        <f t="shared" si="114"/>
        <v>-31.635997197332507</v>
      </c>
      <c r="DU75" s="979">
        <f t="shared" si="114"/>
        <v>-31.635997197332507</v>
      </c>
      <c r="DV75" s="979">
        <f t="shared" si="114"/>
        <v>-31.635997197332507</v>
      </c>
      <c r="DW75" s="979">
        <f t="shared" si="114"/>
        <v>-31.635997197332507</v>
      </c>
      <c r="DX75" s="979">
        <f t="shared" si="114"/>
        <v>-31.635997197332507</v>
      </c>
      <c r="DY75" s="979">
        <f t="shared" si="114"/>
        <v>-31.635997197332507</v>
      </c>
      <c r="DZ75" s="979">
        <f t="shared" si="114"/>
        <v>-31.635997197332507</v>
      </c>
      <c r="EA75" s="979">
        <f t="shared" ref="EA75:GL75" si="115">IF(EA98="E",-EA48,DZ75)</f>
        <v>-31.635997197332507</v>
      </c>
      <c r="EB75" s="979">
        <f t="shared" si="115"/>
        <v>-31.635997197332507</v>
      </c>
      <c r="EC75" s="979">
        <f t="shared" si="115"/>
        <v>-31.635997197332507</v>
      </c>
      <c r="ED75" s="979">
        <f t="shared" si="115"/>
        <v>-31.635997197332507</v>
      </c>
      <c r="EE75" s="979">
        <f t="shared" si="115"/>
        <v>-31.635997197332507</v>
      </c>
      <c r="EF75" s="979">
        <f t="shared" si="115"/>
        <v>-31.635997197332507</v>
      </c>
      <c r="EG75" s="979">
        <f t="shared" si="115"/>
        <v>-31.635997197332507</v>
      </c>
      <c r="EH75" s="979">
        <f t="shared" si="115"/>
        <v>-31.635997197332507</v>
      </c>
      <c r="EI75" s="979">
        <f t="shared" si="115"/>
        <v>-31.635997197332507</v>
      </c>
      <c r="EJ75" s="979">
        <f t="shared" si="115"/>
        <v>-31.635997197332507</v>
      </c>
      <c r="EK75" s="979">
        <f t="shared" si="115"/>
        <v>-31.635997197332507</v>
      </c>
      <c r="EL75" s="979">
        <f t="shared" si="115"/>
        <v>-31.635997197332507</v>
      </c>
      <c r="EM75" s="979">
        <f t="shared" si="115"/>
        <v>-31.635997197332507</v>
      </c>
      <c r="EN75" s="979">
        <f t="shared" si="115"/>
        <v>-31.635997197332507</v>
      </c>
      <c r="EO75" s="979">
        <f t="shared" si="115"/>
        <v>-31.635997197332507</v>
      </c>
      <c r="EP75" s="979">
        <f t="shared" si="115"/>
        <v>-31.635997197332507</v>
      </c>
      <c r="EQ75" s="979">
        <f t="shared" si="115"/>
        <v>-31.635997197332507</v>
      </c>
      <c r="ER75" s="979">
        <f t="shared" si="115"/>
        <v>-31.635997197332507</v>
      </c>
      <c r="ES75" s="979">
        <f t="shared" si="115"/>
        <v>-31.635997197332507</v>
      </c>
      <c r="ET75" s="979">
        <f t="shared" si="115"/>
        <v>-31.635997197332507</v>
      </c>
      <c r="EU75" s="979">
        <f t="shared" si="115"/>
        <v>-31.635997197332507</v>
      </c>
      <c r="EV75" s="979">
        <f t="shared" si="115"/>
        <v>-31.635997197332507</v>
      </c>
      <c r="EW75" s="979">
        <f t="shared" si="115"/>
        <v>-31.635997197332507</v>
      </c>
      <c r="EX75" s="979">
        <f t="shared" si="115"/>
        <v>-31.635997197332507</v>
      </c>
      <c r="EY75" s="979">
        <f t="shared" si="115"/>
        <v>-31.635997197332507</v>
      </c>
      <c r="EZ75" s="979">
        <f t="shared" si="115"/>
        <v>-31.635997197332507</v>
      </c>
      <c r="FA75" s="979">
        <f t="shared" si="115"/>
        <v>-31.635997197332507</v>
      </c>
      <c r="FB75" s="979">
        <f t="shared" si="115"/>
        <v>-31.635997197332507</v>
      </c>
      <c r="FC75" s="979">
        <f t="shared" si="115"/>
        <v>-31.635997197332507</v>
      </c>
      <c r="FD75" s="979">
        <f t="shared" si="115"/>
        <v>-31.635997197332507</v>
      </c>
      <c r="FE75" s="979">
        <f t="shared" si="115"/>
        <v>-31.635997197332507</v>
      </c>
      <c r="FF75" s="979">
        <f t="shared" si="115"/>
        <v>-31.635997197332507</v>
      </c>
      <c r="FG75" s="979">
        <f t="shared" si="115"/>
        <v>-31.635997197332507</v>
      </c>
      <c r="FH75" s="979">
        <f t="shared" si="115"/>
        <v>-31.635997197332507</v>
      </c>
      <c r="FI75" s="979">
        <f t="shared" si="115"/>
        <v>-31.635997197332507</v>
      </c>
      <c r="FJ75" s="979">
        <f t="shared" si="115"/>
        <v>-31.635997197332507</v>
      </c>
      <c r="FK75" s="979">
        <f t="shared" si="115"/>
        <v>-31.635997197332507</v>
      </c>
      <c r="FL75" s="979">
        <f t="shared" si="115"/>
        <v>-31.635997197332507</v>
      </c>
      <c r="FM75" s="979">
        <f t="shared" si="115"/>
        <v>-31.635997197332507</v>
      </c>
      <c r="FN75" s="979">
        <f t="shared" si="115"/>
        <v>-31.635997197332507</v>
      </c>
      <c r="FO75" s="979">
        <f t="shared" si="115"/>
        <v>-31.635997197332507</v>
      </c>
      <c r="FP75" s="979">
        <f t="shared" si="115"/>
        <v>-31.635997197332507</v>
      </c>
      <c r="FQ75" s="979">
        <f t="shared" si="115"/>
        <v>-31.635997197332507</v>
      </c>
      <c r="FR75" s="979">
        <f t="shared" si="115"/>
        <v>-31.635997197332507</v>
      </c>
      <c r="FS75" s="979">
        <f t="shared" si="115"/>
        <v>-31.635997197332507</v>
      </c>
      <c r="FT75" s="979">
        <f t="shared" si="115"/>
        <v>-31.635997197332507</v>
      </c>
      <c r="FU75" s="979">
        <f t="shared" si="115"/>
        <v>-31.635997197332507</v>
      </c>
      <c r="FV75" s="979">
        <f t="shared" si="115"/>
        <v>-31.635997197332507</v>
      </c>
      <c r="FW75" s="979">
        <f t="shared" si="115"/>
        <v>-31.635997197332507</v>
      </c>
      <c r="FX75" s="979">
        <f t="shared" si="115"/>
        <v>-31.635997197332507</v>
      </c>
      <c r="FY75" s="979">
        <f t="shared" si="115"/>
        <v>-31.635997197332507</v>
      </c>
      <c r="FZ75" s="979">
        <f t="shared" si="115"/>
        <v>-31.635997197332507</v>
      </c>
      <c r="GA75" s="979">
        <f t="shared" si="115"/>
        <v>-31.635997197332507</v>
      </c>
      <c r="GB75" s="979">
        <f t="shared" si="115"/>
        <v>-31.635997197332507</v>
      </c>
      <c r="GC75" s="979">
        <f t="shared" si="115"/>
        <v>-31.635997197332507</v>
      </c>
      <c r="GD75" s="979">
        <f t="shared" si="115"/>
        <v>-31.635997197332507</v>
      </c>
      <c r="GE75" s="979">
        <f t="shared" si="115"/>
        <v>-31.635997197332507</v>
      </c>
      <c r="GF75" s="979">
        <f t="shared" si="115"/>
        <v>-31.635997197332507</v>
      </c>
      <c r="GG75" s="979">
        <f t="shared" si="115"/>
        <v>-31.635997197332507</v>
      </c>
      <c r="GH75" s="979">
        <f t="shared" si="115"/>
        <v>-31.635997197332507</v>
      </c>
      <c r="GI75" s="979">
        <f t="shared" si="115"/>
        <v>-31.635997197332507</v>
      </c>
      <c r="GJ75" s="979">
        <f t="shared" si="115"/>
        <v>-31.635997197332507</v>
      </c>
      <c r="GK75" s="979">
        <f t="shared" si="115"/>
        <v>-31.635997197332507</v>
      </c>
      <c r="GL75" s="979">
        <f t="shared" si="115"/>
        <v>-31.635997197332507</v>
      </c>
      <c r="GM75" s="979">
        <f t="shared" ref="GM75:IR75" si="116">IF(GM98="E",-GM48,GL75)</f>
        <v>-31.635997197332507</v>
      </c>
      <c r="GN75" s="979">
        <f t="shared" si="116"/>
        <v>-31.635997197332507</v>
      </c>
      <c r="GO75" s="979">
        <f t="shared" si="116"/>
        <v>-31.635997197332507</v>
      </c>
      <c r="GP75" s="979">
        <f t="shared" si="116"/>
        <v>-31.635997197332507</v>
      </c>
      <c r="GQ75" s="979">
        <f t="shared" si="116"/>
        <v>-31.635997197332507</v>
      </c>
      <c r="GR75" s="979">
        <f t="shared" si="116"/>
        <v>-31.635997197332507</v>
      </c>
      <c r="GS75" s="979">
        <f t="shared" si="116"/>
        <v>-31.635997197332507</v>
      </c>
      <c r="GT75" s="979">
        <f t="shared" si="116"/>
        <v>-31.635997197332507</v>
      </c>
      <c r="GU75" s="979">
        <f t="shared" si="116"/>
        <v>-31.635997197332507</v>
      </c>
      <c r="GV75" s="979">
        <f t="shared" si="116"/>
        <v>-31.635997197332507</v>
      </c>
      <c r="GW75" s="979">
        <f t="shared" si="116"/>
        <v>-31.635997197332507</v>
      </c>
      <c r="GX75" s="979">
        <f t="shared" si="116"/>
        <v>-31.635997197332507</v>
      </c>
      <c r="GY75" s="979">
        <f t="shared" si="116"/>
        <v>-31.635997197332507</v>
      </c>
      <c r="GZ75" s="979">
        <f t="shared" si="116"/>
        <v>-31.635997197332507</v>
      </c>
      <c r="HA75" s="979">
        <f t="shared" si="116"/>
        <v>-31.635997197332507</v>
      </c>
      <c r="HB75" s="979">
        <f t="shared" si="116"/>
        <v>-31.635997197332507</v>
      </c>
      <c r="HC75" s="979">
        <f t="shared" si="116"/>
        <v>-31.635997197332507</v>
      </c>
      <c r="HD75" s="979">
        <f t="shared" si="116"/>
        <v>-31.635997197332507</v>
      </c>
      <c r="HE75" s="979">
        <f t="shared" si="116"/>
        <v>-31.635997197332507</v>
      </c>
      <c r="HF75" s="979">
        <f t="shared" si="116"/>
        <v>-31.635997197332507</v>
      </c>
      <c r="HG75" s="979">
        <f t="shared" si="116"/>
        <v>-31.635997197332507</v>
      </c>
      <c r="HH75" s="979">
        <f t="shared" si="116"/>
        <v>-31.635997197332507</v>
      </c>
      <c r="HI75" s="979">
        <f t="shared" si="116"/>
        <v>-31.635997197332507</v>
      </c>
      <c r="HJ75" s="979">
        <f t="shared" si="116"/>
        <v>-31.635997197332507</v>
      </c>
      <c r="HK75" s="979">
        <f t="shared" si="116"/>
        <v>-31.635997197332507</v>
      </c>
      <c r="HL75" s="979">
        <f t="shared" si="116"/>
        <v>-31.635997197332507</v>
      </c>
      <c r="HM75" s="979">
        <f t="shared" si="116"/>
        <v>-31.635997197332507</v>
      </c>
      <c r="HN75" s="979">
        <f t="shared" si="116"/>
        <v>-31.635997197332507</v>
      </c>
      <c r="HO75" s="979">
        <f t="shared" si="116"/>
        <v>-31.635997197332507</v>
      </c>
      <c r="HP75" s="979">
        <f t="shared" si="116"/>
        <v>-31.635997197332507</v>
      </c>
      <c r="HQ75" s="979">
        <f t="shared" si="116"/>
        <v>-31.635997197332507</v>
      </c>
      <c r="HR75" s="979">
        <f t="shared" si="116"/>
        <v>-31.635997197332507</v>
      </c>
      <c r="HS75" s="979">
        <f t="shared" si="116"/>
        <v>-31.635997197332507</v>
      </c>
      <c r="HT75" s="979">
        <f t="shared" si="116"/>
        <v>-31.635997197332507</v>
      </c>
      <c r="HU75" s="979">
        <f t="shared" si="116"/>
        <v>-31.635997197332507</v>
      </c>
      <c r="HV75" s="979">
        <f t="shared" si="116"/>
        <v>-31.635997197332507</v>
      </c>
      <c r="HW75" s="979">
        <f t="shared" si="116"/>
        <v>-31.635997197332507</v>
      </c>
      <c r="HX75" s="979">
        <f t="shared" si="116"/>
        <v>-31.635997197332507</v>
      </c>
      <c r="HY75" s="979">
        <f t="shared" si="116"/>
        <v>-31.635997197332507</v>
      </c>
      <c r="HZ75" s="979">
        <f t="shared" si="116"/>
        <v>-31.635997197332507</v>
      </c>
      <c r="IA75" s="979">
        <f t="shared" si="116"/>
        <v>-31.635997197332507</v>
      </c>
      <c r="IB75" s="979">
        <f t="shared" si="116"/>
        <v>-31.635997197332507</v>
      </c>
      <c r="IC75" s="979">
        <f t="shared" si="116"/>
        <v>-31.635997197332507</v>
      </c>
      <c r="ID75" s="979">
        <f t="shared" si="116"/>
        <v>-31.635997197332507</v>
      </c>
      <c r="IE75" s="979">
        <f t="shared" si="116"/>
        <v>-31.635997197332507</v>
      </c>
      <c r="IF75" s="979">
        <f t="shared" si="116"/>
        <v>-31.635997197332507</v>
      </c>
      <c r="IG75" s="979">
        <f t="shared" si="116"/>
        <v>-31.635997197332507</v>
      </c>
      <c r="IH75" s="979">
        <f t="shared" si="116"/>
        <v>-31.635997197332507</v>
      </c>
      <c r="II75" s="979">
        <f t="shared" si="116"/>
        <v>-31.635997197332507</v>
      </c>
      <c r="IJ75" s="979">
        <f t="shared" si="116"/>
        <v>-31.635997197332507</v>
      </c>
      <c r="IK75" s="979">
        <f t="shared" si="116"/>
        <v>-31.635997197332507</v>
      </c>
      <c r="IL75" s="979">
        <f t="shared" si="116"/>
        <v>-31.635997197332507</v>
      </c>
      <c r="IM75" s="979">
        <f t="shared" si="116"/>
        <v>-31.635997197332507</v>
      </c>
      <c r="IN75" s="979">
        <f t="shared" si="116"/>
        <v>-31.635997197332507</v>
      </c>
      <c r="IO75" s="979">
        <f t="shared" si="116"/>
        <v>-31.635997197332507</v>
      </c>
      <c r="IP75" s="979">
        <f t="shared" si="116"/>
        <v>-31.635997197332507</v>
      </c>
      <c r="IQ75" s="979">
        <f t="shared" si="116"/>
        <v>-31.635997197332507</v>
      </c>
      <c r="IR75" s="979">
        <f t="shared" si="116"/>
        <v>-31.635997197332507</v>
      </c>
    </row>
    <row r="76" spans="2:252" s="960" customFormat="1" ht="11.85" customHeight="1">
      <c r="B76" s="1021" t="s">
        <v>701</v>
      </c>
      <c r="C76" s="979">
        <f t="shared" ref="C76:BN76" si="117">IF(C98="E",C54,C66-C82-C77)</f>
        <v>2886.603068371543</v>
      </c>
      <c r="D76" s="979">
        <f t="shared" si="117"/>
        <v>2708.6624957184877</v>
      </c>
      <c r="E76" s="1050">
        <f t="shared" si="117"/>
        <v>2693.8402717960171</v>
      </c>
      <c r="F76" s="979">
        <f t="shared" si="117"/>
        <v>2519.5494122223931</v>
      </c>
      <c r="G76" s="979">
        <f t="shared" ca="1" si="117"/>
        <v>2200.0930159908662</v>
      </c>
      <c r="H76" s="979">
        <f t="shared" ca="1" si="117"/>
        <v>2353.6152222696278</v>
      </c>
      <c r="I76" s="979">
        <f t="shared" ca="1" si="117"/>
        <v>2505.6697330214861</v>
      </c>
      <c r="J76" s="979">
        <f t="shared" ca="1" si="117"/>
        <v>2654.1516869226302</v>
      </c>
      <c r="K76" s="979">
        <f t="shared" ca="1" si="117"/>
        <v>2796.5455177256804</v>
      </c>
      <c r="L76" s="979">
        <f t="shared" ca="1" si="117"/>
        <v>2929.8346039194794</v>
      </c>
      <c r="M76" s="979">
        <f t="shared" ca="1" si="117"/>
        <v>3050.3773863599299</v>
      </c>
      <c r="N76" s="979">
        <f t="shared" ca="1" si="117"/>
        <v>3153.7332697689053</v>
      </c>
      <c r="O76" s="979">
        <f t="shared" ca="1" si="117"/>
        <v>3234.411769789705</v>
      </c>
      <c r="P76" s="979">
        <f t="shared" ca="1" si="117"/>
        <v>3285.5015085013974</v>
      </c>
      <c r="Q76" s="979">
        <f t="shared" ca="1" si="117"/>
        <v>3298.1057812681297</v>
      </c>
      <c r="R76" s="979">
        <f t="shared" ca="1" si="117"/>
        <v>3260.4562771739998</v>
      </c>
      <c r="S76" s="979">
        <f t="shared" ca="1" si="117"/>
        <v>3156.4699228686732</v>
      </c>
      <c r="T76" s="979">
        <f t="shared" ca="1" si="117"/>
        <v>2963.2961387383971</v>
      </c>
      <c r="U76" s="979">
        <f t="shared" ca="1" si="117"/>
        <v>2646.9276017188586</v>
      </c>
      <c r="V76" s="979">
        <f t="shared" ca="1" si="117"/>
        <v>2159.8674060668645</v>
      </c>
      <c r="W76" s="1051">
        <f t="shared" ca="1" si="117"/>
        <v>2381.6694712068402</v>
      </c>
      <c r="X76" s="979">
        <f t="shared" ca="1" si="117"/>
        <v>2488.024174252364</v>
      </c>
      <c r="Y76" s="979">
        <f t="shared" ca="1" si="117"/>
        <v>2598.6455121702047</v>
      </c>
      <c r="Z76" s="979">
        <f t="shared" ca="1" si="117"/>
        <v>2713.7036755247436</v>
      </c>
      <c r="AA76" s="979">
        <f t="shared" ca="1" si="117"/>
        <v>2833.37568033558</v>
      </c>
      <c r="AB76" s="979">
        <f t="shared" ca="1" si="117"/>
        <v>2957.8456404572817</v>
      </c>
      <c r="AC76" s="979">
        <f t="shared" ca="1" si="117"/>
        <v>3087.3050508736869</v>
      </c>
      <c r="AD76" s="979">
        <f t="shared" ca="1" si="117"/>
        <v>3221.9530823431414</v>
      </c>
      <c r="AE76" s="979">
        <f t="shared" ca="1" si="117"/>
        <v>3361.9968878484933</v>
      </c>
      <c r="AF76" s="979">
        <f t="shared" ca="1" si="117"/>
        <v>3507.6519213237489</v>
      </c>
      <c r="AG76" s="979">
        <f t="shared" ca="1" si="117"/>
        <v>3659.1422691481448</v>
      </c>
      <c r="AH76" s="979">
        <f t="shared" ca="1" si="117"/>
        <v>3816.7009949179928</v>
      </c>
      <c r="AI76" s="979">
        <f t="shared" ca="1" si="117"/>
        <v>3980.5704980270239</v>
      </c>
      <c r="AJ76" s="979">
        <f t="shared" ca="1" si="117"/>
        <v>4151.0028866071825</v>
      </c>
      <c r="AK76" s="979">
        <f t="shared" ca="1" si="117"/>
        <v>4328.260365403894</v>
      </c>
      <c r="AL76" s="979">
        <f t="shared" ca="1" si="117"/>
        <v>4512.6156391827335</v>
      </c>
      <c r="AM76" s="979">
        <f t="shared" ca="1" si="117"/>
        <v>4704.3523322883575</v>
      </c>
      <c r="AN76" s="979">
        <f t="shared" ca="1" si="117"/>
        <v>4903.7654250013311</v>
      </c>
      <c r="AO76" s="979">
        <f t="shared" ca="1" si="117"/>
        <v>5111.161707364332</v>
      </c>
      <c r="AP76" s="979">
        <f t="shared" ca="1" si="117"/>
        <v>5326.860251176071</v>
      </c>
      <c r="AQ76" s="979">
        <f t="shared" ca="1" si="117"/>
        <v>5551.1929008792049</v>
      </c>
      <c r="AR76" s="979">
        <f t="shared" ca="1" si="117"/>
        <v>5784.5047840975567</v>
      </c>
      <c r="AS76" s="979">
        <f t="shared" ca="1" si="117"/>
        <v>6027.1548426081899</v>
      </c>
      <c r="AT76" s="979">
        <f t="shared" ca="1" si="117"/>
        <v>6279.5163845653078</v>
      </c>
      <c r="AU76" s="979">
        <f t="shared" ca="1" si="117"/>
        <v>6541.9776588256373</v>
      </c>
      <c r="AV76" s="979">
        <f t="shared" ca="1" si="117"/>
        <v>6814.942452258927</v>
      </c>
      <c r="AW76" s="979">
        <f t="shared" ca="1" si="117"/>
        <v>7098.8307109625875</v>
      </c>
      <c r="AX76" s="979">
        <f t="shared" ca="1" si="117"/>
        <v>7394.079186336221</v>
      </c>
      <c r="AY76" s="979">
        <f t="shared" ca="1" si="117"/>
        <v>7701.1421070100678</v>
      </c>
      <c r="AZ76" s="979">
        <f t="shared" ca="1" si="117"/>
        <v>8020.4918776611412</v>
      </c>
      <c r="BA76" s="979">
        <f t="shared" ca="1" si="117"/>
        <v>8352.6198057921974</v>
      </c>
      <c r="BB76" s="979">
        <f t="shared" ca="1" si="117"/>
        <v>8698.0368575916982</v>
      </c>
      <c r="BC76" s="979">
        <f t="shared" ca="1" si="117"/>
        <v>9057.2744440376264</v>
      </c>
      <c r="BD76" s="979">
        <f t="shared" ca="1" si="117"/>
        <v>9430.8852384546481</v>
      </c>
      <c r="BE76" s="979">
        <f t="shared" ca="1" si="117"/>
        <v>9819.4440267823484</v>
      </c>
      <c r="BF76" s="979">
        <f t="shared" ca="1" si="117"/>
        <v>10223.548591862691</v>
      </c>
      <c r="BG76" s="979">
        <f t="shared" ca="1" si="117"/>
        <v>10643.820633107203</v>
      </c>
      <c r="BH76" s="979">
        <f t="shared" ca="1" si="117"/>
        <v>11080.906722958713</v>
      </c>
      <c r="BI76" s="979">
        <f t="shared" ca="1" si="117"/>
        <v>11535.479301619187</v>
      </c>
      <c r="BJ76" s="979">
        <f t="shared" ca="1" si="117"/>
        <v>12008.237711573984</v>
      </c>
      <c r="BK76" s="979">
        <f t="shared" ca="1" si="117"/>
        <v>12499.909273504178</v>
      </c>
      <c r="BL76" s="979">
        <f t="shared" ca="1" si="117"/>
        <v>13011.250405242128</v>
      </c>
      <c r="BM76" s="979">
        <f t="shared" ca="1" si="117"/>
        <v>13543.047785491861</v>
      </c>
      <c r="BN76" s="979">
        <f t="shared" ca="1" si="117"/>
        <v>14096.119564104538</v>
      </c>
      <c r="BO76" s="979">
        <f t="shared" ref="BO76:DZ76" ca="1" si="118">IF(BO98="E",BO54,BO66-BO82-BO77)</f>
        <v>14671.31662077102</v>
      </c>
      <c r="BP76" s="979">
        <f t="shared" ca="1" si="118"/>
        <v>15269.523874068003</v>
      </c>
      <c r="BQ76" s="979">
        <f t="shared" ca="1" si="118"/>
        <v>15891.661642871579</v>
      </c>
      <c r="BR76" s="979">
        <f t="shared" ca="1" si="118"/>
        <v>16538.687062232784</v>
      </c>
      <c r="BS76" s="979">
        <f t="shared" ca="1" si="118"/>
        <v>17211.595555893357</v>
      </c>
      <c r="BT76" s="979">
        <f t="shared" ca="1" si="118"/>
        <v>17911.422367707186</v>
      </c>
      <c r="BU76" s="979">
        <f t="shared" ca="1" si="118"/>
        <v>18639.244154323351</v>
      </c>
      <c r="BV76" s="979">
        <f t="shared" ca="1" si="118"/>
        <v>19396.180641581239</v>
      </c>
      <c r="BW76" s="979">
        <f t="shared" ca="1" si="118"/>
        <v>20183.396347165813</v>
      </c>
      <c r="BX76" s="979">
        <f t="shared" ca="1" si="118"/>
        <v>21002.102372173511</v>
      </c>
      <c r="BY76" s="979">
        <f t="shared" ca="1" si="118"/>
        <v>21853.558264344814</v>
      </c>
      <c r="BZ76" s="979">
        <f t="shared" ca="1" si="118"/>
        <v>22739.073955830158</v>
      </c>
      <c r="CA76" s="979">
        <f t="shared" ca="1" si="118"/>
        <v>23660.011778470245</v>
      </c>
      <c r="CB76" s="979">
        <f t="shared" ca="1" si="118"/>
        <v>24617.788559691362</v>
      </c>
      <c r="CC76" s="979">
        <f t="shared" ca="1" si="118"/>
        <v>25613.877802239891</v>
      </c>
      <c r="CD76" s="979">
        <f t="shared" ca="1" si="118"/>
        <v>26649.811951109768</v>
      </c>
      <c r="CE76" s="979">
        <f t="shared" ca="1" si="118"/>
        <v>27727.184751150198</v>
      </c>
      <c r="CF76" s="979">
        <f t="shared" ca="1" si="118"/>
        <v>28847.653698980874</v>
      </c>
      <c r="CG76" s="979">
        <f t="shared" ca="1" si="118"/>
        <v>30012.942592986874</v>
      </c>
      <c r="CH76" s="979">
        <f t="shared" ca="1" si="118"/>
        <v>31224.844185316171</v>
      </c>
      <c r="CI76" s="979">
        <f t="shared" ca="1" si="118"/>
        <v>32485.222939959967</v>
      </c>
      <c r="CJ76" s="979">
        <f t="shared" ca="1" si="118"/>
        <v>33796.017901158833</v>
      </c>
      <c r="CK76" s="979">
        <f t="shared" ca="1" si="118"/>
        <v>35159.24567654774</v>
      </c>
      <c r="CL76" s="979">
        <f t="shared" ca="1" si="118"/>
        <v>36577.003539629397</v>
      </c>
      <c r="CM76" s="979">
        <f t="shared" ca="1" si="118"/>
        <v>38051.472656348895</v>
      </c>
      <c r="CN76" s="979">
        <f t="shared" ca="1" si="118"/>
        <v>39584.921440733568</v>
      </c>
      <c r="CO76" s="979">
        <f t="shared" ca="1" si="118"/>
        <v>41179.709044760923</v>
      </c>
      <c r="CP76" s="979">
        <f t="shared" ca="1" si="118"/>
        <v>42838.288987823034</v>
      </c>
      <c r="CQ76" s="979">
        <f t="shared" ca="1" si="118"/>
        <v>44563.212931371978</v>
      </c>
      <c r="CR76" s="979">
        <f t="shared" ca="1" si="118"/>
        <v>46357.134604552673</v>
      </c>
      <c r="CS76" s="979">
        <f t="shared" ca="1" si="118"/>
        <v>48222.813886863281</v>
      </c>
      <c r="CT76" s="979">
        <f t="shared" ca="1" si="118"/>
        <v>50163.12105412352</v>
      </c>
      <c r="CU76" s="979">
        <f t="shared" ca="1" si="118"/>
        <v>52181.041194283796</v>
      </c>
      <c r="CV76" s="979">
        <f t="shared" ca="1" si="118"/>
        <v>54279.678799868037</v>
      </c>
      <c r="CW76" s="979">
        <f t="shared" ca="1" si="118"/>
        <v>56462.262544116224</v>
      </c>
      <c r="CX76" s="979">
        <f t="shared" ca="1" si="118"/>
        <v>58732.150248173813</v>
      </c>
      <c r="CY76" s="979">
        <f t="shared" ca="1" si="118"/>
        <v>61092.834046970631</v>
      </c>
      <c r="CZ76" s="979">
        <f t="shared" ca="1" si="118"/>
        <v>63547.945761735973</v>
      </c>
      <c r="DA76" s="979">
        <f t="shared" ca="1" si="118"/>
        <v>66101.262487415981</v>
      </c>
      <c r="DB76" s="979">
        <f t="shared" ca="1" si="118"/>
        <v>68756.712403588986</v>
      </c>
      <c r="DC76" s="979">
        <f t="shared" ca="1" si="118"/>
        <v>71518.380817818572</v>
      </c>
      <c r="DD76" s="979">
        <f t="shared" ca="1" si="118"/>
        <v>74390.516450742289</v>
      </c>
      <c r="DE76" s="979">
        <f t="shared" ca="1" si="118"/>
        <v>77377.537972564838</v>
      </c>
      <c r="DF76" s="979">
        <f t="shared" ca="1" si="118"/>
        <v>80484.040801012365</v>
      </c>
      <c r="DG76" s="979">
        <f t="shared" ca="1" si="118"/>
        <v>83714.804171205644</v>
      </c>
      <c r="DH76" s="979">
        <f t="shared" ca="1" si="118"/>
        <v>87074.798488329805</v>
      </c>
      <c r="DI76" s="979">
        <f t="shared" ca="1" si="118"/>
        <v>90569.192974411329</v>
      </c>
      <c r="DJ76" s="979">
        <f t="shared" ca="1" si="118"/>
        <v>94203.363620967342</v>
      </c>
      <c r="DK76" s="979">
        <f t="shared" ca="1" si="118"/>
        <v>97982.901459761983</v>
      </c>
      <c r="DL76" s="979">
        <f t="shared" ca="1" si="118"/>
        <v>101913.62116439341</v>
      </c>
      <c r="DM76" s="979">
        <f t="shared" ca="1" si="118"/>
        <v>106001.56999594579</v>
      </c>
      <c r="DN76" s="979">
        <f t="shared" ca="1" si="118"/>
        <v>110253.03710646773</v>
      </c>
      <c r="DO76" s="979">
        <f t="shared" ca="1" si="118"/>
        <v>114674.56321459089</v>
      </c>
      <c r="DP76" s="979">
        <f t="shared" ca="1" si="118"/>
        <v>119272.95066817399</v>
      </c>
      <c r="DQ76" s="979">
        <f t="shared" ca="1" si="118"/>
        <v>124055.27390945333</v>
      </c>
      <c r="DR76" s="979">
        <f t="shared" ca="1" si="118"/>
        <v>129028.89035880018</v>
      </c>
      <c r="DS76" s="979">
        <f t="shared" ca="1" si="118"/>
        <v>134201.45173382899</v>
      </c>
      <c r="DT76" s="979">
        <f t="shared" ca="1" si="118"/>
        <v>139580.91582127055</v>
      </c>
      <c r="DU76" s="979">
        <f t="shared" ca="1" si="118"/>
        <v>145175.55871972098</v>
      </c>
      <c r="DV76" s="979">
        <f t="shared" ca="1" si="118"/>
        <v>150993.98757210106</v>
      </c>
      <c r="DW76" s="979">
        <f t="shared" ca="1" si="118"/>
        <v>157045.1538074144</v>
      </c>
      <c r="DX76" s="979">
        <f t="shared" ca="1" si="118"/>
        <v>163338.36691217695</v>
      </c>
      <c r="DY76" s="979">
        <f t="shared" ca="1" si="118"/>
        <v>169883.30875270377</v>
      </c>
      <c r="DZ76" s="979">
        <f t="shared" ca="1" si="118"/>
        <v>176690.04847028787</v>
      </c>
      <c r="EA76" s="979">
        <f t="shared" ref="EA76:GL76" ca="1" si="119">IF(EA98="E",EA54,EA66-EA82-EA77)</f>
        <v>183769.05797218718</v>
      </c>
      <c r="EB76" s="979">
        <f t="shared" ca="1" si="119"/>
        <v>191131.22804225079</v>
      </c>
      <c r="EC76" s="979">
        <f t="shared" ca="1" si="119"/>
        <v>198787.88509597111</v>
      </c>
      <c r="ED76" s="979">
        <f t="shared" ca="1" si="119"/>
        <v>206750.80860573851</v>
      </c>
      <c r="EE76" s="979">
        <f t="shared" ca="1" si="119"/>
        <v>215032.24922310642</v>
      </c>
      <c r="EF76" s="979">
        <f t="shared" ca="1" si="119"/>
        <v>223644.94762594783</v>
      </c>
      <c r="EG76" s="979">
        <f t="shared" ca="1" si="119"/>
        <v>232602.15411949775</v>
      </c>
      <c r="EH76" s="979">
        <f t="shared" ca="1" si="119"/>
        <v>241917.64902143873</v>
      </c>
      <c r="EI76" s="979">
        <f t="shared" ca="1" si="119"/>
        <v>251605.76386238908</v>
      </c>
      <c r="EJ76" s="979">
        <f t="shared" ca="1" si="119"/>
        <v>261681.4034344118</v>
      </c>
      <c r="EK76" s="979">
        <f t="shared" ca="1" si="119"/>
        <v>272160.06872146379</v>
      </c>
      <c r="EL76" s="979">
        <f t="shared" ca="1" si="119"/>
        <v>283057.88074706367</v>
      </c>
      <c r="EM76" s="979">
        <f t="shared" ca="1" si="119"/>
        <v>294391.60537586629</v>
      </c>
      <c r="EN76" s="979">
        <f t="shared" ca="1" si="119"/>
        <v>306178.67910730036</v>
      </c>
      <c r="EO76" s="979">
        <f t="shared" ca="1" si="119"/>
        <v>318437.23590095295</v>
      </c>
      <c r="EP76" s="979">
        <f t="shared" ca="1" si="119"/>
        <v>331186.13507496798</v>
      </c>
      <c r="EQ76" s="979">
        <f t="shared" ca="1" si="119"/>
        <v>344444.99032038241</v>
      </c>
      <c r="ER76" s="979">
        <f t="shared" ca="1" si="119"/>
        <v>358234.19987603545</v>
      </c>
      <c r="ES76" s="979">
        <f t="shared" ca="1" si="119"/>
        <v>372574.97791047418</v>
      </c>
      <c r="ET76" s="979">
        <f t="shared" ca="1" si="119"/>
        <v>387489.38715913624</v>
      </c>
      <c r="EU76" s="979">
        <f t="shared" ca="1" si="119"/>
        <v>403000.3728670195</v>
      </c>
      <c r="EV76" s="979">
        <f t="shared" ca="1" si="119"/>
        <v>419131.79808905919</v>
      </c>
      <c r="EW76" s="979">
        <f t="shared" ca="1" si="119"/>
        <v>435908.48040252004</v>
      </c>
      <c r="EX76" s="979">
        <f t="shared" ca="1" si="119"/>
        <v>453356.23008788412</v>
      </c>
      <c r="EY76" s="979">
        <f t="shared" ca="1" si="119"/>
        <v>471501.88983697549</v>
      </c>
      <c r="EZ76" s="979">
        <f t="shared" ca="1" si="119"/>
        <v>490373.37604940764</v>
      </c>
      <c r="FA76" s="979">
        <f t="shared" ca="1" si="119"/>
        <v>509999.72178089258</v>
      </c>
      <c r="FB76" s="979">
        <f t="shared" ca="1" si="119"/>
        <v>530411.12140947813</v>
      </c>
      <c r="FC76" s="979">
        <f t="shared" ca="1" si="119"/>
        <v>551638.97708843928</v>
      </c>
      <c r="FD76" s="979">
        <f t="shared" ca="1" si="119"/>
        <v>573715.94705728232</v>
      </c>
      <c r="FE76" s="979">
        <f t="shared" ca="1" si="119"/>
        <v>596675.99588518962</v>
      </c>
      <c r="FF76" s="979">
        <f t="shared" ca="1" si="119"/>
        <v>620554.44672420458</v>
      </c>
      <c r="FG76" s="979">
        <f t="shared" ca="1" si="119"/>
        <v>645388.03565254086</v>
      </c>
      <c r="FH76" s="979">
        <f t="shared" ca="1" si="119"/>
        <v>671214.96819162671</v>
      </c>
      <c r="FI76" s="979">
        <f t="shared" ca="1" si="119"/>
        <v>698074.97808383009</v>
      </c>
      <c r="FJ76" s="979">
        <f t="shared" ca="1" si="119"/>
        <v>726009.38842129265</v>
      </c>
      <c r="FK76" s="979">
        <f t="shared" ca="1" si="119"/>
        <v>755061.17521991814</v>
      </c>
      <c r="FL76" s="979">
        <f t="shared" ca="1" si="119"/>
        <v>785275.03353631985</v>
      </c>
      <c r="FM76" s="979">
        <f t="shared" ca="1" si="119"/>
        <v>816697.44622944645</v>
      </c>
      <c r="FN76" s="979">
        <f t="shared" ca="1" si="119"/>
        <v>849376.75547267147</v>
      </c>
      <c r="FO76" s="979">
        <f t="shared" ca="1" si="119"/>
        <v>883363.23712636949</v>
      </c>
      <c r="FP76" s="979">
        <f t="shared" ca="1" si="119"/>
        <v>918709.17808539211</v>
      </c>
      <c r="FQ76" s="979">
        <f t="shared" ca="1" si="119"/>
        <v>955468.95672044554</v>
      </c>
      <c r="FR76" s="979">
        <f t="shared" ca="1" si="119"/>
        <v>993699.12653712253</v>
      </c>
      <c r="FS76" s="979">
        <f t="shared" ca="1" si="119"/>
        <v>1033458.5031812943</v>
      </c>
      <c r="FT76" s="979">
        <f t="shared" ca="1" si="119"/>
        <v>1074808.2549247216</v>
      </c>
      <c r="FU76" s="979">
        <f t="shared" ca="1" si="119"/>
        <v>1117811.9967700862</v>
      </c>
      <c r="FV76" s="979">
        <f t="shared" ca="1" si="119"/>
        <v>1162535.8883202272</v>
      </c>
      <c r="FW76" s="979">
        <f t="shared" ca="1" si="119"/>
        <v>1209048.7355621452</v>
      </c>
      <c r="FX76" s="979">
        <f t="shared" ca="1" si="119"/>
        <v>1257422.0967223668</v>
      </c>
      <c r="FY76" s="979">
        <f t="shared" ca="1" si="119"/>
        <v>1307730.3923565214</v>
      </c>
      <c r="FZ76" s="979">
        <f t="shared" ca="1" si="119"/>
        <v>1360051.0198425087</v>
      </c>
      <c r="GA76" s="979">
        <f t="shared" ca="1" si="119"/>
        <v>1414464.4724533842</v>
      </c>
      <c r="GB76" s="979">
        <f t="shared" ca="1" si="119"/>
        <v>1471054.4631931642</v>
      </c>
      <c r="GC76" s="979">
        <f t="shared" ca="1" si="119"/>
        <v>1529908.0535860644</v>
      </c>
      <c r="GD76" s="979">
        <f t="shared" ca="1" si="119"/>
        <v>1591115.7876173039</v>
      </c>
      <c r="GE76" s="979">
        <f t="shared" ca="1" si="119"/>
        <v>1654771.8310315465</v>
      </c>
      <c r="GF76" s="979">
        <f t="shared" ca="1" si="119"/>
        <v>1720974.116203276</v>
      </c>
      <c r="GG76" s="979">
        <f t="shared" ca="1" si="119"/>
        <v>1789824.4928019862</v>
      </c>
      <c r="GH76" s="979">
        <f t="shared" ca="1" si="119"/>
        <v>1861428.8844839842</v>
      </c>
      <c r="GI76" s="979">
        <f t="shared" ca="1" si="119"/>
        <v>1935897.4518518569</v>
      </c>
      <c r="GJ76" s="979">
        <f t="shared" ca="1" si="119"/>
        <v>2013344.7619323242</v>
      </c>
      <c r="GK76" s="979">
        <f t="shared" ca="1" si="119"/>
        <v>2093889.9644332021</v>
      </c>
      <c r="GL76" s="979">
        <f t="shared" ca="1" si="119"/>
        <v>2177656.9750506468</v>
      </c>
      <c r="GM76" s="979">
        <f t="shared" ref="GM76:IQ76" ca="1" si="120">IF(GM98="E",GM54,GM66-GM82-GM77)</f>
        <v>2264774.6661086837</v>
      </c>
      <c r="GN76" s="979">
        <f t="shared" ca="1" si="120"/>
        <v>2355377.064824325</v>
      </c>
      <c r="GO76" s="979">
        <f t="shared" ca="1" si="120"/>
        <v>2449603.5595032889</v>
      </c>
      <c r="GP76" s="979">
        <f t="shared" ca="1" si="120"/>
        <v>2547599.1139835417</v>
      </c>
      <c r="GQ76" s="979">
        <f t="shared" ca="1" si="120"/>
        <v>2649514.490656591</v>
      </c>
      <c r="GR76" s="979">
        <f t="shared" ca="1" si="120"/>
        <v>2755506.4824096281</v>
      </c>
      <c r="GS76" s="979">
        <f t="shared" ca="1" si="120"/>
        <v>2865738.1538453484</v>
      </c>
      <c r="GT76" s="979">
        <f t="shared" ca="1" si="120"/>
        <v>2980379.0921505764</v>
      </c>
      <c r="GU76" s="979">
        <f t="shared" ca="1" si="120"/>
        <v>3099605.667999628</v>
      </c>
      <c r="GV76" s="979">
        <f t="shared" ca="1" si="120"/>
        <v>3223601.3068938097</v>
      </c>
      <c r="GW76" s="979">
        <f t="shared" ca="1" si="120"/>
        <v>3352556.7713544965</v>
      </c>
      <c r="GX76" s="979">
        <f t="shared" ca="1" si="120"/>
        <v>3486670.454403935</v>
      </c>
      <c r="GY76" s="979">
        <f t="shared" ca="1" si="120"/>
        <v>3626148.6847852794</v>
      </c>
      <c r="GZ76" s="979">
        <f t="shared" ca="1" si="120"/>
        <v>3771206.0443914244</v>
      </c>
      <c r="HA76" s="979">
        <f t="shared" ca="1" si="120"/>
        <v>3922065.6983909942</v>
      </c>
      <c r="HB76" s="979">
        <f t="shared" ca="1" si="120"/>
        <v>4078959.7385593718</v>
      </c>
      <c r="HC76" s="979">
        <f t="shared" ca="1" si="120"/>
        <v>4242129.5403429717</v>
      </c>
      <c r="HD76" s="979">
        <f t="shared" ca="1" si="120"/>
        <v>4411826.1342060771</v>
      </c>
      <c r="HE76" s="979">
        <f t="shared" ca="1" si="120"/>
        <v>4588310.59183155</v>
      </c>
      <c r="HF76" s="979">
        <f t="shared" ca="1" si="120"/>
        <v>4771854.4277695883</v>
      </c>
      <c r="HG76" s="979">
        <f t="shared" ca="1" si="120"/>
        <v>4962740.0171524025</v>
      </c>
      <c r="HH76" s="979">
        <f t="shared" ca="1" si="120"/>
        <v>5161261.0301175043</v>
      </c>
      <c r="HI76" s="979">
        <f t="shared" ca="1" si="120"/>
        <v>5367722.8836079165</v>
      </c>
      <c r="HJ76" s="979">
        <f t="shared" ca="1" si="120"/>
        <v>5582443.2112443931</v>
      </c>
      <c r="HK76" s="979">
        <f t="shared" ca="1" si="120"/>
        <v>5805752.3519925326</v>
      </c>
      <c r="HL76" s="979">
        <f t="shared" ca="1" si="120"/>
        <v>6037993.8583765589</v>
      </c>
      <c r="HM76" s="979">
        <f t="shared" ca="1" si="120"/>
        <v>6279525.0250216797</v>
      </c>
      <c r="HN76" s="979">
        <f t="shared" ca="1" si="120"/>
        <v>6530717.4383381177</v>
      </c>
      <c r="HO76" s="979">
        <f t="shared" ca="1" si="120"/>
        <v>6791957.5481925141</v>
      </c>
      <c r="HP76" s="979">
        <f t="shared" ca="1" si="120"/>
        <v>7063647.2624461837</v>
      </c>
      <c r="HQ76" s="979">
        <f t="shared" ca="1" si="120"/>
        <v>7346204.5652748998</v>
      </c>
      <c r="HR76" s="979">
        <f t="shared" ca="1" si="120"/>
        <v>7640064.1602214761</v>
      </c>
      <c r="HS76" s="979">
        <f t="shared" ca="1" si="120"/>
        <v>7945678.1389704496</v>
      </c>
      <c r="HT76" s="979">
        <f t="shared" ca="1" si="120"/>
        <v>8263516.6768737324</v>
      </c>
      <c r="HU76" s="979">
        <f t="shared" ca="1" si="120"/>
        <v>8594068.7562973425</v>
      </c>
      <c r="HV76" s="979">
        <f t="shared" ca="1" si="120"/>
        <v>8937842.9189019203</v>
      </c>
      <c r="HW76" s="979">
        <f t="shared" ca="1" si="120"/>
        <v>9295368.0480145551</v>
      </c>
      <c r="HX76" s="979">
        <f t="shared" ca="1" si="120"/>
        <v>9667194.182295423</v>
      </c>
      <c r="HY76" s="979">
        <f t="shared" ca="1" si="120"/>
        <v>10053893.361951102</v>
      </c>
      <c r="HZ76" s="979">
        <f t="shared" ca="1" si="120"/>
        <v>10456060.508796453</v>
      </c>
      <c r="IA76" s="979">
        <f t="shared" ca="1" si="120"/>
        <v>10874314.341518931</v>
      </c>
      <c r="IB76" s="979">
        <f t="shared" ca="1" si="120"/>
        <v>11309298.327553492</v>
      </c>
      <c r="IC76" s="979">
        <f t="shared" ca="1" si="120"/>
        <v>11761681.673032492</v>
      </c>
      <c r="ID76" s="979">
        <f t="shared" ca="1" si="120"/>
        <v>12232160.352333602</v>
      </c>
      <c r="IE76" s="979">
        <f t="shared" ca="1" si="120"/>
        <v>12721458.178809583</v>
      </c>
      <c r="IF76" s="979">
        <f t="shared" ca="1" si="120"/>
        <v>13230327.918347325</v>
      </c>
      <c r="IG76" s="979">
        <f t="shared" ca="1" si="120"/>
        <v>13759552.44746919</v>
      </c>
      <c r="IH76" s="979">
        <f t="shared" ca="1" si="120"/>
        <v>14309945.957758445</v>
      </c>
      <c r="II76" s="979">
        <f t="shared" ca="1" si="120"/>
        <v>14882355.208461694</v>
      </c>
      <c r="IJ76" s="979">
        <f t="shared" ca="1" si="120"/>
        <v>15477660.829195399</v>
      </c>
      <c r="IK76" s="979">
        <f t="shared" ca="1" si="120"/>
        <v>16096778.674760688</v>
      </c>
      <c r="IL76" s="979">
        <f t="shared" ca="1" si="120"/>
        <v>16740661.234150734</v>
      </c>
      <c r="IM76" s="979">
        <f t="shared" ca="1" si="120"/>
        <v>17410299.095918454</v>
      </c>
      <c r="IN76" s="979">
        <f t="shared" ca="1" si="120"/>
        <v>18106722.472158872</v>
      </c>
      <c r="IO76" s="979">
        <f t="shared" ca="1" si="120"/>
        <v>18831002.78345082</v>
      </c>
      <c r="IP76" s="979">
        <f t="shared" ca="1" si="120"/>
        <v>19584254.307196282</v>
      </c>
      <c r="IQ76" s="979">
        <f t="shared" ca="1" si="120"/>
        <v>20367635.891893335</v>
      </c>
      <c r="IR76" s="979">
        <f>IF(IR$97&gt;$I$20,IR66-IR82-IR77,IR54)</f>
        <v>0</v>
      </c>
    </row>
    <row r="77" spans="2:252" s="960" customFormat="1" ht="11.85" customHeight="1">
      <c r="B77" s="1021" t="s">
        <v>702</v>
      </c>
      <c r="C77" s="979">
        <f t="shared" ref="C77:BN77" si="121">IF(C98="E",C55,B77)</f>
        <v>0</v>
      </c>
      <c r="D77" s="979">
        <f t="shared" si="121"/>
        <v>0</v>
      </c>
      <c r="E77" s="1050">
        <f t="shared" si="121"/>
        <v>0</v>
      </c>
      <c r="F77" s="979">
        <f t="shared" si="121"/>
        <v>0</v>
      </c>
      <c r="G77" s="979">
        <f t="shared" si="121"/>
        <v>0</v>
      </c>
      <c r="H77" s="979">
        <f t="shared" si="121"/>
        <v>0</v>
      </c>
      <c r="I77" s="979">
        <f t="shared" si="121"/>
        <v>0</v>
      </c>
      <c r="J77" s="979">
        <f t="shared" si="121"/>
        <v>0</v>
      </c>
      <c r="K77" s="979">
        <f t="shared" si="121"/>
        <v>0</v>
      </c>
      <c r="L77" s="979">
        <f t="shared" si="121"/>
        <v>0</v>
      </c>
      <c r="M77" s="979">
        <f t="shared" si="121"/>
        <v>0</v>
      </c>
      <c r="N77" s="979">
        <f t="shared" si="121"/>
        <v>0</v>
      </c>
      <c r="O77" s="979">
        <f t="shared" si="121"/>
        <v>0</v>
      </c>
      <c r="P77" s="979">
        <f t="shared" si="121"/>
        <v>0</v>
      </c>
      <c r="Q77" s="979">
        <f t="shared" si="121"/>
        <v>0</v>
      </c>
      <c r="R77" s="979">
        <f t="shared" si="121"/>
        <v>0</v>
      </c>
      <c r="S77" s="979">
        <f t="shared" si="121"/>
        <v>0</v>
      </c>
      <c r="T77" s="979">
        <f t="shared" si="121"/>
        <v>0</v>
      </c>
      <c r="U77" s="979">
        <f t="shared" si="121"/>
        <v>0</v>
      </c>
      <c r="V77" s="979">
        <f t="shared" si="121"/>
        <v>0</v>
      </c>
      <c r="W77" s="1051">
        <f t="shared" si="121"/>
        <v>0</v>
      </c>
      <c r="X77" s="979">
        <f t="shared" si="121"/>
        <v>0</v>
      </c>
      <c r="Y77" s="979">
        <f t="shared" si="121"/>
        <v>0</v>
      </c>
      <c r="Z77" s="979">
        <f t="shared" si="121"/>
        <v>0</v>
      </c>
      <c r="AA77" s="979">
        <f t="shared" si="121"/>
        <v>0</v>
      </c>
      <c r="AB77" s="979">
        <f t="shared" si="121"/>
        <v>0</v>
      </c>
      <c r="AC77" s="979">
        <f t="shared" si="121"/>
        <v>0</v>
      </c>
      <c r="AD77" s="979">
        <f t="shared" si="121"/>
        <v>0</v>
      </c>
      <c r="AE77" s="979">
        <f t="shared" si="121"/>
        <v>0</v>
      </c>
      <c r="AF77" s="979">
        <f t="shared" si="121"/>
        <v>0</v>
      </c>
      <c r="AG77" s="979">
        <f t="shared" si="121"/>
        <v>0</v>
      </c>
      <c r="AH77" s="979">
        <f t="shared" si="121"/>
        <v>0</v>
      </c>
      <c r="AI77" s="979">
        <f t="shared" si="121"/>
        <v>0</v>
      </c>
      <c r="AJ77" s="979">
        <f t="shared" si="121"/>
        <v>0</v>
      </c>
      <c r="AK77" s="979">
        <f t="shared" si="121"/>
        <v>0</v>
      </c>
      <c r="AL77" s="979">
        <f t="shared" si="121"/>
        <v>0</v>
      </c>
      <c r="AM77" s="979">
        <f t="shared" si="121"/>
        <v>0</v>
      </c>
      <c r="AN77" s="979">
        <f t="shared" si="121"/>
        <v>0</v>
      </c>
      <c r="AO77" s="979">
        <f t="shared" si="121"/>
        <v>0</v>
      </c>
      <c r="AP77" s="979">
        <f t="shared" si="121"/>
        <v>0</v>
      </c>
      <c r="AQ77" s="979">
        <f t="shared" si="121"/>
        <v>0</v>
      </c>
      <c r="AR77" s="979">
        <f t="shared" si="121"/>
        <v>0</v>
      </c>
      <c r="AS77" s="979">
        <f t="shared" si="121"/>
        <v>0</v>
      </c>
      <c r="AT77" s="979">
        <f t="shared" si="121"/>
        <v>0</v>
      </c>
      <c r="AU77" s="979">
        <f t="shared" si="121"/>
        <v>0</v>
      </c>
      <c r="AV77" s="979">
        <f t="shared" si="121"/>
        <v>0</v>
      </c>
      <c r="AW77" s="979">
        <f t="shared" si="121"/>
        <v>0</v>
      </c>
      <c r="AX77" s="979">
        <f t="shared" si="121"/>
        <v>0</v>
      </c>
      <c r="AY77" s="979">
        <f t="shared" si="121"/>
        <v>0</v>
      </c>
      <c r="AZ77" s="979">
        <f t="shared" si="121"/>
        <v>0</v>
      </c>
      <c r="BA77" s="979">
        <f t="shared" si="121"/>
        <v>0</v>
      </c>
      <c r="BB77" s="979">
        <f t="shared" si="121"/>
        <v>0</v>
      </c>
      <c r="BC77" s="979">
        <f t="shared" si="121"/>
        <v>0</v>
      </c>
      <c r="BD77" s="979">
        <f t="shared" si="121"/>
        <v>0</v>
      </c>
      <c r="BE77" s="979">
        <f t="shared" si="121"/>
        <v>0</v>
      </c>
      <c r="BF77" s="979">
        <f t="shared" si="121"/>
        <v>0</v>
      </c>
      <c r="BG77" s="979">
        <f t="shared" si="121"/>
        <v>0</v>
      </c>
      <c r="BH77" s="979">
        <f t="shared" si="121"/>
        <v>0</v>
      </c>
      <c r="BI77" s="979">
        <f t="shared" si="121"/>
        <v>0</v>
      </c>
      <c r="BJ77" s="979">
        <f t="shared" si="121"/>
        <v>0</v>
      </c>
      <c r="BK77" s="979">
        <f t="shared" si="121"/>
        <v>0</v>
      </c>
      <c r="BL77" s="979">
        <f t="shared" si="121"/>
        <v>0</v>
      </c>
      <c r="BM77" s="979">
        <f t="shared" si="121"/>
        <v>0</v>
      </c>
      <c r="BN77" s="979">
        <f t="shared" si="121"/>
        <v>0</v>
      </c>
      <c r="BO77" s="979">
        <f t="shared" ref="BO77:DZ77" si="122">IF(BO98="E",BO55,BN77)</f>
        <v>0</v>
      </c>
      <c r="BP77" s="979">
        <f t="shared" si="122"/>
        <v>0</v>
      </c>
      <c r="BQ77" s="979">
        <f t="shared" si="122"/>
        <v>0</v>
      </c>
      <c r="BR77" s="979">
        <f t="shared" si="122"/>
        <v>0</v>
      </c>
      <c r="BS77" s="979">
        <f t="shared" si="122"/>
        <v>0</v>
      </c>
      <c r="BT77" s="979">
        <f t="shared" si="122"/>
        <v>0</v>
      </c>
      <c r="BU77" s="979">
        <f t="shared" si="122"/>
        <v>0</v>
      </c>
      <c r="BV77" s="979">
        <f t="shared" si="122"/>
        <v>0</v>
      </c>
      <c r="BW77" s="979">
        <f t="shared" si="122"/>
        <v>0</v>
      </c>
      <c r="BX77" s="979">
        <f t="shared" si="122"/>
        <v>0</v>
      </c>
      <c r="BY77" s="979">
        <f t="shared" si="122"/>
        <v>0</v>
      </c>
      <c r="BZ77" s="979">
        <f t="shared" si="122"/>
        <v>0</v>
      </c>
      <c r="CA77" s="979">
        <f t="shared" si="122"/>
        <v>0</v>
      </c>
      <c r="CB77" s="979">
        <f t="shared" si="122"/>
        <v>0</v>
      </c>
      <c r="CC77" s="979">
        <f t="shared" si="122"/>
        <v>0</v>
      </c>
      <c r="CD77" s="979">
        <f t="shared" si="122"/>
        <v>0</v>
      </c>
      <c r="CE77" s="979">
        <f t="shared" si="122"/>
        <v>0</v>
      </c>
      <c r="CF77" s="979">
        <f t="shared" si="122"/>
        <v>0</v>
      </c>
      <c r="CG77" s="979">
        <f t="shared" si="122"/>
        <v>0</v>
      </c>
      <c r="CH77" s="979">
        <f t="shared" si="122"/>
        <v>0</v>
      </c>
      <c r="CI77" s="979">
        <f t="shared" si="122"/>
        <v>0</v>
      </c>
      <c r="CJ77" s="979">
        <f t="shared" si="122"/>
        <v>0</v>
      </c>
      <c r="CK77" s="979">
        <f t="shared" si="122"/>
        <v>0</v>
      </c>
      <c r="CL77" s="979">
        <f t="shared" si="122"/>
        <v>0</v>
      </c>
      <c r="CM77" s="979">
        <f t="shared" si="122"/>
        <v>0</v>
      </c>
      <c r="CN77" s="979">
        <f t="shared" si="122"/>
        <v>0</v>
      </c>
      <c r="CO77" s="979">
        <f t="shared" si="122"/>
        <v>0</v>
      </c>
      <c r="CP77" s="979">
        <f t="shared" si="122"/>
        <v>0</v>
      </c>
      <c r="CQ77" s="979">
        <f t="shared" si="122"/>
        <v>0</v>
      </c>
      <c r="CR77" s="979">
        <f t="shared" si="122"/>
        <v>0</v>
      </c>
      <c r="CS77" s="979">
        <f t="shared" si="122"/>
        <v>0</v>
      </c>
      <c r="CT77" s="979">
        <f t="shared" si="122"/>
        <v>0</v>
      </c>
      <c r="CU77" s="979">
        <f t="shared" si="122"/>
        <v>0</v>
      </c>
      <c r="CV77" s="979">
        <f t="shared" si="122"/>
        <v>0</v>
      </c>
      <c r="CW77" s="979">
        <f t="shared" si="122"/>
        <v>0</v>
      </c>
      <c r="CX77" s="979">
        <f t="shared" si="122"/>
        <v>0</v>
      </c>
      <c r="CY77" s="979">
        <f t="shared" si="122"/>
        <v>0</v>
      </c>
      <c r="CZ77" s="979">
        <f t="shared" si="122"/>
        <v>0</v>
      </c>
      <c r="DA77" s="979">
        <f t="shared" si="122"/>
        <v>0</v>
      </c>
      <c r="DB77" s="979">
        <f t="shared" si="122"/>
        <v>0</v>
      </c>
      <c r="DC77" s="979">
        <f t="shared" si="122"/>
        <v>0</v>
      </c>
      <c r="DD77" s="979">
        <f t="shared" si="122"/>
        <v>0</v>
      </c>
      <c r="DE77" s="979">
        <f t="shared" si="122"/>
        <v>0</v>
      </c>
      <c r="DF77" s="979">
        <f t="shared" si="122"/>
        <v>0</v>
      </c>
      <c r="DG77" s="979">
        <f t="shared" si="122"/>
        <v>0</v>
      </c>
      <c r="DH77" s="979">
        <f t="shared" si="122"/>
        <v>0</v>
      </c>
      <c r="DI77" s="979">
        <f t="shared" si="122"/>
        <v>0</v>
      </c>
      <c r="DJ77" s="979">
        <f t="shared" si="122"/>
        <v>0</v>
      </c>
      <c r="DK77" s="979">
        <f t="shared" si="122"/>
        <v>0</v>
      </c>
      <c r="DL77" s="979">
        <f t="shared" si="122"/>
        <v>0</v>
      </c>
      <c r="DM77" s="979">
        <f t="shared" si="122"/>
        <v>0</v>
      </c>
      <c r="DN77" s="979">
        <f t="shared" si="122"/>
        <v>0</v>
      </c>
      <c r="DO77" s="979">
        <f t="shared" si="122"/>
        <v>0</v>
      </c>
      <c r="DP77" s="979">
        <f t="shared" si="122"/>
        <v>0</v>
      </c>
      <c r="DQ77" s="979">
        <f t="shared" si="122"/>
        <v>0</v>
      </c>
      <c r="DR77" s="979">
        <f t="shared" si="122"/>
        <v>0</v>
      </c>
      <c r="DS77" s="979">
        <f t="shared" si="122"/>
        <v>0</v>
      </c>
      <c r="DT77" s="979">
        <f t="shared" si="122"/>
        <v>0</v>
      </c>
      <c r="DU77" s="979">
        <f t="shared" si="122"/>
        <v>0</v>
      </c>
      <c r="DV77" s="979">
        <f t="shared" si="122"/>
        <v>0</v>
      </c>
      <c r="DW77" s="979">
        <f t="shared" si="122"/>
        <v>0</v>
      </c>
      <c r="DX77" s="979">
        <f t="shared" si="122"/>
        <v>0</v>
      </c>
      <c r="DY77" s="979">
        <f t="shared" si="122"/>
        <v>0</v>
      </c>
      <c r="DZ77" s="979">
        <f t="shared" si="122"/>
        <v>0</v>
      </c>
      <c r="EA77" s="979">
        <f t="shared" ref="EA77:GL77" si="123">IF(EA98="E",EA55,DZ77)</f>
        <v>0</v>
      </c>
      <c r="EB77" s="979">
        <f t="shared" si="123"/>
        <v>0</v>
      </c>
      <c r="EC77" s="979">
        <f t="shared" si="123"/>
        <v>0</v>
      </c>
      <c r="ED77" s="979">
        <f t="shared" si="123"/>
        <v>0</v>
      </c>
      <c r="EE77" s="979">
        <f t="shared" si="123"/>
        <v>0</v>
      </c>
      <c r="EF77" s="979">
        <f t="shared" si="123"/>
        <v>0</v>
      </c>
      <c r="EG77" s="979">
        <f t="shared" si="123"/>
        <v>0</v>
      </c>
      <c r="EH77" s="979">
        <f t="shared" si="123"/>
        <v>0</v>
      </c>
      <c r="EI77" s="979">
        <f t="shared" si="123"/>
        <v>0</v>
      </c>
      <c r="EJ77" s="979">
        <f t="shared" si="123"/>
        <v>0</v>
      </c>
      <c r="EK77" s="979">
        <f t="shared" si="123"/>
        <v>0</v>
      </c>
      <c r="EL77" s="979">
        <f t="shared" si="123"/>
        <v>0</v>
      </c>
      <c r="EM77" s="979">
        <f t="shared" si="123"/>
        <v>0</v>
      </c>
      <c r="EN77" s="979">
        <f t="shared" si="123"/>
        <v>0</v>
      </c>
      <c r="EO77" s="979">
        <f t="shared" si="123"/>
        <v>0</v>
      </c>
      <c r="EP77" s="979">
        <f t="shared" si="123"/>
        <v>0</v>
      </c>
      <c r="EQ77" s="979">
        <f t="shared" si="123"/>
        <v>0</v>
      </c>
      <c r="ER77" s="979">
        <f t="shared" si="123"/>
        <v>0</v>
      </c>
      <c r="ES77" s="979">
        <f t="shared" si="123"/>
        <v>0</v>
      </c>
      <c r="ET77" s="979">
        <f t="shared" si="123"/>
        <v>0</v>
      </c>
      <c r="EU77" s="979">
        <f t="shared" si="123"/>
        <v>0</v>
      </c>
      <c r="EV77" s="979">
        <f t="shared" si="123"/>
        <v>0</v>
      </c>
      <c r="EW77" s="979">
        <f t="shared" si="123"/>
        <v>0</v>
      </c>
      <c r="EX77" s="979">
        <f t="shared" si="123"/>
        <v>0</v>
      </c>
      <c r="EY77" s="979">
        <f t="shared" si="123"/>
        <v>0</v>
      </c>
      <c r="EZ77" s="979">
        <f t="shared" si="123"/>
        <v>0</v>
      </c>
      <c r="FA77" s="979">
        <f t="shared" si="123"/>
        <v>0</v>
      </c>
      <c r="FB77" s="979">
        <f t="shared" si="123"/>
        <v>0</v>
      </c>
      <c r="FC77" s="979">
        <f t="shared" si="123"/>
        <v>0</v>
      </c>
      <c r="FD77" s="979">
        <f t="shared" si="123"/>
        <v>0</v>
      </c>
      <c r="FE77" s="979">
        <f t="shared" si="123"/>
        <v>0</v>
      </c>
      <c r="FF77" s="979">
        <f t="shared" si="123"/>
        <v>0</v>
      </c>
      <c r="FG77" s="979">
        <f t="shared" si="123"/>
        <v>0</v>
      </c>
      <c r="FH77" s="979">
        <f t="shared" si="123"/>
        <v>0</v>
      </c>
      <c r="FI77" s="979">
        <f t="shared" si="123"/>
        <v>0</v>
      </c>
      <c r="FJ77" s="979">
        <f t="shared" si="123"/>
        <v>0</v>
      </c>
      <c r="FK77" s="979">
        <f t="shared" si="123"/>
        <v>0</v>
      </c>
      <c r="FL77" s="979">
        <f t="shared" si="123"/>
        <v>0</v>
      </c>
      <c r="FM77" s="979">
        <f t="shared" si="123"/>
        <v>0</v>
      </c>
      <c r="FN77" s="979">
        <f t="shared" si="123"/>
        <v>0</v>
      </c>
      <c r="FO77" s="979">
        <f t="shared" si="123"/>
        <v>0</v>
      </c>
      <c r="FP77" s="979">
        <f t="shared" si="123"/>
        <v>0</v>
      </c>
      <c r="FQ77" s="979">
        <f t="shared" si="123"/>
        <v>0</v>
      </c>
      <c r="FR77" s="979">
        <f t="shared" si="123"/>
        <v>0</v>
      </c>
      <c r="FS77" s="979">
        <f t="shared" si="123"/>
        <v>0</v>
      </c>
      <c r="FT77" s="979">
        <f t="shared" si="123"/>
        <v>0</v>
      </c>
      <c r="FU77" s="979">
        <f t="shared" si="123"/>
        <v>0</v>
      </c>
      <c r="FV77" s="979">
        <f t="shared" si="123"/>
        <v>0</v>
      </c>
      <c r="FW77" s="979">
        <f t="shared" si="123"/>
        <v>0</v>
      </c>
      <c r="FX77" s="979">
        <f t="shared" si="123"/>
        <v>0</v>
      </c>
      <c r="FY77" s="979">
        <f t="shared" si="123"/>
        <v>0</v>
      </c>
      <c r="FZ77" s="979">
        <f t="shared" si="123"/>
        <v>0</v>
      </c>
      <c r="GA77" s="979">
        <f t="shared" si="123"/>
        <v>0</v>
      </c>
      <c r="GB77" s="979">
        <f t="shared" si="123"/>
        <v>0</v>
      </c>
      <c r="GC77" s="979">
        <f t="shared" si="123"/>
        <v>0</v>
      </c>
      <c r="GD77" s="979">
        <f t="shared" si="123"/>
        <v>0</v>
      </c>
      <c r="GE77" s="979">
        <f t="shared" si="123"/>
        <v>0</v>
      </c>
      <c r="GF77" s="979">
        <f t="shared" si="123"/>
        <v>0</v>
      </c>
      <c r="GG77" s="979">
        <f t="shared" si="123"/>
        <v>0</v>
      </c>
      <c r="GH77" s="979">
        <f t="shared" si="123"/>
        <v>0</v>
      </c>
      <c r="GI77" s="979">
        <f t="shared" si="123"/>
        <v>0</v>
      </c>
      <c r="GJ77" s="979">
        <f t="shared" si="123"/>
        <v>0</v>
      </c>
      <c r="GK77" s="979">
        <f t="shared" si="123"/>
        <v>0</v>
      </c>
      <c r="GL77" s="979">
        <f t="shared" si="123"/>
        <v>0</v>
      </c>
      <c r="GM77" s="979">
        <f t="shared" ref="GM77:IR77" si="124">IF(GM98="E",GM55,GL77)</f>
        <v>0</v>
      </c>
      <c r="GN77" s="979">
        <f t="shared" si="124"/>
        <v>0</v>
      </c>
      <c r="GO77" s="979">
        <f t="shared" si="124"/>
        <v>0</v>
      </c>
      <c r="GP77" s="979">
        <f t="shared" si="124"/>
        <v>0</v>
      </c>
      <c r="GQ77" s="979">
        <f t="shared" si="124"/>
        <v>0</v>
      </c>
      <c r="GR77" s="979">
        <f t="shared" si="124"/>
        <v>0</v>
      </c>
      <c r="GS77" s="979">
        <f t="shared" si="124"/>
        <v>0</v>
      </c>
      <c r="GT77" s="979">
        <f t="shared" si="124"/>
        <v>0</v>
      </c>
      <c r="GU77" s="979">
        <f t="shared" si="124"/>
        <v>0</v>
      </c>
      <c r="GV77" s="979">
        <f t="shared" si="124"/>
        <v>0</v>
      </c>
      <c r="GW77" s="979">
        <f t="shared" si="124"/>
        <v>0</v>
      </c>
      <c r="GX77" s="979">
        <f t="shared" si="124"/>
        <v>0</v>
      </c>
      <c r="GY77" s="979">
        <f t="shared" si="124"/>
        <v>0</v>
      </c>
      <c r="GZ77" s="979">
        <f t="shared" si="124"/>
        <v>0</v>
      </c>
      <c r="HA77" s="979">
        <f t="shared" si="124"/>
        <v>0</v>
      </c>
      <c r="HB77" s="979">
        <f t="shared" si="124"/>
        <v>0</v>
      </c>
      <c r="HC77" s="979">
        <f t="shared" si="124"/>
        <v>0</v>
      </c>
      <c r="HD77" s="979">
        <f t="shared" si="124"/>
        <v>0</v>
      </c>
      <c r="HE77" s="979">
        <f t="shared" si="124"/>
        <v>0</v>
      </c>
      <c r="HF77" s="979">
        <f t="shared" si="124"/>
        <v>0</v>
      </c>
      <c r="HG77" s="979">
        <f t="shared" si="124"/>
        <v>0</v>
      </c>
      <c r="HH77" s="979">
        <f t="shared" si="124"/>
        <v>0</v>
      </c>
      <c r="HI77" s="979">
        <f t="shared" si="124"/>
        <v>0</v>
      </c>
      <c r="HJ77" s="979">
        <f t="shared" si="124"/>
        <v>0</v>
      </c>
      <c r="HK77" s="979">
        <f t="shared" si="124"/>
        <v>0</v>
      </c>
      <c r="HL77" s="979">
        <f t="shared" si="124"/>
        <v>0</v>
      </c>
      <c r="HM77" s="979">
        <f t="shared" si="124"/>
        <v>0</v>
      </c>
      <c r="HN77" s="979">
        <f t="shared" si="124"/>
        <v>0</v>
      </c>
      <c r="HO77" s="979">
        <f t="shared" si="124"/>
        <v>0</v>
      </c>
      <c r="HP77" s="979">
        <f t="shared" si="124"/>
        <v>0</v>
      </c>
      <c r="HQ77" s="979">
        <f t="shared" si="124"/>
        <v>0</v>
      </c>
      <c r="HR77" s="979">
        <f t="shared" si="124"/>
        <v>0</v>
      </c>
      <c r="HS77" s="979">
        <f t="shared" si="124"/>
        <v>0</v>
      </c>
      <c r="HT77" s="979">
        <f t="shared" si="124"/>
        <v>0</v>
      </c>
      <c r="HU77" s="979">
        <f t="shared" si="124"/>
        <v>0</v>
      </c>
      <c r="HV77" s="979">
        <f t="shared" si="124"/>
        <v>0</v>
      </c>
      <c r="HW77" s="979">
        <f t="shared" si="124"/>
        <v>0</v>
      </c>
      <c r="HX77" s="979">
        <f t="shared" si="124"/>
        <v>0</v>
      </c>
      <c r="HY77" s="979">
        <f t="shared" si="124"/>
        <v>0</v>
      </c>
      <c r="HZ77" s="979">
        <f t="shared" si="124"/>
        <v>0</v>
      </c>
      <c r="IA77" s="979">
        <f t="shared" si="124"/>
        <v>0</v>
      </c>
      <c r="IB77" s="979">
        <f t="shared" si="124"/>
        <v>0</v>
      </c>
      <c r="IC77" s="979">
        <f t="shared" si="124"/>
        <v>0</v>
      </c>
      <c r="ID77" s="979">
        <f t="shared" si="124"/>
        <v>0</v>
      </c>
      <c r="IE77" s="979">
        <f t="shared" si="124"/>
        <v>0</v>
      </c>
      <c r="IF77" s="979">
        <f t="shared" si="124"/>
        <v>0</v>
      </c>
      <c r="IG77" s="979">
        <f t="shared" si="124"/>
        <v>0</v>
      </c>
      <c r="IH77" s="979">
        <f t="shared" si="124"/>
        <v>0</v>
      </c>
      <c r="II77" s="979">
        <f t="shared" si="124"/>
        <v>0</v>
      </c>
      <c r="IJ77" s="979">
        <f t="shared" si="124"/>
        <v>0</v>
      </c>
      <c r="IK77" s="979">
        <f t="shared" si="124"/>
        <v>0</v>
      </c>
      <c r="IL77" s="979">
        <f t="shared" si="124"/>
        <v>0</v>
      </c>
      <c r="IM77" s="979">
        <f t="shared" si="124"/>
        <v>0</v>
      </c>
      <c r="IN77" s="979">
        <f t="shared" si="124"/>
        <v>0</v>
      </c>
      <c r="IO77" s="979">
        <f t="shared" si="124"/>
        <v>0</v>
      </c>
      <c r="IP77" s="979">
        <f t="shared" si="124"/>
        <v>0</v>
      </c>
      <c r="IQ77" s="979">
        <f t="shared" si="124"/>
        <v>0</v>
      </c>
      <c r="IR77" s="979">
        <f t="shared" si="124"/>
        <v>0</v>
      </c>
    </row>
    <row r="78" spans="2:252" s="960" customFormat="1" ht="11.85" customHeight="1">
      <c r="B78" s="958" t="s">
        <v>718</v>
      </c>
      <c r="C78" s="1058">
        <f t="shared" ref="C78:BN78" ca="1" si="125">IF(C98="S", $C$18,IF(C98="T", B78+($C$18-OFFSET($B78,0,$I$20))/MAX($C$14-$I$20,0),C76/C82))</f>
        <v>-113.83336005014678</v>
      </c>
      <c r="D78" s="1058">
        <f t="shared" ca="1" si="125"/>
        <v>17.653659454254296</v>
      </c>
      <c r="E78" s="1059">
        <f t="shared" ca="1" si="125"/>
        <v>5.3220957157425923</v>
      </c>
      <c r="F78" s="1058">
        <f t="shared" ca="1" si="125"/>
        <v>4.1164378226808678</v>
      </c>
      <c r="G78" s="1058">
        <f t="shared" ca="1" si="125"/>
        <v>3.8904104587633137</v>
      </c>
      <c r="H78" s="1058">
        <f t="shared" ca="1" si="125"/>
        <v>3.6643830948457596</v>
      </c>
      <c r="I78" s="1058">
        <f t="shared" ca="1" si="125"/>
        <v>3.4383557309282056</v>
      </c>
      <c r="J78" s="1058">
        <f t="shared" ca="1" si="125"/>
        <v>3.2123283670106515</v>
      </c>
      <c r="K78" s="1058">
        <f t="shared" ca="1" si="125"/>
        <v>2.9863010030930974</v>
      </c>
      <c r="L78" s="1058">
        <f t="shared" ca="1" si="125"/>
        <v>2.7602736391755434</v>
      </c>
      <c r="M78" s="1058">
        <f t="shared" ca="1" si="125"/>
        <v>2.5342462752579893</v>
      </c>
      <c r="N78" s="1058">
        <f t="shared" ca="1" si="125"/>
        <v>2.3082189113404352</v>
      </c>
      <c r="O78" s="1058">
        <f t="shared" ca="1" si="125"/>
        <v>2.0821915474228812</v>
      </c>
      <c r="P78" s="1058">
        <f t="shared" ca="1" si="125"/>
        <v>1.8561641835053269</v>
      </c>
      <c r="Q78" s="1058">
        <f t="shared" ca="1" si="125"/>
        <v>1.6301368195877726</v>
      </c>
      <c r="R78" s="1058">
        <f t="shared" ca="1" si="125"/>
        <v>1.4041094556702183</v>
      </c>
      <c r="S78" s="1058">
        <f t="shared" ca="1" si="125"/>
        <v>1.178082091752664</v>
      </c>
      <c r="T78" s="1058">
        <f t="shared" ca="1" si="125"/>
        <v>0.95205472783510969</v>
      </c>
      <c r="U78" s="1058">
        <f t="shared" ca="1" si="125"/>
        <v>0.7260273639175554</v>
      </c>
      <c r="V78" s="1058">
        <f t="shared" ca="1" si="125"/>
        <v>0.50000000000000111</v>
      </c>
      <c r="W78" s="1060">
        <f t="shared" ca="1" si="125"/>
        <v>0.5</v>
      </c>
      <c r="X78" s="1058">
        <f t="shared" ca="1" si="125"/>
        <v>0.5</v>
      </c>
      <c r="Y78" s="1058">
        <f t="shared" ca="1" si="125"/>
        <v>0.5</v>
      </c>
      <c r="Z78" s="1058">
        <f t="shared" ca="1" si="125"/>
        <v>0.5</v>
      </c>
      <c r="AA78" s="1058">
        <f t="shared" ca="1" si="125"/>
        <v>0.5</v>
      </c>
      <c r="AB78" s="1058">
        <f t="shared" ca="1" si="125"/>
        <v>0.5</v>
      </c>
      <c r="AC78" s="1058">
        <f t="shared" ca="1" si="125"/>
        <v>0.5</v>
      </c>
      <c r="AD78" s="1058">
        <f t="shared" ca="1" si="125"/>
        <v>0.5</v>
      </c>
      <c r="AE78" s="1058">
        <f t="shared" ca="1" si="125"/>
        <v>0.5</v>
      </c>
      <c r="AF78" s="1058">
        <f t="shared" ca="1" si="125"/>
        <v>0.5</v>
      </c>
      <c r="AG78" s="1058">
        <f t="shared" ca="1" si="125"/>
        <v>0.5</v>
      </c>
      <c r="AH78" s="1058">
        <f t="shared" ca="1" si="125"/>
        <v>0.5</v>
      </c>
      <c r="AI78" s="1058">
        <f t="shared" ca="1" si="125"/>
        <v>0.5</v>
      </c>
      <c r="AJ78" s="1058">
        <f t="shared" ca="1" si="125"/>
        <v>0.5</v>
      </c>
      <c r="AK78" s="1058">
        <f t="shared" ca="1" si="125"/>
        <v>0.5</v>
      </c>
      <c r="AL78" s="1058">
        <f t="shared" ca="1" si="125"/>
        <v>0.5</v>
      </c>
      <c r="AM78" s="1058">
        <f t="shared" ca="1" si="125"/>
        <v>0.5</v>
      </c>
      <c r="AN78" s="1058">
        <f t="shared" ca="1" si="125"/>
        <v>0.5</v>
      </c>
      <c r="AO78" s="1058">
        <f t="shared" ca="1" si="125"/>
        <v>0.5</v>
      </c>
      <c r="AP78" s="1058">
        <f t="shared" ca="1" si="125"/>
        <v>0.5</v>
      </c>
      <c r="AQ78" s="1058">
        <f t="shared" ca="1" si="125"/>
        <v>0.5</v>
      </c>
      <c r="AR78" s="1058">
        <f t="shared" ca="1" si="125"/>
        <v>0.5</v>
      </c>
      <c r="AS78" s="1058">
        <f t="shared" ca="1" si="125"/>
        <v>0.5</v>
      </c>
      <c r="AT78" s="1058">
        <f t="shared" ca="1" si="125"/>
        <v>0.5</v>
      </c>
      <c r="AU78" s="1058">
        <f t="shared" ca="1" si="125"/>
        <v>0.5</v>
      </c>
      <c r="AV78" s="1058">
        <f t="shared" ca="1" si="125"/>
        <v>0.5</v>
      </c>
      <c r="AW78" s="1058">
        <f t="shared" ca="1" si="125"/>
        <v>0.5</v>
      </c>
      <c r="AX78" s="1058">
        <f t="shared" ca="1" si="125"/>
        <v>0.5</v>
      </c>
      <c r="AY78" s="1058">
        <f t="shared" ca="1" si="125"/>
        <v>0.5</v>
      </c>
      <c r="AZ78" s="1058">
        <f t="shared" ca="1" si="125"/>
        <v>0.5</v>
      </c>
      <c r="BA78" s="1058">
        <f t="shared" ca="1" si="125"/>
        <v>0.5</v>
      </c>
      <c r="BB78" s="1058">
        <f t="shared" ca="1" si="125"/>
        <v>0.5</v>
      </c>
      <c r="BC78" s="1058">
        <f t="shared" ca="1" si="125"/>
        <v>0.5</v>
      </c>
      <c r="BD78" s="1058">
        <f t="shared" ca="1" si="125"/>
        <v>0.5</v>
      </c>
      <c r="BE78" s="1058">
        <f t="shared" ca="1" si="125"/>
        <v>0.5</v>
      </c>
      <c r="BF78" s="1058">
        <f t="shared" ca="1" si="125"/>
        <v>0.5</v>
      </c>
      <c r="BG78" s="1058">
        <f t="shared" ca="1" si="125"/>
        <v>0.5</v>
      </c>
      <c r="BH78" s="1058">
        <f t="shared" ca="1" si="125"/>
        <v>0.5</v>
      </c>
      <c r="BI78" s="1058">
        <f t="shared" ca="1" si="125"/>
        <v>0.5</v>
      </c>
      <c r="BJ78" s="1058">
        <f t="shared" ca="1" si="125"/>
        <v>0.5</v>
      </c>
      <c r="BK78" s="1058">
        <f t="shared" ca="1" si="125"/>
        <v>0.5</v>
      </c>
      <c r="BL78" s="1058">
        <f t="shared" ca="1" si="125"/>
        <v>0.5</v>
      </c>
      <c r="BM78" s="1058">
        <f t="shared" ca="1" si="125"/>
        <v>0.5</v>
      </c>
      <c r="BN78" s="1058">
        <f t="shared" ca="1" si="125"/>
        <v>0.5</v>
      </c>
      <c r="BO78" s="1058">
        <f t="shared" ref="BO78:DZ78" ca="1" si="126">IF(BO98="S", $C$18,IF(BO98="T", BN78+($C$18-OFFSET($B78,0,$I$20))/MAX($C$14-$I$20,0),BO76/BO82))</f>
        <v>0.5</v>
      </c>
      <c r="BP78" s="1058">
        <f t="shared" ca="1" si="126"/>
        <v>0.5</v>
      </c>
      <c r="BQ78" s="1058">
        <f t="shared" ca="1" si="126"/>
        <v>0.5</v>
      </c>
      <c r="BR78" s="1058">
        <f t="shared" ca="1" si="126"/>
        <v>0.5</v>
      </c>
      <c r="BS78" s="1058">
        <f t="shared" ca="1" si="126"/>
        <v>0.5</v>
      </c>
      <c r="BT78" s="1058">
        <f t="shared" ca="1" si="126"/>
        <v>0.5</v>
      </c>
      <c r="BU78" s="1058">
        <f t="shared" ca="1" si="126"/>
        <v>0.5</v>
      </c>
      <c r="BV78" s="1058">
        <f t="shared" ca="1" si="126"/>
        <v>0.5</v>
      </c>
      <c r="BW78" s="1058">
        <f t="shared" ca="1" si="126"/>
        <v>0.5</v>
      </c>
      <c r="BX78" s="1058">
        <f t="shared" ca="1" si="126"/>
        <v>0.5</v>
      </c>
      <c r="BY78" s="1058">
        <f t="shared" ca="1" si="126"/>
        <v>0.5</v>
      </c>
      <c r="BZ78" s="1058">
        <f t="shared" ca="1" si="126"/>
        <v>0.5</v>
      </c>
      <c r="CA78" s="1058">
        <f t="shared" ca="1" si="126"/>
        <v>0.5</v>
      </c>
      <c r="CB78" s="1058">
        <f t="shared" ca="1" si="126"/>
        <v>0.5</v>
      </c>
      <c r="CC78" s="1058">
        <f t="shared" ca="1" si="126"/>
        <v>0.5</v>
      </c>
      <c r="CD78" s="1058">
        <f t="shared" ca="1" si="126"/>
        <v>0.5</v>
      </c>
      <c r="CE78" s="1058">
        <f t="shared" ca="1" si="126"/>
        <v>0.5</v>
      </c>
      <c r="CF78" s="1058">
        <f t="shared" ca="1" si="126"/>
        <v>0.5</v>
      </c>
      <c r="CG78" s="1058">
        <f t="shared" ca="1" si="126"/>
        <v>0.5</v>
      </c>
      <c r="CH78" s="1058">
        <f t="shared" ca="1" si="126"/>
        <v>0.5</v>
      </c>
      <c r="CI78" s="1058">
        <f t="shared" ca="1" si="126"/>
        <v>0.5</v>
      </c>
      <c r="CJ78" s="1058">
        <f t="shared" ca="1" si="126"/>
        <v>0.5</v>
      </c>
      <c r="CK78" s="1058">
        <f t="shared" ca="1" si="126"/>
        <v>0.5</v>
      </c>
      <c r="CL78" s="1058">
        <f t="shared" ca="1" si="126"/>
        <v>0.5</v>
      </c>
      <c r="CM78" s="1058">
        <f t="shared" ca="1" si="126"/>
        <v>0.5</v>
      </c>
      <c r="CN78" s="1058">
        <f t="shared" ca="1" si="126"/>
        <v>0.5</v>
      </c>
      <c r="CO78" s="1058">
        <f t="shared" ca="1" si="126"/>
        <v>0.5</v>
      </c>
      <c r="CP78" s="1058">
        <f t="shared" ca="1" si="126"/>
        <v>0.5</v>
      </c>
      <c r="CQ78" s="1058">
        <f t="shared" ca="1" si="126"/>
        <v>0.5</v>
      </c>
      <c r="CR78" s="1058">
        <f t="shared" ca="1" si="126"/>
        <v>0.5</v>
      </c>
      <c r="CS78" s="1058">
        <f t="shared" ca="1" si="126"/>
        <v>0.5</v>
      </c>
      <c r="CT78" s="1058">
        <f t="shared" ca="1" si="126"/>
        <v>0.5</v>
      </c>
      <c r="CU78" s="1058">
        <f t="shared" ca="1" si="126"/>
        <v>0.5</v>
      </c>
      <c r="CV78" s="1058">
        <f t="shared" ca="1" si="126"/>
        <v>0.5</v>
      </c>
      <c r="CW78" s="1058">
        <f t="shared" ca="1" si="126"/>
        <v>0.5</v>
      </c>
      <c r="CX78" s="1058">
        <f t="shared" ca="1" si="126"/>
        <v>0.5</v>
      </c>
      <c r="CY78" s="1058">
        <f t="shared" ca="1" si="126"/>
        <v>0.5</v>
      </c>
      <c r="CZ78" s="1058">
        <f t="shared" ca="1" si="126"/>
        <v>0.5</v>
      </c>
      <c r="DA78" s="1058">
        <f t="shared" ca="1" si="126"/>
        <v>0.5</v>
      </c>
      <c r="DB78" s="1058">
        <f t="shared" ca="1" si="126"/>
        <v>0.5</v>
      </c>
      <c r="DC78" s="1058">
        <f t="shared" ca="1" si="126"/>
        <v>0.5</v>
      </c>
      <c r="DD78" s="1058">
        <f t="shared" ca="1" si="126"/>
        <v>0.5</v>
      </c>
      <c r="DE78" s="1058">
        <f t="shared" ca="1" si="126"/>
        <v>0.5</v>
      </c>
      <c r="DF78" s="1058">
        <f t="shared" ca="1" si="126"/>
        <v>0.5</v>
      </c>
      <c r="DG78" s="1058">
        <f t="shared" ca="1" si="126"/>
        <v>0.5</v>
      </c>
      <c r="DH78" s="1058">
        <f t="shared" ca="1" si="126"/>
        <v>0.5</v>
      </c>
      <c r="DI78" s="1058">
        <f t="shared" ca="1" si="126"/>
        <v>0.5</v>
      </c>
      <c r="DJ78" s="1058">
        <f t="shared" ca="1" si="126"/>
        <v>0.5</v>
      </c>
      <c r="DK78" s="1058">
        <f t="shared" ca="1" si="126"/>
        <v>0.5</v>
      </c>
      <c r="DL78" s="1058">
        <f t="shared" ca="1" si="126"/>
        <v>0.5</v>
      </c>
      <c r="DM78" s="1058">
        <f t="shared" ca="1" si="126"/>
        <v>0.5</v>
      </c>
      <c r="DN78" s="1058">
        <f t="shared" ca="1" si="126"/>
        <v>0.5</v>
      </c>
      <c r="DO78" s="1058">
        <f t="shared" ca="1" si="126"/>
        <v>0.5</v>
      </c>
      <c r="DP78" s="1058">
        <f t="shared" ca="1" si="126"/>
        <v>0.5</v>
      </c>
      <c r="DQ78" s="1058">
        <f t="shared" ca="1" si="126"/>
        <v>0.5</v>
      </c>
      <c r="DR78" s="1058">
        <f t="shared" ca="1" si="126"/>
        <v>0.5</v>
      </c>
      <c r="DS78" s="1058">
        <f t="shared" ca="1" si="126"/>
        <v>0.5</v>
      </c>
      <c r="DT78" s="1058">
        <f t="shared" ca="1" si="126"/>
        <v>0.5</v>
      </c>
      <c r="DU78" s="1058">
        <f t="shared" ca="1" si="126"/>
        <v>0.5</v>
      </c>
      <c r="DV78" s="1058">
        <f t="shared" ca="1" si="126"/>
        <v>0.5</v>
      </c>
      <c r="DW78" s="1058">
        <f t="shared" ca="1" si="126"/>
        <v>0.5</v>
      </c>
      <c r="DX78" s="1058">
        <f t="shared" ca="1" si="126"/>
        <v>0.5</v>
      </c>
      <c r="DY78" s="1058">
        <f t="shared" ca="1" si="126"/>
        <v>0.5</v>
      </c>
      <c r="DZ78" s="1058">
        <f t="shared" ca="1" si="126"/>
        <v>0.5</v>
      </c>
      <c r="EA78" s="1058">
        <f t="shared" ref="EA78:GL78" ca="1" si="127">IF(EA98="S", $C$18,IF(EA98="T", DZ78+($C$18-OFFSET($B78,0,$I$20))/MAX($C$14-$I$20,0),EA76/EA82))</f>
        <v>0.5</v>
      </c>
      <c r="EB78" s="1058">
        <f t="shared" ca="1" si="127"/>
        <v>0.5</v>
      </c>
      <c r="EC78" s="1058">
        <f t="shared" ca="1" si="127"/>
        <v>0.5</v>
      </c>
      <c r="ED78" s="1058">
        <f t="shared" ca="1" si="127"/>
        <v>0.5</v>
      </c>
      <c r="EE78" s="1058">
        <f t="shared" ca="1" si="127"/>
        <v>0.5</v>
      </c>
      <c r="EF78" s="1058">
        <f t="shared" ca="1" si="127"/>
        <v>0.5</v>
      </c>
      <c r="EG78" s="1058">
        <f t="shared" ca="1" si="127"/>
        <v>0.5</v>
      </c>
      <c r="EH78" s="1058">
        <f t="shared" ca="1" si="127"/>
        <v>0.5</v>
      </c>
      <c r="EI78" s="1058">
        <f t="shared" ca="1" si="127"/>
        <v>0.5</v>
      </c>
      <c r="EJ78" s="1058">
        <f t="shared" ca="1" si="127"/>
        <v>0.5</v>
      </c>
      <c r="EK78" s="1058">
        <f t="shared" ca="1" si="127"/>
        <v>0.5</v>
      </c>
      <c r="EL78" s="1058">
        <f t="shared" ca="1" si="127"/>
        <v>0.5</v>
      </c>
      <c r="EM78" s="1058">
        <f t="shared" ca="1" si="127"/>
        <v>0.5</v>
      </c>
      <c r="EN78" s="1058">
        <f t="shared" ca="1" si="127"/>
        <v>0.5</v>
      </c>
      <c r="EO78" s="1058">
        <f t="shared" ca="1" si="127"/>
        <v>0.5</v>
      </c>
      <c r="EP78" s="1058">
        <f t="shared" ca="1" si="127"/>
        <v>0.5</v>
      </c>
      <c r="EQ78" s="1058">
        <f t="shared" ca="1" si="127"/>
        <v>0.5</v>
      </c>
      <c r="ER78" s="1058">
        <f t="shared" ca="1" si="127"/>
        <v>0.5</v>
      </c>
      <c r="ES78" s="1058">
        <f t="shared" ca="1" si="127"/>
        <v>0.5</v>
      </c>
      <c r="ET78" s="1058">
        <f t="shared" ca="1" si="127"/>
        <v>0.5</v>
      </c>
      <c r="EU78" s="1058">
        <f t="shared" ca="1" si="127"/>
        <v>0.5</v>
      </c>
      <c r="EV78" s="1058">
        <f t="shared" ca="1" si="127"/>
        <v>0.5</v>
      </c>
      <c r="EW78" s="1058">
        <f t="shared" ca="1" si="127"/>
        <v>0.5</v>
      </c>
      <c r="EX78" s="1058">
        <f t="shared" ca="1" si="127"/>
        <v>0.5</v>
      </c>
      <c r="EY78" s="1058">
        <f t="shared" ca="1" si="127"/>
        <v>0.5</v>
      </c>
      <c r="EZ78" s="1058">
        <f t="shared" ca="1" si="127"/>
        <v>0.5</v>
      </c>
      <c r="FA78" s="1058">
        <f t="shared" ca="1" si="127"/>
        <v>0.5</v>
      </c>
      <c r="FB78" s="1058">
        <f t="shared" ca="1" si="127"/>
        <v>0.5</v>
      </c>
      <c r="FC78" s="1058">
        <f t="shared" ca="1" si="127"/>
        <v>0.5</v>
      </c>
      <c r="FD78" s="1058">
        <f t="shared" ca="1" si="127"/>
        <v>0.5</v>
      </c>
      <c r="FE78" s="1058">
        <f t="shared" ca="1" si="127"/>
        <v>0.5</v>
      </c>
      <c r="FF78" s="1058">
        <f t="shared" ca="1" si="127"/>
        <v>0.5</v>
      </c>
      <c r="FG78" s="1058">
        <f t="shared" ca="1" si="127"/>
        <v>0.5</v>
      </c>
      <c r="FH78" s="1058">
        <f t="shared" ca="1" si="127"/>
        <v>0.5</v>
      </c>
      <c r="FI78" s="1058">
        <f t="shared" ca="1" si="127"/>
        <v>0.5</v>
      </c>
      <c r="FJ78" s="1058">
        <f t="shared" ca="1" si="127"/>
        <v>0.5</v>
      </c>
      <c r="FK78" s="1058">
        <f t="shared" ca="1" si="127"/>
        <v>0.5</v>
      </c>
      <c r="FL78" s="1058">
        <f t="shared" ca="1" si="127"/>
        <v>0.5</v>
      </c>
      <c r="FM78" s="1058">
        <f t="shared" ca="1" si="127"/>
        <v>0.5</v>
      </c>
      <c r="FN78" s="1058">
        <f t="shared" ca="1" si="127"/>
        <v>0.5</v>
      </c>
      <c r="FO78" s="1058">
        <f t="shared" ca="1" si="127"/>
        <v>0.5</v>
      </c>
      <c r="FP78" s="1058">
        <f t="shared" ca="1" si="127"/>
        <v>0.5</v>
      </c>
      <c r="FQ78" s="1058">
        <f t="shared" ca="1" si="127"/>
        <v>0.5</v>
      </c>
      <c r="FR78" s="1058">
        <f t="shared" ca="1" si="127"/>
        <v>0.5</v>
      </c>
      <c r="FS78" s="1058">
        <f t="shared" ca="1" si="127"/>
        <v>0.5</v>
      </c>
      <c r="FT78" s="1058">
        <f t="shared" ca="1" si="127"/>
        <v>0.5</v>
      </c>
      <c r="FU78" s="1058">
        <f t="shared" ca="1" si="127"/>
        <v>0.5</v>
      </c>
      <c r="FV78" s="1058">
        <f t="shared" ca="1" si="127"/>
        <v>0.5</v>
      </c>
      <c r="FW78" s="1058">
        <f t="shared" ca="1" si="127"/>
        <v>0.5</v>
      </c>
      <c r="FX78" s="1058">
        <f t="shared" ca="1" si="127"/>
        <v>0.5</v>
      </c>
      <c r="FY78" s="1058">
        <f t="shared" ca="1" si="127"/>
        <v>0.5</v>
      </c>
      <c r="FZ78" s="1058">
        <f t="shared" ca="1" si="127"/>
        <v>0.5</v>
      </c>
      <c r="GA78" s="1058">
        <f t="shared" ca="1" si="127"/>
        <v>0.5</v>
      </c>
      <c r="GB78" s="1058">
        <f t="shared" ca="1" si="127"/>
        <v>0.5</v>
      </c>
      <c r="GC78" s="1058">
        <f t="shared" ca="1" si="127"/>
        <v>0.5</v>
      </c>
      <c r="GD78" s="1058">
        <f t="shared" ca="1" si="127"/>
        <v>0.5</v>
      </c>
      <c r="GE78" s="1058">
        <f t="shared" ca="1" si="127"/>
        <v>0.5</v>
      </c>
      <c r="GF78" s="1058">
        <f t="shared" ca="1" si="127"/>
        <v>0.5</v>
      </c>
      <c r="GG78" s="1058">
        <f t="shared" ca="1" si="127"/>
        <v>0.5</v>
      </c>
      <c r="GH78" s="1058">
        <f t="shared" ca="1" si="127"/>
        <v>0.5</v>
      </c>
      <c r="GI78" s="1058">
        <f t="shared" ca="1" si="127"/>
        <v>0.5</v>
      </c>
      <c r="GJ78" s="1058">
        <f t="shared" ca="1" si="127"/>
        <v>0.5</v>
      </c>
      <c r="GK78" s="1058">
        <f t="shared" ca="1" si="127"/>
        <v>0.5</v>
      </c>
      <c r="GL78" s="1058">
        <f t="shared" ca="1" si="127"/>
        <v>0.5</v>
      </c>
      <c r="GM78" s="1058">
        <f t="shared" ref="GM78:IQ78" ca="1" si="128">IF(GM98="S", $C$18,IF(GM98="T", GL78+($C$18-OFFSET($B78,0,$I$20))/MAX($C$14-$I$20,0),GM76/GM82))</f>
        <v>0.5</v>
      </c>
      <c r="GN78" s="1058">
        <f t="shared" ca="1" si="128"/>
        <v>0.5</v>
      </c>
      <c r="GO78" s="1058">
        <f t="shared" ca="1" si="128"/>
        <v>0.5</v>
      </c>
      <c r="GP78" s="1058">
        <f t="shared" ca="1" si="128"/>
        <v>0.5</v>
      </c>
      <c r="GQ78" s="1058">
        <f t="shared" ca="1" si="128"/>
        <v>0.5</v>
      </c>
      <c r="GR78" s="1058">
        <f t="shared" ca="1" si="128"/>
        <v>0.5</v>
      </c>
      <c r="GS78" s="1058">
        <f t="shared" ca="1" si="128"/>
        <v>0.5</v>
      </c>
      <c r="GT78" s="1058">
        <f t="shared" ca="1" si="128"/>
        <v>0.5</v>
      </c>
      <c r="GU78" s="1058">
        <f t="shared" ca="1" si="128"/>
        <v>0.5</v>
      </c>
      <c r="GV78" s="1058">
        <f t="shared" ca="1" si="128"/>
        <v>0.5</v>
      </c>
      <c r="GW78" s="1058">
        <f t="shared" ca="1" si="128"/>
        <v>0.5</v>
      </c>
      <c r="GX78" s="1058">
        <f t="shared" ca="1" si="128"/>
        <v>0.5</v>
      </c>
      <c r="GY78" s="1058">
        <f t="shared" ca="1" si="128"/>
        <v>0.5</v>
      </c>
      <c r="GZ78" s="1058">
        <f t="shared" ca="1" si="128"/>
        <v>0.5</v>
      </c>
      <c r="HA78" s="1058">
        <f t="shared" ca="1" si="128"/>
        <v>0.5</v>
      </c>
      <c r="HB78" s="1058">
        <f t="shared" ca="1" si="128"/>
        <v>0.5</v>
      </c>
      <c r="HC78" s="1058">
        <f t="shared" ca="1" si="128"/>
        <v>0.5</v>
      </c>
      <c r="HD78" s="1058">
        <f t="shared" ca="1" si="128"/>
        <v>0.5</v>
      </c>
      <c r="HE78" s="1058">
        <f t="shared" ca="1" si="128"/>
        <v>0.5</v>
      </c>
      <c r="HF78" s="1058">
        <f t="shared" ca="1" si="128"/>
        <v>0.5</v>
      </c>
      <c r="HG78" s="1058">
        <f t="shared" ca="1" si="128"/>
        <v>0.5</v>
      </c>
      <c r="HH78" s="1058">
        <f t="shared" ca="1" si="128"/>
        <v>0.5</v>
      </c>
      <c r="HI78" s="1058">
        <f t="shared" ca="1" si="128"/>
        <v>0.5</v>
      </c>
      <c r="HJ78" s="1058">
        <f t="shared" ca="1" si="128"/>
        <v>0.5</v>
      </c>
      <c r="HK78" s="1058">
        <f t="shared" ca="1" si="128"/>
        <v>0.5</v>
      </c>
      <c r="HL78" s="1058">
        <f t="shared" ca="1" si="128"/>
        <v>0.5</v>
      </c>
      <c r="HM78" s="1058">
        <f t="shared" ca="1" si="128"/>
        <v>0.5</v>
      </c>
      <c r="HN78" s="1058">
        <f t="shared" ca="1" si="128"/>
        <v>0.5</v>
      </c>
      <c r="HO78" s="1058">
        <f t="shared" ca="1" si="128"/>
        <v>0.5</v>
      </c>
      <c r="HP78" s="1058">
        <f t="shared" ca="1" si="128"/>
        <v>0.5</v>
      </c>
      <c r="HQ78" s="1058">
        <f t="shared" ca="1" si="128"/>
        <v>0.5</v>
      </c>
      <c r="HR78" s="1058">
        <f t="shared" ca="1" si="128"/>
        <v>0.5</v>
      </c>
      <c r="HS78" s="1058">
        <f t="shared" ca="1" si="128"/>
        <v>0.5</v>
      </c>
      <c r="HT78" s="1058">
        <f t="shared" ca="1" si="128"/>
        <v>0.5</v>
      </c>
      <c r="HU78" s="1058">
        <f t="shared" ca="1" si="128"/>
        <v>0.5</v>
      </c>
      <c r="HV78" s="1058">
        <f t="shared" ca="1" si="128"/>
        <v>0.5</v>
      </c>
      <c r="HW78" s="1058">
        <f t="shared" ca="1" si="128"/>
        <v>0.5</v>
      </c>
      <c r="HX78" s="1058">
        <f t="shared" ca="1" si="128"/>
        <v>0.5</v>
      </c>
      <c r="HY78" s="1058">
        <f t="shared" ca="1" si="128"/>
        <v>0.5</v>
      </c>
      <c r="HZ78" s="1058">
        <f t="shared" ca="1" si="128"/>
        <v>0.5</v>
      </c>
      <c r="IA78" s="1058">
        <f t="shared" ca="1" si="128"/>
        <v>0.5</v>
      </c>
      <c r="IB78" s="1058">
        <f t="shared" ca="1" si="128"/>
        <v>0.5</v>
      </c>
      <c r="IC78" s="1058">
        <f t="shared" ca="1" si="128"/>
        <v>0.5</v>
      </c>
      <c r="ID78" s="1058">
        <f t="shared" ca="1" si="128"/>
        <v>0.5</v>
      </c>
      <c r="IE78" s="1058">
        <f t="shared" ca="1" si="128"/>
        <v>0.5</v>
      </c>
      <c r="IF78" s="1058">
        <f t="shared" ca="1" si="128"/>
        <v>0.5</v>
      </c>
      <c r="IG78" s="1058">
        <f t="shared" ca="1" si="128"/>
        <v>0.5</v>
      </c>
      <c r="IH78" s="1058">
        <f t="shared" ca="1" si="128"/>
        <v>0.5</v>
      </c>
      <c r="II78" s="1058">
        <f t="shared" ca="1" si="128"/>
        <v>0.5</v>
      </c>
      <c r="IJ78" s="1058">
        <f t="shared" ca="1" si="128"/>
        <v>0.5</v>
      </c>
      <c r="IK78" s="1058">
        <f t="shared" ca="1" si="128"/>
        <v>0.5</v>
      </c>
      <c r="IL78" s="1058">
        <f t="shared" ca="1" si="128"/>
        <v>0.5</v>
      </c>
      <c r="IM78" s="1058">
        <f t="shared" ca="1" si="128"/>
        <v>0.5</v>
      </c>
      <c r="IN78" s="1058">
        <f t="shared" ca="1" si="128"/>
        <v>0.5</v>
      </c>
      <c r="IO78" s="1058">
        <f t="shared" ca="1" si="128"/>
        <v>0.5</v>
      </c>
      <c r="IP78" s="1058">
        <f t="shared" ca="1" si="128"/>
        <v>0.5</v>
      </c>
      <c r="IQ78" s="1058">
        <f t="shared" ca="1" si="128"/>
        <v>0.5</v>
      </c>
      <c r="IR78" s="1037"/>
    </row>
    <row r="79" spans="2:252" s="960" customFormat="1" ht="11.85" customHeight="1">
      <c r="B79" s="958"/>
      <c r="C79" s="1061"/>
      <c r="D79" s="1061"/>
      <c r="E79" s="1000"/>
      <c r="F79" s="958"/>
      <c r="G79" s="958"/>
      <c r="H79" s="979"/>
      <c r="I79" s="958"/>
      <c r="J79" s="958"/>
      <c r="K79" s="958"/>
      <c r="L79" s="958"/>
      <c r="M79" s="958"/>
      <c r="N79" s="958"/>
      <c r="O79" s="958"/>
      <c r="P79" s="958"/>
      <c r="Q79" s="958"/>
      <c r="R79" s="958"/>
      <c r="S79" s="958"/>
      <c r="T79" s="958"/>
      <c r="U79" s="958"/>
      <c r="V79" s="958"/>
      <c r="W79" s="1013"/>
      <c r="X79" s="958"/>
      <c r="Y79" s="958"/>
      <c r="Z79" s="958"/>
      <c r="AA79" s="958"/>
      <c r="AB79" s="958"/>
      <c r="AC79" s="958"/>
      <c r="AD79" s="958"/>
      <c r="AE79" s="958"/>
      <c r="AF79" s="958"/>
      <c r="AG79" s="958"/>
      <c r="AH79" s="958"/>
      <c r="AI79" s="958"/>
      <c r="AJ79" s="958"/>
      <c r="AK79" s="958"/>
      <c r="AL79" s="958"/>
      <c r="AM79" s="958"/>
      <c r="AN79" s="958"/>
      <c r="AO79" s="958"/>
      <c r="AP79" s="958"/>
      <c r="AQ79" s="958"/>
      <c r="AR79" s="958"/>
      <c r="AS79" s="958"/>
      <c r="AT79" s="958"/>
      <c r="AU79" s="958"/>
      <c r="AV79" s="958"/>
      <c r="AW79" s="958"/>
      <c r="AX79" s="958"/>
      <c r="AY79" s="958"/>
      <c r="AZ79" s="958"/>
      <c r="BA79" s="958"/>
      <c r="BB79" s="958"/>
      <c r="BC79" s="958"/>
      <c r="BD79" s="958"/>
      <c r="BE79" s="958"/>
      <c r="BF79" s="958"/>
      <c r="BG79" s="958"/>
      <c r="BH79" s="958"/>
      <c r="BI79" s="958"/>
      <c r="BJ79" s="958"/>
      <c r="BK79" s="958"/>
      <c r="BL79" s="958"/>
      <c r="BM79" s="958"/>
      <c r="BN79" s="958"/>
      <c r="BO79" s="958"/>
      <c r="BP79" s="958"/>
      <c r="BQ79" s="958"/>
      <c r="BR79" s="958"/>
      <c r="BS79" s="958"/>
      <c r="BT79" s="958"/>
      <c r="BU79" s="958"/>
      <c r="BV79" s="958"/>
      <c r="BW79" s="958"/>
      <c r="BX79" s="958"/>
      <c r="BY79" s="958"/>
      <c r="BZ79" s="958"/>
      <c r="CA79" s="958"/>
      <c r="CB79" s="958"/>
      <c r="CC79" s="958"/>
      <c r="CD79" s="958"/>
      <c r="CE79" s="958"/>
      <c r="CF79" s="958"/>
      <c r="CG79" s="958"/>
      <c r="CH79" s="958"/>
      <c r="CI79" s="958"/>
      <c r="CJ79" s="958"/>
      <c r="CK79" s="958"/>
      <c r="CL79" s="958"/>
      <c r="CM79" s="958"/>
      <c r="CN79" s="958"/>
      <c r="CO79" s="958"/>
      <c r="CP79" s="958"/>
      <c r="CQ79" s="958"/>
      <c r="CR79" s="958"/>
      <c r="CS79" s="958"/>
      <c r="CT79" s="958"/>
      <c r="CU79" s="958"/>
      <c r="CV79" s="958"/>
      <c r="CW79" s="958"/>
      <c r="CX79" s="958"/>
      <c r="CY79" s="958"/>
      <c r="CZ79" s="958"/>
      <c r="DA79" s="958"/>
      <c r="DB79" s="958"/>
      <c r="DC79" s="958"/>
      <c r="DD79" s="958"/>
      <c r="DE79" s="958"/>
      <c r="DF79" s="958"/>
      <c r="DG79" s="958"/>
      <c r="DH79" s="958"/>
      <c r="DI79" s="958"/>
      <c r="DJ79" s="958"/>
      <c r="DK79" s="958"/>
      <c r="DL79" s="958"/>
      <c r="DM79" s="958"/>
      <c r="DN79" s="958"/>
      <c r="DO79" s="958"/>
      <c r="DP79" s="958"/>
      <c r="DQ79" s="958"/>
      <c r="DR79" s="958"/>
      <c r="DS79" s="958"/>
      <c r="DT79" s="958"/>
      <c r="DU79" s="958"/>
      <c r="DV79" s="958"/>
      <c r="DW79" s="958"/>
      <c r="DX79" s="958"/>
      <c r="DY79" s="958"/>
      <c r="DZ79" s="958"/>
      <c r="EA79" s="958"/>
      <c r="EB79" s="958"/>
      <c r="EC79" s="958"/>
      <c r="ED79" s="958"/>
      <c r="EE79" s="958"/>
      <c r="EF79" s="958"/>
      <c r="EG79" s="958"/>
      <c r="EH79" s="958"/>
      <c r="EI79" s="958"/>
      <c r="EJ79" s="958"/>
      <c r="EK79" s="958"/>
      <c r="EL79" s="958"/>
      <c r="EM79" s="958"/>
      <c r="EN79" s="958"/>
      <c r="EO79" s="958"/>
      <c r="EP79" s="958"/>
      <c r="EQ79" s="958"/>
      <c r="ER79" s="958"/>
      <c r="ES79" s="958"/>
      <c r="ET79" s="958"/>
      <c r="EU79" s="958"/>
      <c r="EV79" s="958"/>
      <c r="EW79" s="958"/>
      <c r="EX79" s="958"/>
      <c r="EY79" s="958"/>
      <c r="EZ79" s="958"/>
      <c r="FA79" s="958"/>
      <c r="FB79" s="958"/>
      <c r="FC79" s="958"/>
      <c r="FD79" s="958"/>
      <c r="FE79" s="958"/>
      <c r="FF79" s="958"/>
      <c r="FG79" s="958"/>
      <c r="FH79" s="958"/>
      <c r="FI79" s="958"/>
      <c r="FJ79" s="958"/>
      <c r="FK79" s="958"/>
      <c r="FL79" s="958"/>
      <c r="FM79" s="958"/>
      <c r="FN79" s="958"/>
      <c r="FO79" s="958"/>
      <c r="FP79" s="958"/>
      <c r="FQ79" s="958"/>
      <c r="FR79" s="958"/>
      <c r="FS79" s="958"/>
      <c r="FT79" s="958"/>
      <c r="FU79" s="958"/>
      <c r="FV79" s="958"/>
      <c r="FW79" s="958"/>
      <c r="FX79" s="958"/>
      <c r="FY79" s="958"/>
      <c r="FZ79" s="958"/>
      <c r="GA79" s="958"/>
      <c r="GB79" s="958"/>
      <c r="GC79" s="958"/>
      <c r="GD79" s="958"/>
      <c r="GE79" s="958"/>
      <c r="GF79" s="958"/>
      <c r="GG79" s="958"/>
      <c r="GH79" s="958"/>
      <c r="GI79" s="958"/>
      <c r="GJ79" s="958"/>
      <c r="GK79" s="958"/>
      <c r="GL79" s="958"/>
      <c r="GM79" s="958"/>
      <c r="GN79" s="958"/>
      <c r="GO79" s="958"/>
      <c r="GP79" s="958"/>
      <c r="GQ79" s="958"/>
      <c r="GR79" s="958"/>
      <c r="GS79" s="958"/>
      <c r="GT79" s="958"/>
      <c r="GU79" s="958"/>
      <c r="GV79" s="958"/>
      <c r="GW79" s="958"/>
      <c r="GX79" s="958"/>
      <c r="GY79" s="958"/>
      <c r="GZ79" s="958"/>
      <c r="HA79" s="958"/>
      <c r="HB79" s="958"/>
      <c r="HC79" s="958"/>
      <c r="HD79" s="958"/>
      <c r="HE79" s="958"/>
      <c r="HF79" s="958"/>
      <c r="HG79" s="958"/>
      <c r="HH79" s="958"/>
      <c r="HI79" s="958"/>
      <c r="HJ79" s="958"/>
      <c r="HK79" s="958"/>
      <c r="HL79" s="958"/>
      <c r="HM79" s="958"/>
      <c r="HN79" s="958"/>
      <c r="HO79" s="958"/>
      <c r="HP79" s="958"/>
      <c r="HQ79" s="958"/>
      <c r="HR79" s="958"/>
      <c r="HS79" s="958"/>
      <c r="HT79" s="958"/>
      <c r="HU79" s="958"/>
      <c r="HV79" s="958"/>
      <c r="HW79" s="958"/>
      <c r="HX79" s="958"/>
      <c r="HY79" s="958"/>
      <c r="HZ79" s="958"/>
      <c r="IA79" s="958"/>
      <c r="IB79" s="958"/>
      <c r="IC79" s="958"/>
      <c r="ID79" s="958"/>
      <c r="IE79" s="958"/>
      <c r="IF79" s="958"/>
      <c r="IG79" s="958"/>
      <c r="IH79" s="958"/>
      <c r="II79" s="958"/>
      <c r="IJ79" s="958"/>
      <c r="IK79" s="958"/>
      <c r="IL79" s="958"/>
      <c r="IM79" s="958"/>
      <c r="IN79" s="958"/>
      <c r="IO79" s="958"/>
      <c r="IP79" s="958"/>
      <c r="IQ79" s="958"/>
      <c r="IR79" s="888"/>
    </row>
    <row r="80" spans="2:252" s="960" customFormat="1" ht="15">
      <c r="B80" s="1054" t="s">
        <v>719</v>
      </c>
      <c r="C80" s="979"/>
      <c r="D80" s="979"/>
      <c r="E80" s="1050"/>
      <c r="F80" s="979"/>
      <c r="G80" s="979"/>
      <c r="H80" s="979"/>
      <c r="I80" s="979"/>
      <c r="J80" s="979"/>
      <c r="K80" s="979"/>
      <c r="L80" s="979"/>
      <c r="M80" s="979"/>
      <c r="N80" s="979"/>
      <c r="O80" s="979"/>
      <c r="P80" s="979"/>
      <c r="Q80" s="979"/>
      <c r="R80" s="979"/>
      <c r="S80" s="979"/>
      <c r="T80" s="979"/>
      <c r="U80" s="979"/>
      <c r="V80" s="979"/>
      <c r="W80" s="1051"/>
      <c r="X80" s="979"/>
      <c r="Y80" s="979"/>
      <c r="Z80" s="979"/>
      <c r="AA80" s="979"/>
      <c r="AB80" s="979"/>
      <c r="AC80" s="979"/>
      <c r="AD80" s="979"/>
      <c r="AE80" s="979"/>
      <c r="AF80" s="979"/>
      <c r="AG80" s="979"/>
      <c r="AH80" s="979"/>
      <c r="AI80" s="979"/>
      <c r="AJ80" s="979"/>
      <c r="AK80" s="979"/>
      <c r="AL80" s="979"/>
      <c r="AM80" s="979"/>
      <c r="AN80" s="979"/>
      <c r="AO80" s="979"/>
      <c r="AP80" s="979"/>
      <c r="AQ80" s="979"/>
      <c r="AR80" s="979"/>
      <c r="AS80" s="979"/>
      <c r="AT80" s="979"/>
      <c r="AU80" s="979"/>
      <c r="AV80" s="979"/>
      <c r="AW80" s="979"/>
      <c r="AX80" s="979"/>
      <c r="AY80" s="979"/>
      <c r="AZ80" s="979"/>
      <c r="BA80" s="979"/>
      <c r="BB80" s="979"/>
      <c r="BC80" s="979"/>
      <c r="BD80" s="979"/>
      <c r="BE80" s="979"/>
      <c r="BF80" s="979"/>
      <c r="BG80" s="979"/>
      <c r="BH80" s="979"/>
      <c r="BI80" s="979"/>
      <c r="BJ80" s="979"/>
      <c r="BK80" s="979"/>
      <c r="BL80" s="979"/>
      <c r="BM80" s="979"/>
      <c r="BN80" s="979"/>
      <c r="BO80" s="979"/>
      <c r="BP80" s="979"/>
      <c r="BQ80" s="979"/>
      <c r="BR80" s="979"/>
      <c r="BS80" s="979"/>
      <c r="BT80" s="979"/>
      <c r="BU80" s="979"/>
      <c r="BV80" s="979"/>
      <c r="BW80" s="979"/>
      <c r="BX80" s="979"/>
      <c r="BY80" s="979"/>
      <c r="BZ80" s="979"/>
      <c r="CA80" s="979"/>
      <c r="CB80" s="979"/>
      <c r="CC80" s="979"/>
      <c r="CD80" s="979"/>
      <c r="CE80" s="979"/>
      <c r="CF80" s="979"/>
      <c r="CG80" s="979"/>
      <c r="CH80" s="979"/>
      <c r="CI80" s="979"/>
      <c r="CJ80" s="979"/>
      <c r="CK80" s="979"/>
      <c r="CL80" s="979"/>
      <c r="CM80" s="979"/>
      <c r="CN80" s="979"/>
      <c r="CO80" s="979"/>
      <c r="CP80" s="979"/>
      <c r="CQ80" s="979"/>
      <c r="CR80" s="979"/>
      <c r="CS80" s="979"/>
      <c r="CT80" s="979"/>
      <c r="CU80" s="979"/>
      <c r="CV80" s="979"/>
      <c r="CW80" s="979"/>
      <c r="CX80" s="979"/>
      <c r="CY80" s="979"/>
      <c r="CZ80" s="979"/>
      <c r="DA80" s="979"/>
      <c r="DB80" s="979"/>
      <c r="DC80" s="979"/>
      <c r="DD80" s="979"/>
      <c r="DE80" s="979"/>
      <c r="DF80" s="979"/>
      <c r="DG80" s="979"/>
      <c r="DH80" s="979"/>
      <c r="DI80" s="979"/>
      <c r="DJ80" s="979"/>
      <c r="DK80" s="979"/>
      <c r="DL80" s="979"/>
      <c r="DM80" s="979"/>
      <c r="DN80" s="979"/>
      <c r="DO80" s="979"/>
      <c r="DP80" s="979"/>
      <c r="DQ80" s="979"/>
      <c r="DR80" s="979"/>
      <c r="DS80" s="979"/>
      <c r="DT80" s="979"/>
      <c r="DU80" s="979"/>
      <c r="DV80" s="979"/>
      <c r="DW80" s="979"/>
      <c r="DX80" s="979"/>
      <c r="DY80" s="979"/>
      <c r="DZ80" s="979"/>
      <c r="EA80" s="979"/>
      <c r="EB80" s="979"/>
      <c r="EC80" s="979"/>
      <c r="ED80" s="979"/>
      <c r="EE80" s="979"/>
      <c r="EF80" s="979"/>
      <c r="EG80" s="979"/>
      <c r="EH80" s="979"/>
      <c r="EI80" s="979"/>
      <c r="EJ80" s="979"/>
      <c r="EK80" s="979"/>
      <c r="EL80" s="979"/>
      <c r="EM80" s="979"/>
      <c r="EN80" s="979"/>
      <c r="EO80" s="979"/>
      <c r="EP80" s="979"/>
      <c r="EQ80" s="979"/>
      <c r="ER80" s="979"/>
      <c r="ES80" s="979"/>
      <c r="ET80" s="979"/>
      <c r="EU80" s="979"/>
      <c r="EV80" s="979"/>
      <c r="EW80" s="979"/>
      <c r="EX80" s="979"/>
      <c r="EY80" s="979"/>
      <c r="EZ80" s="979"/>
      <c r="FA80" s="979"/>
      <c r="FB80" s="979"/>
      <c r="FC80" s="979"/>
      <c r="FD80" s="979"/>
      <c r="FE80" s="979"/>
      <c r="FF80" s="979"/>
      <c r="FG80" s="979"/>
      <c r="FH80" s="979"/>
      <c r="FI80" s="979"/>
      <c r="FJ80" s="979"/>
      <c r="FK80" s="979"/>
      <c r="FL80" s="979"/>
      <c r="FM80" s="979"/>
      <c r="FN80" s="979"/>
      <c r="FO80" s="979"/>
      <c r="FP80" s="979"/>
      <c r="FQ80" s="979"/>
      <c r="FR80" s="979"/>
      <c r="FS80" s="979"/>
      <c r="FT80" s="979"/>
      <c r="FU80" s="979"/>
      <c r="FV80" s="979"/>
      <c r="FW80" s="979"/>
      <c r="FX80" s="979"/>
      <c r="FY80" s="979"/>
      <c r="FZ80" s="979"/>
      <c r="GA80" s="979"/>
      <c r="GB80" s="979"/>
      <c r="GC80" s="979"/>
      <c r="GD80" s="979"/>
      <c r="GE80" s="979"/>
      <c r="GF80" s="979"/>
      <c r="GG80" s="979"/>
      <c r="GH80" s="979"/>
      <c r="GI80" s="979"/>
      <c r="GJ80" s="979"/>
      <c r="GK80" s="979"/>
      <c r="GL80" s="979"/>
      <c r="GM80" s="979"/>
      <c r="GN80" s="979"/>
      <c r="GO80" s="979"/>
      <c r="GP80" s="979"/>
      <c r="GQ80" s="979"/>
      <c r="GR80" s="979"/>
      <c r="GS80" s="979"/>
      <c r="GT80" s="979"/>
      <c r="GU80" s="979"/>
      <c r="GV80" s="979"/>
      <c r="GW80" s="979"/>
      <c r="GX80" s="979"/>
      <c r="GY80" s="979"/>
      <c r="GZ80" s="979"/>
      <c r="HA80" s="979"/>
      <c r="HB80" s="979"/>
      <c r="HC80" s="979"/>
      <c r="HD80" s="979"/>
      <c r="HE80" s="979"/>
      <c r="HF80" s="979"/>
      <c r="HG80" s="979"/>
      <c r="HH80" s="979"/>
      <c r="HI80" s="979"/>
      <c r="HJ80" s="979"/>
      <c r="HK80" s="979"/>
      <c r="HL80" s="979"/>
      <c r="HM80" s="979"/>
      <c r="HN80" s="979"/>
      <c r="HO80" s="979"/>
      <c r="HP80" s="979"/>
      <c r="HQ80" s="979"/>
      <c r="HR80" s="979"/>
      <c r="HS80" s="979"/>
      <c r="HT80" s="979"/>
      <c r="HU80" s="979"/>
      <c r="HV80" s="979"/>
      <c r="HW80" s="979"/>
      <c r="HX80" s="979"/>
      <c r="HY80" s="979"/>
      <c r="HZ80" s="979"/>
      <c r="IA80" s="979"/>
      <c r="IB80" s="979"/>
      <c r="IC80" s="979"/>
      <c r="ID80" s="979"/>
      <c r="IE80" s="979"/>
      <c r="IF80" s="979"/>
      <c r="IG80" s="979"/>
      <c r="IH80" s="979"/>
      <c r="II80" s="979"/>
      <c r="IJ80" s="979"/>
      <c r="IK80" s="979"/>
      <c r="IL80" s="979"/>
      <c r="IM80" s="979"/>
      <c r="IN80" s="979"/>
      <c r="IO80" s="979"/>
      <c r="IP80" s="979"/>
      <c r="IQ80" s="979"/>
      <c r="IR80" s="1036"/>
    </row>
    <row r="81" spans="2:254" s="960" customFormat="1" ht="11.85" customHeight="1">
      <c r="B81" s="1024" t="s">
        <v>720</v>
      </c>
      <c r="C81" s="1062">
        <f>C64-C74-C75</f>
        <v>102.61627710975515</v>
      </c>
      <c r="D81" s="1062">
        <f t="shared" ref="D81:BN81" si="129">D64-D74-D75</f>
        <v>124.95218943303851</v>
      </c>
      <c r="E81" s="1063">
        <f t="shared" si="129"/>
        <v>142.280377614793</v>
      </c>
      <c r="F81" s="1062">
        <f t="shared" si="129"/>
        <v>173.36238303725861</v>
      </c>
      <c r="G81" s="1062">
        <f t="shared" ca="1" si="129"/>
        <v>137.41214944923064</v>
      </c>
      <c r="H81" s="1062">
        <f t="shared" ca="1" si="129"/>
        <v>195.09873173825</v>
      </c>
      <c r="I81" s="1062">
        <f t="shared" ca="1" si="129"/>
        <v>206.59564539452492</v>
      </c>
      <c r="J81" s="1062">
        <f t="shared" ca="1" si="129"/>
        <v>218.86574164901131</v>
      </c>
      <c r="K81" s="1062">
        <f t="shared" ca="1" si="129"/>
        <v>231.95989259219218</v>
      </c>
      <c r="L81" s="1062">
        <f t="shared" ca="1" si="129"/>
        <v>245.94038635528011</v>
      </c>
      <c r="M81" s="1062">
        <f t="shared" ca="1" si="129"/>
        <v>260.88542828923494</v>
      </c>
      <c r="N81" s="1062">
        <f t="shared" ca="1" si="129"/>
        <v>276.89544081281542</v>
      </c>
      <c r="O81" s="1062">
        <f t="shared" ca="1" si="129"/>
        <v>294.10200332187537</v>
      </c>
      <c r="P81" s="1062">
        <f t="shared" ca="1" si="129"/>
        <v>312.68076442160435</v>
      </c>
      <c r="Q81" s="1062">
        <f t="shared" ca="1" si="129"/>
        <v>332.87049958660162</v>
      </c>
      <c r="R81" s="1062">
        <f t="shared" ca="1" si="129"/>
        <v>355.00197903521325</v>
      </c>
      <c r="S81" s="1062">
        <f t="shared" ca="1" si="129"/>
        <v>379.5430651322053</v>
      </c>
      <c r="T81" s="1062">
        <f t="shared" ca="1" si="129"/>
        <v>407.17178661530187</v>
      </c>
      <c r="U81" s="1062">
        <f t="shared" ca="1" si="129"/>
        <v>438.90001826515589</v>
      </c>
      <c r="V81" s="1062">
        <f t="shared" ca="1" si="129"/>
        <v>476.29410162542467</v>
      </c>
      <c r="W81" s="1064">
        <f t="shared" ca="1" si="129"/>
        <v>519.69220108238392</v>
      </c>
      <c r="X81" s="1062">
        <f t="shared" ca="1" si="129"/>
        <v>555.18053150478067</v>
      </c>
      <c r="Y81" s="1062">
        <f t="shared" ca="1" si="129"/>
        <v>572.19728399206451</v>
      </c>
      <c r="Z81" s="1062">
        <f t="shared" ca="1" si="129"/>
        <v>589.8966980589189</v>
      </c>
      <c r="AA81" s="1062">
        <f t="shared" ca="1" si="129"/>
        <v>608.3060041956453</v>
      </c>
      <c r="AB81" s="1062">
        <f t="shared" ca="1" si="129"/>
        <v>627.45352496537907</v>
      </c>
      <c r="AC81" s="1062">
        <f t="shared" ca="1" si="129"/>
        <v>647.36871858485142</v>
      </c>
      <c r="AD81" s="1062">
        <f t="shared" ca="1" si="129"/>
        <v>668.08222425147619</v>
      </c>
      <c r="AE81" s="1062">
        <f t="shared" ca="1" si="129"/>
        <v>689.62590928658892</v>
      </c>
      <c r="AF81" s="1062">
        <f t="shared" ca="1" si="129"/>
        <v>712.03291816744525</v>
      </c>
      <c r="AG81" s="1062">
        <f t="shared" ca="1" si="129"/>
        <v>735.33772352348592</v>
      </c>
      <c r="AH81" s="1062">
        <f t="shared" ca="1" si="129"/>
        <v>759.57617917538948</v>
      </c>
      <c r="AI81" s="1062">
        <f t="shared" ca="1" si="129"/>
        <v>784.78557529856516</v>
      </c>
      <c r="AJ81" s="1062">
        <f t="shared" ca="1" si="129"/>
        <v>811.00469579601031</v>
      </c>
      <c r="AK81" s="1062">
        <f t="shared" ca="1" si="129"/>
        <v>838.27387796883602</v>
      </c>
      <c r="AL81" s="1062">
        <f t="shared" ca="1" si="129"/>
        <v>866.63507457630976</v>
      </c>
      <c r="AM81" s="1062">
        <f t="shared" ca="1" si="129"/>
        <v>896.13191838092405</v>
      </c>
      <c r="AN81" s="1062">
        <f t="shared" ca="1" si="129"/>
        <v>926.80978927782394</v>
      </c>
      <c r="AO81" s="1062">
        <f t="shared" ca="1" si="129"/>
        <v>958.71588411189953</v>
      </c>
      <c r="AP81" s="1062">
        <f t="shared" ca="1" si="129"/>
        <v>991.89928928997961</v>
      </c>
      <c r="AQ81" s="1062">
        <f t="shared" ca="1" si="129"/>
        <v>1026.4110562998578</v>
      </c>
      <c r="AR81" s="1062">
        <f t="shared" ca="1" si="129"/>
        <v>1062.3042802523594</v>
      </c>
      <c r="AS81" s="1062">
        <f t="shared" ca="1" si="129"/>
        <v>1099.6341815672956</v>
      </c>
      <c r="AT81" s="1062">
        <f t="shared" ca="1" si="129"/>
        <v>1138.4581909289973</v>
      </c>
      <c r="AU81" s="1062">
        <f t="shared" ca="1" si="129"/>
        <v>1178.836037642136</v>
      </c>
      <c r="AV81" s="1062">
        <f t="shared" ca="1" si="129"/>
        <v>1220.8298415237891</v>
      </c>
      <c r="AW81" s="1062">
        <f t="shared" ca="1" si="129"/>
        <v>1264.5042084731151</v>
      </c>
      <c r="AX81" s="1062">
        <f t="shared" ca="1" si="129"/>
        <v>1309.9263298657008</v>
      </c>
      <c r="AY81" s="1062">
        <f t="shared" ca="1" si="129"/>
        <v>1357.1660859254821</v>
      </c>
      <c r="AZ81" s="1062">
        <f t="shared" ca="1" si="129"/>
        <v>1406.2961532332974</v>
      </c>
      <c r="BA81" s="1062">
        <f t="shared" ca="1" si="129"/>
        <v>1457.3921165374693</v>
      </c>
      <c r="BB81" s="1062">
        <f t="shared" ca="1" si="129"/>
        <v>1510.5325850384384</v>
      </c>
      <c r="BC81" s="1062">
        <f t="shared" ca="1" si="129"/>
        <v>1565.7993133263581</v>
      </c>
      <c r="BD81" s="1062">
        <f t="shared" ca="1" si="129"/>
        <v>1623.2773271577068</v>
      </c>
      <c r="BE81" s="1062">
        <f t="shared" ca="1" si="129"/>
        <v>1683.0550542644305</v>
      </c>
      <c r="BF81" s="1062">
        <f t="shared" ca="1" si="129"/>
        <v>1745.2244603968629</v>
      </c>
      <c r="BG81" s="1062">
        <f t="shared" ca="1" si="129"/>
        <v>1809.8811908097182</v>
      </c>
      <c r="BH81" s="1062">
        <f t="shared" ca="1" si="129"/>
        <v>1877.1247174088394</v>
      </c>
      <c r="BI81" s="1062">
        <f t="shared" ca="1" si="129"/>
        <v>1947.058491785082</v>
      </c>
      <c r="BJ81" s="1062">
        <f t="shared" ca="1" si="129"/>
        <v>2019.7901043707575</v>
      </c>
      <c r="BK81" s="1062">
        <f t="shared" ca="1" si="129"/>
        <v>2095.4314499635252</v>
      </c>
      <c r="BL81" s="1062">
        <f t="shared" ca="1" si="129"/>
        <v>2174.098899872356</v>
      </c>
      <c r="BM81" s="1062">
        <f t="shared" ca="1" si="129"/>
        <v>2255.913480950428</v>
      </c>
      <c r="BN81" s="1062">
        <f t="shared" ca="1" si="129"/>
        <v>2341.0010617903854</v>
      </c>
      <c r="BO81" s="1062">
        <f t="shared" ref="BO81:DZ81" ca="1" si="130">BO64-BO74-BO75</f>
        <v>2429.4925463684131</v>
      </c>
      <c r="BP81" s="1062">
        <f t="shared" ca="1" si="130"/>
        <v>2521.5240754350502</v>
      </c>
      <c r="BQ81" s="1062">
        <f t="shared" ca="1" si="130"/>
        <v>2617.2372359625679</v>
      </c>
      <c r="BR81" s="1062">
        <f t="shared" ca="1" si="130"/>
        <v>2716.7792789711402</v>
      </c>
      <c r="BS81" s="1062">
        <f t="shared" ca="1" si="130"/>
        <v>2820.3033460689326</v>
      </c>
      <c r="BT81" s="1062">
        <f t="shared" ca="1" si="130"/>
        <v>2927.9687050546245</v>
      </c>
      <c r="BU81" s="1062">
        <f t="shared" ca="1" si="130"/>
        <v>3039.9409949448363</v>
      </c>
      <c r="BV81" s="1062">
        <f t="shared" ca="1" si="130"/>
        <v>3156.392480803424</v>
      </c>
      <c r="BW81" s="1062">
        <f t="shared" ca="1" si="130"/>
        <v>3277.5023187646852</v>
      </c>
      <c r="BX81" s="1062">
        <f t="shared" ca="1" si="130"/>
        <v>3403.4568316582172</v>
      </c>
      <c r="BY81" s="1062">
        <f t="shared" ca="1" si="130"/>
        <v>3534.4497956594491</v>
      </c>
      <c r="BZ81" s="1062">
        <f t="shared" ca="1" si="130"/>
        <v>3670.6827384068574</v>
      </c>
      <c r="CA81" s="1062">
        <f t="shared" ca="1" si="130"/>
        <v>3812.3652490445138</v>
      </c>
      <c r="CB81" s="1062">
        <f t="shared" ca="1" si="130"/>
        <v>3959.7153006669269</v>
      </c>
      <c r="CC81" s="1062">
        <f t="shared" ca="1" si="130"/>
        <v>4112.9595856623055</v>
      </c>
      <c r="CD81" s="1062">
        <f t="shared" ca="1" si="130"/>
        <v>4272.3338644700698</v>
      </c>
      <c r="CE81" s="1062">
        <f t="shared" ca="1" si="130"/>
        <v>4438.0833282892509</v>
      </c>
      <c r="CF81" s="1062">
        <f t="shared" ca="1" si="130"/>
        <v>4610.4629762957193</v>
      </c>
      <c r="CG81" s="1062">
        <f t="shared" ca="1" si="130"/>
        <v>4789.7380079486284</v>
      </c>
      <c r="CH81" s="1062">
        <f t="shared" ca="1" si="130"/>
        <v>4976.1842309895874</v>
      </c>
      <c r="CI81" s="1062">
        <f t="shared" ca="1" si="130"/>
        <v>5170.088485762275</v>
      </c>
      <c r="CJ81" s="1062">
        <f t="shared" ca="1" si="130"/>
        <v>5371.7490865052823</v>
      </c>
      <c r="CK81" s="1062">
        <f t="shared" ca="1" si="130"/>
        <v>5581.4762802971027</v>
      </c>
      <c r="CL81" s="1062">
        <f t="shared" ca="1" si="130"/>
        <v>5799.5927243593296</v>
      </c>
      <c r="CM81" s="1062">
        <f t="shared" ca="1" si="130"/>
        <v>6026.4339824523959</v>
      </c>
      <c r="CN81" s="1062">
        <f t="shared" ca="1" si="130"/>
        <v>6262.3490411275143</v>
      </c>
      <c r="CO81" s="1062">
        <f t="shared" ca="1" si="130"/>
        <v>6507.7008466290627</v>
      </c>
      <c r="CP81" s="1062">
        <f t="shared" ca="1" si="130"/>
        <v>6762.866863273437</v>
      </c>
      <c r="CQ81" s="1062">
        <f t="shared" ca="1" si="130"/>
        <v>7028.2396541633771</v>
      </c>
      <c r="CR81" s="1062">
        <f t="shared" ca="1" si="130"/>
        <v>7304.2274851312059</v>
      </c>
      <c r="CS81" s="1062">
        <f t="shared" ca="1" si="130"/>
        <v>7591.2549528401196</v>
      </c>
      <c r="CT81" s="1062">
        <f t="shared" ca="1" si="130"/>
        <v>7889.7636380098156</v>
      </c>
      <c r="CU81" s="1062">
        <f t="shared" ca="1" si="130"/>
        <v>8200.2127847714564</v>
      </c>
      <c r="CV81" s="1062">
        <f t="shared" ca="1" si="130"/>
        <v>8523.0800071970989</v>
      </c>
      <c r="CW81" s="1062">
        <f t="shared" ca="1" si="130"/>
        <v>8858.8620240905766</v>
      </c>
      <c r="CX81" s="1062">
        <f t="shared" ca="1" si="130"/>
        <v>9208.0754231702867</v>
      </c>
      <c r="CY81" s="1062">
        <f t="shared" ca="1" si="130"/>
        <v>9571.2574558195029</v>
      </c>
      <c r="CZ81" s="1062">
        <f t="shared" ca="1" si="130"/>
        <v>9948.9668636269907</v>
      </c>
      <c r="DA81" s="1062">
        <f t="shared" ca="1" si="130"/>
        <v>10341.784737989447</v>
      </c>
      <c r="DB81" s="1062">
        <f t="shared" ca="1" si="130"/>
        <v>10750.315414098248</v>
      </c>
      <c r="DC81" s="1062">
        <f t="shared" ca="1" si="130"/>
        <v>11175.187400685929</v>
      </c>
      <c r="DD81" s="1062">
        <f t="shared" ca="1" si="130"/>
        <v>11617.054346962661</v>
      </c>
      <c r="DE81" s="1062">
        <f t="shared" ca="1" si="130"/>
        <v>12076.596048230458</v>
      </c>
      <c r="DF81" s="1062">
        <f t="shared" ca="1" si="130"/>
        <v>12554.519491722069</v>
      </c>
      <c r="DG81" s="1062">
        <f t="shared" ca="1" si="130"/>
        <v>13051.559944273671</v>
      </c>
      <c r="DH81" s="1062">
        <f t="shared" ca="1" si="130"/>
        <v>13568.482083504596</v>
      </c>
      <c r="DI81" s="1062">
        <f t="shared" ca="1" si="130"/>
        <v>14106.08117424446</v>
      </c>
      <c r="DJ81" s="1062">
        <f t="shared" ca="1" si="130"/>
        <v>14665.184292017504</v>
      </c>
      <c r="DK81" s="1062">
        <f t="shared" ca="1" si="130"/>
        <v>15246.651595466468</v>
      </c>
      <c r="DL81" s="1062">
        <f t="shared" ca="1" si="130"/>
        <v>15851.377649673606</v>
      </c>
      <c r="DM81" s="1062">
        <f t="shared" ca="1" si="130"/>
        <v>16480.292802414635</v>
      </c>
      <c r="DN81" s="1062">
        <f t="shared" ca="1" si="130"/>
        <v>17134.364615463015</v>
      </c>
      <c r="DO81" s="1062">
        <f t="shared" ca="1" si="130"/>
        <v>17814.599353146532</v>
      </c>
      <c r="DP81" s="1062">
        <f t="shared" ca="1" si="130"/>
        <v>18522.043530446233</v>
      </c>
      <c r="DQ81" s="1062">
        <f t="shared" ca="1" si="130"/>
        <v>19257.785523019527</v>
      </c>
      <c r="DR81" s="1062">
        <f t="shared" ca="1" si="130"/>
        <v>20022.95724162423</v>
      </c>
      <c r="DS81" s="1062">
        <f t="shared" ca="1" si="130"/>
        <v>20818.735873519723</v>
      </c>
      <c r="DT81" s="1062">
        <f t="shared" ca="1" si="130"/>
        <v>21646.345693524327</v>
      </c>
      <c r="DU81" s="1062">
        <f t="shared" ca="1" si="130"/>
        <v>22507.059947514979</v>
      </c>
      <c r="DV81" s="1062">
        <f t="shared" ca="1" si="130"/>
        <v>23402.202811267045</v>
      </c>
      <c r="DW81" s="1062">
        <f t="shared" ca="1" si="130"/>
        <v>24333.151427647859</v>
      </c>
      <c r="DX81" s="1062">
        <f t="shared" ca="1" si="130"/>
        <v>25301.338025297999</v>
      </c>
      <c r="DY81" s="1062">
        <f t="shared" ca="1" si="130"/>
        <v>26308.252122059996</v>
      </c>
      <c r="DZ81" s="1062">
        <f t="shared" ca="1" si="130"/>
        <v>27355.442816544284</v>
      </c>
      <c r="EA81" s="1062">
        <f t="shared" ref="EA81:GL81" ca="1" si="131">EA64-EA74-EA75</f>
        <v>28444.521171357741</v>
      </c>
      <c r="EB81" s="1062">
        <f t="shared" ca="1" si="131"/>
        <v>29577.162691661633</v>
      </c>
      <c r="EC81" s="1062">
        <f t="shared" ca="1" si="131"/>
        <v>30755.109902871809</v>
      </c>
      <c r="ED81" s="1062">
        <f t="shared" ca="1" si="131"/>
        <v>31980.175031467061</v>
      </c>
      <c r="EE81" s="1062">
        <f t="shared" ca="1" si="131"/>
        <v>33254.242793029844</v>
      </c>
      <c r="EF81" s="1062">
        <f t="shared" ca="1" si="131"/>
        <v>34579.273291808713</v>
      </c>
      <c r="EG81" s="1062">
        <f t="shared" ca="1" si="131"/>
        <v>35957.305036263344</v>
      </c>
      <c r="EH81" s="1062">
        <f t="shared" ca="1" si="131"/>
        <v>37390.458075231334</v>
      </c>
      <c r="EI81" s="1062">
        <f t="shared" ca="1" si="131"/>
        <v>38880.93725954189</v>
      </c>
      <c r="EJ81" s="1062">
        <f t="shared" ca="1" si="131"/>
        <v>40431.03563409394</v>
      </c>
      <c r="EK81" s="1062">
        <f t="shared" ca="1" si="131"/>
        <v>42043.137965617578</v>
      </c>
      <c r="EL81" s="1062">
        <f t="shared" ca="1" si="131"/>
        <v>43719.724411545911</v>
      </c>
      <c r="EM81" s="1062">
        <f t="shared" ca="1" si="131"/>
        <v>45463.374335641893</v>
      </c>
      <c r="EN81" s="1062">
        <f t="shared" ca="1" si="131"/>
        <v>47276.770276250289</v>
      </c>
      <c r="EO81" s="1062">
        <f t="shared" ca="1" si="131"/>
        <v>49162.702073279754</v>
      </c>
      <c r="EP81" s="1062">
        <f t="shared" ca="1" si="131"/>
        <v>51124.07116026416</v>
      </c>
      <c r="EQ81" s="1062">
        <f t="shared" ca="1" si="131"/>
        <v>53163.89502810657</v>
      </c>
      <c r="ER81" s="1062">
        <f t="shared" ca="1" si="131"/>
        <v>55285.311867372882</v>
      </c>
      <c r="ES81" s="1062">
        <f t="shared" ca="1" si="131"/>
        <v>57491.585396277347</v>
      </c>
      <c r="ET81" s="1062">
        <f t="shared" ca="1" si="131"/>
        <v>59786.109881787568</v>
      </c>
      <c r="EU81" s="1062">
        <f t="shared" ca="1" si="131"/>
        <v>62172.41536157349</v>
      </c>
      <c r="EV81" s="1062">
        <f t="shared" ca="1" si="131"/>
        <v>64654.173074834798</v>
      </c>
      <c r="EW81" s="1062">
        <f t="shared" ca="1" si="131"/>
        <v>67235.201110361158</v>
      </c>
      <c r="EX81" s="1062">
        <f t="shared" ca="1" si="131"/>
        <v>69919.470280514885</v>
      </c>
      <c r="EY81" s="1062">
        <f t="shared" ca="1" si="131"/>
        <v>72711.110230173159</v>
      </c>
      <c r="EZ81" s="1062">
        <f t="shared" ca="1" si="131"/>
        <v>75614.41579002775</v>
      </c>
      <c r="FA81" s="1062">
        <f t="shared" ca="1" si="131"/>
        <v>78633.853584016906</v>
      </c>
      <c r="FB81" s="1062">
        <f t="shared" ca="1" si="131"/>
        <v>81774.068901054459</v>
      </c>
      <c r="FC81" s="1062">
        <f t="shared" ca="1" si="131"/>
        <v>85039.892841628141</v>
      </c>
      <c r="FD81" s="1062">
        <f t="shared" ca="1" si="131"/>
        <v>88436.349750261943</v>
      </c>
      <c r="FE81" s="1062">
        <f t="shared" ca="1" si="131"/>
        <v>91968.664945276803</v>
      </c>
      <c r="FF81" s="1062">
        <f t="shared" ca="1" si="131"/>
        <v>95642.272757742001</v>
      </c>
      <c r="FG81" s="1062">
        <f t="shared" ca="1" si="131"/>
        <v>99462.824891984346</v>
      </c>
      <c r="FH81" s="1062">
        <f t="shared" ca="1" si="131"/>
        <v>103436.1991205182</v>
      </c>
      <c r="FI81" s="1062">
        <f t="shared" ca="1" si="131"/>
        <v>107568.50832677193</v>
      </c>
      <c r="FJ81" s="1062">
        <f t="shared" ca="1" si="131"/>
        <v>111866.10990952444</v>
      </c>
      <c r="FK81" s="1062">
        <f t="shared" ca="1" si="131"/>
        <v>116335.61556351846</v>
      </c>
      <c r="FL81" s="1062">
        <f t="shared" ca="1" si="131"/>
        <v>120983.90145129853</v>
      </c>
      <c r="FM81" s="1062">
        <f t="shared" ca="1" si="131"/>
        <v>125818.11878192279</v>
      </c>
      <c r="FN81" s="1062">
        <f t="shared" ca="1" si="131"/>
        <v>130845.70481282308</v>
      </c>
      <c r="FO81" s="1062">
        <f t="shared" ca="1" si="131"/>
        <v>136074.3942917391</v>
      </c>
      <c r="FP81" s="1062">
        <f t="shared" ca="1" si="131"/>
        <v>141512.23135633074</v>
      </c>
      <c r="FQ81" s="1062">
        <f t="shared" ca="1" si="131"/>
        <v>147167.58190977434</v>
      </c>
      <c r="FR81" s="1062">
        <f t="shared" ca="1" si="131"/>
        <v>153049.14649138294</v>
      </c>
      <c r="FS81" s="1062">
        <f t="shared" ca="1" si="131"/>
        <v>159165.97366205126</v>
      </c>
      <c r="FT81" s="1062">
        <f t="shared" ca="1" si="131"/>
        <v>165527.47392511871</v>
      </c>
      <c r="FU81" s="1062">
        <f t="shared" ca="1" si="131"/>
        <v>172143.4342040671</v>
      </c>
      <c r="FV81" s="1062">
        <f t="shared" ca="1" si="131"/>
        <v>179024.03289932548</v>
      </c>
      <c r="FW81" s="1062">
        <f t="shared" ca="1" si="131"/>
        <v>186179.8555473481</v>
      </c>
      <c r="FX81" s="1062">
        <f t="shared" ca="1" si="131"/>
        <v>193621.91110605499</v>
      </c>
      <c r="FY81" s="1062">
        <f t="shared" ca="1" si="131"/>
        <v>201361.64889169033</v>
      </c>
      <c r="FZ81" s="1062">
        <f t="shared" ca="1" si="131"/>
        <v>209410.9761931551</v>
      </c>
      <c r="GA81" s="1062">
        <f t="shared" ca="1" si="131"/>
        <v>217782.27659091313</v>
      </c>
      <c r="GB81" s="1062">
        <f t="shared" ca="1" si="131"/>
        <v>226488.42900865318</v>
      </c>
      <c r="GC81" s="1062">
        <f t="shared" ca="1" si="131"/>
        <v>235542.827527018</v>
      </c>
      <c r="GD81" s="1062">
        <f t="shared" ca="1" si="131"/>
        <v>244959.401989882</v>
      </c>
      <c r="GE81" s="1062">
        <f t="shared" ca="1" si="131"/>
        <v>254752.63943488034</v>
      </c>
      <c r="GF81" s="1062">
        <f t="shared" ca="1" si="131"/>
        <v>264937.60638115922</v>
      </c>
      <c r="GG81" s="1062">
        <f t="shared" ca="1" si="131"/>
        <v>275529.97200863587</v>
      </c>
      <c r="GH81" s="1062">
        <f t="shared" ca="1" si="131"/>
        <v>286546.03226442949</v>
      </c>
      <c r="GI81" s="1062">
        <f t="shared" ca="1" si="131"/>
        <v>298002.73493354919</v>
      </c>
      <c r="GJ81" s="1062">
        <f t="shared" ca="1" si="131"/>
        <v>309917.70571240888</v>
      </c>
      <c r="GK81" s="1062">
        <f t="shared" ca="1" si="131"/>
        <v>322309.27532528358</v>
      </c>
      <c r="GL81" s="1062">
        <f t="shared" ca="1" si="131"/>
        <v>335196.50772542413</v>
      </c>
      <c r="GM81" s="1062">
        <f t="shared" ref="GM81:IR81" ca="1" si="132">GM64-GM74-GM75</f>
        <v>348599.22942421521</v>
      </c>
      <c r="GN81" s="1062">
        <f t="shared" ca="1" si="132"/>
        <v>362538.05999350111</v>
      </c>
      <c r="GO81" s="1062">
        <f t="shared" ca="1" si="132"/>
        <v>377034.44378800376</v>
      </c>
      <c r="GP81" s="1062">
        <f t="shared" ca="1" si="132"/>
        <v>392110.68293663795</v>
      </c>
      <c r="GQ81" s="1062">
        <f t="shared" ca="1" si="132"/>
        <v>407789.97165347845</v>
      </c>
      <c r="GR81" s="1062">
        <f t="shared" ca="1" si="132"/>
        <v>424096.43192116637</v>
      </c>
      <c r="GS81" s="1062">
        <f t="shared" ca="1" si="132"/>
        <v>441055.15060165233</v>
      </c>
      <c r="GT81" s="1062">
        <f t="shared" ca="1" si="132"/>
        <v>458692.21803136752</v>
      </c>
      <c r="GU81" s="1062">
        <f t="shared" ca="1" si="132"/>
        <v>477034.76816020394</v>
      </c>
      <c r="GV81" s="1062">
        <f t="shared" ca="1" si="132"/>
        <v>496111.02029605221</v>
      </c>
      <c r="GW81" s="1062">
        <f t="shared" ca="1" si="132"/>
        <v>515950.32251912134</v>
      </c>
      <c r="GX81" s="1062">
        <f t="shared" ca="1" si="132"/>
        <v>536583.19683283125</v>
      </c>
      <c r="GY81" s="1062">
        <f t="shared" ca="1" si="132"/>
        <v>558041.38612074137</v>
      </c>
      <c r="GZ81" s="1062">
        <f t="shared" ca="1" si="132"/>
        <v>580357.90298175649</v>
      </c>
      <c r="HA81" s="1062">
        <f t="shared" ca="1" si="132"/>
        <v>603567.08051873965</v>
      </c>
      <c r="HB81" s="1062">
        <f t="shared" ca="1" si="132"/>
        <v>627704.62515867082</v>
      </c>
      <c r="HC81" s="1062">
        <f t="shared" ca="1" si="132"/>
        <v>652807.67158561142</v>
      </c>
      <c r="HD81" s="1062">
        <f t="shared" ca="1" si="132"/>
        <v>678914.83987098734</v>
      </c>
      <c r="HE81" s="1062">
        <f t="shared" ca="1" si="132"/>
        <v>706066.29488908395</v>
      </c>
      <c r="HF81" s="1062">
        <f t="shared" ca="1" si="132"/>
        <v>734303.80810915993</v>
      </c>
      <c r="HG81" s="1062">
        <f t="shared" ca="1" si="132"/>
        <v>763670.82185924589</v>
      </c>
      <c r="HH81" s="1062">
        <f t="shared" ca="1" si="132"/>
        <v>794212.51616049604</v>
      </c>
      <c r="HI81" s="1062">
        <f t="shared" ca="1" si="132"/>
        <v>825975.87823491229</v>
      </c>
      <c r="HJ81" s="1062">
        <f t="shared" ca="1" si="132"/>
        <v>859009.77479337831</v>
      </c>
      <c r="HK81" s="1062">
        <f t="shared" ca="1" si="132"/>
        <v>893365.0272152148</v>
      </c>
      <c r="HL81" s="1062">
        <f t="shared" ca="1" si="132"/>
        <v>929094.48973491683</v>
      </c>
      <c r="HM81" s="1062">
        <f t="shared" ca="1" si="132"/>
        <v>966253.13075636141</v>
      </c>
      <c r="HN81" s="1062">
        <f t="shared" ca="1" si="132"/>
        <v>1004898.1174195805</v>
      </c>
      <c r="HO81" s="1062">
        <f t="shared" ca="1" si="132"/>
        <v>1045088.9035502106</v>
      </c>
      <c r="HP81" s="1062">
        <f t="shared" ca="1" si="132"/>
        <v>1086887.3211269141</v>
      </c>
      <c r="HQ81" s="1062">
        <f t="shared" ca="1" si="132"/>
        <v>1130357.6754075012</v>
      </c>
      <c r="HR81" s="1062">
        <f t="shared" ca="1" si="132"/>
        <v>1175566.8438600958</v>
      </c>
      <c r="HS81" s="1062">
        <f t="shared" ca="1" si="132"/>
        <v>1222584.3790515482</v>
      </c>
      <c r="HT81" s="1062">
        <f t="shared" ca="1" si="132"/>
        <v>1271482.6156513838</v>
      </c>
      <c r="HU81" s="1062">
        <f t="shared" ca="1" si="132"/>
        <v>1322336.7817159095</v>
      </c>
      <c r="HV81" s="1062">
        <f t="shared" ca="1" si="132"/>
        <v>1375225.1144236869</v>
      </c>
      <c r="HW81" s="1062">
        <f t="shared" ca="1" si="132"/>
        <v>1430228.9804404194</v>
      </c>
      <c r="HX81" s="1062">
        <f t="shared" ca="1" si="132"/>
        <v>1487433.0010984412</v>
      </c>
      <c r="HY81" s="1062">
        <f t="shared" ca="1" si="132"/>
        <v>1546925.18258338</v>
      </c>
      <c r="HZ81" s="1062">
        <f t="shared" ca="1" si="132"/>
        <v>1608797.0513282891</v>
      </c>
      <c r="IA81" s="1062">
        <f t="shared" ca="1" si="132"/>
        <v>1673143.7948235453</v>
      </c>
      <c r="IB81" s="1062">
        <f t="shared" ca="1" si="132"/>
        <v>1740064.4080591418</v>
      </c>
      <c r="IC81" s="1062">
        <f t="shared" ca="1" si="132"/>
        <v>1809661.8458246707</v>
      </c>
      <c r="ID81" s="1062">
        <f t="shared" ca="1" si="132"/>
        <v>1882043.1811013112</v>
      </c>
      <c r="IE81" s="1062">
        <f t="shared" ca="1" si="132"/>
        <v>1957319.769789489</v>
      </c>
      <c r="IF81" s="1062">
        <f t="shared" ca="1" si="132"/>
        <v>2035607.4220256459</v>
      </c>
      <c r="IG81" s="1062">
        <f t="shared" ca="1" si="132"/>
        <v>2117026.5803516842</v>
      </c>
      <c r="IH81" s="1062">
        <f t="shared" ca="1" si="132"/>
        <v>2201702.5050111827</v>
      </c>
      <c r="II81" s="1062">
        <f t="shared" ca="1" si="132"/>
        <v>2289765.4666574639</v>
      </c>
      <c r="IJ81" s="1062">
        <f t="shared" ca="1" si="132"/>
        <v>2381350.9467699835</v>
      </c>
      <c r="IK81" s="1062">
        <f t="shared" ca="1" si="132"/>
        <v>2476599.8460873761</v>
      </c>
      <c r="IL81" s="1062">
        <f t="shared" ca="1" si="132"/>
        <v>2575658.7013778226</v>
      </c>
      <c r="IM81" s="1062">
        <f t="shared" ca="1" si="132"/>
        <v>2678679.9108802299</v>
      </c>
      <c r="IN81" s="1062">
        <f t="shared" ca="1" si="132"/>
        <v>2785821.9687630655</v>
      </c>
      <c r="IO81" s="1062">
        <f t="shared" ca="1" si="132"/>
        <v>2897249.7089615325</v>
      </c>
      <c r="IP81" s="1062">
        <f t="shared" ca="1" si="132"/>
        <v>3013134.5587682435</v>
      </c>
      <c r="IQ81" s="1062">
        <f t="shared" ca="1" si="132"/>
        <v>3133654.8025675179</v>
      </c>
      <c r="IR81" s="1062">
        <f t="shared" ca="1" si="132"/>
        <v>3258995.8561190446</v>
      </c>
    </row>
    <row r="82" spans="2:254" s="960" customFormat="1" ht="11.85" customHeight="1">
      <c r="B82" s="1024" t="s">
        <v>721</v>
      </c>
      <c r="C82" s="979">
        <f t="shared" ref="C82:BN82" si="133">IF(C98="E",C56,B82+C81-C84)</f>
        <v>-25.358146918442131</v>
      </c>
      <c r="D82" s="979">
        <f t="shared" si="133"/>
        <v>153.43348515005687</v>
      </c>
      <c r="E82" s="1050">
        <f t="shared" si="133"/>
        <v>506.16156034693665</v>
      </c>
      <c r="F82" s="979">
        <f t="shared" si="133"/>
        <v>612.07031923089119</v>
      </c>
      <c r="G82" s="979">
        <f t="shared" ca="1" si="133"/>
        <v>737.45835252264612</v>
      </c>
      <c r="H82" s="979">
        <f t="shared" ca="1" si="133"/>
        <v>816.40516936618599</v>
      </c>
      <c r="I82" s="979">
        <f t="shared" ca="1" si="133"/>
        <v>905.30458825346875</v>
      </c>
      <c r="J82" s="979">
        <f t="shared" ca="1" si="133"/>
        <v>1005.6022334662716</v>
      </c>
      <c r="K82" s="979">
        <f t="shared" ca="1" si="133"/>
        <v>1119.0438656952615</v>
      </c>
      <c r="L82" s="979">
        <f t="shared" ca="1" si="133"/>
        <v>1247.7655342853541</v>
      </c>
      <c r="M82" s="979">
        <f t="shared" ca="1" si="133"/>
        <v>1394.4187415547331</v>
      </c>
      <c r="N82" s="979">
        <f t="shared" ca="1" si="133"/>
        <v>1562.3473904321663</v>
      </c>
      <c r="O82" s="979">
        <f t="shared" ca="1" si="133"/>
        <v>1755.8431185448021</v>
      </c>
      <c r="P82" s="979">
        <f t="shared" ca="1" si="133"/>
        <v>1980.5224552597745</v>
      </c>
      <c r="Q82" s="979">
        <f t="shared" ca="1" si="133"/>
        <v>2243.8990900824315</v>
      </c>
      <c r="R82" s="979">
        <f t="shared" ca="1" si="133"/>
        <v>2556.2796510834628</v>
      </c>
      <c r="S82" s="979">
        <f t="shared" ca="1" si="133"/>
        <v>2932.217972445409</v>
      </c>
      <c r="T82" s="979">
        <f t="shared" ca="1" si="133"/>
        <v>3392.980478132084</v>
      </c>
      <c r="U82" s="979">
        <f t="shared" ca="1" si="133"/>
        <v>3970.9494700266432</v>
      </c>
      <c r="V82" s="979">
        <f t="shared" ca="1" si="133"/>
        <v>4730.082375312345</v>
      </c>
      <c r="W82" s="1051">
        <f t="shared" ca="1" si="133"/>
        <v>5173.6865055923063</v>
      </c>
      <c r="X82" s="979">
        <f t="shared" ca="1" si="133"/>
        <v>5386.3959116833548</v>
      </c>
      <c r="Y82" s="979">
        <f t="shared" ca="1" si="133"/>
        <v>5607.6385875190344</v>
      </c>
      <c r="Z82" s="979">
        <f t="shared" ca="1" si="133"/>
        <v>5837.7549142281141</v>
      </c>
      <c r="AA82" s="979">
        <f t="shared" ca="1" si="133"/>
        <v>6077.0989238497868</v>
      </c>
      <c r="AB82" s="979">
        <f t="shared" ca="1" si="133"/>
        <v>6326.0388440931902</v>
      </c>
      <c r="AC82" s="979">
        <f t="shared" ca="1" si="133"/>
        <v>6584.9576649259998</v>
      </c>
      <c r="AD82" s="979">
        <f t="shared" ca="1" si="133"/>
        <v>6854.2537278649088</v>
      </c>
      <c r="AE82" s="979">
        <f t="shared" ca="1" si="133"/>
        <v>7134.3413388756135</v>
      </c>
      <c r="AF82" s="979">
        <f t="shared" ca="1" si="133"/>
        <v>7425.6514058261228</v>
      </c>
      <c r="AG82" s="979">
        <f t="shared" ca="1" si="133"/>
        <v>7728.6321014749146</v>
      </c>
      <c r="AH82" s="979">
        <f t="shared" ca="1" si="133"/>
        <v>8043.7495530146125</v>
      </c>
      <c r="AI82" s="979">
        <f t="shared" ca="1" si="133"/>
        <v>8371.4885592326773</v>
      </c>
      <c r="AJ82" s="979">
        <f t="shared" ca="1" si="133"/>
        <v>8712.3533363929982</v>
      </c>
      <c r="AK82" s="979">
        <f t="shared" ca="1" si="133"/>
        <v>9066.8682939864211</v>
      </c>
      <c r="AL82" s="979">
        <f t="shared" ca="1" si="133"/>
        <v>9435.5788415440984</v>
      </c>
      <c r="AM82" s="979">
        <f t="shared" ca="1" si="133"/>
        <v>9819.0522277553464</v>
      </c>
      <c r="AN82" s="979">
        <f t="shared" ca="1" si="133"/>
        <v>10217.878413181294</v>
      </c>
      <c r="AO82" s="979">
        <f t="shared" ca="1" si="133"/>
        <v>10632.670977907293</v>
      </c>
      <c r="AP82" s="979">
        <f t="shared" ca="1" si="133"/>
        <v>11064.068065530771</v>
      </c>
      <c r="AQ82" s="979">
        <f t="shared" ca="1" si="133"/>
        <v>11512.733364937039</v>
      </c>
      <c r="AR82" s="979">
        <f t="shared" ca="1" si="133"/>
        <v>11979.357131373745</v>
      </c>
      <c r="AS82" s="979">
        <f t="shared" ca="1" si="133"/>
        <v>12464.657248395011</v>
      </c>
      <c r="AT82" s="979">
        <f t="shared" ca="1" si="133"/>
        <v>12969.380332309247</v>
      </c>
      <c r="AU82" s="979">
        <f t="shared" ca="1" si="133"/>
        <v>13494.302880829908</v>
      </c>
      <c r="AV82" s="979">
        <f t="shared" ca="1" si="133"/>
        <v>14040.232467696487</v>
      </c>
      <c r="AW82" s="979">
        <f t="shared" ca="1" si="133"/>
        <v>14608.008985103808</v>
      </c>
      <c r="AX82" s="979">
        <f t="shared" ca="1" si="133"/>
        <v>15198.505935851073</v>
      </c>
      <c r="AY82" s="979">
        <f t="shared" ca="1" si="133"/>
        <v>15812.631777198765</v>
      </c>
      <c r="AZ82" s="979">
        <f t="shared" ca="1" si="133"/>
        <v>16451.331318500914</v>
      </c>
      <c r="BA82" s="979">
        <f t="shared" ca="1" si="133"/>
        <v>17115.587174763026</v>
      </c>
      <c r="BB82" s="979">
        <f t="shared" ca="1" si="133"/>
        <v>17806.421278362024</v>
      </c>
      <c r="BC82" s="979">
        <f t="shared" ca="1" si="133"/>
        <v>18524.896451253881</v>
      </c>
      <c r="BD82" s="979">
        <f t="shared" ca="1" si="133"/>
        <v>19272.118040087931</v>
      </c>
      <c r="BE82" s="979">
        <f t="shared" ca="1" si="133"/>
        <v>20049.235616743332</v>
      </c>
      <c r="BF82" s="979">
        <f t="shared" ca="1" si="133"/>
        <v>20857.444746904024</v>
      </c>
      <c r="BG82" s="979">
        <f t="shared" ca="1" si="133"/>
        <v>21697.988829393045</v>
      </c>
      <c r="BH82" s="979">
        <f t="shared" ca="1" si="133"/>
        <v>22572.161009096071</v>
      </c>
      <c r="BI82" s="979">
        <f t="shared" ca="1" si="133"/>
        <v>23481.306166417013</v>
      </c>
      <c r="BJ82" s="979">
        <f t="shared" ca="1" si="133"/>
        <v>24426.822986326613</v>
      </c>
      <c r="BK82" s="979">
        <f t="shared" ca="1" si="133"/>
        <v>25410.166110186998</v>
      </c>
      <c r="BL82" s="979">
        <f t="shared" ca="1" si="133"/>
        <v>26432.848373662899</v>
      </c>
      <c r="BM82" s="979">
        <f t="shared" ca="1" si="133"/>
        <v>27496.443134162368</v>
      </c>
      <c r="BN82" s="979">
        <f t="shared" ca="1" si="133"/>
        <v>28602.586691387714</v>
      </c>
      <c r="BO82" s="979">
        <f t="shared" ref="BO82:DZ82" ca="1" si="134">IF(BO98="E",BO56,BN82+BO81-BO84)</f>
        <v>29752.980804720679</v>
      </c>
      <c r="BP82" s="979">
        <f t="shared" ca="1" si="134"/>
        <v>30949.395311314645</v>
      </c>
      <c r="BQ82" s="979">
        <f t="shared" ca="1" si="134"/>
        <v>32193.6708489218</v>
      </c>
      <c r="BR82" s="979">
        <f t="shared" ca="1" si="134"/>
        <v>33487.721687644203</v>
      </c>
      <c r="BS82" s="979">
        <f t="shared" ca="1" si="134"/>
        <v>34833.538674965355</v>
      </c>
      <c r="BT82" s="979">
        <f t="shared" ca="1" si="134"/>
        <v>36233.192298593007</v>
      </c>
      <c r="BU82" s="979">
        <f t="shared" ca="1" si="134"/>
        <v>37688.835871825351</v>
      </c>
      <c r="BV82" s="979">
        <f t="shared" ca="1" si="134"/>
        <v>39202.708846341113</v>
      </c>
      <c r="BW82" s="979">
        <f t="shared" ca="1" si="134"/>
        <v>40777.140257510262</v>
      </c>
      <c r="BX82" s="979">
        <f t="shared" ca="1" si="134"/>
        <v>42414.552307525657</v>
      </c>
      <c r="BY82" s="979">
        <f t="shared" ca="1" si="134"/>
        <v>44117.464091868271</v>
      </c>
      <c r="BZ82" s="979">
        <f t="shared" ca="1" si="134"/>
        <v>45888.495474838957</v>
      </c>
      <c r="CA82" s="979">
        <f t="shared" ca="1" si="134"/>
        <v>47730.371120119133</v>
      </c>
      <c r="CB82" s="979">
        <f t="shared" ca="1" si="134"/>
        <v>49645.924682561359</v>
      </c>
      <c r="CC82" s="979">
        <f t="shared" ca="1" si="134"/>
        <v>51638.103167658424</v>
      </c>
      <c r="CD82" s="979">
        <f t="shared" ca="1" si="134"/>
        <v>53709.971465398186</v>
      </c>
      <c r="CE82" s="979">
        <f t="shared" ca="1" si="134"/>
        <v>55864.717065479039</v>
      </c>
      <c r="CF82" s="979">
        <f t="shared" ca="1" si="134"/>
        <v>58105.654961140397</v>
      </c>
      <c r="CG82" s="979">
        <f t="shared" ca="1" si="134"/>
        <v>60436.23274915239</v>
      </c>
      <c r="CH82" s="979">
        <f t="shared" ca="1" si="134"/>
        <v>62860.035933810992</v>
      </c>
      <c r="CI82" s="979">
        <f t="shared" ca="1" si="134"/>
        <v>65380.793443098584</v>
      </c>
      <c r="CJ82" s="979">
        <f t="shared" ca="1" si="134"/>
        <v>68002.383365496338</v>
      </c>
      <c r="CK82" s="979">
        <f t="shared" ca="1" si="134"/>
        <v>70728.838916274166</v>
      </c>
      <c r="CL82" s="979">
        <f t="shared" ca="1" si="134"/>
        <v>73564.354642437494</v>
      </c>
      <c r="CM82" s="979">
        <f t="shared" ca="1" si="134"/>
        <v>76513.292875876461</v>
      </c>
      <c r="CN82" s="979">
        <f t="shared" ca="1" si="134"/>
        <v>79580.190444645836</v>
      </c>
      <c r="CO82" s="979">
        <f t="shared" ca="1" si="134"/>
        <v>82769.765652700517</v>
      </c>
      <c r="CP82" s="979">
        <f t="shared" ca="1" si="134"/>
        <v>86086.925538824769</v>
      </c>
      <c r="CQ82" s="979">
        <f t="shared" ca="1" si="134"/>
        <v>89536.773425922627</v>
      </c>
      <c r="CR82" s="979">
        <f t="shared" ca="1" si="134"/>
        <v>93124.616772284033</v>
      </c>
      <c r="CS82" s="979">
        <f t="shared" ca="1" si="134"/>
        <v>96855.975336905234</v>
      </c>
      <c r="CT82" s="979">
        <f t="shared" ca="1" si="134"/>
        <v>100736.58967142574</v>
      </c>
      <c r="CU82" s="979">
        <f t="shared" ca="1" si="134"/>
        <v>104772.42995174626</v>
      </c>
      <c r="CV82" s="979">
        <f t="shared" ca="1" si="134"/>
        <v>108969.70516291476</v>
      </c>
      <c r="CW82" s="979">
        <f t="shared" ca="1" si="134"/>
        <v>113334.87265141112</v>
      </c>
      <c r="CX82" s="979">
        <f t="shared" ca="1" si="134"/>
        <v>117874.64805952633</v>
      </c>
      <c r="CY82" s="979">
        <f t="shared" ca="1" si="134"/>
        <v>122596.01565711993</v>
      </c>
      <c r="CZ82" s="979">
        <f t="shared" ca="1" si="134"/>
        <v>127506.23908665062</v>
      </c>
      <c r="DA82" s="979">
        <f t="shared" ca="1" si="134"/>
        <v>132612.87253801065</v>
      </c>
      <c r="DB82" s="979">
        <f t="shared" ca="1" si="134"/>
        <v>137923.77237035663</v>
      </c>
      <c r="DC82" s="979">
        <f t="shared" ca="1" si="134"/>
        <v>143447.1091988158</v>
      </c>
      <c r="DD82" s="979">
        <f t="shared" ca="1" si="134"/>
        <v>149191.38046466326</v>
      </c>
      <c r="DE82" s="979">
        <f t="shared" ca="1" si="134"/>
        <v>155165.42350830839</v>
      </c>
      <c r="DF82" s="979">
        <f t="shared" ca="1" si="134"/>
        <v>161378.42916520339</v>
      </c>
      <c r="DG82" s="979">
        <f t="shared" ca="1" si="134"/>
        <v>167839.95590558994</v>
      </c>
      <c r="DH82" s="979">
        <f t="shared" ca="1" si="134"/>
        <v>174559.94453983827</v>
      </c>
      <c r="DI82" s="979">
        <f t="shared" ca="1" si="134"/>
        <v>181548.73351200132</v>
      </c>
      <c r="DJ82" s="979">
        <f t="shared" ca="1" si="134"/>
        <v>188817.0748051134</v>
      </c>
      <c r="DK82" s="979">
        <f t="shared" ca="1" si="134"/>
        <v>196376.15048270262</v>
      </c>
      <c r="DL82" s="979">
        <f t="shared" ca="1" si="134"/>
        <v>204237.58989196547</v>
      </c>
      <c r="DM82" s="979">
        <f t="shared" ca="1" si="134"/>
        <v>212413.48755507026</v>
      </c>
      <c r="DN82" s="979">
        <f t="shared" ca="1" si="134"/>
        <v>220916.42177611418</v>
      </c>
      <c r="DO82" s="979">
        <f t="shared" ca="1" si="134"/>
        <v>229759.47399236046</v>
      </c>
      <c r="DP82" s="979">
        <f t="shared" ca="1" si="134"/>
        <v>238956.24889952663</v>
      </c>
      <c r="DQ82" s="979">
        <f t="shared" ca="1" si="134"/>
        <v>248520.89538208538</v>
      </c>
      <c r="DR82" s="979">
        <f t="shared" ca="1" si="134"/>
        <v>258468.12828077906</v>
      </c>
      <c r="DS82" s="979">
        <f t="shared" ca="1" si="134"/>
        <v>268813.2510308366</v>
      </c>
      <c r="DT82" s="979">
        <f t="shared" ca="1" si="134"/>
        <v>279572.17920571973</v>
      </c>
      <c r="DU82" s="979">
        <f t="shared" ca="1" si="134"/>
        <v>290761.46500262059</v>
      </c>
      <c r="DV82" s="979">
        <f t="shared" ca="1" si="134"/>
        <v>302398.32270738075</v>
      </c>
      <c r="DW82" s="979">
        <f t="shared" ca="1" si="134"/>
        <v>314500.65517800755</v>
      </c>
      <c r="DX82" s="979">
        <f t="shared" ca="1" si="134"/>
        <v>327087.08138753247</v>
      </c>
      <c r="DY82" s="979">
        <f t="shared" ca="1" si="134"/>
        <v>340176.965068586</v>
      </c>
      <c r="DZ82" s="979">
        <f t="shared" ca="1" si="134"/>
        <v>353790.4445037542</v>
      </c>
      <c r="EA82" s="979">
        <f t="shared" ref="EA82:GL82" ca="1" si="135">IF(EA98="E",EA56,DZ82+EA81-EA84)</f>
        <v>367948.46350755286</v>
      </c>
      <c r="EB82" s="979">
        <f t="shared" ca="1" si="135"/>
        <v>382672.80364768003</v>
      </c>
      <c r="EC82" s="979">
        <f t="shared" ca="1" si="135"/>
        <v>397986.11775512068</v>
      </c>
      <c r="ED82" s="979">
        <f t="shared" ca="1" si="135"/>
        <v>413911.96477465547</v>
      </c>
      <c r="EE82" s="979">
        <f t="shared" ca="1" si="135"/>
        <v>430474.84600939136</v>
      </c>
      <c r="EF82" s="979">
        <f t="shared" ca="1" si="135"/>
        <v>447700.24281507422</v>
      </c>
      <c r="EG82" s="979">
        <f t="shared" ca="1" si="135"/>
        <v>465614.65580217401</v>
      </c>
      <c r="EH82" s="979">
        <f t="shared" ca="1" si="135"/>
        <v>484245.64560605603</v>
      </c>
      <c r="EI82" s="979">
        <f t="shared" ca="1" si="135"/>
        <v>503621.87528795662</v>
      </c>
      <c r="EJ82" s="979">
        <f t="shared" ca="1" si="135"/>
        <v>523773.15443200205</v>
      </c>
      <c r="EK82" s="979">
        <f t="shared" ca="1" si="135"/>
        <v>544730.4850061062</v>
      </c>
      <c r="EL82" s="979">
        <f t="shared" ca="1" si="135"/>
        <v>566526.10905730596</v>
      </c>
      <c r="EM82" s="979">
        <f t="shared" ca="1" si="135"/>
        <v>589193.55831491097</v>
      </c>
      <c r="EN82" s="979">
        <f t="shared" ca="1" si="135"/>
        <v>612767.70577777934</v>
      </c>
      <c r="EO82" s="979">
        <f t="shared" ca="1" si="135"/>
        <v>637284.81936508429</v>
      </c>
      <c r="EP82" s="979">
        <f t="shared" ca="1" si="135"/>
        <v>662782.61771311448</v>
      </c>
      <c r="EQ82" s="979">
        <f t="shared" ca="1" si="135"/>
        <v>689300.32820394344</v>
      </c>
      <c r="ER82" s="979">
        <f t="shared" ca="1" si="135"/>
        <v>716878.74731524929</v>
      </c>
      <c r="ES82" s="979">
        <f t="shared" ca="1" si="135"/>
        <v>745560.30338412686</v>
      </c>
      <c r="ET82" s="979">
        <f t="shared" ca="1" si="135"/>
        <v>775389.12188145088</v>
      </c>
      <c r="EU82" s="979">
        <f t="shared" ca="1" si="135"/>
        <v>806411.09329721739</v>
      </c>
      <c r="EV82" s="979">
        <f t="shared" ca="1" si="135"/>
        <v>838673.943741297</v>
      </c>
      <c r="EW82" s="979">
        <f t="shared" ca="1" si="135"/>
        <v>872227.30836821848</v>
      </c>
      <c r="EX82" s="979">
        <f t="shared" ca="1" si="135"/>
        <v>907122.80773894687</v>
      </c>
      <c r="EY82" s="979">
        <f t="shared" ca="1" si="135"/>
        <v>943414.12723712937</v>
      </c>
      <c r="EZ82" s="979">
        <f t="shared" ca="1" si="135"/>
        <v>981157.09966199368</v>
      </c>
      <c r="FA82" s="979">
        <f t="shared" ca="1" si="135"/>
        <v>1020409.7911249631</v>
      </c>
      <c r="FB82" s="979">
        <f t="shared" ca="1" si="135"/>
        <v>1061232.5903821341</v>
      </c>
      <c r="FC82" s="979">
        <f t="shared" ca="1" si="135"/>
        <v>1103688.3017400566</v>
      </c>
      <c r="FD82" s="979">
        <f t="shared" ca="1" si="135"/>
        <v>1147842.2416777422</v>
      </c>
      <c r="FE82" s="979">
        <f t="shared" ca="1" si="135"/>
        <v>1193762.3393335573</v>
      </c>
      <c r="FF82" s="979">
        <f t="shared" ca="1" si="135"/>
        <v>1241519.2410115867</v>
      </c>
      <c r="FG82" s="979">
        <f t="shared" ca="1" si="135"/>
        <v>1291186.4188682598</v>
      </c>
      <c r="FH82" s="979">
        <f t="shared" ca="1" si="135"/>
        <v>1342840.2839464315</v>
      </c>
      <c r="FI82" s="979">
        <f t="shared" ca="1" si="135"/>
        <v>1396560.3037308378</v>
      </c>
      <c r="FJ82" s="979">
        <f t="shared" ca="1" si="135"/>
        <v>1452429.1244057629</v>
      </c>
      <c r="FK82" s="979">
        <f t="shared" ca="1" si="135"/>
        <v>1510532.6980030141</v>
      </c>
      <c r="FL82" s="979">
        <f t="shared" ca="1" si="135"/>
        <v>1570960.4146358173</v>
      </c>
      <c r="FM82" s="979">
        <f t="shared" ca="1" si="135"/>
        <v>1633805.2400220709</v>
      </c>
      <c r="FN82" s="979">
        <f t="shared" ca="1" si="135"/>
        <v>1699163.858508521</v>
      </c>
      <c r="FO82" s="979">
        <f t="shared" ca="1" si="135"/>
        <v>1767136.8218159168</v>
      </c>
      <c r="FP82" s="979">
        <f t="shared" ca="1" si="135"/>
        <v>1837828.7037339618</v>
      </c>
      <c r="FQ82" s="979">
        <f t="shared" ca="1" si="135"/>
        <v>1911348.2610040691</v>
      </c>
      <c r="FR82" s="979">
        <f t="shared" ca="1" si="135"/>
        <v>1987808.6006374231</v>
      </c>
      <c r="FS82" s="979">
        <f t="shared" ca="1" si="135"/>
        <v>2067327.3539257667</v>
      </c>
      <c r="FT82" s="979">
        <f t="shared" ca="1" si="135"/>
        <v>2150026.8574126214</v>
      </c>
      <c r="FU82" s="979">
        <f t="shared" ca="1" si="135"/>
        <v>2236034.3411033507</v>
      </c>
      <c r="FV82" s="979">
        <f t="shared" ca="1" si="135"/>
        <v>2325482.124203634</v>
      </c>
      <c r="FW82" s="979">
        <f t="shared" ca="1" si="135"/>
        <v>2418507.8186874702</v>
      </c>
      <c r="FX82" s="979">
        <f t="shared" ca="1" si="135"/>
        <v>2515254.5410079123</v>
      </c>
      <c r="FY82" s="979">
        <f t="shared" ca="1" si="135"/>
        <v>2615871.1322762216</v>
      </c>
      <c r="FZ82" s="979">
        <f t="shared" ca="1" si="135"/>
        <v>2720512.3872481971</v>
      </c>
      <c r="GA82" s="979">
        <f t="shared" ca="1" si="135"/>
        <v>2829339.2924699481</v>
      </c>
      <c r="GB82" s="979">
        <f t="shared" ca="1" si="135"/>
        <v>2942519.2739495076</v>
      </c>
      <c r="GC82" s="979">
        <f t="shared" ca="1" si="135"/>
        <v>3060226.4547353075</v>
      </c>
      <c r="GD82" s="979">
        <f t="shared" ca="1" si="135"/>
        <v>3182641.9227977875</v>
      </c>
      <c r="GE82" s="979">
        <f t="shared" ca="1" si="135"/>
        <v>3309954.0096262726</v>
      </c>
      <c r="GF82" s="979">
        <f t="shared" ca="1" si="135"/>
        <v>3442358.5799697307</v>
      </c>
      <c r="GG82" s="979">
        <f t="shared" ca="1" si="135"/>
        <v>3580059.3331671511</v>
      </c>
      <c r="GH82" s="979">
        <f t="shared" ca="1" si="135"/>
        <v>3723268.1165311472</v>
      </c>
      <c r="GI82" s="979">
        <f t="shared" ca="1" si="135"/>
        <v>3872205.251266893</v>
      </c>
      <c r="GJ82" s="979">
        <f t="shared" ca="1" si="135"/>
        <v>4027099.871427827</v>
      </c>
      <c r="GK82" s="979">
        <f t="shared" ca="1" si="135"/>
        <v>4188190.2764295838</v>
      </c>
      <c r="GL82" s="979">
        <f t="shared" ca="1" si="135"/>
        <v>4355724.2976644719</v>
      </c>
      <c r="GM82" s="979">
        <f t="shared" ref="GM82:IQ82" ca="1" si="136">IF(GM98="E",GM56,GL82+GM81-GM84)</f>
        <v>4529959.6797805456</v>
      </c>
      <c r="GN82" s="979">
        <f t="shared" ca="1" si="136"/>
        <v>4711164.4772118293</v>
      </c>
      <c r="GO82" s="979">
        <f t="shared" ca="1" si="136"/>
        <v>4899617.4665697562</v>
      </c>
      <c r="GP82" s="979">
        <f t="shared" ca="1" si="136"/>
        <v>5095608.5755302627</v>
      </c>
      <c r="GQ82" s="979">
        <f t="shared" ca="1" si="136"/>
        <v>5299439.3288763622</v>
      </c>
      <c r="GR82" s="979">
        <f t="shared" ca="1" si="136"/>
        <v>5511423.3123824354</v>
      </c>
      <c r="GS82" s="979">
        <f t="shared" ca="1" si="136"/>
        <v>5731886.6552538769</v>
      </c>
      <c r="GT82" s="979">
        <f t="shared" ca="1" si="136"/>
        <v>5961168.531864332</v>
      </c>
      <c r="GU82" s="979">
        <f t="shared" ca="1" si="136"/>
        <v>6199621.6835624361</v>
      </c>
      <c r="GV82" s="979">
        <f t="shared" ca="1" si="136"/>
        <v>6447612.9613507977</v>
      </c>
      <c r="GW82" s="979">
        <f t="shared" ca="1" si="136"/>
        <v>6705523.8902721722</v>
      </c>
      <c r="GX82" s="979">
        <f t="shared" ca="1" si="136"/>
        <v>6973751.2563710492</v>
      </c>
      <c r="GY82" s="979">
        <f t="shared" ca="1" si="136"/>
        <v>7252707.717133739</v>
      </c>
      <c r="GZ82" s="979">
        <f t="shared" ca="1" si="136"/>
        <v>7542822.4363460271</v>
      </c>
      <c r="HA82" s="979">
        <f t="shared" ca="1" si="136"/>
        <v>7844541.7443451677</v>
      </c>
      <c r="HB82" s="979">
        <f t="shared" ca="1" si="136"/>
        <v>8158329.8246819237</v>
      </c>
      <c r="HC82" s="979">
        <f t="shared" ca="1" si="136"/>
        <v>8484669.4282491244</v>
      </c>
      <c r="HD82" s="979">
        <f t="shared" ca="1" si="136"/>
        <v>8824062.6159753315</v>
      </c>
      <c r="HE82" s="979">
        <f t="shared" ca="1" si="136"/>
        <v>9177031.5312262811</v>
      </c>
      <c r="HF82" s="979">
        <f t="shared" ca="1" si="136"/>
        <v>9544119.2031023558</v>
      </c>
      <c r="HG82" s="979">
        <f t="shared" ca="1" si="136"/>
        <v>9925890.3818679824</v>
      </c>
      <c r="HH82" s="979">
        <f t="shared" ca="1" si="136"/>
        <v>10322932.407798186</v>
      </c>
      <c r="HI82" s="979">
        <f t="shared" ca="1" si="136"/>
        <v>10735856.114779012</v>
      </c>
      <c r="HJ82" s="979">
        <f t="shared" ca="1" si="136"/>
        <v>11165296.770051967</v>
      </c>
      <c r="HK82" s="979">
        <f t="shared" ca="1" si="136"/>
        <v>11611915.051548243</v>
      </c>
      <c r="HL82" s="979">
        <f t="shared" ca="1" si="136"/>
        <v>12076398.064316299</v>
      </c>
      <c r="HM82" s="979">
        <f t="shared" ca="1" si="136"/>
        <v>12559460.397606537</v>
      </c>
      <c r="HN82" s="979">
        <f t="shared" ca="1" si="136"/>
        <v>13061845.224239415</v>
      </c>
      <c r="HO82" s="979">
        <f t="shared" ca="1" si="136"/>
        <v>13584325.443948207</v>
      </c>
      <c r="HP82" s="979">
        <f t="shared" ca="1" si="136"/>
        <v>14127704.872455545</v>
      </c>
      <c r="HQ82" s="979">
        <f t="shared" ca="1" si="136"/>
        <v>14692819.478112979</v>
      </c>
      <c r="HR82" s="979">
        <f t="shared" ca="1" si="136"/>
        <v>15280538.668006133</v>
      </c>
      <c r="HS82" s="979">
        <f t="shared" ca="1" si="136"/>
        <v>15891766.625504076</v>
      </c>
      <c r="HT82" s="979">
        <f t="shared" ca="1" si="136"/>
        <v>16527443.70131065</v>
      </c>
      <c r="HU82" s="979">
        <f t="shared" ca="1" si="136"/>
        <v>17188547.860157866</v>
      </c>
      <c r="HV82" s="979">
        <f t="shared" ca="1" si="136"/>
        <v>17876096.185367025</v>
      </c>
      <c r="HW82" s="979">
        <f t="shared" ca="1" si="136"/>
        <v>18591146.443592299</v>
      </c>
      <c r="HX82" s="979">
        <f t="shared" ca="1" si="136"/>
        <v>19334798.712154031</v>
      </c>
      <c r="HY82" s="979">
        <f t="shared" ca="1" si="136"/>
        <v>20108197.071465392</v>
      </c>
      <c r="HZ82" s="979">
        <f t="shared" ca="1" si="136"/>
        <v>20912531.365156095</v>
      </c>
      <c r="IA82" s="979">
        <f t="shared" ca="1" si="136"/>
        <v>21749039.030601051</v>
      </c>
      <c r="IB82" s="979">
        <f t="shared" ca="1" si="136"/>
        <v>22619007.002670165</v>
      </c>
      <c r="IC82" s="979">
        <f t="shared" ca="1" si="136"/>
        <v>23523773.69362817</v>
      </c>
      <c r="ID82" s="979">
        <f t="shared" ca="1" si="136"/>
        <v>24464731.052230392</v>
      </c>
      <c r="IE82" s="979">
        <f t="shared" ca="1" si="136"/>
        <v>25443326.705182351</v>
      </c>
      <c r="IF82" s="979">
        <f t="shared" ca="1" si="136"/>
        <v>26461066.184257831</v>
      </c>
      <c r="IG82" s="979">
        <f t="shared" ca="1" si="136"/>
        <v>27519515.242501564</v>
      </c>
      <c r="IH82" s="979">
        <f t="shared" ca="1" si="136"/>
        <v>28620302.263080079</v>
      </c>
      <c r="II82" s="979">
        <f t="shared" ca="1" si="136"/>
        <v>29765120.764486574</v>
      </c>
      <c r="IJ82" s="979">
        <f t="shared" ca="1" si="136"/>
        <v>30955732.005953979</v>
      </c>
      <c r="IK82" s="979">
        <f t="shared" ca="1" si="136"/>
        <v>32193967.697084557</v>
      </c>
      <c r="IL82" s="979">
        <f t="shared" ca="1" si="136"/>
        <v>33481732.815864656</v>
      </c>
      <c r="IM82" s="979">
        <f t="shared" ca="1" si="136"/>
        <v>34821008.539400101</v>
      </c>
      <c r="IN82" s="979">
        <f t="shared" ca="1" si="136"/>
        <v>36213855.291880935</v>
      </c>
      <c r="IO82" s="979">
        <f t="shared" ca="1" si="136"/>
        <v>37662415.914464824</v>
      </c>
      <c r="IP82" s="979">
        <f t="shared" ca="1" si="136"/>
        <v>39168918.961955748</v>
      </c>
      <c r="IQ82" s="979">
        <f t="shared" ca="1" si="136"/>
        <v>40735682.131349847</v>
      </c>
      <c r="IR82" s="979"/>
    </row>
    <row r="83" spans="2:254" s="960" customFormat="1" ht="11.85" customHeight="1">
      <c r="B83" s="1025" t="s">
        <v>722</v>
      </c>
      <c r="C83" s="1052">
        <f>C81/C32</f>
        <v>-0.72556810993078891</v>
      </c>
      <c r="D83" s="1052">
        <f>D81/C82</f>
        <v>-4.9274968646137536</v>
      </c>
      <c r="E83" s="1052">
        <f t="shared" ref="E83:BP83" si="137">E81/D82</f>
        <v>0.92730982077115554</v>
      </c>
      <c r="F83" s="1052">
        <f t="shared" si="137"/>
        <v>0.34250404736075057</v>
      </c>
      <c r="G83" s="1052">
        <f t="shared" ca="1" si="137"/>
        <v>0.22450386031117886</v>
      </c>
      <c r="H83" s="1052">
        <f t="shared" ca="1" si="137"/>
        <v>0.26455559296449738</v>
      </c>
      <c r="I83" s="1052">
        <f t="shared" ca="1" si="137"/>
        <v>0.25305528816643202</v>
      </c>
      <c r="J83" s="1052">
        <f t="shared" ca="1" si="137"/>
        <v>0.24175923163192109</v>
      </c>
      <c r="K83" s="1052">
        <f t="shared" ca="1" si="137"/>
        <v>0.2306676386274874</v>
      </c>
      <c r="L83" s="1052">
        <f t="shared" ca="1" si="137"/>
        <v>0.21977725261241429</v>
      </c>
      <c r="M83" s="1052">
        <f t="shared" ca="1" si="137"/>
        <v>0.20908209204436362</v>
      </c>
      <c r="N83" s="1052">
        <f t="shared" ca="1" si="137"/>
        <v>0.19857409583012756</v>
      </c>
      <c r="O83" s="1052">
        <f t="shared" ca="1" si="137"/>
        <v>0.18824366790827665</v>
      </c>
      <c r="P83" s="1052">
        <f t="shared" ca="1" si="137"/>
        <v>0.17808012636160012</v>
      </c>
      <c r="Q83" s="1052">
        <f t="shared" ca="1" si="137"/>
        <v>0.16807206537980948</v>
      </c>
      <c r="R83" s="1052">
        <f t="shared" ca="1" si="137"/>
        <v>0.15820763981956601</v>
      </c>
      <c r="S83" s="1052">
        <f t="shared" ca="1" si="137"/>
        <v>0.14847478247199536</v>
      </c>
      <c r="T83" s="1052">
        <f t="shared" ca="1" si="137"/>
        <v>0.13886136380090769</v>
      </c>
      <c r="U83" s="1052">
        <f t="shared" ca="1" si="137"/>
        <v>0.12935530313065072</v>
      </c>
      <c r="V83" s="1052">
        <f t="shared" ca="1" si="137"/>
        <v>0.11994463924070758</v>
      </c>
      <c r="W83" s="1052">
        <f t="shared" ca="1" si="137"/>
        <v>0.1098695878521707</v>
      </c>
      <c r="X83" s="1052">
        <f t="shared" ca="1" si="137"/>
        <v>0.10730849867008345</v>
      </c>
      <c r="Y83" s="1052">
        <f t="shared" ca="1" si="137"/>
        <v>0.10623008285576276</v>
      </c>
      <c r="Z83" s="1052">
        <f t="shared" ca="1" si="137"/>
        <v>0.10519520629804079</v>
      </c>
      <c r="AA83" s="1052">
        <f t="shared" ca="1" si="137"/>
        <v>0.10420204567222353</v>
      </c>
      <c r="AB83" s="1052">
        <f t="shared" ca="1" si="137"/>
        <v>0.10324885818509813</v>
      </c>
      <c r="AC83" s="1052">
        <f t="shared" ca="1" si="137"/>
        <v>0.10233397779233031</v>
      </c>
      <c r="AD83" s="1052">
        <f t="shared" ca="1" si="137"/>
        <v>0.10145581160072407</v>
      </c>
      <c r="AE83" s="1052">
        <f t="shared" ca="1" si="137"/>
        <v>0.10061283644680695</v>
      </c>
      <c r="AF83" s="1052">
        <f t="shared" ca="1" si="137"/>
        <v>9.980359564344353E-2</v>
      </c>
      <c r="AG83" s="1052">
        <f t="shared" ca="1" si="137"/>
        <v>9.9026695886443611E-2</v>
      </c>
      <c r="AH83" s="1052">
        <f t="shared" ca="1" si="137"/>
        <v>9.8280804313409312E-2</v>
      </c>
      <c r="AI83" s="1052">
        <f t="shared" ca="1" si="137"/>
        <v>9.7564645707354916E-2</v>
      </c>
      <c r="AJ83" s="1052">
        <f t="shared" ca="1" si="137"/>
        <v>9.6876999837929204E-2</v>
      </c>
      <c r="AK83" s="1052">
        <f t="shared" ca="1" si="137"/>
        <v>9.6216698933366471E-2</v>
      </c>
      <c r="AL83" s="1052">
        <f t="shared" ca="1" si="137"/>
        <v>9.5582625276591199E-2</v>
      </c>
      <c r="AM83" s="1052">
        <f t="shared" ca="1" si="137"/>
        <v>9.497370891919496E-2</v>
      </c>
      <c r="AN83" s="1052">
        <f t="shared" ca="1" si="137"/>
        <v>9.4388925507293525E-2</v>
      </c>
      <c r="AO83" s="1052">
        <f t="shared" ca="1" si="137"/>
        <v>9.3827294213555568E-2</v>
      </c>
      <c r="AP83" s="1052">
        <f t="shared" ca="1" si="137"/>
        <v>9.3287875769969872E-2</v>
      </c>
      <c r="AQ83" s="1052">
        <f t="shared" ca="1" si="137"/>
        <v>9.2769770596184256E-2</v>
      </c>
      <c r="AR83" s="1052">
        <f t="shared" ca="1" si="137"/>
        <v>9.2272117018508654E-2</v>
      </c>
      <c r="AS83" s="1052">
        <f t="shared" ca="1" si="137"/>
        <v>9.1794089574921453E-2</v>
      </c>
      <c r="AT83" s="1052">
        <f t="shared" ca="1" si="137"/>
        <v>9.1334897401658496E-2</v>
      </c>
      <c r="AU83" s="1052">
        <f t="shared" ca="1" si="137"/>
        <v>9.0893782697190728E-2</v>
      </c>
      <c r="AV83" s="1052">
        <f t="shared" ca="1" si="137"/>
        <v>9.047001925961716E-2</v>
      </c>
      <c r="AW83" s="1052">
        <f t="shared" ca="1" si="137"/>
        <v>9.0062911093706136E-2</v>
      </c>
      <c r="AX83" s="1052">
        <f t="shared" ca="1" si="137"/>
        <v>8.9671791084018987E-2</v>
      </c>
      <c r="AY83" s="1052">
        <f t="shared" ca="1" si="137"/>
        <v>8.9296019730737086E-2</v>
      </c>
      <c r="AZ83" s="1052">
        <f t="shared" ca="1" si="137"/>
        <v>8.893498394499548E-2</v>
      </c>
      <c r="BA83" s="1052">
        <f t="shared" ca="1" si="137"/>
        <v>8.8588095900695191E-2</v>
      </c>
      <c r="BB83" s="1052">
        <f t="shared" ca="1" si="137"/>
        <v>8.8254791939929605E-2</v>
      </c>
      <c r="BC83" s="1052">
        <f t="shared" ca="1" si="137"/>
        <v>8.7934531529313159E-2</v>
      </c>
      <c r="BD83" s="1052">
        <f t="shared" ca="1" si="137"/>
        <v>8.7626796264647047E-2</v>
      </c>
      <c r="BE83" s="1052">
        <f t="shared" ca="1" si="137"/>
        <v>8.7331088921493105E-2</v>
      </c>
      <c r="BF83" s="1052">
        <f t="shared" ca="1" si="137"/>
        <v>8.7046932549358996E-2</v>
      </c>
      <c r="BG83" s="1052">
        <f t="shared" ca="1" si="137"/>
        <v>8.6773869607319365E-2</v>
      </c>
      <c r="BH83" s="1052">
        <f t="shared" ca="1" si="137"/>
        <v>8.6511461139015991E-2</v>
      </c>
      <c r="BI83" s="1052">
        <f t="shared" ca="1" si="137"/>
        <v>8.6259285985088502E-2</v>
      </c>
      <c r="BJ83" s="1052">
        <f t="shared" ca="1" si="137"/>
        <v>8.6016940031192271E-2</v>
      </c>
      <c r="BK83" s="1052">
        <f t="shared" ca="1" si="137"/>
        <v>8.5784035489858163E-2</v>
      </c>
      <c r="BL83" s="1052">
        <f t="shared" ca="1" si="137"/>
        <v>8.5560200214541471E-2</v>
      </c>
      <c r="BM83" s="1052">
        <f t="shared" ca="1" si="137"/>
        <v>8.5345077044295004E-2</v>
      </c>
      <c r="BN83" s="1052">
        <f t="shared" ca="1" si="137"/>
        <v>8.5138323177584324E-2</v>
      </c>
      <c r="BO83" s="1052">
        <f t="shared" ca="1" si="137"/>
        <v>8.4939609573841002E-2</v>
      </c>
      <c r="BP83" s="1052">
        <f t="shared" ca="1" si="137"/>
        <v>8.4748620381423403E-2</v>
      </c>
      <c r="BQ83" s="1052">
        <f t="shared" ref="BQ83:EB83" ca="1" si="138">BQ81/BP82</f>
        <v>8.4565052390724552E-2</v>
      </c>
      <c r="BR83" s="1052">
        <f t="shared" ca="1" si="138"/>
        <v>8.4388614511231738E-2</v>
      </c>
      <c r="BS83" s="1052">
        <f t="shared" ca="1" si="138"/>
        <v>8.4219027271405136E-2</v>
      </c>
      <c r="BT83" s="1052">
        <f t="shared" ca="1" si="138"/>
        <v>8.4056022340300934E-2</v>
      </c>
      <c r="BU83" s="1052">
        <f t="shared" ca="1" si="138"/>
        <v>8.3899342069919738E-2</v>
      </c>
      <c r="BV83" s="1052">
        <f t="shared" ca="1" si="138"/>
        <v>8.3748739057313656E-2</v>
      </c>
      <c r="BW83" s="1052">
        <f t="shared" ca="1" si="138"/>
        <v>8.3603975725534144E-2</v>
      </c>
      <c r="BX83" s="1052">
        <f t="shared" ca="1" si="138"/>
        <v>8.3464823922549947E-2</v>
      </c>
      <c r="BY83" s="1052">
        <f t="shared" ca="1" si="138"/>
        <v>8.3331064537308069E-2</v>
      </c>
      <c r="BZ83" s="1052">
        <f t="shared" ca="1" si="138"/>
        <v>8.3202487132152225E-2</v>
      </c>
      <c r="CA83" s="1052">
        <f t="shared" ca="1" si="138"/>
        <v>8.307888959085323E-2</v>
      </c>
      <c r="CB83" s="1052">
        <f t="shared" ca="1" si="138"/>
        <v>8.2960077781541533E-2</v>
      </c>
      <c r="CC83" s="1052">
        <f t="shared" ca="1" si="138"/>
        <v>8.2845865233869331E-2</v>
      </c>
      <c r="CD83" s="1052">
        <f t="shared" ca="1" si="138"/>
        <v>8.2736072829760421E-2</v>
      </c>
      <c r="CE83" s="1052">
        <f t="shared" ca="1" si="138"/>
        <v>8.2630528507139811E-2</v>
      </c>
      <c r="CF83" s="1052">
        <f t="shared" ca="1" si="138"/>
        <v>8.2529066976062826E-2</v>
      </c>
      <c r="CG83" s="1052">
        <f t="shared" ca="1" si="138"/>
        <v>8.2431529446693005E-2</v>
      </c>
      <c r="CH83" s="1052">
        <f t="shared" ca="1" si="138"/>
        <v>8.2337763368604044E-2</v>
      </c>
      <c r="CI83" s="1052">
        <f t="shared" ca="1" si="138"/>
        <v>8.2247622180906227E-2</v>
      </c>
      <c r="CJ83" s="1052">
        <f t="shared" ca="1" si="138"/>
        <v>8.2160965072722122E-2</v>
      </c>
      <c r="CK83" s="1052">
        <f t="shared" ca="1" si="138"/>
        <v>8.2077656753558464E-2</v>
      </c>
      <c r="CL83" s="1052">
        <f t="shared" ca="1" si="138"/>
        <v>8.1997567233142971E-2</v>
      </c>
      <c r="CM83" s="1052">
        <f t="shared" ca="1" si="138"/>
        <v>8.192057161031481E-2</v>
      </c>
      <c r="CN83" s="1052">
        <f t="shared" ca="1" si="138"/>
        <v>8.1846549870577365E-2</v>
      </c>
      <c r="CO83" s="1052">
        <f t="shared" ca="1" si="138"/>
        <v>8.1775386691939012E-2</v>
      </c>
      <c r="CP83" s="1052">
        <f t="shared" ca="1" si="138"/>
        <v>8.1706971258686728E-2</v>
      </c>
      <c r="CQ83" s="1052">
        <f t="shared" ca="1" si="138"/>
        <v>8.164119708275186E-2</v>
      </c>
      <c r="CR83" s="1052">
        <f t="shared" ca="1" si="138"/>
        <v>8.1577961832344642E-2</v>
      </c>
      <c r="CS83" s="1052">
        <f t="shared" ca="1" si="138"/>
        <v>8.1517167167547977E-2</v>
      </c>
      <c r="CT83" s="1052">
        <f t="shared" ca="1" si="138"/>
        <v>8.1458718582575279E-2</v>
      </c>
      <c r="CU83" s="1052">
        <f t="shared" ca="1" si="138"/>
        <v>8.1402525254410843E-2</v>
      </c>
      <c r="CV83" s="1052">
        <f t="shared" ca="1" si="138"/>
        <v>8.1348499897563389E-2</v>
      </c>
      <c r="CW83" s="1052">
        <f t="shared" ca="1" si="138"/>
        <v>8.1296558624676163E-2</v>
      </c>
      <c r="CX83" s="1052">
        <f t="shared" ca="1" si="138"/>
        <v>8.1246620812748041E-2</v>
      </c>
      <c r="CY83" s="1052">
        <f t="shared" ca="1" si="138"/>
        <v>8.1198608974730913E-2</v>
      </c>
      <c r="CZ83" s="1052">
        <f t="shared" ca="1" si="138"/>
        <v>8.1152448636279892E-2</v>
      </c>
      <c r="DA83" s="1052">
        <f t="shared" ca="1" si="138"/>
        <v>8.1108068217441362E-2</v>
      </c>
      <c r="DB83" s="1052">
        <f t="shared" ca="1" si="138"/>
        <v>8.1065398919074758E-2</v>
      </c>
      <c r="DC83" s="1052">
        <f t="shared" ca="1" si="138"/>
        <v>8.102437461381215E-2</v>
      </c>
      <c r="DD83" s="1052">
        <f t="shared" ca="1" si="138"/>
        <v>8.0984931741368005E-2</v>
      </c>
      <c r="DE83" s="1052">
        <f t="shared" ca="1" si="138"/>
        <v>8.0947009208020976E-2</v>
      </c>
      <c r="DF83" s="1052">
        <f t="shared" ca="1" si="138"/>
        <v>8.0910548290095266E-2</v>
      </c>
      <c r="DG83" s="1052">
        <f t="shared" ca="1" si="138"/>
        <v>8.0875492541278654E-2</v>
      </c>
      <c r="DH83" s="1052">
        <f t="shared" ca="1" si="138"/>
        <v>8.0841787703619716E-2</v>
      </c>
      <c r="DI83" s="1052">
        <f t="shared" ca="1" si="138"/>
        <v>8.0809381622054505E-2</v>
      </c>
      <c r="DJ83" s="1052">
        <f t="shared" ca="1" si="138"/>
        <v>8.077822416231871E-2</v>
      </c>
      <c r="DK83" s="1052">
        <f t="shared" ca="1" si="138"/>
        <v>8.0748267132107754E-2</v>
      </c>
      <c r="DL83" s="1052">
        <f t="shared" ca="1" si="138"/>
        <v>8.0719464205353392E-2</v>
      </c>
      <c r="DM83" s="1052">
        <f t="shared" ca="1" si="138"/>
        <v>8.069177084949021E-2</v>
      </c>
      <c r="DN83" s="1052">
        <f t="shared" ca="1" si="138"/>
        <v>8.0665144255591417E-2</v>
      </c>
      <c r="DO83" s="1052">
        <f t="shared" ca="1" si="138"/>
        <v>8.0639543271258413E-2</v>
      </c>
      <c r="DP83" s="1052">
        <f t="shared" ca="1" si="138"/>
        <v>8.0614928336152497E-2</v>
      </c>
      <c r="DQ83" s="1052">
        <f t="shared" ca="1" si="138"/>
        <v>8.0591261420063565E-2</v>
      </c>
      <c r="DR83" s="1052">
        <f t="shared" ca="1" si="138"/>
        <v>8.0568505963412779E-2</v>
      </c>
      <c r="DS83" s="1052">
        <f t="shared" ca="1" si="138"/>
        <v>8.0546626820092559E-2</v>
      </c>
      <c r="DT83" s="1052">
        <f t="shared" ca="1" si="138"/>
        <v>8.0525590202549915E-2</v>
      </c>
      <c r="DU83" s="1052">
        <f t="shared" ca="1" si="138"/>
        <v>8.0505363629023469E-2</v>
      </c>
      <c r="DV83" s="1052">
        <f t="shared" ca="1" si="138"/>
        <v>8.0485915872848299E-2</v>
      </c>
      <c r="DW83" s="1052">
        <f t="shared" ca="1" si="138"/>
        <v>8.0467216913746295E-2</v>
      </c>
      <c r="DX83" s="1052">
        <f t="shared" ca="1" si="138"/>
        <v>8.0449237891022596E-2</v>
      </c>
      <c r="DY83" s="1052">
        <f t="shared" ca="1" si="138"/>
        <v>8.0431951058592868E-2</v>
      </c>
      <c r="DZ83" s="1052">
        <f t="shared" ca="1" si="138"/>
        <v>8.0415329741768141E-2</v>
      </c>
      <c r="EA83" s="1052">
        <f t="shared" ca="1" si="138"/>
        <v>8.0399348295727938E-2</v>
      </c>
      <c r="EB83" s="1052">
        <f t="shared" ca="1" si="138"/>
        <v>8.0383982065614756E-2</v>
      </c>
      <c r="EC83" s="1052">
        <f t="shared" ref="EC83:GN83" ca="1" si="139">EC81/EB82</f>
        <v>8.0369207348185326E-2</v>
      </c>
      <c r="ED83" s="1052">
        <f t="shared" ca="1" si="139"/>
        <v>8.0355001354957656E-2</v>
      </c>
      <c r="EE83" s="1052">
        <f t="shared" ca="1" si="139"/>
        <v>8.0341342176794353E-2</v>
      </c>
      <c r="EF83" s="1052">
        <f t="shared" ca="1" si="139"/>
        <v>8.0328208749865779E-2</v>
      </c>
      <c r="EG83" s="1052">
        <f t="shared" ca="1" si="139"/>
        <v>8.0315580822938631E-2</v>
      </c>
      <c r="EH83" s="1052">
        <f t="shared" ca="1" si="139"/>
        <v>8.0303438925937595E-2</v>
      </c>
      <c r="EI83" s="1052">
        <f t="shared" ca="1" si="139"/>
        <v>8.0291764339730065E-2</v>
      </c>
      <c r="EJ83" s="1052">
        <f t="shared" ca="1" si="139"/>
        <v>8.0280539067086057E-2</v>
      </c>
      <c r="EK83" s="1052">
        <f t="shared" ca="1" si="139"/>
        <v>8.0269745804766618E-2</v>
      </c>
      <c r="EL83" s="1052">
        <f t="shared" ca="1" si="139"/>
        <v>8.0259367916697064E-2</v>
      </c>
      <c r="EM83" s="1052">
        <f t="shared" ca="1" si="139"/>
        <v>8.0249389408181937E-2</v>
      </c>
      <c r="EN83" s="1052">
        <f t="shared" ca="1" si="139"/>
        <v>8.0239794901121264E-2</v>
      </c>
      <c r="EO83" s="1052">
        <f t="shared" ca="1" si="139"/>
        <v>8.0230569610188707E-2</v>
      </c>
      <c r="EP83" s="1052">
        <f t="shared" ca="1" si="139"/>
        <v>8.0221699319933865E-2</v>
      </c>
      <c r="EQ83" s="1052">
        <f t="shared" ca="1" si="139"/>
        <v>8.0213170362772798E-2</v>
      </c>
      <c r="ER83" s="1052">
        <f t="shared" ca="1" si="139"/>
        <v>8.0204969597831965E-2</v>
      </c>
      <c r="ES83" s="1052">
        <f t="shared" ca="1" si="139"/>
        <v>8.0197084390612114E-2</v>
      </c>
      <c r="ET83" s="1052">
        <f t="shared" ca="1" si="139"/>
        <v>8.0189502593440293E-2</v>
      </c>
      <c r="EU83" s="1052">
        <f t="shared" ca="1" si="139"/>
        <v>8.0182212526678981E-2</v>
      </c>
      <c r="EV83" s="1052">
        <f t="shared" ca="1" si="139"/>
        <v>8.0175202960663314E-2</v>
      </c>
      <c r="EW83" s="1052">
        <f t="shared" ca="1" si="139"/>
        <v>8.0168463098337278E-2</v>
      </c>
      <c r="EX83" s="1052">
        <f t="shared" ca="1" si="139"/>
        <v>8.0161982558562314E-2</v>
      </c>
      <c r="EY83" s="1052">
        <f t="shared" ca="1" si="139"/>
        <v>8.0155751360071706E-2</v>
      </c>
      <c r="EZ83" s="1052">
        <f t="shared" ca="1" si="139"/>
        <v>8.0149759906045892E-2</v>
      </c>
      <c r="FA83" s="1052">
        <f t="shared" ca="1" si="139"/>
        <v>8.0143998969284411E-2</v>
      </c>
      <c r="FB83" s="1052">
        <f t="shared" ca="1" si="139"/>
        <v>8.0138459677951204E-2</v>
      </c>
      <c r="FC83" s="1052">
        <f t="shared" ca="1" si="139"/>
        <v>8.0133133501871193E-2</v>
      </c>
      <c r="FD83" s="1052">
        <f t="shared" ca="1" si="139"/>
        <v>8.0128012239356589E-2</v>
      </c>
      <c r="FE83" s="1052">
        <f t="shared" ca="1" si="139"/>
        <v>8.0123088004542264E-2</v>
      </c>
      <c r="FF83" s="1052">
        <f t="shared" ca="1" si="139"/>
        <v>8.0118353215210575E-2</v>
      </c>
      <c r="FG83" s="1052">
        <f t="shared" ca="1" si="139"/>
        <v>8.0113800581086678E-2</v>
      </c>
      <c r="FH83" s="1052">
        <f t="shared" ca="1" si="139"/>
        <v>8.0109423092585855E-2</v>
      </c>
      <c r="FI83" s="1052">
        <f t="shared" ca="1" si="139"/>
        <v>8.0105214009995429E-2</v>
      </c>
      <c r="FJ83" s="1052">
        <f t="shared" ca="1" si="139"/>
        <v>8.010116685307464E-2</v>
      </c>
      <c r="FK83" s="1052">
        <f t="shared" ca="1" si="139"/>
        <v>8.0097275391055808E-2</v>
      </c>
      <c r="FL83" s="1052">
        <f t="shared" ca="1" si="139"/>
        <v>8.0093533633031705E-2</v>
      </c>
      <c r="FM83" s="1052">
        <f t="shared" ca="1" si="139"/>
        <v>8.0089935818713903E-2</v>
      </c>
      <c r="FN83" s="1052">
        <f t="shared" ca="1" si="139"/>
        <v>8.0086476409547747E-2</v>
      </c>
      <c r="FO83" s="1052">
        <f t="shared" ca="1" si="139"/>
        <v>8.0083150080170279E-2</v>
      </c>
      <c r="FP83" s="1052">
        <f t="shared" ca="1" si="139"/>
        <v>8.0079951710197633E-2</v>
      </c>
      <c r="FQ83" s="1052">
        <f t="shared" ca="1" si="139"/>
        <v>8.0076876376329487E-2</v>
      </c>
      <c r="FR83" s="1052">
        <f t="shared" ca="1" si="139"/>
        <v>8.0073919344757813E-2</v>
      </c>
      <c r="FS83" s="1052">
        <f t="shared" ca="1" si="139"/>
        <v>8.0071076063868568E-2</v>
      </c>
      <c r="FT83" s="1052">
        <f t="shared" ca="1" si="139"/>
        <v>8.0068342157224928E-2</v>
      </c>
      <c r="FU83" s="1052">
        <f t="shared" ca="1" si="139"/>
        <v>8.0065713416820949E-2</v>
      </c>
      <c r="FV83" s="1052">
        <f t="shared" ca="1" si="139"/>
        <v>8.0063185796595465E-2</v>
      </c>
      <c r="FW83" s="1052">
        <f t="shared" ca="1" si="139"/>
        <v>8.0060755406195935E-2</v>
      </c>
      <c r="FX83" s="1052">
        <f t="shared" ca="1" si="139"/>
        <v>8.0058418504982978E-2</v>
      </c>
      <c r="FY83" s="1052">
        <f t="shared" ca="1" si="139"/>
        <v>8.0056171496265635E-2</v>
      </c>
      <c r="FZ83" s="1052">
        <f t="shared" ca="1" si="139"/>
        <v>8.005401092175915E-2</v>
      </c>
      <c r="GA83" s="1052">
        <f t="shared" ca="1" si="139"/>
        <v>8.0051933456256108E-2</v>
      </c>
      <c r="GB83" s="1052">
        <f t="shared" ca="1" si="139"/>
        <v>8.0049935902503228E-2</v>
      </c>
      <c r="GC83" s="1052">
        <f t="shared" ca="1" si="139"/>
        <v>8.0048015186275315E-2</v>
      </c>
      <c r="GD83" s="1052">
        <f t="shared" ca="1" si="139"/>
        <v>8.0046168351639066E-2</v>
      </c>
      <c r="GE83" s="1052">
        <f t="shared" ca="1" si="139"/>
        <v>8.0044392556399543E-2</v>
      </c>
      <c r="GF83" s="1052">
        <f t="shared" ca="1" si="139"/>
        <v>8.0042685067721941E-2</v>
      </c>
      <c r="GG83" s="1052">
        <f t="shared" ca="1" si="139"/>
        <v>8.0041043257921912E-2</v>
      </c>
      <c r="GH83" s="1052">
        <f t="shared" ca="1" si="139"/>
        <v>8.0039464600418345E-2</v>
      </c>
      <c r="GI83" s="1052">
        <f t="shared" ca="1" si="139"/>
        <v>8.0037946665841797E-2</v>
      </c>
      <c r="GJ83" s="1052">
        <f t="shared" ca="1" si="139"/>
        <v>8.0036487118292921E-2</v>
      </c>
      <c r="GK83" s="1052">
        <f t="shared" ca="1" si="139"/>
        <v>8.0035083711744975E-2</v>
      </c>
      <c r="GL83" s="1052">
        <f t="shared" ca="1" si="139"/>
        <v>8.0033734286584959E-2</v>
      </c>
      <c r="GM83" s="1052">
        <f t="shared" ca="1" si="139"/>
        <v>8.0032436766287809E-2</v>
      </c>
      <c r="GN83" s="1052">
        <f t="shared" ca="1" si="139"/>
        <v>8.0031189154218765E-2</v>
      </c>
      <c r="GO83" s="1052">
        <f t="shared" ref="GO83:IQ83" ca="1" si="140">GO81/GN82</f>
        <v>8.0029989530558912E-2</v>
      </c>
      <c r="GP83" s="1052">
        <f t="shared" ca="1" si="140"/>
        <v>8.0028836049349045E-2</v>
      </c>
      <c r="GQ83" s="1052">
        <f t="shared" ca="1" si="140"/>
        <v>8.0027726935647275E-2</v>
      </c>
      <c r="GR83" s="1052">
        <f t="shared" ca="1" si="140"/>
        <v>8.0026660482796275E-2</v>
      </c>
      <c r="GS83" s="1052">
        <f t="shared" ca="1" si="140"/>
        <v>8.0025635049795596E-2</v>
      </c>
      <c r="GT83" s="1052">
        <f t="shared" ca="1" si="140"/>
        <v>8.0024649058775071E-2</v>
      </c>
      <c r="GU83" s="1052">
        <f t="shared" ca="1" si="140"/>
        <v>8.0023700992565824E-2</v>
      </c>
      <c r="GV83" s="1052">
        <f t="shared" ca="1" si="140"/>
        <v>8.002278939236436E-2</v>
      </c>
      <c r="GW83" s="1052">
        <f t="shared" ca="1" si="140"/>
        <v>8.0021912855486904E-2</v>
      </c>
      <c r="GX83" s="1052">
        <f t="shared" ca="1" si="140"/>
        <v>8.0021070033209851E-2</v>
      </c>
      <c r="GY83" s="1052">
        <f t="shared" ca="1" si="140"/>
        <v>8.0020259628693857E-2</v>
      </c>
      <c r="GZ83" s="1052">
        <f t="shared" ca="1" si="140"/>
        <v>8.0019480394987325E-2</v>
      </c>
      <c r="HA83" s="1052">
        <f t="shared" ca="1" si="140"/>
        <v>8.0018731133106979E-2</v>
      </c>
      <c r="HB83" s="1052">
        <f t="shared" ca="1" si="140"/>
        <v>8.0018010690192223E-2</v>
      </c>
      <c r="HC83" s="1052">
        <f t="shared" ca="1" si="140"/>
        <v>8.0017317957730774E-2</v>
      </c>
      <c r="HD83" s="1052">
        <f t="shared" ca="1" si="140"/>
        <v>8.0016651869852115E-2</v>
      </c>
      <c r="HE83" s="1052">
        <f t="shared" ca="1" si="140"/>
        <v>8.0016011401687209E-2</v>
      </c>
      <c r="HF83" s="1052">
        <f t="shared" ca="1" si="140"/>
        <v>8.0015395567790817E-2</v>
      </c>
      <c r="HG83" s="1052">
        <f t="shared" ca="1" si="140"/>
        <v>8.0014803420624864E-2</v>
      </c>
      <c r="HH83" s="1052">
        <f t="shared" ca="1" si="140"/>
        <v>8.0014234049100075E-2</v>
      </c>
      <c r="HI83" s="1052">
        <f t="shared" ca="1" si="140"/>
        <v>8.0013686577173629E-2</v>
      </c>
      <c r="HJ83" s="1052">
        <f t="shared" ca="1" si="140"/>
        <v>8.0013160162500957E-2</v>
      </c>
      <c r="HK83" s="1052">
        <f t="shared" ca="1" si="140"/>
        <v>8.0012653995139335E-2</v>
      </c>
      <c r="HL83" s="1052">
        <f t="shared" ca="1" si="140"/>
        <v>8.001216729630127E-2</v>
      </c>
      <c r="HM83" s="1052">
        <f t="shared" ca="1" si="140"/>
        <v>8.0011699317156085E-2</v>
      </c>
      <c r="HN83" s="1052">
        <f t="shared" ca="1" si="140"/>
        <v>8.0011249337677309E-2</v>
      </c>
      <c r="HO83" s="1052">
        <f t="shared" ca="1" si="140"/>
        <v>8.0010816665534765E-2</v>
      </c>
      <c r="HP83" s="1052">
        <f t="shared" ca="1" si="140"/>
        <v>8.0010400635028983E-2</v>
      </c>
      <c r="HQ83" s="1052">
        <f t="shared" ca="1" si="140"/>
        <v>8.0010000606066806E-2</v>
      </c>
      <c r="HR83" s="1052">
        <f t="shared" ca="1" si="140"/>
        <v>8.0009615963176295E-2</v>
      </c>
      <c r="HS83" s="1052">
        <f t="shared" ca="1" si="140"/>
        <v>8.0009246114559646E-2</v>
      </c>
      <c r="HT83" s="1052">
        <f t="shared" ca="1" si="140"/>
        <v>8.0008890491182455E-2</v>
      </c>
      <c r="HU83" s="1052">
        <f t="shared" ca="1" si="140"/>
        <v>8.000854854589802E-2</v>
      </c>
      <c r="HV83" s="1052">
        <f t="shared" ca="1" si="140"/>
        <v>8.0008219752605456E-2</v>
      </c>
      <c r="HW83" s="1052">
        <f t="shared" ca="1" si="140"/>
        <v>8.0007903605440037E-2</v>
      </c>
      <c r="HX83" s="1052">
        <f t="shared" ca="1" si="140"/>
        <v>8.0007599617994835E-2</v>
      </c>
      <c r="HY83" s="1052">
        <f t="shared" ca="1" si="140"/>
        <v>8.0007307322572163E-2</v>
      </c>
      <c r="HZ83" s="1052">
        <f t="shared" ca="1" si="140"/>
        <v>8.0007026269463918E-2</v>
      </c>
      <c r="IA83" s="1052">
        <f t="shared" ca="1" si="140"/>
        <v>8.000675602625959E-2</v>
      </c>
      <c r="IB83" s="1052">
        <f t="shared" ca="1" si="140"/>
        <v>8.0006496177180933E-2</v>
      </c>
      <c r="IC83" s="1052">
        <f t="shared" ca="1" si="140"/>
        <v>8.0006246322442048E-2</v>
      </c>
      <c r="ID83" s="1052">
        <f t="shared" ca="1" si="140"/>
        <v>8.000600607763439E-2</v>
      </c>
      <c r="IE83" s="1052">
        <f t="shared" ca="1" si="140"/>
        <v>8.0005775073135124E-2</v>
      </c>
      <c r="IF83" s="1052">
        <f t="shared" ca="1" si="140"/>
        <v>8.0005552953538464E-2</v>
      </c>
      <c r="IG83" s="1052">
        <f t="shared" ca="1" si="140"/>
        <v>8.000533937710877E-2</v>
      </c>
      <c r="IH83" s="1052">
        <f t="shared" ca="1" si="140"/>
        <v>8.000513401525472E-2</v>
      </c>
      <c r="II83" s="1052">
        <f t="shared" ca="1" si="140"/>
        <v>8.0004936552023773E-2</v>
      </c>
      <c r="IJ83" s="1052">
        <f t="shared" ca="1" si="140"/>
        <v>8.0004746683615888E-2</v>
      </c>
      <c r="IK83" s="1052">
        <f t="shared" ca="1" si="140"/>
        <v>8.0004564117916205E-2</v>
      </c>
      <c r="IL83" s="1052">
        <f t="shared" ca="1" si="140"/>
        <v>8.0004388574045529E-2</v>
      </c>
      <c r="IM83" s="1052">
        <f t="shared" ca="1" si="140"/>
        <v>8.0004219781928093E-2</v>
      </c>
      <c r="IN83" s="1052">
        <f t="shared" ca="1" si="140"/>
        <v>8.000405748187614E-2</v>
      </c>
      <c r="IO83" s="1052">
        <f t="shared" ca="1" si="140"/>
        <v>8.0003901424190241E-2</v>
      </c>
      <c r="IP83" s="1052">
        <f t="shared" ca="1" si="140"/>
        <v>8.0003751368775133E-2</v>
      </c>
      <c r="IQ83" s="1052">
        <f t="shared" ca="1" si="140"/>
        <v>8.0003607084770334E-2</v>
      </c>
      <c r="IR83" s="1052"/>
    </row>
    <row r="84" spans="2:254" s="960" customFormat="1" ht="11.85" customHeight="1">
      <c r="B84" s="958" t="s">
        <v>723</v>
      </c>
      <c r="C84" s="979">
        <f t="shared" ref="C84:BN84" si="141">IF(C98="E", C50, (B66-B77)/(1+B78)+C81-(C66-C77)/(1+C78))</f>
        <v>0</v>
      </c>
      <c r="D84" s="979">
        <f t="shared" si="141"/>
        <v>0</v>
      </c>
      <c r="E84" s="1050">
        <f t="shared" si="141"/>
        <v>0</v>
      </c>
      <c r="F84" s="979">
        <f t="shared" si="141"/>
        <v>0</v>
      </c>
      <c r="G84" s="979">
        <f t="shared" ca="1" si="141"/>
        <v>12.02411615747576</v>
      </c>
      <c r="H84" s="979">
        <f t="shared" ca="1" si="141"/>
        <v>116.1519148947101</v>
      </c>
      <c r="I84" s="979">
        <f t="shared" ca="1" si="141"/>
        <v>117.69622650724216</v>
      </c>
      <c r="J84" s="979">
        <f t="shared" ca="1" si="141"/>
        <v>118.56809643620841</v>
      </c>
      <c r="K84" s="979">
        <f t="shared" ca="1" si="141"/>
        <v>118.51826036320233</v>
      </c>
      <c r="L84" s="979">
        <f t="shared" ca="1" si="141"/>
        <v>117.21871776518765</v>
      </c>
      <c r="M84" s="979">
        <f t="shared" ca="1" si="141"/>
        <v>114.23222101985584</v>
      </c>
      <c r="N84" s="979">
        <f t="shared" ca="1" si="141"/>
        <v>108.96679193538216</v>
      </c>
      <c r="O84" s="979">
        <f t="shared" ca="1" si="141"/>
        <v>100.60627520923958</v>
      </c>
      <c r="P84" s="979">
        <f t="shared" ca="1" si="141"/>
        <v>88.00142770663183</v>
      </c>
      <c r="Q84" s="979">
        <f t="shared" ca="1" si="141"/>
        <v>69.493864763944657</v>
      </c>
      <c r="R84" s="979">
        <f t="shared" ca="1" si="141"/>
        <v>42.621418034181715</v>
      </c>
      <c r="S84" s="979">
        <f t="shared" ca="1" si="141"/>
        <v>3.6047437702591196</v>
      </c>
      <c r="T84" s="979">
        <f t="shared" ca="1" si="141"/>
        <v>-53.590719071373314</v>
      </c>
      <c r="U84" s="979">
        <f t="shared" ca="1" si="141"/>
        <v>-139.06897362940344</v>
      </c>
      <c r="V84" s="979">
        <f t="shared" ca="1" si="141"/>
        <v>-282.83880366027734</v>
      </c>
      <c r="W84" s="1051">
        <f t="shared" ca="1" si="141"/>
        <v>76.088070802422408</v>
      </c>
      <c r="X84" s="979">
        <f t="shared" ca="1" si="141"/>
        <v>342.4711254137319</v>
      </c>
      <c r="Y84" s="979">
        <f t="shared" ca="1" si="141"/>
        <v>350.95460815638489</v>
      </c>
      <c r="Z84" s="979">
        <f t="shared" ca="1" si="141"/>
        <v>359.78037134983879</v>
      </c>
      <c r="AA84" s="979">
        <f t="shared" ca="1" si="141"/>
        <v>368.96199457397233</v>
      </c>
      <c r="AB84" s="979">
        <f t="shared" ca="1" si="141"/>
        <v>378.51360472197575</v>
      </c>
      <c r="AC84" s="979">
        <f t="shared" ca="1" si="141"/>
        <v>388.44989775204158</v>
      </c>
      <c r="AD84" s="979">
        <f t="shared" ca="1" si="141"/>
        <v>398.78616131256695</v>
      </c>
      <c r="AE84" s="979">
        <f t="shared" ca="1" si="141"/>
        <v>409.5382982758847</v>
      </c>
      <c r="AF84" s="979">
        <f t="shared" ca="1" si="141"/>
        <v>420.72285121693585</v>
      </c>
      <c r="AG84" s="979">
        <f t="shared" ca="1" si="141"/>
        <v>432.35702787469381</v>
      </c>
      <c r="AH84" s="979">
        <f t="shared" ca="1" si="141"/>
        <v>444.4587276356915</v>
      </c>
      <c r="AI84" s="979">
        <f t="shared" ca="1" si="141"/>
        <v>457.04656908050129</v>
      </c>
      <c r="AJ84" s="979">
        <f t="shared" ca="1" si="141"/>
        <v>470.13991863568845</v>
      </c>
      <c r="AK84" s="979">
        <f t="shared" ca="1" si="141"/>
        <v>483.75892037541234</v>
      </c>
      <c r="AL84" s="979">
        <f t="shared" ca="1" si="141"/>
        <v>497.92452701863294</v>
      </c>
      <c r="AM84" s="979">
        <f t="shared" ca="1" si="141"/>
        <v>512.65853216967662</v>
      </c>
      <c r="AN84" s="979">
        <f t="shared" ca="1" si="141"/>
        <v>527.98360385187698</v>
      </c>
      <c r="AO84" s="979">
        <f t="shared" ca="1" si="141"/>
        <v>543.92331938589996</v>
      </c>
      <c r="AP84" s="979">
        <f t="shared" ca="1" si="141"/>
        <v>560.5022016665007</v>
      </c>
      <c r="AQ84" s="979">
        <f t="shared" ca="1" si="141"/>
        <v>577.74575689358971</v>
      </c>
      <c r="AR84" s="979">
        <f t="shared" ca="1" si="141"/>
        <v>595.68051381565419</v>
      </c>
      <c r="AS84" s="979">
        <f t="shared" ca="1" si="141"/>
        <v>614.33406454602846</v>
      </c>
      <c r="AT84" s="979">
        <f t="shared" ca="1" si="141"/>
        <v>633.73510701476152</v>
      </c>
      <c r="AU84" s="979">
        <f t="shared" ca="1" si="141"/>
        <v>653.91348912147623</v>
      </c>
      <c r="AV84" s="979">
        <f t="shared" ca="1" si="141"/>
        <v>674.9002546572101</v>
      </c>
      <c r="AW84" s="979">
        <f t="shared" ca="1" si="141"/>
        <v>696.72769106579472</v>
      </c>
      <c r="AX84" s="979">
        <f t="shared" ca="1" si="141"/>
        <v>719.42937911843546</v>
      </c>
      <c r="AY84" s="979">
        <f t="shared" ca="1" si="141"/>
        <v>743.04024457778905</v>
      </c>
      <c r="AZ84" s="979">
        <f t="shared" ca="1" si="141"/>
        <v>767.5966119311488</v>
      </c>
      <c r="BA84" s="979">
        <f t="shared" ca="1" si="141"/>
        <v>793.13626027535793</v>
      </c>
      <c r="BB84" s="979">
        <f t="shared" ca="1" si="141"/>
        <v>819.69848143944182</v>
      </c>
      <c r="BC84" s="979">
        <f t="shared" ca="1" si="141"/>
        <v>847.32414043450262</v>
      </c>
      <c r="BD84" s="979">
        <f t="shared" ca="1" si="141"/>
        <v>876.05573832365553</v>
      </c>
      <c r="BE84" s="979">
        <f t="shared" ca="1" si="141"/>
        <v>905.93747760902988</v>
      </c>
      <c r="BF84" s="979">
        <f t="shared" ca="1" si="141"/>
        <v>937.0153302361723</v>
      </c>
      <c r="BG84" s="979">
        <f t="shared" ca="1" si="141"/>
        <v>969.33710832069846</v>
      </c>
      <c r="BH84" s="979">
        <f t="shared" ca="1" si="141"/>
        <v>1002.9525377058126</v>
      </c>
      <c r="BI84" s="979">
        <f t="shared" ca="1" si="141"/>
        <v>1037.9133344641414</v>
      </c>
      <c r="BJ84" s="979">
        <f t="shared" ca="1" si="141"/>
        <v>1074.2732844611564</v>
      </c>
      <c r="BK84" s="979">
        <f t="shared" ca="1" si="141"/>
        <v>1112.0883261031413</v>
      </c>
      <c r="BL84" s="979">
        <f t="shared" ca="1" si="141"/>
        <v>1151.4166363964541</v>
      </c>
      <c r="BM84" s="979">
        <f t="shared" ca="1" si="141"/>
        <v>1192.3187204509595</v>
      </c>
      <c r="BN84" s="979">
        <f t="shared" ca="1" si="141"/>
        <v>1234.8575045650396</v>
      </c>
      <c r="BO84" s="979">
        <f t="shared" ref="BO84:DZ84" ca="1" si="142">IF(BO98="E", BO50, (BN66-BN77)/(1+BN78)+BO81-(BO66-BO77)/(1+BO78))</f>
        <v>1279.0984330354477</v>
      </c>
      <c r="BP84" s="979">
        <f t="shared" ca="1" si="142"/>
        <v>1325.1095688410824</v>
      </c>
      <c r="BQ84" s="979">
        <f t="shared" ca="1" si="142"/>
        <v>1372.9616983554151</v>
      </c>
      <c r="BR84" s="979">
        <f t="shared" ca="1" si="142"/>
        <v>1422.7284402487348</v>
      </c>
      <c r="BS84" s="979">
        <f t="shared" ca="1" si="142"/>
        <v>1474.4863587477812</v>
      </c>
      <c r="BT84" s="979">
        <f t="shared" ca="1" si="142"/>
        <v>1528.3150814269757</v>
      </c>
      <c r="BU84" s="979">
        <f t="shared" ca="1" si="142"/>
        <v>1584.2974217124938</v>
      </c>
      <c r="BV84" s="979">
        <f t="shared" ca="1" si="142"/>
        <v>1642.5195062876592</v>
      </c>
      <c r="BW84" s="979">
        <f t="shared" ca="1" si="142"/>
        <v>1703.0709075955383</v>
      </c>
      <c r="BX84" s="979">
        <f t="shared" ca="1" si="142"/>
        <v>1766.0447816428205</v>
      </c>
      <c r="BY84" s="979">
        <f t="shared" ca="1" si="142"/>
        <v>1831.5380113168358</v>
      </c>
      <c r="BZ84" s="979">
        <f t="shared" ca="1" si="142"/>
        <v>1899.6513554361736</v>
      </c>
      <c r="CA84" s="979">
        <f t="shared" ca="1" si="142"/>
        <v>1970.4896037643412</v>
      </c>
      <c r="CB84" s="979">
        <f t="shared" ca="1" si="142"/>
        <v>2044.1617382246986</v>
      </c>
      <c r="CC84" s="979">
        <f t="shared" ca="1" si="142"/>
        <v>2120.7811005652402</v>
      </c>
      <c r="CD84" s="979">
        <f t="shared" ca="1" si="142"/>
        <v>2200.4655667303086</v>
      </c>
      <c r="CE84" s="979">
        <f t="shared" ca="1" si="142"/>
        <v>2283.3377282083966</v>
      </c>
      <c r="CF84" s="979">
        <f t="shared" ca="1" si="142"/>
        <v>2369.5250806343611</v>
      </c>
      <c r="CG84" s="979">
        <f t="shared" ca="1" si="142"/>
        <v>2459.1602199366316</v>
      </c>
      <c r="CH84" s="979">
        <f t="shared" ca="1" si="142"/>
        <v>2552.3810463309856</v>
      </c>
      <c r="CI84" s="979">
        <f t="shared" ca="1" si="142"/>
        <v>2649.3309764746882</v>
      </c>
      <c r="CJ84" s="979">
        <f t="shared" ca="1" si="142"/>
        <v>2750.1591641075356</v>
      </c>
      <c r="CK84" s="979">
        <f t="shared" ca="1" si="142"/>
        <v>2855.0207295192813</v>
      </c>
      <c r="CL84" s="979">
        <f t="shared" ca="1" si="142"/>
        <v>2964.0769981960038</v>
      </c>
      <c r="CM84" s="979">
        <f t="shared" ca="1" si="142"/>
        <v>3077.4957490134257</v>
      </c>
      <c r="CN84" s="979">
        <f t="shared" ca="1" si="142"/>
        <v>3195.4514723581378</v>
      </c>
      <c r="CO84" s="979">
        <f t="shared" ca="1" si="142"/>
        <v>3318.1256385743764</v>
      </c>
      <c r="CP84" s="979">
        <f t="shared" ca="1" si="142"/>
        <v>3445.7069771491806</v>
      </c>
      <c r="CQ84" s="979">
        <f t="shared" ca="1" si="142"/>
        <v>3578.391767065521</v>
      </c>
      <c r="CR84" s="979">
        <f t="shared" ca="1" si="142"/>
        <v>3716.3841387698048</v>
      </c>
      <c r="CS84" s="979">
        <f t="shared" ca="1" si="142"/>
        <v>3859.8963882189128</v>
      </c>
      <c r="CT84" s="979">
        <f t="shared" ca="1" si="142"/>
        <v>4009.1493034893065</v>
      </c>
      <c r="CU84" s="979">
        <f t="shared" ca="1" si="142"/>
        <v>4164.3725044509338</v>
      </c>
      <c r="CV84" s="979">
        <f t="shared" ca="1" si="142"/>
        <v>4325.8047960286058</v>
      </c>
      <c r="CW84" s="979">
        <f t="shared" ca="1" si="142"/>
        <v>4493.6945355942153</v>
      </c>
      <c r="CX84" s="979">
        <f t="shared" ca="1" si="142"/>
        <v>4668.3000150550797</v>
      </c>
      <c r="CY84" s="979">
        <f t="shared" ca="1" si="142"/>
        <v>4849.8898582258989</v>
      </c>
      <c r="CZ84" s="979">
        <f t="shared" ca="1" si="142"/>
        <v>5038.7434340962936</v>
      </c>
      <c r="DA84" s="979">
        <f t="shared" ca="1" si="142"/>
        <v>5235.151286629407</v>
      </c>
      <c r="DB84" s="979">
        <f t="shared" ca="1" si="142"/>
        <v>5439.4155817522551</v>
      </c>
      <c r="DC84" s="979">
        <f t="shared" ca="1" si="142"/>
        <v>5651.8505722267728</v>
      </c>
      <c r="DD84" s="979">
        <f t="shared" ca="1" si="142"/>
        <v>5872.7830811151944</v>
      </c>
      <c r="DE84" s="979">
        <f t="shared" ca="1" si="142"/>
        <v>6102.5530045853229</v>
      </c>
      <c r="DF84" s="979">
        <f t="shared" ca="1" si="142"/>
        <v>6341.5138348270848</v>
      </c>
      <c r="DG84" s="979">
        <f t="shared" ca="1" si="142"/>
        <v>6590.0332038871129</v>
      </c>
      <c r="DH84" s="979">
        <f t="shared" ca="1" si="142"/>
        <v>6848.4934492562606</v>
      </c>
      <c r="DI84" s="979">
        <f t="shared" ca="1" si="142"/>
        <v>7117.2922020814149</v>
      </c>
      <c r="DJ84" s="979">
        <f t="shared" ca="1" si="142"/>
        <v>7396.8429989054275</v>
      </c>
      <c r="DK84" s="979">
        <f t="shared" ca="1" si="142"/>
        <v>7687.5759178772569</v>
      </c>
      <c r="DL84" s="979">
        <f t="shared" ca="1" si="142"/>
        <v>7989.93824041076</v>
      </c>
      <c r="DM84" s="979">
        <f t="shared" ca="1" si="142"/>
        <v>8304.3951393098396</v>
      </c>
      <c r="DN84" s="979">
        <f t="shared" ca="1" si="142"/>
        <v>8631.4303944190906</v>
      </c>
      <c r="DO84" s="979">
        <f t="shared" ca="1" si="142"/>
        <v>8971.547136900248</v>
      </c>
      <c r="DP84" s="979">
        <f t="shared" ca="1" si="142"/>
        <v>9325.268623280077</v>
      </c>
      <c r="DQ84" s="979">
        <f t="shared" ca="1" si="142"/>
        <v>9693.139040460781</v>
      </c>
      <c r="DR84" s="979">
        <f t="shared" ca="1" si="142"/>
        <v>10075.724342930538</v>
      </c>
      <c r="DS84" s="979">
        <f t="shared" ca="1" si="142"/>
        <v>10473.613123462186</v>
      </c>
      <c r="DT84" s="979">
        <f t="shared" ca="1" si="142"/>
        <v>10887.417518641218</v>
      </c>
      <c r="DU84" s="979">
        <f t="shared" ca="1" si="142"/>
        <v>11317.774150614103</v>
      </c>
      <c r="DV84" s="979">
        <f t="shared" ca="1" si="142"/>
        <v>11765.345106506895</v>
      </c>
      <c r="DW84" s="979">
        <f t="shared" ca="1" si="142"/>
        <v>12230.818957021052</v>
      </c>
      <c r="DX84" s="979">
        <f t="shared" ca="1" si="142"/>
        <v>12714.911815773055</v>
      </c>
      <c r="DY84" s="979">
        <f t="shared" ca="1" si="142"/>
        <v>13218.36844100646</v>
      </c>
      <c r="DZ84" s="979">
        <f t="shared" ca="1" si="142"/>
        <v>13741.963381376059</v>
      </c>
      <c r="EA84" s="979">
        <f t="shared" ref="EA84:GL84" ca="1" si="143">IF(EA98="E", EA50, (DZ66-DZ77)/(1+DZ78)+EA81-(EA66-EA77)/(1+EA78))</f>
        <v>14286.502167559054</v>
      </c>
      <c r="EB84" s="979">
        <f t="shared" ca="1" si="143"/>
        <v>14852.822551534453</v>
      </c>
      <c r="EC84" s="979">
        <f t="shared" ca="1" si="143"/>
        <v>15441.795795431186</v>
      </c>
      <c r="ED84" s="979">
        <f t="shared" ca="1" si="143"/>
        <v>16054.328011932259</v>
      </c>
      <c r="EE84" s="979">
        <f t="shared" ca="1" si="143"/>
        <v>16691.361558293924</v>
      </c>
      <c r="EF84" s="979">
        <f t="shared" ca="1" si="143"/>
        <v>17353.876486125868</v>
      </c>
      <c r="EG84" s="979">
        <f t="shared" ca="1" si="143"/>
        <v>18042.89204916358</v>
      </c>
      <c r="EH84" s="979">
        <f t="shared" ca="1" si="143"/>
        <v>18759.468271349324</v>
      </c>
      <c r="EI84" s="979">
        <f t="shared" ca="1" si="143"/>
        <v>19504.707577641297</v>
      </c>
      <c r="EJ84" s="979">
        <f t="shared" ca="1" si="143"/>
        <v>20279.756490048545</v>
      </c>
      <c r="EK84" s="979">
        <f t="shared" ca="1" si="143"/>
        <v>21085.807391513372</v>
      </c>
      <c r="EL84" s="979">
        <f t="shared" ca="1" si="143"/>
        <v>21924.100360346143</v>
      </c>
      <c r="EM84" s="979">
        <f t="shared" ca="1" si="143"/>
        <v>22795.925078036846</v>
      </c>
      <c r="EN84" s="979">
        <f t="shared" ca="1" si="143"/>
        <v>23702.622813381953</v>
      </c>
      <c r="EO84" s="979">
        <f t="shared" ca="1" si="143"/>
        <v>24645.588485974818</v>
      </c>
      <c r="EP84" s="979">
        <f t="shared" ca="1" si="143"/>
        <v>25626.272812234005</v>
      </c>
      <c r="EQ84" s="979">
        <f t="shared" ca="1" si="143"/>
        <v>26646.184537277557</v>
      </c>
      <c r="ER84" s="979">
        <f t="shared" ca="1" si="143"/>
        <v>27706.892756066984</v>
      </c>
      <c r="ES84" s="979">
        <f t="shared" ca="1" si="143"/>
        <v>28810.029327399796</v>
      </c>
      <c r="ET84" s="979">
        <f t="shared" ca="1" si="143"/>
        <v>29957.291384463548</v>
      </c>
      <c r="EU84" s="979">
        <f t="shared" ca="1" si="143"/>
        <v>31150.443945806939</v>
      </c>
      <c r="EV84" s="979">
        <f t="shared" ca="1" si="143"/>
        <v>32391.322630755138</v>
      </c>
      <c r="EW84" s="979">
        <f t="shared" ca="1" si="143"/>
        <v>33681.836483439663</v>
      </c>
      <c r="EX84" s="979">
        <f t="shared" ca="1" si="143"/>
        <v>35023.970909786527</v>
      </c>
      <c r="EY84" s="979">
        <f t="shared" ca="1" si="143"/>
        <v>36419.790731990593</v>
      </c>
      <c r="EZ84" s="979">
        <f t="shared" ca="1" si="143"/>
        <v>37871.443365163403</v>
      </c>
      <c r="FA84" s="979">
        <f t="shared" ca="1" si="143"/>
        <v>39381.162121047382</v>
      </c>
      <c r="FB84" s="979">
        <f t="shared" ca="1" si="143"/>
        <v>40951.269643883454</v>
      </c>
      <c r="FC84" s="979">
        <f t="shared" ca="1" si="143"/>
        <v>42584.181483705528</v>
      </c>
      <c r="FD84" s="979">
        <f t="shared" ca="1" si="143"/>
        <v>44282.40981257637</v>
      </c>
      <c r="FE84" s="979">
        <f t="shared" ca="1" si="143"/>
        <v>46048.567289461615</v>
      </c>
      <c r="FF84" s="979">
        <f t="shared" ca="1" si="143"/>
        <v>47885.37107971264</v>
      </c>
      <c r="FG84" s="979">
        <f t="shared" ca="1" si="143"/>
        <v>49795.647035311209</v>
      </c>
      <c r="FH84" s="979">
        <f t="shared" ca="1" si="143"/>
        <v>51782.334042346571</v>
      </c>
      <c r="FI84" s="979">
        <f t="shared" ca="1" si="143"/>
        <v>53848.488542365609</v>
      </c>
      <c r="FJ84" s="979">
        <f t="shared" ca="1" si="143"/>
        <v>55997.289234599331</v>
      </c>
      <c r="FK84" s="979">
        <f t="shared" ca="1" si="143"/>
        <v>58232.041966267163</v>
      </c>
      <c r="FL84" s="979">
        <f t="shared" ca="1" si="143"/>
        <v>60556.184818495298</v>
      </c>
      <c r="FM84" s="979">
        <f t="shared" ca="1" si="143"/>
        <v>62973.2933956692</v>
      </c>
      <c r="FN84" s="979">
        <f t="shared" ca="1" si="143"/>
        <v>65487.086326373043</v>
      </c>
      <c r="FO84" s="979">
        <f t="shared" ca="1" si="143"/>
        <v>68101.430984343402</v>
      </c>
      <c r="FP84" s="979">
        <f t="shared" ca="1" si="143"/>
        <v>70820.349438285688</v>
      </c>
      <c r="FQ84" s="979">
        <f t="shared" ca="1" si="143"/>
        <v>73648.024639667012</v>
      </c>
      <c r="FR84" s="979">
        <f t="shared" ca="1" si="143"/>
        <v>76588.806858028984</v>
      </c>
      <c r="FS84" s="979">
        <f t="shared" ca="1" si="143"/>
        <v>79647.220373707591</v>
      </c>
      <c r="FT84" s="979">
        <f t="shared" ca="1" si="143"/>
        <v>82827.970438263845</v>
      </c>
      <c r="FU84" s="979">
        <f t="shared" ca="1" si="143"/>
        <v>86135.950513337739</v>
      </c>
      <c r="FV84" s="979">
        <f t="shared" ca="1" si="143"/>
        <v>89576.249799042474</v>
      </c>
      <c r="FW84" s="979">
        <f t="shared" ca="1" si="143"/>
        <v>93154.161063511856</v>
      </c>
      <c r="FX84" s="979">
        <f t="shared" ca="1" si="143"/>
        <v>96875.188785613049</v>
      </c>
      <c r="FY84" s="979">
        <f t="shared" ca="1" si="143"/>
        <v>100745.0576233808</v>
      </c>
      <c r="FZ84" s="979">
        <f t="shared" ca="1" si="143"/>
        <v>104769.7212211797</v>
      </c>
      <c r="GA84" s="979">
        <f t="shared" ca="1" si="143"/>
        <v>108955.37136916211</v>
      </c>
      <c r="GB84" s="979">
        <f t="shared" ca="1" si="143"/>
        <v>113308.44752909383</v>
      </c>
      <c r="GC84" s="979">
        <f t="shared" ca="1" si="143"/>
        <v>117835.64674121793</v>
      </c>
      <c r="GD84" s="979">
        <f t="shared" ca="1" si="143"/>
        <v>122543.9339274019</v>
      </c>
      <c r="GE84" s="979">
        <f t="shared" ca="1" si="143"/>
        <v>127440.55260639498</v>
      </c>
      <c r="GF84" s="979">
        <f t="shared" ca="1" si="143"/>
        <v>132533.03603770118</v>
      </c>
      <c r="GG84" s="979">
        <f t="shared" ca="1" si="143"/>
        <v>137829.21881121537</v>
      </c>
      <c r="GH84" s="979">
        <f t="shared" ca="1" si="143"/>
        <v>143337.24890043354</v>
      </c>
      <c r="GI84" s="979">
        <f t="shared" ca="1" si="143"/>
        <v>149065.60019780323</v>
      </c>
      <c r="GJ84" s="979">
        <f t="shared" ca="1" si="143"/>
        <v>155023.08555147471</v>
      </c>
      <c r="GK84" s="979">
        <f t="shared" ca="1" si="143"/>
        <v>161218.87032352714</v>
      </c>
      <c r="GL84" s="979">
        <f t="shared" ca="1" si="143"/>
        <v>167662.48649053555</v>
      </c>
      <c r="GM84" s="979">
        <f t="shared" ref="GM84:IQ84" ca="1" si="144">IF(GM98="E", GM50, (GL66-GL77)/(1+GL78)+GM81-(GM66-GM77)/(1+GM78))</f>
        <v>174363.84730814118</v>
      </c>
      <c r="GN84" s="979">
        <f t="shared" ca="1" si="144"/>
        <v>181333.26256221719</v>
      </c>
      <c r="GO84" s="979">
        <f t="shared" ca="1" si="144"/>
        <v>188581.45443007722</v>
      </c>
      <c r="GP84" s="979">
        <f t="shared" ca="1" si="144"/>
        <v>196119.57397613116</v>
      </c>
      <c r="GQ84" s="979">
        <f t="shared" ca="1" si="144"/>
        <v>203959.2183073787</v>
      </c>
      <c r="GR84" s="979">
        <f t="shared" ca="1" si="144"/>
        <v>212112.44841509312</v>
      </c>
      <c r="GS84" s="979">
        <f t="shared" ca="1" si="144"/>
        <v>220591.80773021095</v>
      </c>
      <c r="GT84" s="979">
        <f t="shared" ca="1" si="144"/>
        <v>229410.34142091218</v>
      </c>
      <c r="GU84" s="979">
        <f t="shared" ca="1" si="144"/>
        <v>238581.61646209937</v>
      </c>
      <c r="GV84" s="979">
        <f t="shared" ca="1" si="144"/>
        <v>248119.74250769056</v>
      </c>
      <c r="GW84" s="979">
        <f t="shared" ca="1" si="144"/>
        <v>258039.3935977472</v>
      </c>
      <c r="GX84" s="979">
        <f t="shared" ca="1" si="144"/>
        <v>268355.83073395398</v>
      </c>
      <c r="GY84" s="979">
        <f t="shared" ca="1" si="144"/>
        <v>279084.92535805143</v>
      </c>
      <c r="GZ84" s="979">
        <f t="shared" ca="1" si="144"/>
        <v>290243.18376946822</v>
      </c>
      <c r="HA84" s="979">
        <f t="shared" ca="1" si="144"/>
        <v>301847.77251959872</v>
      </c>
      <c r="HB84" s="979">
        <f t="shared" ca="1" si="144"/>
        <v>313916.54482191522</v>
      </c>
      <c r="HC84" s="979">
        <f t="shared" ca="1" si="144"/>
        <v>326468.06801841035</v>
      </c>
      <c r="HD84" s="979">
        <f t="shared" ca="1" si="144"/>
        <v>339521.65214478038</v>
      </c>
      <c r="HE84" s="979">
        <f t="shared" ca="1" si="144"/>
        <v>353097.37963813357</v>
      </c>
      <c r="HF84" s="979">
        <f t="shared" ca="1" si="144"/>
        <v>367216.13623308577</v>
      </c>
      <c r="HG84" s="979">
        <f t="shared" ca="1" si="144"/>
        <v>381899.6430936195</v>
      </c>
      <c r="HH84" s="979">
        <f t="shared" ca="1" si="144"/>
        <v>397170.49023029208</v>
      </c>
      <c r="HI84" s="979">
        <f t="shared" ca="1" si="144"/>
        <v>413052.17125408538</v>
      </c>
      <c r="HJ84" s="979">
        <f t="shared" ca="1" si="144"/>
        <v>429569.11952042393</v>
      </c>
      <c r="HK84" s="979">
        <f t="shared" ca="1" si="144"/>
        <v>446746.74571893923</v>
      </c>
      <c r="HL84" s="979">
        <f t="shared" ca="1" si="144"/>
        <v>464611.47696685977</v>
      </c>
      <c r="HM84" s="979">
        <f t="shared" ca="1" si="144"/>
        <v>483190.79746612348</v>
      </c>
      <c r="HN84" s="979">
        <f t="shared" ca="1" si="144"/>
        <v>502513.29078670219</v>
      </c>
      <c r="HO84" s="979">
        <f t="shared" ca="1" si="144"/>
        <v>522608.68384141847</v>
      </c>
      <c r="HP84" s="979">
        <f t="shared" ca="1" si="144"/>
        <v>543507.89261957631</v>
      </c>
      <c r="HQ84" s="979">
        <f t="shared" ca="1" si="144"/>
        <v>565243.06975006685</v>
      </c>
      <c r="HR84" s="979">
        <f t="shared" ca="1" si="144"/>
        <v>587847.65396694094</v>
      </c>
      <c r="HS84" s="979">
        <f t="shared" ca="1" si="144"/>
        <v>611356.4215536043</v>
      </c>
      <c r="HT84" s="979">
        <f t="shared" ca="1" si="144"/>
        <v>635805.53984481096</v>
      </c>
      <c r="HU84" s="979">
        <f t="shared" ca="1" si="144"/>
        <v>661232.62286869437</v>
      </c>
      <c r="HV84" s="979">
        <f t="shared" ca="1" si="144"/>
        <v>687676.7892145291</v>
      </c>
      <c r="HW84" s="979">
        <f t="shared" ca="1" si="144"/>
        <v>715178.72221514583</v>
      </c>
      <c r="HX84" s="979">
        <f t="shared" ca="1" si="144"/>
        <v>743780.7325367108</v>
      </c>
      <c r="HY84" s="979">
        <f t="shared" ca="1" si="144"/>
        <v>773526.82327201962</v>
      </c>
      <c r="HZ84" s="979">
        <f t="shared" ca="1" si="144"/>
        <v>804462.75763758644</v>
      </c>
      <c r="IA84" s="979">
        <f t="shared" ca="1" si="144"/>
        <v>836636.12937859073</v>
      </c>
      <c r="IB84" s="979">
        <f t="shared" ca="1" si="144"/>
        <v>870096.43599002808</v>
      </c>
      <c r="IC84" s="979">
        <f t="shared" ca="1" si="144"/>
        <v>904895.1548666656</v>
      </c>
      <c r="ID84" s="979">
        <f t="shared" ca="1" si="144"/>
        <v>941085.82249908894</v>
      </c>
      <c r="IE84" s="979">
        <f t="shared" ca="1" si="144"/>
        <v>978724.11683753133</v>
      </c>
      <c r="IF84" s="979">
        <f t="shared" ca="1" si="144"/>
        <v>1017867.9429501668</v>
      </c>
      <c r="IG84" s="979">
        <f t="shared" ca="1" si="144"/>
        <v>1058577.5221079513</v>
      </c>
      <c r="IH84" s="979">
        <f t="shared" ca="1" si="144"/>
        <v>1100915.4844326675</v>
      </c>
      <c r="II84" s="979">
        <f t="shared" ca="1" si="144"/>
        <v>1144946.9652509689</v>
      </c>
      <c r="IJ84" s="979">
        <f t="shared" ca="1" si="144"/>
        <v>1190739.7053025775</v>
      </c>
      <c r="IK84" s="979">
        <f t="shared" ca="1" si="144"/>
        <v>1238364.154956799</v>
      </c>
      <c r="IL84" s="979">
        <f t="shared" ca="1" si="144"/>
        <v>1287893.5825977214</v>
      </c>
      <c r="IM84" s="979">
        <f t="shared" ca="1" si="144"/>
        <v>1339404.1873447821</v>
      </c>
      <c r="IN84" s="979">
        <f t="shared" ca="1" si="144"/>
        <v>1392975.2162822336</v>
      </c>
      <c r="IO84" s="979">
        <f t="shared" ca="1" si="144"/>
        <v>1448689.086377643</v>
      </c>
      <c r="IP84" s="979">
        <f t="shared" ca="1" si="144"/>
        <v>1506631.511277318</v>
      </c>
      <c r="IQ84" s="979">
        <f t="shared" ca="1" si="144"/>
        <v>1566891.633173421</v>
      </c>
      <c r="IR84" s="979">
        <f ca="1">IF(IR$97&gt;$I$20,((IQ66-IQ77)/(1+IQ78))+IR81-((IR66-IR77)/(1+IR78)),IR50)</f>
        <v>43994541.204947829</v>
      </c>
    </row>
    <row r="85" spans="2:254" s="960" customFormat="1" ht="11.85" customHeight="1">
      <c r="B85" s="958" t="s">
        <v>724</v>
      </c>
      <c r="C85" s="979">
        <f t="shared" ref="C85:BN85" si="145">C84/(1+$C$12)^C97</f>
        <v>0</v>
      </c>
      <c r="D85" s="979">
        <f t="shared" si="145"/>
        <v>0</v>
      </c>
      <c r="E85" s="1050">
        <f t="shared" si="145"/>
        <v>0</v>
      </c>
      <c r="F85" s="979">
        <f t="shared" si="145"/>
        <v>0</v>
      </c>
      <c r="G85" s="979">
        <f t="shared" ca="1" si="145"/>
        <v>9.4212096380384391</v>
      </c>
      <c r="H85" s="979">
        <f t="shared" ca="1" si="145"/>
        <v>86.674347243259916</v>
      </c>
      <c r="I85" s="979">
        <f t="shared" ca="1" si="145"/>
        <v>83.644510805462915</v>
      </c>
      <c r="J85" s="979">
        <f t="shared" ca="1" si="145"/>
        <v>80.251554748839155</v>
      </c>
      <c r="K85" s="979">
        <f t="shared" ca="1" si="145"/>
        <v>76.397927364742571</v>
      </c>
      <c r="L85" s="979">
        <f t="shared" ca="1" si="145"/>
        <v>71.96212439910235</v>
      </c>
      <c r="M85" s="979">
        <f t="shared" ca="1" si="145"/>
        <v>66.789213776654108</v>
      </c>
      <c r="N85" s="979">
        <f t="shared" ca="1" si="145"/>
        <v>60.676787088389517</v>
      </c>
      <c r="O85" s="979">
        <f t="shared" ca="1" si="145"/>
        <v>53.353655752356161</v>
      </c>
      <c r="P85" s="979">
        <f t="shared" ca="1" si="145"/>
        <v>44.446700952471673</v>
      </c>
      <c r="Q85" s="979">
        <f t="shared" ca="1" si="145"/>
        <v>33.42773716387898</v>
      </c>
      <c r="R85" s="979">
        <f t="shared" ca="1" si="145"/>
        <v>19.5253626850707</v>
      </c>
      <c r="S85" s="979">
        <f t="shared" ca="1" si="145"/>
        <v>1.5727377666499271</v>
      </c>
      <c r="T85" s="979">
        <f t="shared" ca="1" si="145"/>
        <v>-22.268050683356357</v>
      </c>
      <c r="U85" s="979">
        <f t="shared" ca="1" si="145"/>
        <v>-55.034315232608058</v>
      </c>
      <c r="V85" s="979">
        <f t="shared" ca="1" si="145"/>
        <v>-106.59897044794008</v>
      </c>
      <c r="W85" s="1051">
        <f t="shared" ca="1" si="145"/>
        <v>27.311232054789752</v>
      </c>
      <c r="X85" s="979">
        <f t="shared" ca="1" si="145"/>
        <v>117.07371007357456</v>
      </c>
      <c r="Y85" s="979">
        <f t="shared" ca="1" si="145"/>
        <v>114.26075005287242</v>
      </c>
      <c r="Z85" s="979">
        <f t="shared" ca="1" si="145"/>
        <v>111.55634790516039</v>
      </c>
      <c r="AA85" s="979">
        <f t="shared" ca="1" si="145"/>
        <v>108.95549964882869</v>
      </c>
      <c r="AB85" s="979">
        <f t="shared" ca="1" si="145"/>
        <v>106.45344438067673</v>
      </c>
      <c r="AC85" s="979">
        <f t="shared" ca="1" si="145"/>
        <v>104.04565212869855</v>
      </c>
      <c r="AD85" s="979">
        <f t="shared" ca="1" si="145"/>
        <v>101.72781233155114</v>
      </c>
      <c r="AE85" s="979">
        <f t="shared" ca="1" si="145"/>
        <v>99.495822911032789</v>
      </c>
      <c r="AF85" s="979">
        <f t="shared" ca="1" si="145"/>
        <v>97.345779905792824</v>
      </c>
      <c r="AG85" s="979">
        <f t="shared" ca="1" si="145"/>
        <v>95.273967636263194</v>
      </c>
      <c r="AH85" s="979">
        <f t="shared" ca="1" si="145"/>
        <v>93.276849372494524</v>
      </c>
      <c r="AI85" s="979">
        <f t="shared" ca="1" si="145"/>
        <v>91.351058478142548</v>
      </c>
      <c r="AJ85" s="979">
        <f t="shared" ca="1" si="145"/>
        <v>89.493390005356446</v>
      </c>
      <c r="AK85" s="979">
        <f t="shared" ca="1" si="145"/>
        <v>87.700792716713153</v>
      </c>
      <c r="AL85" s="979">
        <f t="shared" ca="1" si="145"/>
        <v>85.970361511671427</v>
      </c>
      <c r="AM85" s="979">
        <f t="shared" ca="1" si="145"/>
        <v>84.299330236257632</v>
      </c>
      <c r="AN85" s="979">
        <f t="shared" ca="1" si="145"/>
        <v>82.685064855880668</v>
      </c>
      <c r="AO85" s="979">
        <f t="shared" ca="1" si="145"/>
        <v>81.125056972262186</v>
      </c>
      <c r="AP85" s="979">
        <f t="shared" ca="1" si="145"/>
        <v>79.616917666526007</v>
      </c>
      <c r="AQ85" s="979">
        <f t="shared" ca="1" si="145"/>
        <v>78.158371651467036</v>
      </c>
      <c r="AR85" s="979">
        <f t="shared" ca="1" si="145"/>
        <v>76.747251716938479</v>
      </c>
      <c r="AS85" s="979">
        <f t="shared" ca="1" si="145"/>
        <v>75.3814934531852</v>
      </c>
      <c r="AT85" s="979">
        <f t="shared" ca="1" si="145"/>
        <v>74.059130237751873</v>
      </c>
      <c r="AU85" s="979">
        <f t="shared" ca="1" si="145"/>
        <v>72.778288472388212</v>
      </c>
      <c r="AV85" s="979">
        <f t="shared" ca="1" si="145"/>
        <v>71.537183057101757</v>
      </c>
      <c r="AW85" s="979">
        <f t="shared" ca="1" si="145"/>
        <v>70.334113089180221</v>
      </c>
      <c r="AX85" s="979">
        <f t="shared" ca="1" si="145"/>
        <v>69.167457775690053</v>
      </c>
      <c r="AY85" s="979">
        <f t="shared" ca="1" si="145"/>
        <v>68.035672548535032</v>
      </c>
      <c r="AZ85" s="979">
        <f t="shared" ca="1" si="145"/>
        <v>66.937285371768283</v>
      </c>
      <c r="BA85" s="979">
        <f t="shared" ca="1" si="145"/>
        <v>65.870893231378389</v>
      </c>
      <c r="BB85" s="979">
        <f t="shared" ca="1" si="145"/>
        <v>64.835158798294842</v>
      </c>
      <c r="BC85" s="979">
        <f t="shared" ca="1" si="145"/>
        <v>63.828807255853533</v>
      </c>
      <c r="BD85" s="979">
        <f t="shared" ca="1" si="145"/>
        <v>62.850623283396004</v>
      </c>
      <c r="BE85" s="979">
        <f t="shared" ca="1" si="145"/>
        <v>61.899448188154011</v>
      </c>
      <c r="BF85" s="979">
        <f t="shared" ca="1" si="145"/>
        <v>60.974177177937356</v>
      </c>
      <c r="BG85" s="979">
        <f t="shared" ca="1" si="145"/>
        <v>60.073756767569002</v>
      </c>
      <c r="BH85" s="979">
        <f t="shared" ca="1" si="145"/>
        <v>59.197182312349199</v>
      </c>
      <c r="BI85" s="979">
        <f t="shared" ca="1" si="145"/>
        <v>58.343495662208454</v>
      </c>
      <c r="BJ85" s="979">
        <f t="shared" ca="1" si="145"/>
        <v>57.511782930494604</v>
      </c>
      <c r="BK85" s="979">
        <f t="shared" ca="1" si="145"/>
        <v>56.701172371708324</v>
      </c>
      <c r="BL85" s="979">
        <f t="shared" ca="1" si="145"/>
        <v>55.910832362730986</v>
      </c>
      <c r="BM85" s="979">
        <f t="shared" ca="1" si="145"/>
        <v>55.13996948242476</v>
      </c>
      <c r="BN85" s="979">
        <f t="shared" ca="1" si="145"/>
        <v>54.387826684707122</v>
      </c>
      <c r="BO85" s="979">
        <f t="shared" ref="BO85:DZ85" ca="1" si="146">BO84/(1+$C$12)^BO97</f>
        <v>53.653681560468961</v>
      </c>
      <c r="BP85" s="979">
        <f t="shared" ca="1" si="146"/>
        <v>52.936844683945814</v>
      </c>
      <c r="BQ85" s="979">
        <f t="shared" ca="1" si="146"/>
        <v>52.236658039359938</v>
      </c>
      <c r="BR85" s="979">
        <f t="shared" ca="1" si="146"/>
        <v>51.552493523874553</v>
      </c>
      <c r="BS85" s="979">
        <f t="shared" ca="1" si="146"/>
        <v>50.883751523099257</v>
      </c>
      <c r="BT85" s="979">
        <f t="shared" ca="1" si="146"/>
        <v>50.229859555573455</v>
      </c>
      <c r="BU85" s="979">
        <f t="shared" ca="1" si="146"/>
        <v>49.5902709828366</v>
      </c>
      <c r="BV85" s="979">
        <f t="shared" ca="1" si="146"/>
        <v>48.964463781864588</v>
      </c>
      <c r="BW85" s="979">
        <f t="shared" ca="1" si="146"/>
        <v>48.351939376808708</v>
      </c>
      <c r="BX85" s="979">
        <f t="shared" ca="1" si="146"/>
        <v>47.752221527138339</v>
      </c>
      <c r="BY85" s="979">
        <f t="shared" ca="1" si="146"/>
        <v>47.164855269421601</v>
      </c>
      <c r="BZ85" s="979">
        <f t="shared" ca="1" si="146"/>
        <v>46.589405910120512</v>
      </c>
      <c r="CA85" s="979">
        <f t="shared" ca="1" si="146"/>
        <v>46.025458066912122</v>
      </c>
      <c r="CB85" s="979">
        <f t="shared" ca="1" si="146"/>
        <v>45.472614756161512</v>
      </c>
      <c r="CC85" s="979">
        <f t="shared" ca="1" si="146"/>
        <v>44.930496524308801</v>
      </c>
      <c r="CD85" s="979">
        <f t="shared" ca="1" si="146"/>
        <v>44.398740621011932</v>
      </c>
      <c r="CE85" s="979">
        <f t="shared" ca="1" si="146"/>
        <v>43.877000212032264</v>
      </c>
      <c r="CF85" s="979">
        <f t="shared" ca="1" si="146"/>
        <v>43.364943629916489</v>
      </c>
      <c r="CG85" s="979">
        <f t="shared" ca="1" si="146"/>
        <v>42.862253660646722</v>
      </c>
      <c r="CH85" s="979">
        <f t="shared" ca="1" si="146"/>
        <v>42.368626864508848</v>
      </c>
      <c r="CI85" s="979">
        <f t="shared" ca="1" si="146"/>
        <v>41.883772929518656</v>
      </c>
      <c r="CJ85" s="979">
        <f t="shared" ca="1" si="146"/>
        <v>41.407414055829946</v>
      </c>
      <c r="CK85" s="979">
        <f t="shared" ca="1" si="146"/>
        <v>40.939284369624133</v>
      </c>
      <c r="CL85" s="979">
        <f t="shared" ca="1" si="146"/>
        <v>40.479129365047392</v>
      </c>
      <c r="CM85" s="979">
        <f t="shared" ca="1" si="146"/>
        <v>40.026705372850998</v>
      </c>
      <c r="CN85" s="979">
        <f t="shared" ca="1" si="146"/>
        <v>39.581779054431642</v>
      </c>
      <c r="CO85" s="979">
        <f t="shared" ca="1" si="146"/>
        <v>39.144126920051747</v>
      </c>
      <c r="CP85" s="979">
        <f t="shared" ca="1" si="146"/>
        <v>38.713534870070539</v>
      </c>
      <c r="CQ85" s="979">
        <f t="shared" ca="1" si="146"/>
        <v>38.289797758075764</v>
      </c>
      <c r="CR85" s="979">
        <f t="shared" ca="1" si="146"/>
        <v>37.872718974857349</v>
      </c>
      <c r="CS85" s="979">
        <f t="shared" ca="1" si="146"/>
        <v>37.462110052224219</v>
      </c>
      <c r="CT85" s="979">
        <f t="shared" ca="1" si="146"/>
        <v>37.05779028570241</v>
      </c>
      <c r="CU85" s="979">
        <f t="shared" ca="1" si="146"/>
        <v>36.659586375207589</v>
      </c>
      <c r="CV85" s="979">
        <f t="shared" ca="1" si="146"/>
        <v>36.267332082828403</v>
      </c>
      <c r="CW85" s="979">
        <f t="shared" ca="1" si="146"/>
        <v>35.880867906896256</v>
      </c>
      <c r="CX85" s="979">
        <f t="shared" ca="1" si="146"/>
        <v>35.500040771559064</v>
      </c>
      <c r="CY85" s="979">
        <f t="shared" ca="1" si="146"/>
        <v>35.124703731111403</v>
      </c>
      <c r="CZ85" s="979">
        <f t="shared" ca="1" si="146"/>
        <v>34.75471568837736</v>
      </c>
      <c r="DA85" s="979">
        <f t="shared" ca="1" si="146"/>
        <v>34.389941126468329</v>
      </c>
      <c r="DB85" s="979">
        <f t="shared" ca="1" si="146"/>
        <v>34.030249853270838</v>
      </c>
      <c r="DC85" s="979">
        <f t="shared" ca="1" si="146"/>
        <v>33.675516758061846</v>
      </c>
      <c r="DD85" s="979">
        <f t="shared" ca="1" si="146"/>
        <v>33.325621579660307</v>
      </c>
      <c r="DE85" s="979">
        <f t="shared" ca="1" si="146"/>
        <v>32.980448685572583</v>
      </c>
      <c r="DF85" s="979">
        <f t="shared" ca="1" si="146"/>
        <v>32.639886861592529</v>
      </c>
      <c r="DG85" s="979">
        <f t="shared" ca="1" si="146"/>
        <v>32.30382911136828</v>
      </c>
      <c r="DH85" s="979">
        <f t="shared" ca="1" si="146"/>
        <v>31.972172465448924</v>
      </c>
      <c r="DI85" s="979">
        <f t="shared" ca="1" si="146"/>
        <v>31.644817799363555</v>
      </c>
      <c r="DJ85" s="979">
        <f t="shared" ca="1" si="146"/>
        <v>31.321669660295424</v>
      </c>
      <c r="DK85" s="979">
        <f t="shared" ca="1" si="146"/>
        <v>31.002636101944361</v>
      </c>
      <c r="DL85" s="979">
        <f t="shared" ca="1" si="146"/>
        <v>30.68762852718455</v>
      </c>
      <c r="DM85" s="979">
        <f t="shared" ca="1" si="146"/>
        <v>30.376561538143946</v>
      </c>
      <c r="DN85" s="979">
        <f t="shared" ca="1" si="146"/>
        <v>30.069352793352827</v>
      </c>
      <c r="DO85" s="979">
        <f t="shared" ca="1" si="146"/>
        <v>29.765922871621225</v>
      </c>
      <c r="DP85" s="979">
        <f t="shared" ca="1" si="146"/>
        <v>29.466195142326157</v>
      </c>
      <c r="DQ85" s="979">
        <f t="shared" ca="1" si="146"/>
        <v>29.170095641803382</v>
      </c>
      <c r="DR85" s="979">
        <f t="shared" ca="1" si="146"/>
        <v>28.877552955549437</v>
      </c>
      <c r="DS85" s="979">
        <f t="shared" ca="1" si="146"/>
        <v>28.588498105957147</v>
      </c>
      <c r="DT85" s="979">
        <f t="shared" ca="1" si="146"/>
        <v>28.3028644453255</v>
      </c>
      <c r="DU85" s="979">
        <f t="shared" ca="1" si="146"/>
        <v>28.020587553886127</v>
      </c>
      <c r="DV85" s="979">
        <f t="shared" ca="1" si="146"/>
        <v>27.741605142610737</v>
      </c>
      <c r="DW85" s="979">
        <f t="shared" ca="1" si="146"/>
        <v>27.465856960571816</v>
      </c>
      <c r="DX85" s="979">
        <f t="shared" ca="1" si="146"/>
        <v>27.1932847066386</v>
      </c>
      <c r="DY85" s="979">
        <f t="shared" ca="1" si="146"/>
        <v>26.923831945299472</v>
      </c>
      <c r="DZ85" s="979">
        <f t="shared" ca="1" si="146"/>
        <v>26.657444026424734</v>
      </c>
      <c r="EA85" s="979">
        <f t="shared" ref="EA85:GL85" ca="1" si="147">EA84/(1+$C$12)^EA97</f>
        <v>26.394068008765224</v>
      </c>
      <c r="EB85" s="979">
        <f t="shared" ca="1" si="147"/>
        <v>26.133652587026059</v>
      </c>
      <c r="EC85" s="979">
        <f t="shared" ca="1" si="147"/>
        <v>25.87614802233297</v>
      </c>
      <c r="ED85" s="979">
        <f t="shared" ca="1" si="147"/>
        <v>25.621506075938619</v>
      </c>
      <c r="EE85" s="979">
        <f t="shared" ca="1" si="147"/>
        <v>25.369679946008951</v>
      </c>
      <c r="EF85" s="979">
        <f t="shared" ca="1" si="147"/>
        <v>25.120624207345937</v>
      </c>
      <c r="EG85" s="979">
        <f t="shared" ca="1" si="147"/>
        <v>24.874294753907979</v>
      </c>
      <c r="EH85" s="979">
        <f t="shared" ca="1" si="147"/>
        <v>24.630648743990829</v>
      </c>
      <c r="EI85" s="979">
        <f t="shared" ca="1" si="147"/>
        <v>24.38964454795229</v>
      </c>
      <c r="EJ85" s="979">
        <f t="shared" ca="1" si="147"/>
        <v>24.151241698344929</v>
      </c>
      <c r="EK85" s="979">
        <f t="shared" ca="1" si="147"/>
        <v>23.915400842358906</v>
      </c>
      <c r="EL85" s="979">
        <f t="shared" ca="1" si="147"/>
        <v>23.682083696453955</v>
      </c>
      <c r="EM85" s="979">
        <f t="shared" ca="1" si="147"/>
        <v>23.451253003079891</v>
      </c>
      <c r="EN85" s="979">
        <f t="shared" ca="1" si="147"/>
        <v>23.22287248939039</v>
      </c>
      <c r="EO85" s="979">
        <f t="shared" ca="1" si="147"/>
        <v>22.996906827850541</v>
      </c>
      <c r="EP85" s="979">
        <f t="shared" ca="1" si="147"/>
        <v>22.773321598649243</v>
      </c>
      <c r="EQ85" s="979">
        <f t="shared" ca="1" si="147"/>
        <v>22.552083253836383</v>
      </c>
      <c r="ER85" s="979">
        <f t="shared" ca="1" si="147"/>
        <v>22.333159083094529</v>
      </c>
      <c r="ES85" s="979">
        <f t="shared" ca="1" si="147"/>
        <v>22.116517181074748</v>
      </c>
      <c r="ET85" s="979">
        <f t="shared" ca="1" si="147"/>
        <v>21.902126416221613</v>
      </c>
      <c r="EU85" s="979">
        <f t="shared" ca="1" si="147"/>
        <v>21.689956401011703</v>
      </c>
      <c r="EV85" s="979">
        <f t="shared" ca="1" si="147"/>
        <v>21.479977463546838</v>
      </c>
      <c r="EW85" s="979">
        <f t="shared" ca="1" si="147"/>
        <v>21.272160620432391</v>
      </c>
      <c r="EX85" s="979">
        <f t="shared" ca="1" si="147"/>
        <v>21.066477550879956</v>
      </c>
      <c r="EY85" s="979">
        <f t="shared" ca="1" si="147"/>
        <v>20.86290057198244</v>
      </c>
      <c r="EZ85" s="979">
        <f t="shared" ca="1" si="147"/>
        <v>20.66140261509884</v>
      </c>
      <c r="FA85" s="979">
        <f t="shared" ca="1" si="147"/>
        <v>20.461957203300194</v>
      </c>
      <c r="FB85" s="979">
        <f t="shared" ca="1" si="147"/>
        <v>20.264538429828864</v>
      </c>
      <c r="FC85" s="979">
        <f t="shared" ca="1" si="147"/>
        <v>20.069120937516843</v>
      </c>
      <c r="FD85" s="979">
        <f t="shared" ca="1" si="147"/>
        <v>19.875679899126837</v>
      </c>
      <c r="FE85" s="979">
        <f t="shared" ca="1" si="147"/>
        <v>19.684190998562528</v>
      </c>
      <c r="FF85" s="979">
        <f t="shared" ca="1" si="147"/>
        <v>19.494630412918927</v>
      </c>
      <c r="FG85" s="979">
        <f t="shared" ca="1" si="147"/>
        <v>19.30697479531938</v>
      </c>
      <c r="FH85" s="979">
        <f t="shared" ca="1" si="147"/>
        <v>19.121201258519296</v>
      </c>
      <c r="FI85" s="979">
        <f t="shared" ca="1" si="147"/>
        <v>18.937287359220992</v>
      </c>
      <c r="FJ85" s="979">
        <f t="shared" ca="1" si="147"/>
        <v>18.755211083085197</v>
      </c>
      <c r="FK85" s="979">
        <f t="shared" ca="1" si="147"/>
        <v>18.574950830393668</v>
      </c>
      <c r="FL85" s="979">
        <f t="shared" ca="1" si="147"/>
        <v>18.396485402337607</v>
      </c>
      <c r="FM85" s="979">
        <f t="shared" ca="1" si="147"/>
        <v>18.21979398790095</v>
      </c>
      <c r="FN85" s="979">
        <f t="shared" ca="1" si="147"/>
        <v>18.0448561513154</v>
      </c>
      <c r="FO85" s="979">
        <f t="shared" ca="1" si="147"/>
        <v>17.871651820049838</v>
      </c>
      <c r="FP85" s="979">
        <f t="shared" ca="1" si="147"/>
        <v>17.70016127332303</v>
      </c>
      <c r="FQ85" s="979">
        <f t="shared" ca="1" si="147"/>
        <v>17.53036513110365</v>
      </c>
      <c r="FR85" s="979">
        <f t="shared" ca="1" si="147"/>
        <v>17.362244343581676</v>
      </c>
      <c r="FS85" s="979">
        <f t="shared" ca="1" si="147"/>
        <v>17.195780181085667</v>
      </c>
      <c r="FT85" s="979">
        <f t="shared" ca="1" si="147"/>
        <v>17.030954224427123</v>
      </c>
      <c r="FU85" s="979">
        <f t="shared" ca="1" si="147"/>
        <v>16.867748355652651</v>
      </c>
      <c r="FV85" s="979">
        <f t="shared" ca="1" si="147"/>
        <v>16.706144749181139</v>
      </c>
      <c r="FW85" s="979">
        <f t="shared" ca="1" si="147"/>
        <v>16.546125863314209</v>
      </c>
      <c r="FX85" s="979">
        <f t="shared" ca="1" si="147"/>
        <v>16.387674432096198</v>
      </c>
      <c r="FY85" s="979">
        <f t="shared" ca="1" si="147"/>
        <v>16.230773457512921</v>
      </c>
      <c r="FZ85" s="979">
        <f t="shared" ca="1" si="147"/>
        <v>16.075406202009656</v>
      </c>
      <c r="GA85" s="979">
        <f t="shared" ca="1" si="147"/>
        <v>15.92155618131668</v>
      </c>
      <c r="GB85" s="979">
        <f t="shared" ca="1" si="147"/>
        <v>15.769207157565084</v>
      </c>
      <c r="GC85" s="979">
        <f t="shared" ca="1" si="147"/>
        <v>15.618343132681991</v>
      </c>
      <c r="GD85" s="979">
        <f t="shared" ca="1" si="147"/>
        <v>15.468948342052611</v>
      </c>
      <c r="GE85" s="979">
        <f t="shared" ca="1" si="147"/>
        <v>15.321007248433636</v>
      </c>
      <c r="GF85" s="979">
        <f t="shared" ca="1" si="147"/>
        <v>15.17450453610944</v>
      </c>
      <c r="GG85" s="979">
        <f t="shared" ca="1" si="147"/>
        <v>15.029425105280019</v>
      </c>
      <c r="GH85" s="979">
        <f t="shared" ca="1" si="147"/>
        <v>14.885754066667916</v>
      </c>
      <c r="GI85" s="979">
        <f t="shared" ca="1" si="147"/>
        <v>14.743476736336671</v>
      </c>
      <c r="GJ85" s="979">
        <f t="shared" ca="1" si="147"/>
        <v>14.602578630708567</v>
      </c>
      <c r="GK85" s="979">
        <f t="shared" ca="1" si="147"/>
        <v>14.463045461774493</v>
      </c>
      <c r="GL85" s="979">
        <f t="shared" ca="1" si="147"/>
        <v>14.324863132487806</v>
      </c>
      <c r="GM85" s="979">
        <f t="shared" ref="GM85:IQ85" ca="1" si="148">GM84/(1+$C$12)^GM97</f>
        <v>14.188017732330877</v>
      </c>
      <c r="GN85" s="979">
        <f t="shared" ca="1" si="148"/>
        <v>14.052495533049612</v>
      </c>
      <c r="GO85" s="979">
        <f t="shared" ca="1" si="148"/>
        <v>13.918282984546751</v>
      </c>
      <c r="GP85" s="979">
        <f t="shared" ca="1" si="148"/>
        <v>13.785366710927159</v>
      </c>
      <c r="GQ85" s="979">
        <f t="shared" ca="1" si="148"/>
        <v>13.653733506689075</v>
      </c>
      <c r="GR85" s="979">
        <f t="shared" ca="1" si="148"/>
        <v>13.523370333052046</v>
      </c>
      <c r="GS85" s="979">
        <f t="shared" ca="1" si="148"/>
        <v>13.394264314419971</v>
      </c>
      <c r="GT85" s="979">
        <f t="shared" ca="1" si="148"/>
        <v>13.266402734969036</v>
      </c>
      <c r="GU85" s="979">
        <f t="shared" ca="1" si="148"/>
        <v>13.139773035356404</v>
      </c>
      <c r="GV85" s="979">
        <f t="shared" ca="1" si="148"/>
        <v>13.01436280954651</v>
      </c>
      <c r="GW85" s="979">
        <f t="shared" ca="1" si="148"/>
        <v>12.89015980174463</v>
      </c>
      <c r="GX85" s="979">
        <f t="shared" ca="1" si="148"/>
        <v>12.767151903439704</v>
      </c>
      <c r="GY85" s="979">
        <f t="shared" ca="1" si="148"/>
        <v>12.64532715054461</v>
      </c>
      <c r="GZ85" s="979">
        <f t="shared" ca="1" si="148"/>
        <v>12.524673720636128</v>
      </c>
      <c r="HA85" s="979">
        <f t="shared" ca="1" si="148"/>
        <v>12.405179930284309</v>
      </c>
      <c r="HB85" s="979">
        <f t="shared" ca="1" si="148"/>
        <v>12.286834232473039</v>
      </c>
      <c r="HC85" s="979">
        <f t="shared" ca="1" si="148"/>
        <v>12.169625214101856</v>
      </c>
      <c r="HD85" s="979">
        <f t="shared" ca="1" si="148"/>
        <v>12.053541593571962</v>
      </c>
      <c r="HE85" s="979">
        <f t="shared" ca="1" si="148"/>
        <v>11.938572218446344</v>
      </c>
      <c r="HF85" s="979">
        <f t="shared" ca="1" si="148"/>
        <v>11.824706063186788</v>
      </c>
      <c r="HG85" s="979">
        <f t="shared" ca="1" si="148"/>
        <v>11.711932226958915</v>
      </c>
      <c r="HH85" s="979">
        <f t="shared" ca="1" si="148"/>
        <v>11.600239931507522</v>
      </c>
      <c r="HI85" s="979">
        <f t="shared" ca="1" si="148"/>
        <v>11.489618519095286</v>
      </c>
      <c r="HJ85" s="979">
        <f t="shared" ca="1" si="148"/>
        <v>11.380057450504154</v>
      </c>
      <c r="HK85" s="979">
        <f t="shared" ca="1" si="148"/>
        <v>11.271546303095841</v>
      </c>
      <c r="HL85" s="979">
        <f t="shared" ca="1" si="148"/>
        <v>11.164074768930409</v>
      </c>
      <c r="HM85" s="979">
        <f t="shared" ca="1" si="148"/>
        <v>11.057632652938995</v>
      </c>
      <c r="HN85" s="979">
        <f t="shared" ca="1" si="148"/>
        <v>10.952209871147405</v>
      </c>
      <c r="HO85" s="979">
        <f t="shared" ca="1" si="148"/>
        <v>10.847796448953526</v>
      </c>
      <c r="HP85" s="979">
        <f t="shared" ca="1" si="148"/>
        <v>10.744382519448948</v>
      </c>
      <c r="HQ85" s="979">
        <f t="shared" ca="1" si="148"/>
        <v>10.641958321789579</v>
      </c>
      <c r="HR85" s="979">
        <f t="shared" ca="1" si="148"/>
        <v>10.540514199609424</v>
      </c>
      <c r="HS85" s="979">
        <f t="shared" ca="1" si="148"/>
        <v>10.440040599476824</v>
      </c>
      <c r="HT85" s="979">
        <f t="shared" ca="1" si="148"/>
        <v>10.340528069392168</v>
      </c>
      <c r="HU85" s="979">
        <f t="shared" ca="1" si="148"/>
        <v>10.24196725732398</v>
      </c>
      <c r="HV85" s="979">
        <f t="shared" ca="1" si="148"/>
        <v>10.144348909783504</v>
      </c>
      <c r="HW85" s="979">
        <f t="shared" ca="1" si="148"/>
        <v>10.047663870434482</v>
      </c>
      <c r="HX85" s="979">
        <f t="shared" ca="1" si="148"/>
        <v>9.9519030787387237</v>
      </c>
      <c r="HY85" s="979">
        <f t="shared" ca="1" si="148"/>
        <v>9.8570575686338877</v>
      </c>
      <c r="HZ85" s="979">
        <f t="shared" ca="1" si="148"/>
        <v>9.7631184672442952</v>
      </c>
      <c r="IA85" s="979">
        <f t="shared" ca="1" si="148"/>
        <v>9.6700769936221445</v>
      </c>
      <c r="IB85" s="979">
        <f t="shared" ca="1" si="148"/>
        <v>9.5779244575185416</v>
      </c>
      <c r="IC85" s="979">
        <f t="shared" ca="1" si="148"/>
        <v>9.4866522581825574</v>
      </c>
      <c r="ID85" s="979">
        <f t="shared" ca="1" si="148"/>
        <v>9.39625188318883</v>
      </c>
      <c r="IE85" s="979">
        <f t="shared" ca="1" si="148"/>
        <v>9.3067149072908677</v>
      </c>
      <c r="IF85" s="979">
        <f t="shared" ca="1" si="148"/>
        <v>9.2180329912990508</v>
      </c>
      <c r="IG85" s="979">
        <f t="shared" ca="1" si="148"/>
        <v>9.1301978809851967</v>
      </c>
      <c r="IH85" s="979">
        <f t="shared" ca="1" si="148"/>
        <v>9.0432014060089774</v>
      </c>
      <c r="II85" s="979">
        <f t="shared" ca="1" si="148"/>
        <v>8.9570354788678195</v>
      </c>
      <c r="IJ85" s="979">
        <f t="shared" ca="1" si="148"/>
        <v>8.8716920938687149</v>
      </c>
      <c r="IK85" s="979">
        <f t="shared" ca="1" si="148"/>
        <v>8.7871633261211315</v>
      </c>
      <c r="IL85" s="979">
        <f t="shared" ca="1" si="148"/>
        <v>8.7034413305505307</v>
      </c>
      <c r="IM85" s="979">
        <f t="shared" ca="1" si="148"/>
        <v>8.6205183409313602</v>
      </c>
      <c r="IN85" s="979">
        <f t="shared" ca="1" si="148"/>
        <v>8.53838666893955</v>
      </c>
      <c r="IO85" s="979">
        <f t="shared" ca="1" si="148"/>
        <v>8.4570387032225458</v>
      </c>
      <c r="IP85" s="979">
        <f t="shared" ca="1" si="148"/>
        <v>8.3764669084882719</v>
      </c>
      <c r="IQ85" s="979">
        <f t="shared" ca="1" si="148"/>
        <v>8.2966638246104338</v>
      </c>
      <c r="IR85" s="1036">
        <f ca="1">+IR84/(1+$C$12)^IR97</f>
        <v>221.85745439154181</v>
      </c>
    </row>
    <row r="86" spans="2:254" s="960" customFormat="1" ht="11.85" customHeight="1">
      <c r="B86" s="958" t="s">
        <v>725</v>
      </c>
      <c r="C86" s="1053">
        <f>(C82-C32+C84)-($C$12*C32)</f>
        <v>123.14216544440521</v>
      </c>
      <c r="D86" s="1053">
        <f>(D82-C82+D84)-($C$12*C82)</f>
        <v>180.0595394144211</v>
      </c>
      <c r="E86" s="1053">
        <f t="shared" ref="E86:BP86" si="149">(E82-D82+E84)-($C$12*D82)</f>
        <v>345.05640093937694</v>
      </c>
      <c r="F86" s="1053">
        <f t="shared" si="149"/>
        <v>80.600680866607703</v>
      </c>
      <c r="G86" s="1053">
        <f t="shared" ca="1" si="149"/>
        <v>106.80863348768614</v>
      </c>
      <c r="H86" s="1053">
        <f t="shared" ca="1" si="149"/>
        <v>158.22581411211766</v>
      </c>
      <c r="I86" s="1053">
        <f t="shared" ca="1" si="149"/>
        <v>165.77538692621562</v>
      </c>
      <c r="J86" s="1053">
        <f t="shared" ca="1" si="149"/>
        <v>173.60051223633783</v>
      </c>
      <c r="K86" s="1053">
        <f t="shared" ca="1" si="149"/>
        <v>181.67978091887863</v>
      </c>
      <c r="L86" s="1053">
        <f t="shared" ca="1" si="149"/>
        <v>189.98819307051716</v>
      </c>
      <c r="M86" s="1053">
        <f t="shared" ca="1" si="149"/>
        <v>198.49715157496712</v>
      </c>
      <c r="N86" s="1053">
        <f t="shared" ca="1" si="149"/>
        <v>207.17450373507876</v>
      </c>
      <c r="O86" s="1053">
        <f t="shared" ca="1" si="149"/>
        <v>215.98463380026703</v>
      </c>
      <c r="P86" s="1053">
        <f t="shared" ca="1" si="149"/>
        <v>224.88860849436406</v>
      </c>
      <c r="Q86" s="1053">
        <f t="shared" ca="1" si="149"/>
        <v>233.84437682361295</v>
      </c>
      <c r="R86" s="1053">
        <f t="shared" ca="1" si="149"/>
        <v>242.80702453109143</v>
      </c>
      <c r="S86" s="1053">
        <f t="shared" ca="1" si="149"/>
        <v>251.72908257803221</v>
      </c>
      <c r="T86" s="1053">
        <f t="shared" ca="1" si="149"/>
        <v>260.5608879930312</v>
      </c>
      <c r="U86" s="1053">
        <f t="shared" ca="1" si="149"/>
        <v>269.25099435855151</v>
      </c>
      <c r="V86" s="1053">
        <f t="shared" ca="1" si="149"/>
        <v>277.74662812409224</v>
      </c>
      <c r="W86" s="1053">
        <f t="shared" ca="1" si="149"/>
        <v>283.18808231676644</v>
      </c>
      <c r="X86" s="1053">
        <f t="shared" ca="1" si="149"/>
        <v>296.49620622516511</v>
      </c>
      <c r="Y86" s="1053">
        <f t="shared" ca="1" si="149"/>
        <v>302.87748840789675</v>
      </c>
      <c r="Z86" s="1053">
        <f t="shared" ca="1" si="149"/>
        <v>309.51476868296669</v>
      </c>
      <c r="AA86" s="1053">
        <f t="shared" ca="1" si="149"/>
        <v>316.41825848423935</v>
      </c>
      <c r="AB86" s="1053">
        <f t="shared" ca="1" si="149"/>
        <v>323.59857877288971</v>
      </c>
      <c r="AC86" s="1053">
        <f t="shared" ca="1" si="149"/>
        <v>331.06677638019164</v>
      </c>
      <c r="AD86" s="1053">
        <f t="shared" ca="1" si="149"/>
        <v>338.83434100517593</v>
      </c>
      <c r="AE86" s="1053">
        <f t="shared" ca="1" si="149"/>
        <v>346.91322289334391</v>
      </c>
      <c r="AF86" s="1053">
        <f t="shared" ca="1" si="149"/>
        <v>355.31585122366442</v>
      </c>
      <c r="AG86" s="1053">
        <f t="shared" ca="1" si="149"/>
        <v>364.05515323217952</v>
      </c>
      <c r="AH86" s="1053">
        <f t="shared" ca="1" si="149"/>
        <v>373.14457410164363</v>
      </c>
      <c r="AI86" s="1053">
        <f t="shared" ca="1" si="149"/>
        <v>382.5980976478354</v>
      </c>
      <c r="AJ86" s="1053">
        <f t="shared" ca="1" si="149"/>
        <v>392.43026783437551</v>
      </c>
      <c r="AK86" s="1053">
        <f t="shared" ca="1" si="149"/>
        <v>402.65621114918531</v>
      </c>
      <c r="AL86" s="1053">
        <f t="shared" ca="1" si="149"/>
        <v>413.29165987698912</v>
      </c>
      <c r="AM86" s="1053">
        <f t="shared" ca="1" si="149"/>
        <v>424.35297630371969</v>
      </c>
      <c r="AN86" s="1053">
        <f t="shared" ca="1" si="149"/>
        <v>435.85717789005685</v>
      </c>
      <c r="AO86" s="1053">
        <f t="shared" ca="1" si="149"/>
        <v>447.82196345283518</v>
      </c>
      <c r="AP86" s="1053">
        <f t="shared" ca="1" si="149"/>
        <v>460.265740394614</v>
      </c>
      <c r="AQ86" s="1053">
        <f t="shared" ca="1" si="149"/>
        <v>473.20765302331904</v>
      </c>
      <c r="AR86" s="1053">
        <f t="shared" ca="1" si="149"/>
        <v>486.66761200550764</v>
      </c>
      <c r="AS86" s="1053">
        <f t="shared" ca="1" si="149"/>
        <v>500.66632499860771</v>
      </c>
      <c r="AT86" s="1053">
        <f t="shared" ca="1" si="149"/>
        <v>515.22532850924665</v>
      </c>
      <c r="AU86" s="1053">
        <f t="shared" ca="1" si="149"/>
        <v>530.36702102667459</v>
      </c>
      <c r="AV86" s="1053">
        <f t="shared" ca="1" si="149"/>
        <v>546.1146974822941</v>
      </c>
      <c r="AW86" s="1053">
        <f t="shared" ca="1" si="149"/>
        <v>562.49258508829143</v>
      </c>
      <c r="AX86" s="1053">
        <f t="shared" ca="1" si="149"/>
        <v>579.52588061051017</v>
      </c>
      <c r="AY86" s="1053">
        <f t="shared" ca="1" si="149"/>
        <v>597.24078913292703</v>
      </c>
      <c r="AZ86" s="1053">
        <f t="shared" ca="1" si="149"/>
        <v>615.6645643733591</v>
      </c>
      <c r="BA86" s="1053">
        <f t="shared" ca="1" si="149"/>
        <v>634.82555061242465</v>
      </c>
      <c r="BB86" s="1053">
        <f t="shared" ca="1" si="149"/>
        <v>654.75322630028836</v>
      </c>
      <c r="BC86" s="1053">
        <f t="shared" ca="1" si="149"/>
        <v>675.47824940825774</v>
      </c>
      <c r="BD86" s="1053">
        <f t="shared" ca="1" si="149"/>
        <v>697.03250459501214</v>
      </c>
      <c r="BE86" s="1053">
        <f t="shared" ca="1" si="149"/>
        <v>719.44915226003388</v>
      </c>
      <c r="BF86" s="1053">
        <f t="shared" ca="1" si="149"/>
        <v>742.76267955969809</v>
      </c>
      <c r="BG86" s="1053">
        <f t="shared" ca="1" si="149"/>
        <v>767.0089534645183</v>
      </c>
      <c r="BH86" s="1053">
        <f t="shared" ca="1" si="149"/>
        <v>792.22527593918608</v>
      </c>
      <c r="BI86" s="1053">
        <f t="shared" ca="1" si="149"/>
        <v>818.45044133027932</v>
      </c>
      <c r="BJ86" s="1053">
        <f t="shared" ca="1" si="149"/>
        <v>845.72479604990644</v>
      </c>
      <c r="BK86" s="1053">
        <f t="shared" ca="1" si="149"/>
        <v>874.09030064719491</v>
      </c>
      <c r="BL86" s="1053">
        <f t="shared" ca="1" si="149"/>
        <v>903.59059436300504</v>
      </c>
      <c r="BM86" s="1053">
        <f t="shared" ca="1" si="149"/>
        <v>934.27106226728347</v>
      </c>
      <c r="BN86" s="1053">
        <f t="shared" ca="1" si="149"/>
        <v>966.17890508226787</v>
      </c>
      <c r="BO86" s="1053">
        <f t="shared" ca="1" si="149"/>
        <v>999.36321179902643</v>
      </c>
      <c r="BP86" s="1053">
        <f t="shared" ca="1" si="149"/>
        <v>1033.8750351990147</v>
      </c>
      <c r="BQ86" s="1053">
        <f t="shared" ref="BQ86:EB86" ca="1" si="150">(BQ82-BP82+BQ84)-($C$12*BP82)</f>
        <v>1069.7674703968373</v>
      </c>
      <c r="BR86" s="1053">
        <f t="shared" ca="1" si="150"/>
        <v>1107.0957365250483</v>
      </c>
      <c r="BS86" s="1053">
        <f t="shared" ca="1" si="150"/>
        <v>1145.9172616867227</v>
      </c>
      <c r="BT86" s="1053">
        <f t="shared" ca="1" si="150"/>
        <v>1186.2917713063594</v>
      </c>
      <c r="BU86" s="1053">
        <f t="shared" ca="1" si="150"/>
        <v>1228.2813800151878</v>
      </c>
      <c r="BV86" s="1053">
        <f t="shared" ca="1" si="150"/>
        <v>1271.9506872121531</v>
      </c>
      <c r="BW86" s="1053">
        <f t="shared" ca="1" si="150"/>
        <v>1317.3668764476317</v>
      </c>
      <c r="BX86" s="1053">
        <f t="shared" ca="1" si="150"/>
        <v>1364.5998187827022</v>
      </c>
      <c r="BY86" s="1053">
        <f t="shared" ca="1" si="150"/>
        <v>1413.7221802831668</v>
      </c>
      <c r="BZ86" s="1053">
        <f t="shared" ca="1" si="150"/>
        <v>1464.8095338134467</v>
      </c>
      <c r="CA86" s="1053">
        <f t="shared" ca="1" si="150"/>
        <v>1517.9404753025688</v>
      </c>
      <c r="CB86" s="1053">
        <f t="shared" ca="1" si="150"/>
        <v>1573.1967446609683</v>
      </c>
      <c r="CC86" s="1053">
        <f t="shared" ca="1" si="150"/>
        <v>1630.6633515342373</v>
      </c>
      <c r="CD86" s="1053">
        <f t="shared" ca="1" si="150"/>
        <v>1690.4287060871493</v>
      </c>
      <c r="CE86" s="1053">
        <f t="shared" ca="1" si="150"/>
        <v>1752.5847550193394</v>
      </c>
      <c r="CF86" s="1053">
        <f t="shared" ca="1" si="150"/>
        <v>1817.2271230217671</v>
      </c>
      <c r="CG86" s="1053">
        <f t="shared" ca="1" si="150"/>
        <v>1884.4552598916048</v>
      </c>
      <c r="CH86" s="1053">
        <f t="shared" ca="1" si="150"/>
        <v>1954.3725935319676</v>
      </c>
      <c r="CI86" s="1053">
        <f t="shared" ca="1" si="150"/>
        <v>2027.0866890717307</v>
      </c>
      <c r="CJ86" s="1053">
        <f t="shared" ca="1" si="150"/>
        <v>2102.70941435036</v>
      </c>
      <c r="CK86" s="1053">
        <f t="shared" ca="1" si="150"/>
        <v>2181.3571120222919</v>
      </c>
      <c r="CL86" s="1053">
        <f t="shared" ca="1" si="150"/>
        <v>2263.1507785456238</v>
      </c>
      <c r="CM86" s="1053">
        <f t="shared" ca="1" si="150"/>
        <v>2348.2162503305171</v>
      </c>
      <c r="CN86" s="1053">
        <f t="shared" ca="1" si="150"/>
        <v>2436.684397333689</v>
      </c>
      <c r="CO86" s="1053">
        <f t="shared" ca="1" si="150"/>
        <v>2528.6913243967651</v>
      </c>
      <c r="CP86" s="1053">
        <f t="shared" ca="1" si="150"/>
        <v>2624.3785806384076</v>
      </c>
      <c r="CQ86" s="1053">
        <f t="shared" ca="1" si="150"/>
        <v>2723.8933772221399</v>
      </c>
      <c r="CR86" s="1053">
        <f t="shared" ca="1" si="150"/>
        <v>2827.3888138350785</v>
      </c>
      <c r="CS86" s="1053">
        <f t="shared" ca="1" si="150"/>
        <v>2935.0241142259119</v>
      </c>
      <c r="CT86" s="1053">
        <f t="shared" ca="1" si="150"/>
        <v>3046.9648711645505</v>
      </c>
      <c r="CU86" s="1053">
        <f t="shared" ca="1" si="150"/>
        <v>3163.3833012001705</v>
      </c>
      <c r="CV86" s="1053">
        <f t="shared" ca="1" si="150"/>
        <v>3284.458509609789</v>
      </c>
      <c r="CW86" s="1053">
        <f t="shared" ca="1" si="150"/>
        <v>3410.3767659448349</v>
      </c>
      <c r="CX86" s="1053">
        <f t="shared" ca="1" si="150"/>
        <v>3541.3317905997319</v>
      </c>
      <c r="CY86" s="1053">
        <f t="shared" ca="1" si="150"/>
        <v>3677.525052843188</v>
      </c>
      <c r="CZ86" s="1053">
        <f t="shared" ca="1" si="150"/>
        <v>3819.1660807709814</v>
      </c>
      <c r="DA86" s="1053">
        <f t="shared" ca="1" si="150"/>
        <v>3966.4727836569064</v>
      </c>
      <c r="DB86" s="1053">
        <f t="shared" ca="1" si="150"/>
        <v>4119.6717871977044</v>
      </c>
      <c r="DC86" s="1053">
        <f t="shared" ca="1" si="150"/>
        <v>4278.9987821681116</v>
      </c>
      <c r="DD86" s="1053">
        <f t="shared" ca="1" si="150"/>
        <v>4444.6988870218665</v>
      </c>
      <c r="DE86" s="1053">
        <f t="shared" ca="1" si="150"/>
        <v>4617.0270249972873</v>
      </c>
      <c r="DF86" s="1053">
        <f t="shared" ca="1" si="150"/>
        <v>4796.2483163066599</v>
      </c>
      <c r="DG86" s="1053">
        <f t="shared" ca="1" si="150"/>
        <v>4982.6384860135013</v>
      </c>
      <c r="DH86" s="1053">
        <f t="shared" ca="1" si="150"/>
        <v>5176.484288225085</v>
      </c>
      <c r="DI86" s="1053">
        <f t="shared" ca="1" si="150"/>
        <v>5378.0839472525495</v>
      </c>
      <c r="DJ86" s="1053">
        <f t="shared" ca="1" si="150"/>
        <v>5587.7476164174459</v>
      </c>
      <c r="DK86" s="1053">
        <f t="shared" ca="1" si="150"/>
        <v>5805.7978552108088</v>
      </c>
      <c r="DL86" s="1053">
        <f t="shared" ca="1" si="150"/>
        <v>6032.5701255384793</v>
      </c>
      <c r="DM86" s="1053">
        <f t="shared" ca="1" si="150"/>
        <v>6268.4133078163504</v>
      </c>
      <c r="DN86" s="1053">
        <f t="shared" ca="1" si="150"/>
        <v>6513.6902377094975</v>
      </c>
      <c r="DO86" s="1053">
        <f t="shared" ca="1" si="150"/>
        <v>6768.7782643408264</v>
      </c>
      <c r="DP86" s="1053">
        <f t="shared" ca="1" si="150"/>
        <v>7034.0698308282208</v>
      </c>
      <c r="DQ86" s="1053">
        <f t="shared" ca="1" si="150"/>
        <v>7309.9730780431946</v>
      </c>
      <c r="DR86" s="1053">
        <f t="shared" ca="1" si="150"/>
        <v>7596.9124725199454</v>
      </c>
      <c r="DS86" s="1053">
        <f t="shared" ca="1" si="150"/>
        <v>7895.3294594807812</v>
      </c>
      <c r="DT86" s="1053">
        <f t="shared" ca="1" si="150"/>
        <v>8205.6831419825139</v>
      </c>
      <c r="DU86" s="1053">
        <f t="shared" ca="1" si="150"/>
        <v>8528.4509872289782</v>
      </c>
      <c r="DV86" s="1053">
        <f t="shared" ca="1" si="150"/>
        <v>8864.1295611360219</v>
      </c>
      <c r="DW86" s="1053">
        <f t="shared" ca="1" si="150"/>
        <v>9213.2352922788177</v>
      </c>
      <c r="DX86" s="1053">
        <f t="shared" ca="1" si="150"/>
        <v>9576.3052663975905</v>
      </c>
      <c r="DY86" s="1053">
        <f t="shared" ca="1" si="150"/>
        <v>9953.8980526833639</v>
      </c>
      <c r="DZ86" s="1053">
        <f t="shared" ca="1" si="150"/>
        <v>10346.594563114966</v>
      </c>
      <c r="EA86" s="1053">
        <f t="shared" ca="1" si="150"/>
        <v>10754.998946170006</v>
      </c>
      <c r="EB86" s="1053">
        <f t="shared" ca="1" si="150"/>
        <v>11179.739516283978</v>
      </c>
      <c r="EC86" s="1053">
        <f t="shared" ref="EC86:GN86" ca="1" si="151">(EC82-EB82+EC84)-($C$12*EB82)</f>
        <v>11621.469720487828</v>
      </c>
      <c r="ED86" s="1053">
        <f t="shared" ca="1" si="151"/>
        <v>12080.869143711014</v>
      </c>
      <c r="EE86" s="1053">
        <f t="shared" ca="1" si="151"/>
        <v>12558.64455429704</v>
      </c>
      <c r="EF86" s="1053">
        <f t="shared" ca="1" si="151"/>
        <v>13055.530991339157</v>
      </c>
      <c r="EG86" s="1053">
        <f t="shared" ca="1" si="151"/>
        <v>13572.292895509654</v>
      </c>
      <c r="EH86" s="1053">
        <f t="shared" ca="1" si="151"/>
        <v>14109.725285122648</v>
      </c>
      <c r="EI86" s="1053">
        <f t="shared" ca="1" si="151"/>
        <v>14668.65497923908</v>
      </c>
      <c r="EJ86" s="1053">
        <f t="shared" ca="1" si="151"/>
        <v>15249.941869696144</v>
      </c>
      <c r="EK86" s="1053">
        <f t="shared" ca="1" si="151"/>
        <v>15854.480244017424</v>
      </c>
      <c r="EL86" s="1053">
        <f t="shared" ca="1" si="151"/>
        <v>16483.200161240591</v>
      </c>
      <c r="EM86" s="1053">
        <f t="shared" ca="1" si="151"/>
        <v>17137.068882776555</v>
      </c>
      <c r="EN86" s="1053">
        <f t="shared" ca="1" si="151"/>
        <v>17817.092360504768</v>
      </c>
      <c r="EO86" s="1053">
        <f t="shared" ca="1" si="151"/>
        <v>18524.316784390801</v>
      </c>
      <c r="EP86" s="1053">
        <f t="shared" ca="1" si="151"/>
        <v>19259.83019200998</v>
      </c>
      <c r="EQ86" s="1053">
        <f t="shared" ca="1" si="151"/>
        <v>20024.764142450796</v>
      </c>
      <c r="ER86" s="1053">
        <f t="shared" ca="1" si="151"/>
        <v>20820.295457175656</v>
      </c>
      <c r="ES86" s="1053">
        <f t="shared" ca="1" si="151"/>
        <v>21647.648030514902</v>
      </c>
      <c r="ET86" s="1053">
        <f t="shared" ca="1" si="151"/>
        <v>22508.094712581216</v>
      </c>
      <c r="EU86" s="1053">
        <f t="shared" ca="1" si="151"/>
        <v>23402.959267500912</v>
      </c>
      <c r="EV86" s="1053">
        <f t="shared" ca="1" si="151"/>
        <v>24333.618409973875</v>
      </c>
      <c r="EW86" s="1053">
        <f t="shared" ca="1" si="151"/>
        <v>25301.503923296288</v>
      </c>
      <c r="EX86" s="1053">
        <f t="shared" ca="1" si="151"/>
        <v>26308.104862103988</v>
      </c>
      <c r="EY86" s="1053">
        <f t="shared" ca="1" si="151"/>
        <v>27354.969843225757</v>
      </c>
      <c r="EZ86" s="1053">
        <f t="shared" ca="1" si="151"/>
        <v>28443.709428171234</v>
      </c>
      <c r="FA86" s="1053">
        <f t="shared" ca="1" si="151"/>
        <v>29575.998600917104</v>
      </c>
      <c r="FB86" s="1053">
        <f t="shared" ca="1" si="151"/>
        <v>30753.57934480629</v>
      </c>
      <c r="FC86" s="1053">
        <f t="shared" ca="1" si="151"/>
        <v>31978.26332252135</v>
      </c>
      <c r="FD86" s="1053">
        <f t="shared" ca="1" si="151"/>
        <v>33251.934663259155</v>
      </c>
      <c r="FE86" s="1053">
        <f t="shared" ca="1" si="151"/>
        <v>34576.552861389573</v>
      </c>
      <c r="FF86" s="1053">
        <f t="shared" ca="1" si="151"/>
        <v>35954.155791064222</v>
      </c>
      <c r="FG86" s="1053">
        <f t="shared" ca="1" si="151"/>
        <v>37386.862841404887</v>
      </c>
      <c r="FH86" s="1053">
        <f t="shared" ca="1" si="151"/>
        <v>38876.878177105296</v>
      </c>
      <c r="FI86" s="1053">
        <f t="shared" ca="1" si="151"/>
        <v>40426.494129450322</v>
      </c>
      <c r="FJ86" s="1053">
        <f t="shared" ca="1" si="151"/>
        <v>42038.094722982554</v>
      </c>
      <c r="FK86" s="1053">
        <f t="shared" ca="1" si="151"/>
        <v>43714.159343230218</v>
      </c>
      <c r="FL86" s="1053">
        <f t="shared" ca="1" si="151"/>
        <v>45457.266551147797</v>
      </c>
      <c r="FM86" s="1053">
        <f t="shared" ca="1" si="151"/>
        <v>47270.098050131986</v>
      </c>
      <c r="FN86" s="1053">
        <f t="shared" ca="1" si="151"/>
        <v>49155.442811719549</v>
      </c>
      <c r="FO86" s="1053">
        <f t="shared" ca="1" si="151"/>
        <v>51116.201366313151</v>
      </c>
      <c r="FP86" s="1053">
        <f t="shared" ca="1" si="151"/>
        <v>53155.390265534836</v>
      </c>
      <c r="FQ86" s="1053">
        <f t="shared" ca="1" si="151"/>
        <v>55276.146723076236</v>
      </c>
      <c r="FR86" s="1053">
        <f t="shared" ca="1" si="151"/>
        <v>57481.733441179502</v>
      </c>
      <c r="FS86" s="1053">
        <f t="shared" ca="1" si="151"/>
        <v>59775.543630179978</v>
      </c>
      <c r="FT86" s="1053">
        <f t="shared" ca="1" si="151"/>
        <v>62161.106228830235</v>
      </c>
      <c r="FU86" s="1053">
        <f t="shared" ca="1" si="151"/>
        <v>64642.091333436023</v>
      </c>
      <c r="FV86" s="1053">
        <f t="shared" ca="1" si="151"/>
        <v>67222.315844158176</v>
      </c>
      <c r="FW86" s="1053">
        <f t="shared" ca="1" si="151"/>
        <v>69905.749337166329</v>
      </c>
      <c r="FX86" s="1053">
        <f t="shared" ca="1" si="151"/>
        <v>72696.520171681623</v>
      </c>
      <c r="FY86" s="1053">
        <f t="shared" ca="1" si="151"/>
        <v>75598.921841294563</v>
      </c>
      <c r="FZ86" s="1053">
        <f t="shared" ca="1" si="151"/>
        <v>78617.419579344074</v>
      </c>
      <c r="GA86" s="1053">
        <f t="shared" ca="1" si="151"/>
        <v>81756.657228503202</v>
      </c>
      <c r="GB86" s="1053">
        <f t="shared" ca="1" si="151"/>
        <v>85021.464385155967</v>
      </c>
      <c r="GC86" s="1053">
        <f t="shared" ca="1" si="151"/>
        <v>88416.863829542417</v>
      </c>
      <c r="GD86" s="1053">
        <f t="shared" ca="1" si="151"/>
        <v>91948.079253116506</v>
      </c>
      <c r="GE86" s="1053">
        <f t="shared" ca="1" si="151"/>
        <v>95620.543294990726</v>
      </c>
      <c r="GF86" s="1053">
        <f t="shared" ca="1" si="151"/>
        <v>99439.905899845646</v>
      </c>
      <c r="GG86" s="1053">
        <f t="shared" ca="1" si="151"/>
        <v>103412.04301014921</v>
      </c>
      <c r="GH86" s="1053">
        <f t="shared" ca="1" si="151"/>
        <v>107543.06560607205</v>
      </c>
      <c r="GI86" s="1053">
        <f t="shared" ca="1" si="151"/>
        <v>111839.3291069917</v>
      </c>
      <c r="GJ86" s="1053">
        <f t="shared" ca="1" si="151"/>
        <v>116307.44314906409</v>
      </c>
      <c r="GK86" s="1053">
        <f t="shared" ca="1" si="151"/>
        <v>120954.28175389252</v>
      </c>
      <c r="GL86" s="1053">
        <f t="shared" ca="1" si="151"/>
        <v>125786.99390394447</v>
      </c>
      <c r="GM86" s="1053">
        <f t="shared" ca="1" si="151"/>
        <v>130813.01454099131</v>
      </c>
      <c r="GN86" s="1053">
        <f t="shared" ca="1" si="151"/>
        <v>136040.07600447352</v>
      </c>
      <c r="GO86" s="1053">
        <f t="shared" ref="GO86:IR86" ca="1" si="152">(GO82-GN82+GO84)-($C$12*GN82)</f>
        <v>141476.21992741263</v>
      </c>
      <c r="GP86" s="1053">
        <f t="shared" ca="1" si="152"/>
        <v>147129.80960814984</v>
      </c>
      <c r="GQ86" s="1053">
        <f t="shared" ca="1" si="152"/>
        <v>153009.54287696508</v>
      </c>
      <c r="GR86" s="1053">
        <f t="shared" ca="1" si="152"/>
        <v>159124.46547734825</v>
      </c>
      <c r="GS86" s="1053">
        <f t="shared" ca="1" si="152"/>
        <v>165483.98498253064</v>
      </c>
      <c r="GT86" s="1053">
        <f t="shared" ca="1" si="152"/>
        <v>172097.88526867342</v>
      </c>
      <c r="GU86" s="1053">
        <f t="shared" ca="1" si="152"/>
        <v>178976.34156698687</v>
      </c>
      <c r="GV86" s="1053">
        <f t="shared" ca="1" si="152"/>
        <v>186129.93611793028</v>
      </c>
      <c r="GW86" s="1053">
        <f t="shared" ca="1" si="152"/>
        <v>193569.67445158178</v>
      </c>
      <c r="GX86" s="1053">
        <f t="shared" ca="1" si="152"/>
        <v>201307.00231922237</v>
      </c>
      <c r="GY86" s="1053">
        <f t="shared" ca="1" si="152"/>
        <v>209353.82330218877</v>
      </c>
      <c r="GZ86" s="1053">
        <f t="shared" ca="1" si="152"/>
        <v>217722.51712506928</v>
      </c>
      <c r="HA86" s="1053">
        <f t="shared" ca="1" si="152"/>
        <v>226425.95870143792</v>
      </c>
      <c r="HB86" s="1053">
        <f t="shared" ca="1" si="152"/>
        <v>235477.53794141288</v>
      </c>
      <c r="HC86" s="1053">
        <f t="shared" ca="1" si="152"/>
        <v>244891.18035151483</v>
      </c>
      <c r="HD86" s="1053">
        <f t="shared" ca="1" si="152"/>
        <v>254681.36845853121</v>
      </c>
      <c r="HE86" s="1053">
        <f t="shared" ca="1" si="152"/>
        <v>264863.16409031651</v>
      </c>
      <c r="HF86" s="1053">
        <f t="shared" ca="1" si="152"/>
        <v>275452.23154784646</v>
      </c>
      <c r="HG86" s="1053">
        <f t="shared" ca="1" si="152"/>
        <v>286464.86170412833</v>
      </c>
      <c r="HH86" s="1053">
        <f t="shared" ca="1" si="152"/>
        <v>297917.99706709641</v>
      </c>
      <c r="HI86" s="1053">
        <f t="shared" ca="1" si="152"/>
        <v>309829.2578450024</v>
      </c>
      <c r="HJ86" s="1053">
        <f t="shared" ca="1" si="152"/>
        <v>322216.96905442839</v>
      </c>
      <c r="HK86" s="1053">
        <f t="shared" ca="1" si="152"/>
        <v>335100.1887126161</v>
      </c>
      <c r="HL86" s="1053">
        <f t="shared" ca="1" si="152"/>
        <v>348498.73715750384</v>
      </c>
      <c r="HM86" s="1053">
        <f t="shared" ca="1" si="152"/>
        <v>362433.22754054645</v>
      </c>
      <c r="HN86" s="1053">
        <f t="shared" ca="1" si="152"/>
        <v>376925.09753925318</v>
      </c>
      <c r="HO86" s="1053">
        <f t="shared" ca="1" si="152"/>
        <v>391996.64233824052</v>
      </c>
      <c r="HP86" s="1053">
        <f t="shared" ca="1" si="152"/>
        <v>407671.04892950319</v>
      </c>
      <c r="HQ86" s="1053">
        <f t="shared" ca="1" si="152"/>
        <v>423972.43178472365</v>
      </c>
      <c r="HR86" s="1053">
        <f t="shared" ca="1" si="152"/>
        <v>440925.86995444633</v>
      </c>
      <c r="HS86" s="1053">
        <f t="shared" ca="1" si="152"/>
        <v>458557.44565124076</v>
      </c>
      <c r="HT86" s="1053">
        <f t="shared" ca="1" si="152"/>
        <v>476894.28437618015</v>
      </c>
      <c r="HU86" s="1053">
        <f t="shared" ca="1" si="152"/>
        <v>495964.59665037831</v>
      </c>
      <c r="HV86" s="1053">
        <f t="shared" ca="1" si="152"/>
        <v>515797.72141579515</v>
      </c>
      <c r="HW86" s="1053">
        <f t="shared" ca="1" si="152"/>
        <v>536424.17117206787</v>
      </c>
      <c r="HX86" s="1053">
        <f t="shared" ca="1" si="152"/>
        <v>557875.67891882779</v>
      </c>
      <c r="HY86" s="1053">
        <f t="shared" ca="1" si="152"/>
        <v>580185.24697567895</v>
      </c>
      <c r="HZ86" s="1053">
        <f t="shared" ca="1" si="152"/>
        <v>603387.19775502058</v>
      </c>
      <c r="IA86" s="1053">
        <f t="shared" ca="1" si="152"/>
        <v>627517.22656574112</v>
      </c>
      <c r="IB86" s="1053">
        <f t="shared" ca="1" si="152"/>
        <v>652612.45652908995</v>
      </c>
      <c r="IC86" s="1053">
        <f t="shared" ca="1" si="152"/>
        <v>678711.49569116184</v>
      </c>
      <c r="ID86" s="1053">
        <f t="shared" ca="1" si="152"/>
        <v>705854.49641990243</v>
      </c>
      <c r="IE86" s="1053">
        <f t="shared" ca="1" si="152"/>
        <v>734083.21717797127</v>
      </c>
      <c r="IF86" s="1053">
        <f t="shared" ca="1" si="152"/>
        <v>763441.08676652936</v>
      </c>
      <c r="IG86" s="1053">
        <f t="shared" ca="1" si="152"/>
        <v>793973.27113879262</v>
      </c>
      <c r="IH86" s="1053">
        <f t="shared" ca="1" si="152"/>
        <v>825726.74288610392</v>
      </c>
      <c r="II86" s="1053">
        <f t="shared" ca="1" si="152"/>
        <v>858750.35350345937</v>
      </c>
      <c r="IJ86" s="1053">
        <f t="shared" ca="1" si="152"/>
        <v>893094.9085456538</v>
      </c>
      <c r="IK86" s="1053">
        <f t="shared" ca="1" si="152"/>
        <v>928813.24578967853</v>
      </c>
      <c r="IL86" s="1053">
        <f t="shared" ca="1" si="152"/>
        <v>965960.31652359222</v>
      </c>
      <c r="IM86" s="1053">
        <f t="shared" ca="1" si="152"/>
        <v>1004593.2700869937</v>
      </c>
      <c r="IN86" s="1053">
        <f t="shared" ca="1" si="152"/>
        <v>1044771.5417930633</v>
      </c>
      <c r="IO86" s="1053">
        <f t="shared" ca="1" si="152"/>
        <v>1086556.9443674847</v>
      </c>
      <c r="IP86" s="1053">
        <f t="shared" ca="1" si="152"/>
        <v>1130013.7630450013</v>
      </c>
      <c r="IQ86" s="1053">
        <f t="shared" ca="1" si="152"/>
        <v>1175208.8544697317</v>
      </c>
      <c r="IR86" s="1053">
        <f t="shared" ca="1" si="152"/>
        <v>1222074.9670304901</v>
      </c>
    </row>
    <row r="87" spans="2:254" s="960" customFormat="1" ht="11.85" customHeight="1">
      <c r="B87" s="958" t="s">
        <v>726</v>
      </c>
      <c r="C87" s="979">
        <f t="shared" ref="C87:BN87" si="153">C86/(1+$C$12)^C$97</f>
        <v>117.27825280419543</v>
      </c>
      <c r="D87" s="979">
        <f t="shared" si="153"/>
        <v>163.31931012645904</v>
      </c>
      <c r="E87" s="1050">
        <f t="shared" si="153"/>
        <v>298.0726927453855</v>
      </c>
      <c r="F87" s="979">
        <f t="shared" si="153"/>
        <v>66.310379618868851</v>
      </c>
      <c r="G87" s="979">
        <f t="shared" ca="1" si="153"/>
        <v>83.687359142341393</v>
      </c>
      <c r="H87" s="979">
        <f t="shared" ca="1" si="153"/>
        <v>118.07053863582721</v>
      </c>
      <c r="I87" s="979">
        <f t="shared" ca="1" si="153"/>
        <v>117.81347248355846</v>
      </c>
      <c r="J87" s="979">
        <f t="shared" ca="1" si="153"/>
        <v>117.4996599498962</v>
      </c>
      <c r="K87" s="979">
        <f t="shared" ca="1" si="153"/>
        <v>117.11240667680521</v>
      </c>
      <c r="L87" s="979">
        <f t="shared" ca="1" si="153"/>
        <v>116.63626974225113</v>
      </c>
      <c r="M87" s="979">
        <f t="shared" ca="1" si="153"/>
        <v>116.05717346853459</v>
      </c>
      <c r="N87" s="979">
        <f t="shared" ca="1" si="153"/>
        <v>115.36251577205842</v>
      </c>
      <c r="O87" s="979">
        <f t="shared" ca="1" si="153"/>
        <v>114.54126271558698</v>
      </c>
      <c r="P87" s="979">
        <f t="shared" ca="1" si="153"/>
        <v>113.58402914425911</v>
      </c>
      <c r="Q87" s="979">
        <f t="shared" ca="1" si="153"/>
        <v>112.48314354458563</v>
      </c>
      <c r="R87" s="979">
        <f t="shared" ca="1" si="153"/>
        <v>111.23269555814154</v>
      </c>
      <c r="S87" s="979">
        <f t="shared" ca="1" si="153"/>
        <v>109.82856490411541</v>
      </c>
      <c r="T87" s="979">
        <f t="shared" ca="1" si="153"/>
        <v>108.26843081171725</v>
      </c>
      <c r="U87" s="979">
        <f t="shared" ca="1" si="153"/>
        <v>106.55176142817746</v>
      </c>
      <c r="V87" s="979">
        <f t="shared" ca="1" si="153"/>
        <v>104.67978304340873</v>
      </c>
      <c r="W87" s="1051">
        <f t="shared" ca="1" si="153"/>
        <v>101.64819990491698</v>
      </c>
      <c r="X87" s="979">
        <f t="shared" ca="1" si="153"/>
        <v>101.35718987574515</v>
      </c>
      <c r="Y87" s="979">
        <f t="shared" ca="1" si="153"/>
        <v>98.60821939740886</v>
      </c>
      <c r="Z87" s="979">
        <f t="shared" ca="1" si="153"/>
        <v>95.970597527145344</v>
      </c>
      <c r="AA87" s="979">
        <f t="shared" ca="1" si="153"/>
        <v>93.439188746174807</v>
      </c>
      <c r="AB87" s="979">
        <f t="shared" ca="1" si="153"/>
        <v>91.009102122943744</v>
      </c>
      <c r="AC87" s="979">
        <f t="shared" ca="1" si="153"/>
        <v>88.675679530261931</v>
      </c>
      <c r="AD87" s="979">
        <f t="shared" ca="1" si="153"/>
        <v>86.434484435990186</v>
      </c>
      <c r="AE87" s="979">
        <f t="shared" ca="1" si="153"/>
        <v>84.281291238945073</v>
      </c>
      <c r="AF87" s="979">
        <f t="shared" ca="1" si="153"/>
        <v>82.212075123115952</v>
      </c>
      <c r="AG87" s="979">
        <f t="shared" ca="1" si="153"/>
        <v>80.223002404646806</v>
      </c>
      <c r="AH87" s="979">
        <f t="shared" ca="1" si="153"/>
        <v>78.310421347315256</v>
      </c>
      <c r="AI87" s="979">
        <f t="shared" ca="1" si="153"/>
        <v>76.47085342346702</v>
      </c>
      <c r="AJ87" s="979">
        <f t="shared" ca="1" si="153"/>
        <v>74.700984998516347</v>
      </c>
      <c r="AK87" s="979">
        <f t="shared" ca="1" si="153"/>
        <v>72.997659418223364</v>
      </c>
      <c r="AL87" s="979">
        <f t="shared" ca="1" si="153"/>
        <v>71.357869478990125</v>
      </c>
      <c r="AM87" s="979">
        <f t="shared" ca="1" si="153"/>
        <v>69.778750262418825</v>
      </c>
      <c r="AN87" s="979">
        <f t="shared" ca="1" si="153"/>
        <v>68.257572316300539</v>
      </c>
      <c r="AO87" s="979">
        <f t="shared" ca="1" si="153"/>
        <v>66.791735165093442</v>
      </c>
      <c r="AP87" s="979">
        <f t="shared" ca="1" si="153"/>
        <v>65.378761133795493</v>
      </c>
      <c r="AQ87" s="979">
        <f t="shared" ca="1" si="153"/>
        <v>64.016289469914739</v>
      </c>
      <c r="AR87" s="979">
        <f t="shared" ca="1" si="153"/>
        <v>62.702070748997016</v>
      </c>
      <c r="AS87" s="979">
        <f t="shared" ca="1" si="153"/>
        <v>61.433961549897305</v>
      </c>
      <c r="AT87" s="979">
        <f t="shared" ca="1" si="153"/>
        <v>60.209919386659443</v>
      </c>
      <c r="AU87" s="979">
        <f t="shared" ca="1" si="153"/>
        <v>59.027997884518349</v>
      </c>
      <c r="AV87" s="979">
        <f t="shared" ca="1" si="153"/>
        <v>57.886342188161528</v>
      </c>
      <c r="AW87" s="979">
        <f t="shared" ca="1" si="153"/>
        <v>56.783184590964076</v>
      </c>
      <c r="AX87" s="979">
        <f t="shared" ca="1" si="153"/>
        <v>55.716840374471566</v>
      </c>
      <c r="AY87" s="979">
        <f t="shared" ca="1" si="153"/>
        <v>54.685703847932743</v>
      </c>
      <c r="AZ87" s="979">
        <f t="shared" ca="1" si="153"/>
        <v>53.68824457818404</v>
      </c>
      <c r="BA87" s="979">
        <f t="shared" ca="1" si="153"/>
        <v>52.723003800663861</v>
      </c>
      <c r="BB87" s="979">
        <f t="shared" ca="1" si="153"/>
        <v>51.788591002789722</v>
      </c>
      <c r="BC87" s="979">
        <f t="shared" ca="1" si="153"/>
        <v>50.883680671356714</v>
      </c>
      <c r="BD87" s="979">
        <f t="shared" ca="1" si="153"/>
        <v>50.007009196026814</v>
      </c>
      <c r="BE87" s="979">
        <f t="shared" ca="1" si="153"/>
        <v>49.157371921366028</v>
      </c>
      <c r="BF87" s="979">
        <f t="shared" ca="1" si="153"/>
        <v>48.333620340253638</v>
      </c>
      <c r="BG87" s="979">
        <f t="shared" ca="1" si="153"/>
        <v>47.534659421839478</v>
      </c>
      <c r="BH87" s="979">
        <f t="shared" ca="1" si="153"/>
        <v>46.75944506755831</v>
      </c>
      <c r="BI87" s="979">
        <f t="shared" ca="1" si="153"/>
        <v>46.006981689024151</v>
      </c>
      <c r="BJ87" s="979">
        <f t="shared" ca="1" si="153"/>
        <v>45.276319901928765</v>
      </c>
      <c r="BK87" s="979">
        <f t="shared" ca="1" si="153"/>
        <v>44.566554330360177</v>
      </c>
      <c r="BL87" s="979">
        <f t="shared" ca="1" si="153"/>
        <v>43.876821516217248</v>
      </c>
      <c r="BM87" s="979">
        <f t="shared" ca="1" si="153"/>
        <v>43.206297928666487</v>
      </c>
      <c r="BN87" s="979">
        <f t="shared" ca="1" si="153"/>
        <v>42.554198068824043</v>
      </c>
      <c r="BO87" s="979">
        <f t="shared" ref="BO87:DZ87" ca="1" si="154">BO86/(1+$C$12)^BO$97</f>
        <v>41.919772665085034</v>
      </c>
      <c r="BP87" s="979">
        <f t="shared" ca="1" si="154"/>
        <v>41.302306954741283</v>
      </c>
      <c r="BQ87" s="979">
        <f t="shared" ca="1" si="154"/>
        <v>40.701119047739745</v>
      </c>
      <c r="BR87" s="979">
        <f t="shared" ca="1" si="154"/>
        <v>40.115558368636073</v>
      </c>
      <c r="BS87" s="979">
        <f t="shared" ca="1" si="154"/>
        <v>39.545004172989778</v>
      </c>
      <c r="BT87" s="979">
        <f t="shared" ca="1" si="154"/>
        <v>38.98886413462251</v>
      </c>
      <c r="BU87" s="979">
        <f t="shared" ca="1" si="154"/>
        <v>38.446573000343669</v>
      </c>
      <c r="BV87" s="979">
        <f t="shared" ca="1" si="154"/>
        <v>37.917591308903397</v>
      </c>
      <c r="BW87" s="979">
        <f t="shared" ca="1" si="154"/>
        <v>37.401404171093489</v>
      </c>
      <c r="BX87" s="979">
        <f t="shared" ca="1" si="154"/>
        <v>36.897520108062281</v>
      </c>
      <c r="BY87" s="979">
        <f t="shared" ca="1" si="154"/>
        <v>36.405469945058186</v>
      </c>
      <c r="BZ87" s="979">
        <f t="shared" ca="1" si="154"/>
        <v>35.924805757938472</v>
      </c>
      <c r="CA87" s="979">
        <f t="shared" ca="1" si="154"/>
        <v>35.455099869921639</v>
      </c>
      <c r="CB87" s="979">
        <f t="shared" ca="1" si="154"/>
        <v>34.99594389617328</v>
      </c>
      <c r="CC87" s="979">
        <f t="shared" ca="1" si="154"/>
        <v>34.546947833936976</v>
      </c>
      <c r="CD87" s="979">
        <f t="shared" ca="1" si="154"/>
        <v>34.107739196027474</v>
      </c>
      <c r="CE87" s="979">
        <f t="shared" ca="1" si="154"/>
        <v>33.677962185613964</v>
      </c>
      <c r="CF87" s="979">
        <f t="shared" ca="1" si="154"/>
        <v>33.257276910315348</v>
      </c>
      <c r="CG87" s="979">
        <f t="shared" ca="1" si="154"/>
        <v>32.845358633727109</v>
      </c>
      <c r="CH87" s="979">
        <f t="shared" ca="1" si="154"/>
        <v>32.441897062591082</v>
      </c>
      <c r="CI87" s="979">
        <f t="shared" ca="1" si="154"/>
        <v>32.04659566790118</v>
      </c>
      <c r="CJ87" s="979">
        <f t="shared" ca="1" si="154"/>
        <v>31.659171038324878</v>
      </c>
      <c r="CK87" s="979">
        <f t="shared" ca="1" si="154"/>
        <v>31.279352264394671</v>
      </c>
      <c r="CL87" s="979">
        <f t="shared" ca="1" si="154"/>
        <v>30.906880351998922</v>
      </c>
      <c r="CM87" s="979">
        <f t="shared" ca="1" si="154"/>
        <v>30.541507663772407</v>
      </c>
      <c r="CN87" s="979">
        <f t="shared" ca="1" si="154"/>
        <v>30.182997387053831</v>
      </c>
      <c r="CO87" s="979">
        <f t="shared" ca="1" si="154"/>
        <v>29.831123027140308</v>
      </c>
      <c r="CP87" s="979">
        <f t="shared" ca="1" si="154"/>
        <v>29.48566792463285</v>
      </c>
      <c r="CQ87" s="979">
        <f t="shared" ca="1" si="154"/>
        <v>29.146424795719692</v>
      </c>
      <c r="CR87" s="979">
        <f t="shared" ca="1" si="154"/>
        <v>28.813195294304812</v>
      </c>
      <c r="CS87" s="979">
        <f t="shared" ca="1" si="154"/>
        <v>28.485789594937469</v>
      </c>
      <c r="CT87" s="979">
        <f t="shared" ca="1" si="154"/>
        <v>28.164025995551043</v>
      </c>
      <c r="CU87" s="979">
        <f t="shared" ca="1" si="154"/>
        <v>27.847730539064063</v>
      </c>
      <c r="CV87" s="979">
        <f t="shared" ca="1" si="154"/>
        <v>27.536736652945851</v>
      </c>
      <c r="CW87" s="979">
        <f t="shared" ca="1" si="154"/>
        <v>27.230884805888049</v>
      </c>
      <c r="CX87" s="979">
        <f t="shared" ca="1" si="154"/>
        <v>26.930022180767114</v>
      </c>
      <c r="CY87" s="979">
        <f t="shared" ca="1" si="154"/>
        <v>26.634002363119272</v>
      </c>
      <c r="CZ87" s="979">
        <f t="shared" ca="1" si="154"/>
        <v>26.342685044390624</v>
      </c>
      <c r="DA87" s="979">
        <f t="shared" ca="1" si="154"/>
        <v>26.055935739256149</v>
      </c>
      <c r="DB87" s="979">
        <f t="shared" ca="1" si="154"/>
        <v>25.773625516336576</v>
      </c>
      <c r="DC87" s="979">
        <f t="shared" ca="1" si="154"/>
        <v>25.495630741676791</v>
      </c>
      <c r="DD87" s="979">
        <f t="shared" ca="1" si="154"/>
        <v>25.221832834374126</v>
      </c>
      <c r="DE87" s="979">
        <f t="shared" ca="1" si="154"/>
        <v>24.952118033782153</v>
      </c>
      <c r="DF87" s="979">
        <f t="shared" ca="1" si="154"/>
        <v>24.68637717773294</v>
      </c>
      <c r="DG87" s="979">
        <f t="shared" ca="1" si="154"/>
        <v>24.424505491257023</v>
      </c>
      <c r="DH87" s="979">
        <f t="shared" ca="1" si="154"/>
        <v>24.166402385300163</v>
      </c>
      <c r="DI87" s="979">
        <f t="shared" ca="1" si="154"/>
        <v>23.911971264959188</v>
      </c>
      <c r="DJ87" s="979">
        <f t="shared" ca="1" si="154"/>
        <v>23.66111934678473</v>
      </c>
      <c r="DK87" s="979">
        <f t="shared" ca="1" si="154"/>
        <v>23.413757484719728</v>
      </c>
      <c r="DL87" s="979">
        <f t="shared" ca="1" si="154"/>
        <v>23.169800004261198</v>
      </c>
      <c r="DM87" s="979">
        <f t="shared" ca="1" si="154"/>
        <v>22.929164544454544</v>
      </c>
      <c r="DN87" s="979">
        <f t="shared" ca="1" si="154"/>
        <v>22.691771907347576</v>
      </c>
      <c r="DO87" s="979">
        <f t="shared" ca="1" si="154"/>
        <v>22.457545914548696</v>
      </c>
      <c r="DP87" s="979">
        <f t="shared" ca="1" si="154"/>
        <v>22.226413270551895</v>
      </c>
      <c r="DQ87" s="979">
        <f t="shared" ca="1" si="154"/>
        <v>21.998303432506159</v>
      </c>
      <c r="DR87" s="979">
        <f t="shared" ca="1" si="154"/>
        <v>21.773148486122803</v>
      </c>
      <c r="DS87" s="979">
        <f t="shared" ca="1" si="154"/>
        <v>21.550883027428533</v>
      </c>
      <c r="DT87" s="979">
        <f t="shared" ca="1" si="154"/>
        <v>21.331444050086226</v>
      </c>
      <c r="DU87" s="979">
        <f t="shared" ca="1" si="154"/>
        <v>21.114770838019375</v>
      </c>
      <c r="DV87" s="979">
        <f t="shared" ca="1" si="154"/>
        <v>20.900804863087235</v>
      </c>
      <c r="DW87" s="979">
        <f t="shared" ca="1" si="154"/>
        <v>20.689489687569949</v>
      </c>
      <c r="DX87" s="979">
        <f t="shared" ca="1" si="154"/>
        <v>20.480770871237027</v>
      </c>
      <c r="DY87" s="979">
        <f t="shared" ca="1" si="154"/>
        <v>20.274595882779387</v>
      </c>
      <c r="DZ87" s="979">
        <f t="shared" ca="1" si="154"/>
        <v>20.07091401539806</v>
      </c>
      <c r="EA87" s="979">
        <f t="shared" ref="EA87:GL87" ca="1" si="155">EA86/(1+$C$12)^EA$97</f>
        <v>19.869676306353039</v>
      </c>
      <c r="EB87" s="979">
        <f t="shared" ca="1" si="155"/>
        <v>19.670835460282817</v>
      </c>
      <c r="EC87" s="979">
        <f t="shared" ca="1" si="155"/>
        <v>19.474345776116159</v>
      </c>
      <c r="ED87" s="979">
        <f t="shared" ca="1" si="155"/>
        <v>19.280163077405369</v>
      </c>
      <c r="EE87" s="979">
        <f t="shared" ca="1" si="155"/>
        <v>19.088244645919115</v>
      </c>
      <c r="EF87" s="979">
        <f t="shared" ca="1" si="155"/>
        <v>18.898549158338803</v>
      </c>
      <c r="EG87" s="979">
        <f t="shared" ca="1" si="155"/>
        <v>18.711036625912119</v>
      </c>
      <c r="EH87" s="979">
        <f t="shared" ca="1" si="155"/>
        <v>18.525668336923744</v>
      </c>
      <c r="EI87" s="979">
        <f t="shared" ca="1" si="155"/>
        <v>18.342406801848394</v>
      </c>
      <c r="EJ87" s="979">
        <f t="shared" ca="1" si="155"/>
        <v>18.161215701059934</v>
      </c>
      <c r="EK87" s="979">
        <f t="shared" ca="1" si="155"/>
        <v>17.982059834974308</v>
      </c>
      <c r="EL87" s="979">
        <f t="shared" ca="1" si="155"/>
        <v>17.804905076512792</v>
      </c>
      <c r="EM87" s="979">
        <f t="shared" ca="1" si="155"/>
        <v>17.629718325772394</v>
      </c>
      <c r="EN87" s="979">
        <f t="shared" ca="1" si="155"/>
        <v>17.456467466802543</v>
      </c>
      <c r="EO87" s="979">
        <f t="shared" ca="1" si="155"/>
        <v>17.285121326384647</v>
      </c>
      <c r="EP87" s="979">
        <f t="shared" ca="1" si="155"/>
        <v>17.115649634722718</v>
      </c>
      <c r="EQ87" s="979">
        <f t="shared" ca="1" si="155"/>
        <v>16.948022987951877</v>
      </c>
      <c r="ER87" s="979">
        <f t="shared" ca="1" si="155"/>
        <v>16.782212812381022</v>
      </c>
      <c r="ES87" s="979">
        <f t="shared" ca="1" si="155"/>
        <v>16.618191330385308</v>
      </c>
      <c r="ET87" s="979">
        <f t="shared" ca="1" si="155"/>
        <v>16.455931527872036</v>
      </c>
      <c r="EU87" s="979">
        <f t="shared" ca="1" si="155"/>
        <v>16.295407123245035</v>
      </c>
      <c r="EV87" s="979">
        <f t="shared" ca="1" si="155"/>
        <v>16.136592537796037</v>
      </c>
      <c r="EW87" s="979">
        <f t="shared" ca="1" si="155"/>
        <v>15.9794628674563</v>
      </c>
      <c r="EX87" s="979">
        <f t="shared" ca="1" si="155"/>
        <v>15.823993855843673</v>
      </c>
      <c r="EY87" s="979">
        <f t="shared" ca="1" si="155"/>
        <v>15.670161868544161</v>
      </c>
      <c r="EZ87" s="979">
        <f t="shared" ca="1" si="155"/>
        <v>15.517943868569875</v>
      </c>
      <c r="FA87" s="979">
        <f t="shared" ca="1" si="155"/>
        <v>15.367317392936721</v>
      </c>
      <c r="FB87" s="979">
        <f t="shared" ca="1" si="155"/>
        <v>15.218260530310602</v>
      </c>
      <c r="FC87" s="979">
        <f t="shared" ca="1" si="155"/>
        <v>15.070751899669835</v>
      </c>
      <c r="FD87" s="979">
        <f t="shared" ca="1" si="155"/>
        <v>14.924770629938017</v>
      </c>
      <c r="FE87" s="979">
        <f t="shared" ca="1" si="155"/>
        <v>14.780296340538841</v>
      </c>
      <c r="FF87" s="979">
        <f t="shared" ca="1" si="155"/>
        <v>14.637309122832674</v>
      </c>
      <c r="FG87" s="979">
        <f t="shared" ca="1" si="155"/>
        <v>14.495789522389439</v>
      </c>
      <c r="FH87" s="979">
        <f t="shared" ca="1" si="155"/>
        <v>14.355718522062983</v>
      </c>
      <c r="FI87" s="979">
        <f t="shared" ca="1" si="155"/>
        <v>14.217077525824074</v>
      </c>
      <c r="FJ87" s="979">
        <f t="shared" ca="1" si="155"/>
        <v>14.07984834332149</v>
      </c>
      <c r="FK87" s="979">
        <f t="shared" ca="1" si="155"/>
        <v>13.944013175132454</v>
      </c>
      <c r="FL87" s="979">
        <f t="shared" ca="1" si="155"/>
        <v>13.809554598673268</v>
      </c>
      <c r="FM87" s="979">
        <f t="shared" ca="1" si="155"/>
        <v>13.676455554737005</v>
      </c>
      <c r="FN87" s="979">
        <f t="shared" ca="1" si="155"/>
        <v>13.544699334630115</v>
      </c>
      <c r="FO87" s="979">
        <f t="shared" ca="1" si="155"/>
        <v>13.414269567879217</v>
      </c>
      <c r="FP87" s="979">
        <f t="shared" ca="1" si="155"/>
        <v>13.285150210481179</v>
      </c>
      <c r="FQ87" s="979">
        <f t="shared" ca="1" si="155"/>
        <v>13.157325533671859</v>
      </c>
      <c r="FR87" s="979">
        <f t="shared" ca="1" si="155"/>
        <v>13.030780113187838</v>
      </c>
      <c r="FS87" s="979">
        <f t="shared" ca="1" si="155"/>
        <v>12.905498818999426</v>
      </c>
      <c r="FT87" s="979">
        <f t="shared" ca="1" si="155"/>
        <v>12.781466805492212</v>
      </c>
      <c r="FU87" s="979">
        <f t="shared" ca="1" si="155"/>
        <v>12.658669502075975</v>
      </c>
      <c r="FV87" s="979">
        <f t="shared" ca="1" si="155"/>
        <v>12.537092604201472</v>
      </c>
      <c r="FW87" s="979">
        <f t="shared" ca="1" si="155"/>
        <v>12.416722064765725</v>
      </c>
      <c r="FX87" s="979">
        <f t="shared" ca="1" si="155"/>
        <v>12.297544085888342</v>
      </c>
      <c r="FY87" s="979">
        <f t="shared" ca="1" si="155"/>
        <v>12.17954511103987</v>
      </c>
      <c r="FZ87" s="979">
        <f t="shared" ca="1" si="155"/>
        <v>12.062711817508383</v>
      </c>
      <c r="GA87" s="979">
        <f t="shared" ca="1" si="155"/>
        <v>11.947031109185733</v>
      </c>
      <c r="GB87" s="979">
        <f t="shared" ca="1" si="155"/>
        <v>11.832490109661189</v>
      </c>
      <c r="GC87" s="979">
        <f t="shared" ca="1" si="155"/>
        <v>11.719076155605945</v>
      </c>
      <c r="GD87" s="979">
        <f t="shared" ca="1" si="155"/>
        <v>11.606776790437042</v>
      </c>
      <c r="GE87" s="979">
        <f t="shared" ca="1" si="155"/>
        <v>11.495579758245659</v>
      </c>
      <c r="GF87" s="979">
        <f t="shared" ca="1" si="155"/>
        <v>11.385472997979598</v>
      </c>
      <c r="GG87" s="979">
        <f t="shared" ca="1" si="155"/>
        <v>11.276444637866323</v>
      </c>
      <c r="GH87" s="979">
        <f t="shared" ca="1" si="155"/>
        <v>11.168482990067208</v>
      </c>
      <c r="GI87" s="979">
        <f t="shared" ca="1" si="155"/>
        <v>11.061576545550531</v>
      </c>
      <c r="GJ87" s="979">
        <f t="shared" ca="1" si="155"/>
        <v>10.955713969174822</v>
      </c>
      <c r="GK87" s="979">
        <f t="shared" ca="1" si="155"/>
        <v>10.85088409497147</v>
      </c>
      <c r="GL87" s="979">
        <f t="shared" ca="1" si="155"/>
        <v>10.747075921618267</v>
      </c>
      <c r="GM87" s="979">
        <f t="shared" ref="GM87:IQ87" ca="1" si="156">GM86/(1+$C$12)^GM$97</f>
        <v>10.644278608095295</v>
      </c>
      <c r="GN87" s="979">
        <f t="shared" ca="1" si="156"/>
        <v>10.542481469513461</v>
      </c>
      <c r="GO87" s="979">
        <f t="shared" ca="1" si="156"/>
        <v>10.441673973109651</v>
      </c>
      <c r="GP87" s="979">
        <f t="shared" ca="1" si="156"/>
        <v>10.341845734399197</v>
      </c>
      <c r="GQ87" s="979">
        <f t="shared" ca="1" si="156"/>
        <v>10.24298651347997</v>
      </c>
      <c r="GR87" s="979">
        <f t="shared" ca="1" si="156"/>
        <v>10.145086211479583</v>
      </c>
      <c r="GS87" s="979">
        <f t="shared" ca="1" si="156"/>
        <v>10.048134867140657</v>
      </c>
      <c r="GT87" s="979">
        <f t="shared" ca="1" si="156"/>
        <v>9.9521226535369944</v>
      </c>
      <c r="GU87" s="979">
        <f t="shared" ca="1" si="156"/>
        <v>9.8570398749151718</v>
      </c>
      <c r="GV87" s="979">
        <f t="shared" ca="1" si="156"/>
        <v>9.7628769636554722</v>
      </c>
      <c r="GW87" s="979">
        <f t="shared" ca="1" si="156"/>
        <v>9.6696244773470816</v>
      </c>
      <c r="GX87" s="979">
        <f t="shared" ca="1" si="156"/>
        <v>9.5772730959723251</v>
      </c>
      <c r="GY87" s="979">
        <f t="shared" ca="1" si="156"/>
        <v>9.4858136191952234</v>
      </c>
      <c r="GZ87" s="979">
        <f t="shared" ca="1" si="156"/>
        <v>9.3952369637490101</v>
      </c>
      <c r="HA87" s="979">
        <f t="shared" ca="1" si="156"/>
        <v>9.3055341609190929</v>
      </c>
      <c r="HB87" s="979">
        <f t="shared" ca="1" si="156"/>
        <v>9.2166963541165821</v>
      </c>
      <c r="HC87" s="979">
        <f t="shared" ca="1" si="156"/>
        <v>9.128714796538377</v>
      </c>
      <c r="HD87" s="979">
        <f t="shared" ca="1" si="156"/>
        <v>9.0415808489105984</v>
      </c>
      <c r="HE87" s="979">
        <f t="shared" ca="1" si="156"/>
        <v>8.9552859773104672</v>
      </c>
      <c r="HF87" s="979">
        <f t="shared" ca="1" si="156"/>
        <v>8.86982175106467</v>
      </c>
      <c r="HG87" s="979">
        <f t="shared" ca="1" si="156"/>
        <v>8.785179840719163</v>
      </c>
      <c r="HH87" s="979">
        <f t="shared" ca="1" si="156"/>
        <v>8.70135201607909</v>
      </c>
      <c r="HI87" s="979">
        <f t="shared" ca="1" si="156"/>
        <v>8.6183301443141342</v>
      </c>
      <c r="HJ87" s="979">
        <f t="shared" ca="1" si="156"/>
        <v>8.5361061881273645</v>
      </c>
      <c r="HK87" s="979">
        <f t="shared" ca="1" si="156"/>
        <v>8.4546722039844102</v>
      </c>
      <c r="HL87" s="979">
        <f t="shared" ca="1" si="156"/>
        <v>8.3740203404009232</v>
      </c>
      <c r="HM87" s="979">
        <f t="shared" ca="1" si="156"/>
        <v>8.2941428362848573</v>
      </c>
      <c r="HN87" s="979">
        <f t="shared" ca="1" si="156"/>
        <v>8.2150320193319128</v>
      </c>
      <c r="HO87" s="979">
        <f t="shared" ca="1" si="156"/>
        <v>8.1366803044719358</v>
      </c>
      <c r="HP87" s="979">
        <f t="shared" ca="1" si="156"/>
        <v>8.0590801923633446</v>
      </c>
      <c r="HQ87" s="979">
        <f t="shared" ca="1" si="156"/>
        <v>7.9822242679345488</v>
      </c>
      <c r="HR87" s="979">
        <f t="shared" ca="1" si="156"/>
        <v>7.9061051989693709</v>
      </c>
      <c r="HS87" s="979">
        <f t="shared" ca="1" si="156"/>
        <v>7.8307157347354055</v>
      </c>
      <c r="HT87" s="979">
        <f t="shared" ca="1" si="156"/>
        <v>7.756048704653054</v>
      </c>
      <c r="HU87" s="979">
        <f t="shared" ca="1" si="156"/>
        <v>7.6820970170036089</v>
      </c>
      <c r="HV87" s="979">
        <f t="shared" ca="1" si="156"/>
        <v>7.6088536576749526</v>
      </c>
      <c r="HW87" s="979">
        <f t="shared" ca="1" si="156"/>
        <v>7.5363116889430373</v>
      </c>
      <c r="HX87" s="979">
        <f t="shared" ca="1" si="156"/>
        <v>7.4644642482880013</v>
      </c>
      <c r="HY87" s="979">
        <f t="shared" ca="1" si="156"/>
        <v>7.3933045472428489</v>
      </c>
      <c r="HZ87" s="979">
        <f t="shared" ca="1" si="156"/>
        <v>7.3228258702744293</v>
      </c>
      <c r="IA87" s="979">
        <f t="shared" ca="1" si="156"/>
        <v>7.2530215736942214</v>
      </c>
      <c r="IB87" s="979">
        <f t="shared" ca="1" si="156"/>
        <v>7.183885084598673</v>
      </c>
      <c r="IC87" s="979">
        <f t="shared" ca="1" si="156"/>
        <v>7.1154098998372364</v>
      </c>
      <c r="ID87" s="979">
        <f t="shared" ca="1" si="156"/>
        <v>7.0475895850075165</v>
      </c>
      <c r="IE87" s="979">
        <f t="shared" ca="1" si="156"/>
        <v>6.9804177734759589</v>
      </c>
      <c r="IF87" s="979">
        <f t="shared" ca="1" si="156"/>
        <v>6.9138881654234501</v>
      </c>
      <c r="IG87" s="979">
        <f t="shared" ca="1" si="156"/>
        <v>6.8479945269148077</v>
      </c>
      <c r="IH87" s="979">
        <f t="shared" ca="1" si="156"/>
        <v>6.7827306889909833</v>
      </c>
      <c r="II87" s="979">
        <f t="shared" ca="1" si="156"/>
        <v>6.7180905467833059</v>
      </c>
      <c r="IJ87" s="979">
        <f t="shared" ca="1" si="156"/>
        <v>6.6540680586488961</v>
      </c>
      <c r="IK87" s="979">
        <f t="shared" ca="1" si="156"/>
        <v>6.5906572453264518</v>
      </c>
      <c r="IL87" s="979">
        <f t="shared" ca="1" si="156"/>
        <v>6.5278521891114361</v>
      </c>
      <c r="IM87" s="979">
        <f t="shared" ca="1" si="156"/>
        <v>6.465647033050451</v>
      </c>
      <c r="IN87" s="979">
        <f t="shared" ca="1" si="156"/>
        <v>6.4040359801533446</v>
      </c>
      <c r="IO87" s="979">
        <f t="shared" ca="1" si="156"/>
        <v>6.3430132926228522</v>
      </c>
      <c r="IP87" s="979">
        <f t="shared" ca="1" si="156"/>
        <v>6.282573291101496</v>
      </c>
      <c r="IQ87" s="979">
        <f t="shared" ca="1" si="156"/>
        <v>6.2227103539340565</v>
      </c>
      <c r="IR87" s="979">
        <f ca="1">+IR86/(1+$C$12)^IR$97</f>
        <v>6.1627291440084333</v>
      </c>
    </row>
    <row r="88" spans="2:254" s="849" customFormat="1" ht="11.85" customHeight="1">
      <c r="E88" s="1065"/>
      <c r="W88" s="1013"/>
    </row>
    <row r="89" spans="2:254" s="927" customFormat="1" ht="11.85" hidden="1" customHeight="1" outlineLevel="1">
      <c r="B89" s="927" t="s">
        <v>727</v>
      </c>
      <c r="E89" s="1066"/>
    </row>
    <row r="90" spans="2:254" s="927" customFormat="1" ht="11.25" hidden="1" customHeight="1" outlineLevel="1">
      <c r="B90" s="1067">
        <f ca="1">-(I32-I28)</f>
        <v>-11263.594291498332</v>
      </c>
      <c r="C90" s="1068">
        <f t="shared" ref="C90:BN90" si="157">C68</f>
        <v>185.67470237795447</v>
      </c>
      <c r="D90" s="1068">
        <f t="shared" si="157"/>
        <v>400.81313228559111</v>
      </c>
      <c r="E90" s="1069">
        <f t="shared" si="157"/>
        <v>163.16558722460124</v>
      </c>
      <c r="F90" s="1068">
        <f t="shared" si="157"/>
        <v>305.775864891075</v>
      </c>
      <c r="G90" s="1068">
        <f t="shared" ca="1" si="157"/>
        <v>-274.01727842789444</v>
      </c>
      <c r="H90" s="1068">
        <f t="shared" ca="1" si="157"/>
        <v>40.998362218159571</v>
      </c>
      <c r="I90" s="1068">
        <f t="shared" ca="1" si="157"/>
        <v>51.686479671532538</v>
      </c>
      <c r="J90" s="1068">
        <f t="shared" ca="1" si="157"/>
        <v>63.733631988806223</v>
      </c>
      <c r="K90" s="1068">
        <f t="shared" ca="1" si="157"/>
        <v>77.196016708951163</v>
      </c>
      <c r="L90" s="1068">
        <f t="shared" ca="1" si="157"/>
        <v>92.120910260340054</v>
      </c>
      <c r="M90" s="1068">
        <f t="shared" ca="1" si="157"/>
        <v>108.5451715780469</v>
      </c>
      <c r="N90" s="1068">
        <f t="shared" ca="1" si="157"/>
        <v>126.49378064707076</v>
      </c>
      <c r="O90" s="1068">
        <f t="shared" ca="1" si="157"/>
        <v>145.97844147955266</v>
      </c>
      <c r="P90" s="1068">
        <f t="shared" ca="1" si="157"/>
        <v>166.99628028709208</v>
      </c>
      <c r="Q90" s="1068">
        <f t="shared" ca="1" si="157"/>
        <v>189.52867022494991</v>
      </c>
      <c r="R90" s="1068">
        <f t="shared" ca="1" si="157"/>
        <v>213.54021399438585</v>
      </c>
      <c r="S90" s="1068">
        <f t="shared" ca="1" si="157"/>
        <v>238.97791473695315</v>
      </c>
      <c r="T90" s="1068">
        <f t="shared" ca="1" si="157"/>
        <v>265.77056400500408</v>
      </c>
      <c r="U90" s="1068">
        <f t="shared" ca="1" si="157"/>
        <v>293.82837312972254</v>
      </c>
      <c r="V90" s="1068">
        <f t="shared" ca="1" si="157"/>
        <v>304.93177488032734</v>
      </c>
      <c r="W90" s="1068">
        <f t="shared" ca="1" si="157"/>
        <v>-69.356621231542249</v>
      </c>
      <c r="X90" s="1068">
        <f t="shared" ca="1" si="157"/>
        <v>323.56389873121782</v>
      </c>
      <c r="Y90" s="1068">
        <f t="shared" ca="1" si="157"/>
        <v>333.0984817538299</v>
      </c>
      <c r="Z90" s="1068">
        <f t="shared" ca="1" si="157"/>
        <v>343.01848640647813</v>
      </c>
      <c r="AA90" s="1068">
        <f t="shared" ca="1" si="157"/>
        <v>353.3391763420409</v>
      </c>
      <c r="AB90" s="1068">
        <f t="shared" ca="1" si="157"/>
        <v>364.07643141972062</v>
      </c>
      <c r="AC90" s="1068">
        <f t="shared" ca="1" si="157"/>
        <v>375.24677216116811</v>
      </c>
      <c r="AD90" s="1068">
        <f t="shared" ca="1" si="157"/>
        <v>386.86738518946458</v>
      </c>
      <c r="AE90" s="1068">
        <f t="shared" ca="1" si="157"/>
        <v>398.95614969035694</v>
      </c>
      <c r="AF90" s="1068">
        <f t="shared" ca="1" si="157"/>
        <v>411.53166493677259</v>
      </c>
      <c r="AG90" s="1068">
        <f t="shared" ca="1" si="157"/>
        <v>424.61327891915312</v>
      </c>
      <c r="AH90" s="1068">
        <f t="shared" ca="1" si="157"/>
        <v>438.22111812591834</v>
      </c>
      <c r="AI90" s="1068">
        <f t="shared" ca="1" si="157"/>
        <v>452.37611852003647</v>
      </c>
      <c r="AJ90" s="1068">
        <f t="shared" ca="1" si="157"/>
        <v>467.10005775954949</v>
      </c>
      <c r="AK90" s="1068">
        <f t="shared" ca="1" si="157"/>
        <v>482.41558871172833</v>
      </c>
      <c r="AL90" s="1068">
        <f t="shared" ca="1" si="157"/>
        <v>498.34627431265517</v>
      </c>
      <c r="AM90" s="1068">
        <f t="shared" ca="1" si="157"/>
        <v>514.91662382585628</v>
      </c>
      <c r="AN90" s="1068">
        <f t="shared" ca="1" si="157"/>
        <v>532.15213055598861</v>
      </c>
      <c r="AO90" s="1068">
        <f t="shared" ca="1" si="157"/>
        <v>550.07931107563286</v>
      </c>
      <c r="AP90" s="1068">
        <f t="shared" ca="1" si="157"/>
        <v>568.72574602564669</v>
      </c>
      <c r="AQ90" s="1068">
        <f t="shared" ca="1" si="157"/>
        <v>588.12012255192712</v>
      </c>
      <c r="AR90" s="1068">
        <f t="shared" ca="1" si="157"/>
        <v>608.29227844392994</v>
      </c>
      <c r="AS90" s="1068">
        <f t="shared" ca="1" si="157"/>
        <v>629.2732480429413</v>
      </c>
      <c r="AT90" s="1068">
        <f t="shared" ca="1" si="157"/>
        <v>651.09530999072058</v>
      </c>
      <c r="AU90" s="1068">
        <f t="shared" ca="1" si="157"/>
        <v>673.79203689207884</v>
      </c>
      <c r="AV90" s="1068">
        <f t="shared" ca="1" si="157"/>
        <v>697.3983469678692</v>
      </c>
      <c r="AW90" s="1068">
        <f t="shared" ca="1" si="157"/>
        <v>721.95055777774746</v>
      </c>
      <c r="AX90" s="1068">
        <f t="shared" ca="1" si="157"/>
        <v>747.48644209559916</v>
      </c>
      <c r="AY90" s="1068">
        <f t="shared" ca="1" si="157"/>
        <v>774.04528602342225</v>
      </c>
      <c r="AZ90" s="1068">
        <f t="shared" ca="1" si="157"/>
        <v>801.66794943324635</v>
      </c>
      <c r="BA90" s="1068">
        <f t="shared" ca="1" si="157"/>
        <v>830.39692883002522</v>
      </c>
      <c r="BB90" s="1068">
        <f t="shared" ca="1" si="157"/>
        <v>860.27642273221704</v>
      </c>
      <c r="BC90" s="1068">
        <f t="shared" ca="1" si="157"/>
        <v>891.35239967082612</v>
      </c>
      <c r="BD90" s="1068">
        <f t="shared" ca="1" si="157"/>
        <v>923.67266891118334</v>
      </c>
      <c r="BE90" s="1068">
        <f t="shared" ca="1" si="157"/>
        <v>957.2869540067295</v>
      </c>
      <c r="BF90" s="1068">
        <f t="shared" ca="1" si="157"/>
        <v>992.24696929761285</v>
      </c>
      <c r="BG90" s="1068">
        <f t="shared" ca="1" si="157"/>
        <v>1028.6064994719868</v>
      </c>
      <c r="BH90" s="1068">
        <f t="shared" ca="1" si="157"/>
        <v>1066.421482312332</v>
      </c>
      <c r="BI90" s="1068">
        <f t="shared" ca="1" si="157"/>
        <v>1105.7500947542694</v>
      </c>
      <c r="BJ90" s="1068">
        <f t="shared" ca="1" si="157"/>
        <v>1146.6528423899872</v>
      </c>
      <c r="BK90" s="1068">
        <f t="shared" ca="1" si="157"/>
        <v>1189.1926525543136</v>
      </c>
      <c r="BL90" s="1068">
        <f t="shared" ca="1" si="157"/>
        <v>1233.4349711363811</v>
      </c>
      <c r="BM90" s="1068">
        <f t="shared" ca="1" si="157"/>
        <v>1279.4478632660002</v>
      </c>
      <c r="BN90" s="1068">
        <f t="shared" ca="1" si="157"/>
        <v>1327.3021180296223</v>
      </c>
      <c r="BO90" s="1068">
        <f t="shared" ref="BO90:DZ90" ca="1" si="158">BO68</f>
        <v>1377.0713573768608</v>
      </c>
      <c r="BP90" s="1068">
        <f t="shared" ca="1" si="158"/>
        <v>1428.8321493853191</v>
      </c>
      <c r="BQ90" s="1068">
        <f t="shared" ca="1" si="158"/>
        <v>1482.6641260579054</v>
      </c>
      <c r="BR90" s="1068">
        <f t="shared" ca="1" si="158"/>
        <v>1538.6501058337776</v>
      </c>
      <c r="BS90" s="1068">
        <f t="shared" ca="1" si="158"/>
        <v>1596.8762210015152</v>
      </c>
      <c r="BT90" s="1068">
        <f t="shared" ca="1" si="158"/>
        <v>1657.4320502104788</v>
      </c>
      <c r="BU90" s="1068">
        <f t="shared" ca="1" si="158"/>
        <v>1720.4107562843542</v>
      </c>
      <c r="BV90" s="1068">
        <f t="shared" ca="1" si="158"/>
        <v>1785.9092295486093</v>
      </c>
      <c r="BW90" s="1068">
        <f t="shared" ca="1" si="158"/>
        <v>1854.028236892691</v>
      </c>
      <c r="BX90" s="1068">
        <f t="shared" ca="1" si="158"/>
        <v>1924.8725767960832</v>
      </c>
      <c r="BY90" s="1068">
        <f t="shared" ca="1" si="158"/>
        <v>1998.5512405568752</v>
      </c>
      <c r="BZ90" s="1068">
        <f t="shared" ca="1" si="158"/>
        <v>2075.1775799707357</v>
      </c>
      <c r="CA90" s="1068">
        <f t="shared" ca="1" si="158"/>
        <v>2154.869481718426</v>
      </c>
      <c r="CB90" s="1068">
        <f t="shared" ca="1" si="158"/>
        <v>2237.7495487297638</v>
      </c>
      <c r="CC90" s="1068">
        <f t="shared" ca="1" si="158"/>
        <v>2323.9452888039468</v>
      </c>
      <c r="CD90" s="1068">
        <f t="shared" ca="1" si="158"/>
        <v>2413.5893107750926</v>
      </c>
      <c r="CE90" s="1068">
        <f t="shared" ca="1" si="158"/>
        <v>2506.8195285261245</v>
      </c>
      <c r="CF90" s="1068">
        <f t="shared" ca="1" si="158"/>
        <v>2603.7793731638631</v>
      </c>
      <c r="CG90" s="1068">
        <f t="shared" ca="1" si="158"/>
        <v>2704.6180136823459</v>
      </c>
      <c r="CH90" s="1068">
        <f t="shared" ca="1" si="158"/>
        <v>2809.4905864536995</v>
      </c>
      <c r="CI90" s="1068">
        <f t="shared" ca="1" si="158"/>
        <v>2918.5584338993631</v>
      </c>
      <c r="CJ90" s="1068">
        <f t="shared" ca="1" si="158"/>
        <v>3031.9893527093282</v>
      </c>
      <c r="CK90" s="1068">
        <f t="shared" ca="1" si="158"/>
        <v>3149.9578519909774</v>
      </c>
      <c r="CL90" s="1068">
        <f t="shared" ca="1" si="158"/>
        <v>3272.6454217443988</v>
      </c>
      <c r="CM90" s="1068">
        <f t="shared" ca="1" si="158"/>
        <v>3400.2408120780692</v>
      </c>
      <c r="CN90" s="1068">
        <f t="shared" ca="1" si="158"/>
        <v>3532.9403235935788</v>
      </c>
      <c r="CO90" s="1068">
        <f t="shared" ca="1" si="158"/>
        <v>3670.9481093863724</v>
      </c>
      <c r="CP90" s="1068">
        <f t="shared" ca="1" si="158"/>
        <v>3814.4764891277864</v>
      </c>
      <c r="CQ90" s="1068">
        <f t="shared" ca="1" si="158"/>
        <v>3963.7462757103949</v>
      </c>
      <c r="CR90" s="1068">
        <f t="shared" ca="1" si="158"/>
        <v>4118.9871149603714</v>
      </c>
      <c r="CS90" s="1068">
        <f t="shared" ca="1" si="158"/>
        <v>4280.4378389386111</v>
      </c>
      <c r="CT90" s="1068">
        <f t="shared" ca="1" si="158"/>
        <v>4448.3468333749042</v>
      </c>
      <c r="CU90" s="1068">
        <f t="shared" ca="1" si="158"/>
        <v>4622.9724197994983</v>
      </c>
      <c r="CV90" s="1068">
        <f t="shared" ca="1" si="158"/>
        <v>4804.583252961218</v>
      </c>
      <c r="CW90" s="1068">
        <f t="shared" ca="1" si="158"/>
        <v>4993.4587341421029</v>
      </c>
      <c r="CX90" s="1068">
        <f t="shared" ca="1" si="158"/>
        <v>5189.8894410059675</v>
      </c>
      <c r="CY90" s="1068">
        <f t="shared" ca="1" si="158"/>
        <v>5394.1775746404383</v>
      </c>
      <c r="CZ90" s="1068">
        <f t="shared" ca="1" si="158"/>
        <v>5606.6374244821636</v>
      </c>
      <c r="DA90" s="1068">
        <f t="shared" ca="1" si="158"/>
        <v>5827.5958518388743</v>
      </c>
      <c r="DB90" s="1068">
        <f t="shared" ca="1" si="158"/>
        <v>6057.3927927527275</v>
      </c>
      <c r="DC90" s="1068">
        <f t="shared" ca="1" si="158"/>
        <v>6296.381780979289</v>
      </c>
      <c r="DD90" s="1068">
        <f t="shared" ca="1" si="158"/>
        <v>6544.9304918850776</v>
      </c>
      <c r="DE90" s="1068">
        <f t="shared" ca="1" si="158"/>
        <v>6803.4213081025628</v>
      </c>
      <c r="DF90" s="1068">
        <f t="shared" ca="1" si="158"/>
        <v>7072.251907810456</v>
      </c>
      <c r="DG90" s="1068">
        <f t="shared" ca="1" si="158"/>
        <v>7351.8358765471203</v>
      </c>
      <c r="DH90" s="1068">
        <f t="shared" ca="1" si="158"/>
        <v>7642.6033434950623</v>
      </c>
      <c r="DI90" s="1068">
        <f t="shared" ca="1" si="158"/>
        <v>7945.0016432190459</v>
      </c>
      <c r="DJ90" s="1068">
        <f t="shared" ca="1" si="158"/>
        <v>8259.4960038726422</v>
      </c>
      <c r="DK90" s="1068">
        <f t="shared" ca="1" si="158"/>
        <v>8586.5702629336411</v>
      </c>
      <c r="DL90" s="1068">
        <f t="shared" ca="1" si="158"/>
        <v>8926.7276115700988</v>
      </c>
      <c r="DM90" s="1068">
        <f t="shared" ca="1" si="158"/>
        <v>9280.4913687798107</v>
      </c>
      <c r="DN90" s="1068">
        <f t="shared" ca="1" si="158"/>
        <v>9648.4057864971073</v>
      </c>
      <c r="DO90" s="1068">
        <f t="shared" ca="1" si="158"/>
        <v>10031.036886903141</v>
      </c>
      <c r="DP90" s="1068">
        <f t="shared" ca="1" si="158"/>
        <v>10428.97333322918</v>
      </c>
      <c r="DQ90" s="1068">
        <f t="shared" ca="1" si="158"/>
        <v>10842.827335392805</v>
      </c>
      <c r="DR90" s="1068">
        <f t="shared" ca="1" si="158"/>
        <v>11273.235591859033</v>
      </c>
      <c r="DS90" s="1068">
        <f t="shared" ca="1" si="158"/>
        <v>11720.86026917605</v>
      </c>
      <c r="DT90" s="1068">
        <f t="shared" ca="1" si="158"/>
        <v>12186.390020693754</v>
      </c>
      <c r="DU90" s="1068">
        <f t="shared" ca="1" si="158"/>
        <v>12670.541046029881</v>
      </c>
      <c r="DV90" s="1068">
        <f t="shared" ca="1" si="158"/>
        <v>13174.058192915527</v>
      </c>
      <c r="DW90" s="1068">
        <f t="shared" ca="1" si="158"/>
        <v>13697.716103115432</v>
      </c>
      <c r="DX90" s="1068">
        <f t="shared" ca="1" si="158"/>
        <v>14242.320404183927</v>
      </c>
      <c r="DY90" s="1068">
        <f t="shared" ca="1" si="158"/>
        <v>14808.708948891159</v>
      </c>
      <c r="DZ90" s="1068">
        <f t="shared" ca="1" si="158"/>
        <v>15397.753104229829</v>
      </c>
      <c r="EA90" s="1068">
        <f t="shared" ref="EA90:GL90" ca="1" si="159">EA68</f>
        <v>16010.359091976839</v>
      </c>
      <c r="EB90" s="1068">
        <f t="shared" ca="1" si="159"/>
        <v>16647.469382882875</v>
      </c>
      <c r="EC90" s="1068">
        <f t="shared" ca="1" si="159"/>
        <v>17310.064146626049</v>
      </c>
      <c r="ED90" s="1068">
        <f t="shared" ca="1" si="159"/>
        <v>17999.162759766099</v>
      </c>
      <c r="EE90" s="1068">
        <f t="shared" ca="1" si="159"/>
        <v>18715.825374015629</v>
      </c>
      <c r="EF90" s="1068">
        <f t="shared" ca="1" si="159"/>
        <v>19461.15454724244</v>
      </c>
      <c r="EG90" s="1068">
        <f t="shared" ca="1" si="159"/>
        <v>20236.296939713691</v>
      </c>
      <c r="EH90" s="1068">
        <f t="shared" ca="1" si="159"/>
        <v>21042.445078185876</v>
      </c>
      <c r="EI90" s="1068">
        <f t="shared" ca="1" si="159"/>
        <v>21880.839190565552</v>
      </c>
      <c r="EJ90" s="1068">
        <f t="shared" ca="1" si="159"/>
        <v>22752.769113947914</v>
      </c>
      <c r="EK90" s="1068">
        <f t="shared" ca="1" si="159"/>
        <v>23659.576278984685</v>
      </c>
      <c r="EL90" s="1068">
        <f t="shared" ca="1" si="159"/>
        <v>24602.655773622122</v>
      </c>
      <c r="EM90" s="1068">
        <f t="shared" ca="1" si="159"/>
        <v>25583.458489390105</v>
      </c>
      <c r="EN90" s="1068">
        <f t="shared" ca="1" si="159"/>
        <v>26603.493353543839</v>
      </c>
      <c r="EO90" s="1068">
        <f t="shared" ca="1" si="159"/>
        <v>27664.329650489897</v>
      </c>
      <c r="EP90" s="1068">
        <f t="shared" ca="1" si="159"/>
        <v>28767.599436069242</v>
      </c>
      <c r="EQ90" s="1068">
        <f t="shared" ca="1" si="159"/>
        <v>29915.000048414251</v>
      </c>
      <c r="ER90" s="1068">
        <f t="shared" ca="1" si="159"/>
        <v>31108.296719235776</v>
      </c>
      <c r="ES90" s="1068">
        <f t="shared" ca="1" si="159"/>
        <v>32349.325289565488</v>
      </c>
      <c r="ET90" s="1068">
        <f t="shared" ca="1" si="159"/>
        <v>33639.99503412786</v>
      </c>
      <c r="EU90" s="1068">
        <f t="shared" ca="1" si="159"/>
        <v>34982.291598683194</v>
      </c>
      <c r="EV90" s="1068">
        <f t="shared" ca="1" si="159"/>
        <v>36378.280054869145</v>
      </c>
      <c r="EW90" s="1068">
        <f t="shared" ca="1" si="159"/>
        <v>37830.108077234458</v>
      </c>
      <c r="EX90" s="1068">
        <f t="shared" ca="1" si="159"/>
        <v>39340.009247351103</v>
      </c>
      <c r="EY90" s="1068">
        <f t="shared" ca="1" si="159"/>
        <v>40910.306490096162</v>
      </c>
      <c r="EZ90" s="1068">
        <f t="shared" ca="1" si="159"/>
        <v>42543.415647382746</v>
      </c>
      <c r="FA90" s="1068">
        <f t="shared" ca="1" si="159"/>
        <v>44241.84919483561</v>
      </c>
      <c r="FB90" s="1068">
        <f t="shared" ca="1" si="159"/>
        <v>46008.220107145215</v>
      </c>
      <c r="FC90" s="1068">
        <f t="shared" ca="1" si="159"/>
        <v>47845.245878021044</v>
      </c>
      <c r="FD90" s="1068">
        <f t="shared" ca="1" si="159"/>
        <v>49755.752700957921</v>
      </c>
      <c r="FE90" s="1068">
        <f t="shared" ca="1" si="159"/>
        <v>51742.679817221215</v>
      </c>
      <c r="FF90" s="1068">
        <f t="shared" ca="1" si="159"/>
        <v>53809.084037759749</v>
      </c>
      <c r="FG90" s="1068">
        <f t="shared" ca="1" si="159"/>
        <v>55958.144445987957</v>
      </c>
      <c r="FH90" s="1068">
        <f t="shared" ca="1" si="159"/>
        <v>58193.16728869034</v>
      </c>
      <c r="FI90" s="1068">
        <f t="shared" ca="1" si="159"/>
        <v>60517.591062546271</v>
      </c>
      <c r="FJ90" s="1068">
        <f t="shared" ca="1" si="159"/>
        <v>62934.991804130957</v>
      </c>
      <c r="FK90" s="1068">
        <f t="shared" ca="1" si="159"/>
        <v>65449.088591509062</v>
      </c>
      <c r="FL90" s="1068">
        <f t="shared" ca="1" si="159"/>
        <v>68063.749265892198</v>
      </c>
      <c r="FM90" s="1068">
        <f t="shared" ca="1" si="159"/>
        <v>70782.996382161218</v>
      </c>
      <c r="FN90" s="1068">
        <f t="shared" ca="1" si="159"/>
        <v>73611.013397422998</v>
      </c>
      <c r="FO90" s="1068">
        <f t="shared" ca="1" si="159"/>
        <v>76552.151107081503</v>
      </c>
      <c r="FP90" s="1068">
        <f t="shared" ca="1" si="159"/>
        <v>79610.934338384279</v>
      </c>
      <c r="FQ90" s="1068">
        <f t="shared" ca="1" si="159"/>
        <v>82792.06891168587</v>
      </c>
      <c r="FR90" s="1068">
        <f t="shared" ca="1" si="159"/>
        <v>86100.448880176904</v>
      </c>
      <c r="FS90" s="1068">
        <f t="shared" ca="1" si="159"/>
        <v>89541.164059194736</v>
      </c>
      <c r="FT90" s="1068">
        <f t="shared" ca="1" si="159"/>
        <v>93119.507856704149</v>
      </c>
      <c r="FU90" s="1068">
        <f t="shared" ca="1" si="159"/>
        <v>96840.985417011805</v>
      </c>
      <c r="FV90" s="1068">
        <f t="shared" ca="1" si="159"/>
        <v>100711.3220902083</v>
      </c>
      <c r="FW90" s="1068">
        <f t="shared" ca="1" si="159"/>
        <v>104736.47224040786</v>
      </c>
      <c r="FX90" s="1068">
        <f t="shared" ca="1" si="159"/>
        <v>108922.62840630134</v>
      </c>
      <c r="FY90" s="1068">
        <f t="shared" ca="1" si="159"/>
        <v>113276.23082814727</v>
      </c>
      <c r="FZ90" s="1068">
        <f t="shared" ca="1" si="159"/>
        <v>117803.97735582112</v>
      </c>
      <c r="GA90" s="1068">
        <f t="shared" ca="1" si="159"/>
        <v>122512.8337532148</v>
      </c>
      <c r="GB90" s="1068">
        <f t="shared" ca="1" si="159"/>
        <v>127410.04441478552</v>
      </c>
      <c r="GC90" s="1068">
        <f t="shared" ca="1" si="159"/>
        <v>132503.14351077884</v>
      </c>
      <c r="GD90" s="1068">
        <f t="shared" ca="1" si="159"/>
        <v>137799.96657826839</v>
      </c>
      <c r="GE90" s="1068">
        <f t="shared" ca="1" si="159"/>
        <v>143308.66257582052</v>
      </c>
      <c r="GF90" s="1068">
        <f t="shared" ca="1" si="159"/>
        <v>149037.70642035158</v>
      </c>
      <c r="GG90" s="1068">
        <f t="shared" ca="1" si="159"/>
        <v>154995.91202547174</v>
      </c>
      <c r="GH90" s="1068">
        <f t="shared" ca="1" si="159"/>
        <v>161192.44586133736</v>
      </c>
      <c r="GI90" s="1068">
        <f t="shared" ca="1" si="159"/>
        <v>167636.84105693252</v>
      </c>
      <c r="GJ90" s="1068">
        <f t="shared" ca="1" si="159"/>
        <v>174339.01206640305</v>
      </c>
      <c r="GK90" s="1068">
        <f t="shared" ca="1" si="159"/>
        <v>181309.26992206782</v>
      </c>
      <c r="GL90" s="1068">
        <f t="shared" ca="1" si="159"/>
        <v>188558.33809755399</v>
      </c>
      <c r="GM90" s="1068">
        <f t="shared" ref="GM90:IR90" ca="1" si="160">GM68</f>
        <v>196097.36900543957</v>
      </c>
      <c r="GN90" s="1068">
        <f t="shared" ca="1" si="160"/>
        <v>203937.96115481295</v>
      </c>
      <c r="GO90" s="1068">
        <f t="shared" ca="1" si="160"/>
        <v>212092.17699513189</v>
      </c>
      <c r="GP90" s="1068">
        <f t="shared" ca="1" si="160"/>
        <v>220572.56147384574</v>
      </c>
      <c r="GQ90" s="1068">
        <f t="shared" ca="1" si="160"/>
        <v>229392.16133630939</v>
      </c>
      <c r="GR90" s="1068">
        <f t="shared" ca="1" si="160"/>
        <v>238564.54519768828</v>
      </c>
      <c r="GS90" s="1068">
        <f t="shared" ca="1" si="160"/>
        <v>248103.82441777457</v>
      </c>
      <c r="GT90" s="1068">
        <f t="shared" ca="1" si="160"/>
        <v>258024.67481075448</v>
      </c>
      <c r="GU90" s="1068">
        <f t="shared" ca="1" si="160"/>
        <v>268342.35922337975</v>
      </c>
      <c r="GV90" s="1068">
        <f t="shared" ca="1" si="160"/>
        <v>279072.75101629307</v>
      </c>
      <c r="GW90" s="1068">
        <f t="shared" ca="1" si="160"/>
        <v>290232.35848455317</v>
      </c>
      <c r="GX90" s="1068">
        <f t="shared" ca="1" si="160"/>
        <v>301838.35025504313</v>
      </c>
      <c r="GY90" s="1068">
        <f t="shared" ca="1" si="160"/>
        <v>313908.5816997065</v>
      </c>
      <c r="GZ90" s="1068">
        <f t="shared" ca="1" si="160"/>
        <v>326461.62240539014</v>
      </c>
      <c r="HA90" s="1068">
        <f t="shared" ca="1" si="160"/>
        <v>339516.78474240308</v>
      </c>
      <c r="HB90" s="1068">
        <f t="shared" ca="1" si="160"/>
        <v>353094.15357588953</v>
      </c>
      <c r="HC90" s="1068">
        <f t="shared" ca="1" si="160"/>
        <v>367214.61716558202</v>
      </c>
      <c r="HD90" s="1068">
        <f t="shared" ca="1" si="160"/>
        <v>381899.89930162614</v>
      </c>
      <c r="HE90" s="1068">
        <f t="shared" ca="1" si="160"/>
        <v>397172.59272576799</v>
      </c>
      <c r="HF90" s="1068">
        <f t="shared" ca="1" si="160"/>
        <v>413056.193889427</v>
      </c>
      <c r="HG90" s="1068">
        <f t="shared" ca="1" si="160"/>
        <v>429575.13910208712</v>
      </c>
      <c r="HH90" s="1068">
        <f t="shared" ca="1" si="160"/>
        <v>446754.84212561359</v>
      </c>
      <c r="HI90" s="1068">
        <f t="shared" ca="1" si="160"/>
        <v>464621.73327235156</v>
      </c>
      <c r="HJ90" s="1068">
        <f t="shared" ca="1" si="160"/>
        <v>483203.30006714514</v>
      </c>
      <c r="HK90" s="1068">
        <f t="shared" ca="1" si="160"/>
        <v>502528.12953582243</v>
      </c>
      <c r="HL90" s="1068">
        <f t="shared" ca="1" si="160"/>
        <v>522625.95218526362</v>
      </c>
      <c r="HM90" s="1068">
        <f t="shared" ca="1" si="160"/>
        <v>543527.68774263328</v>
      </c>
      <c r="HN90" s="1068">
        <f t="shared" ca="1" si="160"/>
        <v>565265.49272415135</v>
      </c>
      <c r="HO90" s="1068">
        <f t="shared" ca="1" si="160"/>
        <v>587872.80990672996</v>
      </c>
      <c r="HP90" s="1068">
        <f t="shared" ca="1" si="160"/>
        <v>611384.41977833561</v>
      </c>
      <c r="HQ90" s="1068">
        <f t="shared" ca="1" si="160"/>
        <v>635836.4940464627</v>
      </c>
      <c r="HR90" s="1068">
        <f t="shared" ca="1" si="160"/>
        <v>661266.65128691285</v>
      </c>
      <c r="HS90" s="1068">
        <f t="shared" ca="1" si="160"/>
        <v>687714.01481850795</v>
      </c>
      <c r="HT90" s="1068">
        <f t="shared" ca="1" si="160"/>
        <v>715219.27289285301</v>
      </c>
      <c r="HU90" s="1068">
        <f t="shared" ca="1" si="160"/>
        <v>743824.74129157211</v>
      </c>
      <c r="HV90" s="1068">
        <f t="shared" ca="1" si="160"/>
        <v>773574.42842761939</v>
      </c>
      <c r="HW90" s="1068">
        <f t="shared" ca="1" si="160"/>
        <v>804514.10305041005</v>
      </c>
      <c r="HX90" s="1068">
        <f t="shared" ca="1" si="160"/>
        <v>836691.36465937179</v>
      </c>
      <c r="HY90" s="1068">
        <f t="shared" ca="1" si="160"/>
        <v>870155.71673391433</v>
      </c>
      <c r="HZ90" s="1068">
        <f t="shared" ca="1" si="160"/>
        <v>904958.64289259119</v>
      </c>
      <c r="IA90" s="1068">
        <f t="shared" ca="1" si="160"/>
        <v>941153.68609873764</v>
      </c>
      <c r="IB90" s="1068">
        <f t="shared" ca="1" si="160"/>
        <v>978796.53103421582</v>
      </c>
      <c r="IC90" s="1068">
        <f t="shared" ca="1" si="160"/>
        <v>1017945.0897681434</v>
      </c>
      <c r="ID90" s="1068">
        <f t="shared" ca="1" si="160"/>
        <v>1058659.5908524073</v>
      </c>
      <c r="IE90" s="1068">
        <f t="shared" ca="1" si="160"/>
        <v>1101002.6719810306</v>
      </c>
      <c r="IF90" s="1068">
        <f t="shared" ca="1" si="160"/>
        <v>1145039.4763557054</v>
      </c>
      <c r="IG90" s="1068">
        <f t="shared" ca="1" si="160"/>
        <v>1190837.7529062559</v>
      </c>
      <c r="IH90" s="1068">
        <f t="shared" ca="1" si="160"/>
        <v>1238467.9605196747</v>
      </c>
      <c r="II90" s="1068">
        <f t="shared" ca="1" si="160"/>
        <v>1288003.3764384454</v>
      </c>
      <c r="IJ90" s="1068">
        <f t="shared" ca="1" si="160"/>
        <v>1339520.2089947616</v>
      </c>
      <c r="IK90" s="1068">
        <f t="shared" ca="1" si="160"/>
        <v>1393097.7148540812</v>
      </c>
      <c r="IL90" s="1068">
        <f t="shared" ca="1" si="160"/>
        <v>1448818.3209485151</v>
      </c>
      <c r="IM90" s="1068">
        <f t="shared" ca="1" si="160"/>
        <v>1506767.7512874044</v>
      </c>
      <c r="IN90" s="1068">
        <f t="shared" ca="1" si="160"/>
        <v>1567035.1588405389</v>
      </c>
      <c r="IO90" s="1068">
        <f t="shared" ca="1" si="160"/>
        <v>1629713.2626964427</v>
      </c>
      <c r="IP90" s="1068">
        <f t="shared" ca="1" si="160"/>
        <v>1694898.4907072005</v>
      </c>
      <c r="IQ90" s="1068">
        <f t="shared" ca="1" si="160"/>
        <v>1762691.1278389837</v>
      </c>
      <c r="IR90" s="1068">
        <f t="shared" ca="1" si="160"/>
        <v>65380664.037959695</v>
      </c>
      <c r="IS90" s="1068"/>
      <c r="IT90" s="1068"/>
    </row>
    <row r="91" spans="2:254" s="849" customFormat="1" ht="11.85" customHeight="1" collapsed="1">
      <c r="E91" s="1065"/>
      <c r="W91" s="1013"/>
    </row>
    <row r="92" spans="2:254" s="849" customFormat="1" ht="11.85" customHeight="1">
      <c r="B92" s="2275" t="str">
        <f>IF(C92="Check","Pls check. If Common Dividends or Net Share Repurchases tags are missing, pls tag &amp; re-run IV","")</f>
        <v>Pls check. If Common Dividends or Net Share Repurchases tags are missing, pls tag &amp; re-run IV</v>
      </c>
      <c r="C92" s="2276" t="str">
        <f>IF(ABS((C82-L31+C84)-C81)&gt;ABS(0.03*C81),"Check","")</f>
        <v>Check</v>
      </c>
      <c r="E92" s="1065"/>
      <c r="W92" s="1013"/>
    </row>
    <row r="93" spans="2:254" s="849" customFormat="1" ht="11.85" customHeight="1">
      <c r="B93" s="2275"/>
      <c r="C93" s="2276"/>
      <c r="E93" s="1065"/>
      <c r="W93" s="1013"/>
    </row>
    <row r="94" spans="2:254" s="849" customFormat="1" ht="11.85" customHeight="1">
      <c r="E94" s="1065"/>
      <c r="W94" s="1013"/>
    </row>
    <row r="95" spans="2:254" ht="11.85" customHeight="1">
      <c r="B95" s="845" t="str">
        <f>B336</f>
        <v>Source: Morgan Stanley Research, ModelWare</v>
      </c>
      <c r="W95" s="860"/>
    </row>
    <row r="96" spans="2:254" ht="11.85" customHeight="1">
      <c r="W96" s="860"/>
    </row>
    <row r="97" spans="1:252" ht="11.85" hidden="1" customHeight="1" outlineLevel="1">
      <c r="A97" s="851"/>
      <c r="B97" s="851"/>
      <c r="C97" s="851">
        <v>1</v>
      </c>
      <c r="D97" s="851">
        <f t="shared" ref="D97:BO97" si="161">C97+1</f>
        <v>2</v>
      </c>
      <c r="E97" s="1070">
        <f t="shared" si="161"/>
        <v>3</v>
      </c>
      <c r="F97" s="851">
        <f t="shared" si="161"/>
        <v>4</v>
      </c>
      <c r="G97" s="851">
        <f t="shared" si="161"/>
        <v>5</v>
      </c>
      <c r="H97" s="851">
        <f t="shared" si="161"/>
        <v>6</v>
      </c>
      <c r="I97" s="851">
        <f t="shared" si="161"/>
        <v>7</v>
      </c>
      <c r="J97" s="851">
        <f t="shared" si="161"/>
        <v>8</v>
      </c>
      <c r="K97" s="851">
        <f t="shared" si="161"/>
        <v>9</v>
      </c>
      <c r="L97" s="851">
        <f t="shared" si="161"/>
        <v>10</v>
      </c>
      <c r="M97" s="851">
        <f t="shared" si="161"/>
        <v>11</v>
      </c>
      <c r="N97" s="851">
        <f t="shared" si="161"/>
        <v>12</v>
      </c>
      <c r="O97" s="851">
        <f t="shared" si="161"/>
        <v>13</v>
      </c>
      <c r="P97" s="851">
        <f t="shared" si="161"/>
        <v>14</v>
      </c>
      <c r="Q97" s="851">
        <f t="shared" si="161"/>
        <v>15</v>
      </c>
      <c r="R97" s="851">
        <f t="shared" si="161"/>
        <v>16</v>
      </c>
      <c r="S97" s="851">
        <f t="shared" si="161"/>
        <v>17</v>
      </c>
      <c r="T97" s="851">
        <f t="shared" si="161"/>
        <v>18</v>
      </c>
      <c r="U97" s="851">
        <f t="shared" si="161"/>
        <v>19</v>
      </c>
      <c r="V97" s="851">
        <f t="shared" si="161"/>
        <v>20</v>
      </c>
      <c r="W97" s="1071">
        <f t="shared" si="161"/>
        <v>21</v>
      </c>
      <c r="X97" s="851">
        <f t="shared" si="161"/>
        <v>22</v>
      </c>
      <c r="Y97" s="851">
        <f t="shared" si="161"/>
        <v>23</v>
      </c>
      <c r="Z97" s="851">
        <f t="shared" si="161"/>
        <v>24</v>
      </c>
      <c r="AA97" s="851">
        <f t="shared" si="161"/>
        <v>25</v>
      </c>
      <c r="AB97" s="851">
        <f t="shared" si="161"/>
        <v>26</v>
      </c>
      <c r="AC97" s="851">
        <f t="shared" si="161"/>
        <v>27</v>
      </c>
      <c r="AD97" s="851">
        <f t="shared" si="161"/>
        <v>28</v>
      </c>
      <c r="AE97" s="851">
        <f t="shared" si="161"/>
        <v>29</v>
      </c>
      <c r="AF97" s="851">
        <f t="shared" si="161"/>
        <v>30</v>
      </c>
      <c r="AG97" s="851">
        <f t="shared" si="161"/>
        <v>31</v>
      </c>
      <c r="AH97" s="851">
        <f t="shared" si="161"/>
        <v>32</v>
      </c>
      <c r="AI97" s="851">
        <f t="shared" si="161"/>
        <v>33</v>
      </c>
      <c r="AJ97" s="851">
        <f t="shared" si="161"/>
        <v>34</v>
      </c>
      <c r="AK97" s="851">
        <f t="shared" si="161"/>
        <v>35</v>
      </c>
      <c r="AL97" s="851">
        <f t="shared" si="161"/>
        <v>36</v>
      </c>
      <c r="AM97" s="851">
        <f t="shared" si="161"/>
        <v>37</v>
      </c>
      <c r="AN97" s="851">
        <f t="shared" si="161"/>
        <v>38</v>
      </c>
      <c r="AO97" s="851">
        <f t="shared" si="161"/>
        <v>39</v>
      </c>
      <c r="AP97" s="851">
        <f t="shared" si="161"/>
        <v>40</v>
      </c>
      <c r="AQ97" s="851">
        <f t="shared" si="161"/>
        <v>41</v>
      </c>
      <c r="AR97" s="851">
        <f t="shared" si="161"/>
        <v>42</v>
      </c>
      <c r="AS97" s="851">
        <f t="shared" si="161"/>
        <v>43</v>
      </c>
      <c r="AT97" s="851">
        <f t="shared" si="161"/>
        <v>44</v>
      </c>
      <c r="AU97" s="851">
        <f t="shared" si="161"/>
        <v>45</v>
      </c>
      <c r="AV97" s="851">
        <f t="shared" si="161"/>
        <v>46</v>
      </c>
      <c r="AW97" s="851">
        <f t="shared" si="161"/>
        <v>47</v>
      </c>
      <c r="AX97" s="851">
        <f t="shared" si="161"/>
        <v>48</v>
      </c>
      <c r="AY97" s="851">
        <f t="shared" si="161"/>
        <v>49</v>
      </c>
      <c r="AZ97" s="851">
        <f t="shared" si="161"/>
        <v>50</v>
      </c>
      <c r="BA97" s="851">
        <f t="shared" si="161"/>
        <v>51</v>
      </c>
      <c r="BB97" s="851">
        <f t="shared" si="161"/>
        <v>52</v>
      </c>
      <c r="BC97" s="851">
        <f t="shared" si="161"/>
        <v>53</v>
      </c>
      <c r="BD97" s="851">
        <f t="shared" si="161"/>
        <v>54</v>
      </c>
      <c r="BE97" s="851">
        <f t="shared" si="161"/>
        <v>55</v>
      </c>
      <c r="BF97" s="851">
        <f t="shared" si="161"/>
        <v>56</v>
      </c>
      <c r="BG97" s="851">
        <f t="shared" si="161"/>
        <v>57</v>
      </c>
      <c r="BH97" s="851">
        <f t="shared" si="161"/>
        <v>58</v>
      </c>
      <c r="BI97" s="851">
        <f t="shared" si="161"/>
        <v>59</v>
      </c>
      <c r="BJ97" s="851">
        <f t="shared" si="161"/>
        <v>60</v>
      </c>
      <c r="BK97" s="851">
        <f t="shared" si="161"/>
        <v>61</v>
      </c>
      <c r="BL97" s="851">
        <f t="shared" si="161"/>
        <v>62</v>
      </c>
      <c r="BM97" s="851">
        <f t="shared" si="161"/>
        <v>63</v>
      </c>
      <c r="BN97" s="851">
        <f t="shared" si="161"/>
        <v>64</v>
      </c>
      <c r="BO97" s="851">
        <f t="shared" si="161"/>
        <v>65</v>
      </c>
      <c r="BP97" s="851">
        <f t="shared" ref="BP97:EA97" si="162">BO97+1</f>
        <v>66</v>
      </c>
      <c r="BQ97" s="851">
        <f t="shared" si="162"/>
        <v>67</v>
      </c>
      <c r="BR97" s="851">
        <f t="shared" si="162"/>
        <v>68</v>
      </c>
      <c r="BS97" s="851">
        <f t="shared" si="162"/>
        <v>69</v>
      </c>
      <c r="BT97" s="851">
        <f t="shared" si="162"/>
        <v>70</v>
      </c>
      <c r="BU97" s="851">
        <f t="shared" si="162"/>
        <v>71</v>
      </c>
      <c r="BV97" s="851">
        <f t="shared" si="162"/>
        <v>72</v>
      </c>
      <c r="BW97" s="851">
        <f t="shared" si="162"/>
        <v>73</v>
      </c>
      <c r="BX97" s="851">
        <f t="shared" si="162"/>
        <v>74</v>
      </c>
      <c r="BY97" s="851">
        <f t="shared" si="162"/>
        <v>75</v>
      </c>
      <c r="BZ97" s="851">
        <f t="shared" si="162"/>
        <v>76</v>
      </c>
      <c r="CA97" s="851">
        <f t="shared" si="162"/>
        <v>77</v>
      </c>
      <c r="CB97" s="851">
        <f t="shared" si="162"/>
        <v>78</v>
      </c>
      <c r="CC97" s="851">
        <f t="shared" si="162"/>
        <v>79</v>
      </c>
      <c r="CD97" s="851">
        <f t="shared" si="162"/>
        <v>80</v>
      </c>
      <c r="CE97" s="851">
        <f t="shared" si="162"/>
        <v>81</v>
      </c>
      <c r="CF97" s="851">
        <f t="shared" si="162"/>
        <v>82</v>
      </c>
      <c r="CG97" s="851">
        <f t="shared" si="162"/>
        <v>83</v>
      </c>
      <c r="CH97" s="851">
        <f t="shared" si="162"/>
        <v>84</v>
      </c>
      <c r="CI97" s="851">
        <f t="shared" si="162"/>
        <v>85</v>
      </c>
      <c r="CJ97" s="851">
        <f t="shared" si="162"/>
        <v>86</v>
      </c>
      <c r="CK97" s="851">
        <f t="shared" si="162"/>
        <v>87</v>
      </c>
      <c r="CL97" s="851">
        <f t="shared" si="162"/>
        <v>88</v>
      </c>
      <c r="CM97" s="851">
        <f t="shared" si="162"/>
        <v>89</v>
      </c>
      <c r="CN97" s="851">
        <f t="shared" si="162"/>
        <v>90</v>
      </c>
      <c r="CO97" s="851">
        <f t="shared" si="162"/>
        <v>91</v>
      </c>
      <c r="CP97" s="851">
        <f t="shared" si="162"/>
        <v>92</v>
      </c>
      <c r="CQ97" s="851">
        <f t="shared" si="162"/>
        <v>93</v>
      </c>
      <c r="CR97" s="851">
        <f t="shared" si="162"/>
        <v>94</v>
      </c>
      <c r="CS97" s="851">
        <f t="shared" si="162"/>
        <v>95</v>
      </c>
      <c r="CT97" s="851">
        <f t="shared" si="162"/>
        <v>96</v>
      </c>
      <c r="CU97" s="851">
        <f t="shared" si="162"/>
        <v>97</v>
      </c>
      <c r="CV97" s="851">
        <f t="shared" si="162"/>
        <v>98</v>
      </c>
      <c r="CW97" s="851">
        <f t="shared" si="162"/>
        <v>99</v>
      </c>
      <c r="CX97" s="851">
        <f t="shared" si="162"/>
        <v>100</v>
      </c>
      <c r="CY97" s="851">
        <f t="shared" si="162"/>
        <v>101</v>
      </c>
      <c r="CZ97" s="851">
        <f t="shared" si="162"/>
        <v>102</v>
      </c>
      <c r="DA97" s="851">
        <f t="shared" si="162"/>
        <v>103</v>
      </c>
      <c r="DB97" s="851">
        <f t="shared" si="162"/>
        <v>104</v>
      </c>
      <c r="DC97" s="851">
        <f t="shared" si="162"/>
        <v>105</v>
      </c>
      <c r="DD97" s="851">
        <f t="shared" si="162"/>
        <v>106</v>
      </c>
      <c r="DE97" s="851">
        <f t="shared" si="162"/>
        <v>107</v>
      </c>
      <c r="DF97" s="851">
        <f t="shared" si="162"/>
        <v>108</v>
      </c>
      <c r="DG97" s="851">
        <f t="shared" si="162"/>
        <v>109</v>
      </c>
      <c r="DH97" s="851">
        <f t="shared" si="162"/>
        <v>110</v>
      </c>
      <c r="DI97" s="851">
        <f t="shared" si="162"/>
        <v>111</v>
      </c>
      <c r="DJ97" s="851">
        <f t="shared" si="162"/>
        <v>112</v>
      </c>
      <c r="DK97" s="851">
        <f t="shared" si="162"/>
        <v>113</v>
      </c>
      <c r="DL97" s="851">
        <f t="shared" si="162"/>
        <v>114</v>
      </c>
      <c r="DM97" s="851">
        <f t="shared" si="162"/>
        <v>115</v>
      </c>
      <c r="DN97" s="851">
        <f t="shared" si="162"/>
        <v>116</v>
      </c>
      <c r="DO97" s="851">
        <f t="shared" si="162"/>
        <v>117</v>
      </c>
      <c r="DP97" s="851">
        <f t="shared" si="162"/>
        <v>118</v>
      </c>
      <c r="DQ97" s="851">
        <f t="shared" si="162"/>
        <v>119</v>
      </c>
      <c r="DR97" s="851">
        <f t="shared" si="162"/>
        <v>120</v>
      </c>
      <c r="DS97" s="851">
        <f t="shared" si="162"/>
        <v>121</v>
      </c>
      <c r="DT97" s="851">
        <f t="shared" si="162"/>
        <v>122</v>
      </c>
      <c r="DU97" s="851">
        <f t="shared" si="162"/>
        <v>123</v>
      </c>
      <c r="DV97" s="851">
        <f t="shared" si="162"/>
        <v>124</v>
      </c>
      <c r="DW97" s="851">
        <f t="shared" si="162"/>
        <v>125</v>
      </c>
      <c r="DX97" s="851">
        <f t="shared" si="162"/>
        <v>126</v>
      </c>
      <c r="DY97" s="851">
        <f t="shared" si="162"/>
        <v>127</v>
      </c>
      <c r="DZ97" s="851">
        <f t="shared" si="162"/>
        <v>128</v>
      </c>
      <c r="EA97" s="851">
        <f t="shared" si="162"/>
        <v>129</v>
      </c>
      <c r="EB97" s="851">
        <f t="shared" ref="EB97:GM97" si="163">EA97+1</f>
        <v>130</v>
      </c>
      <c r="EC97" s="851">
        <f t="shared" si="163"/>
        <v>131</v>
      </c>
      <c r="ED97" s="851">
        <f t="shared" si="163"/>
        <v>132</v>
      </c>
      <c r="EE97" s="851">
        <f t="shared" si="163"/>
        <v>133</v>
      </c>
      <c r="EF97" s="851">
        <f t="shared" si="163"/>
        <v>134</v>
      </c>
      <c r="EG97" s="851">
        <f t="shared" si="163"/>
        <v>135</v>
      </c>
      <c r="EH97" s="851">
        <f t="shared" si="163"/>
        <v>136</v>
      </c>
      <c r="EI97" s="851">
        <f t="shared" si="163"/>
        <v>137</v>
      </c>
      <c r="EJ97" s="851">
        <f t="shared" si="163"/>
        <v>138</v>
      </c>
      <c r="EK97" s="851">
        <f t="shared" si="163"/>
        <v>139</v>
      </c>
      <c r="EL97" s="851">
        <f t="shared" si="163"/>
        <v>140</v>
      </c>
      <c r="EM97" s="851">
        <f t="shared" si="163"/>
        <v>141</v>
      </c>
      <c r="EN97" s="851">
        <f t="shared" si="163"/>
        <v>142</v>
      </c>
      <c r="EO97" s="851">
        <f t="shared" si="163"/>
        <v>143</v>
      </c>
      <c r="EP97" s="851">
        <f t="shared" si="163"/>
        <v>144</v>
      </c>
      <c r="EQ97" s="851">
        <f t="shared" si="163"/>
        <v>145</v>
      </c>
      <c r="ER97" s="851">
        <f t="shared" si="163"/>
        <v>146</v>
      </c>
      <c r="ES97" s="851">
        <f t="shared" si="163"/>
        <v>147</v>
      </c>
      <c r="ET97" s="851">
        <f t="shared" si="163"/>
        <v>148</v>
      </c>
      <c r="EU97" s="851">
        <f t="shared" si="163"/>
        <v>149</v>
      </c>
      <c r="EV97" s="851">
        <f t="shared" si="163"/>
        <v>150</v>
      </c>
      <c r="EW97" s="851">
        <f t="shared" si="163"/>
        <v>151</v>
      </c>
      <c r="EX97" s="851">
        <f t="shared" si="163"/>
        <v>152</v>
      </c>
      <c r="EY97" s="851">
        <f t="shared" si="163"/>
        <v>153</v>
      </c>
      <c r="EZ97" s="851">
        <f t="shared" si="163"/>
        <v>154</v>
      </c>
      <c r="FA97" s="851">
        <f t="shared" si="163"/>
        <v>155</v>
      </c>
      <c r="FB97" s="851">
        <f t="shared" si="163"/>
        <v>156</v>
      </c>
      <c r="FC97" s="851">
        <f t="shared" si="163"/>
        <v>157</v>
      </c>
      <c r="FD97" s="851">
        <f t="shared" si="163"/>
        <v>158</v>
      </c>
      <c r="FE97" s="851">
        <f t="shared" si="163"/>
        <v>159</v>
      </c>
      <c r="FF97" s="851">
        <f t="shared" si="163"/>
        <v>160</v>
      </c>
      <c r="FG97" s="851">
        <f t="shared" si="163"/>
        <v>161</v>
      </c>
      <c r="FH97" s="851">
        <f t="shared" si="163"/>
        <v>162</v>
      </c>
      <c r="FI97" s="851">
        <f t="shared" si="163"/>
        <v>163</v>
      </c>
      <c r="FJ97" s="851">
        <f t="shared" si="163"/>
        <v>164</v>
      </c>
      <c r="FK97" s="851">
        <f t="shared" si="163"/>
        <v>165</v>
      </c>
      <c r="FL97" s="851">
        <f t="shared" si="163"/>
        <v>166</v>
      </c>
      <c r="FM97" s="851">
        <f t="shared" si="163"/>
        <v>167</v>
      </c>
      <c r="FN97" s="851">
        <f t="shared" si="163"/>
        <v>168</v>
      </c>
      <c r="FO97" s="851">
        <f t="shared" si="163"/>
        <v>169</v>
      </c>
      <c r="FP97" s="851">
        <f t="shared" si="163"/>
        <v>170</v>
      </c>
      <c r="FQ97" s="851">
        <f t="shared" si="163"/>
        <v>171</v>
      </c>
      <c r="FR97" s="851">
        <f t="shared" si="163"/>
        <v>172</v>
      </c>
      <c r="FS97" s="851">
        <f t="shared" si="163"/>
        <v>173</v>
      </c>
      <c r="FT97" s="851">
        <f t="shared" si="163"/>
        <v>174</v>
      </c>
      <c r="FU97" s="851">
        <f t="shared" si="163"/>
        <v>175</v>
      </c>
      <c r="FV97" s="851">
        <f t="shared" si="163"/>
        <v>176</v>
      </c>
      <c r="FW97" s="851">
        <f t="shared" si="163"/>
        <v>177</v>
      </c>
      <c r="FX97" s="851">
        <f t="shared" si="163"/>
        <v>178</v>
      </c>
      <c r="FY97" s="851">
        <f t="shared" si="163"/>
        <v>179</v>
      </c>
      <c r="FZ97" s="851">
        <f t="shared" si="163"/>
        <v>180</v>
      </c>
      <c r="GA97" s="851">
        <f t="shared" si="163"/>
        <v>181</v>
      </c>
      <c r="GB97" s="851">
        <f t="shared" si="163"/>
        <v>182</v>
      </c>
      <c r="GC97" s="851">
        <f t="shared" si="163"/>
        <v>183</v>
      </c>
      <c r="GD97" s="851">
        <f t="shared" si="163"/>
        <v>184</v>
      </c>
      <c r="GE97" s="851">
        <f t="shared" si="163"/>
        <v>185</v>
      </c>
      <c r="GF97" s="851">
        <f t="shared" si="163"/>
        <v>186</v>
      </c>
      <c r="GG97" s="851">
        <f t="shared" si="163"/>
        <v>187</v>
      </c>
      <c r="GH97" s="851">
        <f t="shared" si="163"/>
        <v>188</v>
      </c>
      <c r="GI97" s="851">
        <f t="shared" si="163"/>
        <v>189</v>
      </c>
      <c r="GJ97" s="851">
        <f t="shared" si="163"/>
        <v>190</v>
      </c>
      <c r="GK97" s="851">
        <f t="shared" si="163"/>
        <v>191</v>
      </c>
      <c r="GL97" s="851">
        <f t="shared" si="163"/>
        <v>192</v>
      </c>
      <c r="GM97" s="851">
        <f t="shared" si="163"/>
        <v>193</v>
      </c>
      <c r="GN97" s="851">
        <f t="shared" ref="GN97:IR97" si="164">GM97+1</f>
        <v>194</v>
      </c>
      <c r="GO97" s="851">
        <f t="shared" si="164"/>
        <v>195</v>
      </c>
      <c r="GP97" s="851">
        <f t="shared" si="164"/>
        <v>196</v>
      </c>
      <c r="GQ97" s="851">
        <f t="shared" si="164"/>
        <v>197</v>
      </c>
      <c r="GR97" s="851">
        <f t="shared" si="164"/>
        <v>198</v>
      </c>
      <c r="GS97" s="851">
        <f t="shared" si="164"/>
        <v>199</v>
      </c>
      <c r="GT97" s="851">
        <f t="shared" si="164"/>
        <v>200</v>
      </c>
      <c r="GU97" s="851">
        <f t="shared" si="164"/>
        <v>201</v>
      </c>
      <c r="GV97" s="851">
        <f t="shared" si="164"/>
        <v>202</v>
      </c>
      <c r="GW97" s="851">
        <f t="shared" si="164"/>
        <v>203</v>
      </c>
      <c r="GX97" s="851">
        <f t="shared" si="164"/>
        <v>204</v>
      </c>
      <c r="GY97" s="851">
        <f t="shared" si="164"/>
        <v>205</v>
      </c>
      <c r="GZ97" s="851">
        <f t="shared" si="164"/>
        <v>206</v>
      </c>
      <c r="HA97" s="851">
        <f t="shared" si="164"/>
        <v>207</v>
      </c>
      <c r="HB97" s="851">
        <f t="shared" si="164"/>
        <v>208</v>
      </c>
      <c r="HC97" s="851">
        <f t="shared" si="164"/>
        <v>209</v>
      </c>
      <c r="HD97" s="851">
        <f t="shared" si="164"/>
        <v>210</v>
      </c>
      <c r="HE97" s="851">
        <f t="shared" si="164"/>
        <v>211</v>
      </c>
      <c r="HF97" s="851">
        <f t="shared" si="164"/>
        <v>212</v>
      </c>
      <c r="HG97" s="851">
        <f t="shared" si="164"/>
        <v>213</v>
      </c>
      <c r="HH97" s="851">
        <f t="shared" si="164"/>
        <v>214</v>
      </c>
      <c r="HI97" s="851">
        <f t="shared" si="164"/>
        <v>215</v>
      </c>
      <c r="HJ97" s="851">
        <f t="shared" si="164"/>
        <v>216</v>
      </c>
      <c r="HK97" s="851">
        <f t="shared" si="164"/>
        <v>217</v>
      </c>
      <c r="HL97" s="851">
        <f t="shared" si="164"/>
        <v>218</v>
      </c>
      <c r="HM97" s="851">
        <f t="shared" si="164"/>
        <v>219</v>
      </c>
      <c r="HN97" s="851">
        <f t="shared" si="164"/>
        <v>220</v>
      </c>
      <c r="HO97" s="851">
        <f t="shared" si="164"/>
        <v>221</v>
      </c>
      <c r="HP97" s="851">
        <f t="shared" si="164"/>
        <v>222</v>
      </c>
      <c r="HQ97" s="851">
        <f t="shared" si="164"/>
        <v>223</v>
      </c>
      <c r="HR97" s="851">
        <f t="shared" si="164"/>
        <v>224</v>
      </c>
      <c r="HS97" s="851">
        <f t="shared" si="164"/>
        <v>225</v>
      </c>
      <c r="HT97" s="851">
        <f t="shared" si="164"/>
        <v>226</v>
      </c>
      <c r="HU97" s="851">
        <f t="shared" si="164"/>
        <v>227</v>
      </c>
      <c r="HV97" s="851">
        <f t="shared" si="164"/>
        <v>228</v>
      </c>
      <c r="HW97" s="851">
        <f t="shared" si="164"/>
        <v>229</v>
      </c>
      <c r="HX97" s="851">
        <f t="shared" si="164"/>
        <v>230</v>
      </c>
      <c r="HY97" s="851">
        <f t="shared" si="164"/>
        <v>231</v>
      </c>
      <c r="HZ97" s="851">
        <f t="shared" si="164"/>
        <v>232</v>
      </c>
      <c r="IA97" s="851">
        <f t="shared" si="164"/>
        <v>233</v>
      </c>
      <c r="IB97" s="851">
        <f t="shared" si="164"/>
        <v>234</v>
      </c>
      <c r="IC97" s="851">
        <f t="shared" si="164"/>
        <v>235</v>
      </c>
      <c r="ID97" s="851">
        <f t="shared" si="164"/>
        <v>236</v>
      </c>
      <c r="IE97" s="851">
        <f t="shared" si="164"/>
        <v>237</v>
      </c>
      <c r="IF97" s="851">
        <f t="shared" si="164"/>
        <v>238</v>
      </c>
      <c r="IG97" s="851">
        <f t="shared" si="164"/>
        <v>239</v>
      </c>
      <c r="IH97" s="851">
        <f t="shared" si="164"/>
        <v>240</v>
      </c>
      <c r="II97" s="851">
        <f t="shared" si="164"/>
        <v>241</v>
      </c>
      <c r="IJ97" s="851">
        <f t="shared" si="164"/>
        <v>242</v>
      </c>
      <c r="IK97" s="851">
        <f t="shared" si="164"/>
        <v>243</v>
      </c>
      <c r="IL97" s="851">
        <f t="shared" si="164"/>
        <v>244</v>
      </c>
      <c r="IM97" s="851">
        <f t="shared" si="164"/>
        <v>245</v>
      </c>
      <c r="IN97" s="851">
        <f t="shared" si="164"/>
        <v>246</v>
      </c>
      <c r="IO97" s="851">
        <f t="shared" si="164"/>
        <v>247</v>
      </c>
      <c r="IP97" s="851">
        <f t="shared" si="164"/>
        <v>248</v>
      </c>
      <c r="IQ97" s="851">
        <f t="shared" si="164"/>
        <v>249</v>
      </c>
      <c r="IR97" s="851">
        <f t="shared" si="164"/>
        <v>250</v>
      </c>
    </row>
    <row r="98" spans="1:252" ht="11.85" hidden="1" customHeight="1" outlineLevel="1">
      <c r="A98" s="851"/>
      <c r="B98" s="851"/>
      <c r="C98" s="1070" t="str">
        <f t="shared" ref="C98:BN98" si="165">IF(C97&lt;=$I20,"E",IF(C97&lt;=$C14,"T","S"))</f>
        <v>E</v>
      </c>
      <c r="D98" s="1070" t="str">
        <f t="shared" si="165"/>
        <v>E</v>
      </c>
      <c r="E98" s="1070" t="str">
        <f t="shared" si="165"/>
        <v>E</v>
      </c>
      <c r="F98" s="1070" t="str">
        <f t="shared" si="165"/>
        <v>E</v>
      </c>
      <c r="G98" s="1070" t="str">
        <f t="shared" si="165"/>
        <v>T</v>
      </c>
      <c r="H98" s="1070" t="str">
        <f t="shared" si="165"/>
        <v>T</v>
      </c>
      <c r="I98" s="1070" t="str">
        <f t="shared" si="165"/>
        <v>T</v>
      </c>
      <c r="J98" s="1070" t="str">
        <f t="shared" si="165"/>
        <v>T</v>
      </c>
      <c r="K98" s="1070" t="str">
        <f t="shared" si="165"/>
        <v>T</v>
      </c>
      <c r="L98" s="1070" t="str">
        <f t="shared" si="165"/>
        <v>T</v>
      </c>
      <c r="M98" s="1070" t="str">
        <f t="shared" si="165"/>
        <v>T</v>
      </c>
      <c r="N98" s="1070" t="str">
        <f t="shared" si="165"/>
        <v>T</v>
      </c>
      <c r="O98" s="1070" t="str">
        <f t="shared" si="165"/>
        <v>T</v>
      </c>
      <c r="P98" s="1070" t="str">
        <f t="shared" si="165"/>
        <v>T</v>
      </c>
      <c r="Q98" s="1070" t="str">
        <f t="shared" si="165"/>
        <v>T</v>
      </c>
      <c r="R98" s="1070" t="str">
        <f t="shared" si="165"/>
        <v>T</v>
      </c>
      <c r="S98" s="1070" t="str">
        <f t="shared" si="165"/>
        <v>T</v>
      </c>
      <c r="T98" s="1070" t="str">
        <f t="shared" si="165"/>
        <v>T</v>
      </c>
      <c r="U98" s="1070" t="str">
        <f t="shared" si="165"/>
        <v>T</v>
      </c>
      <c r="V98" s="1070" t="str">
        <f t="shared" si="165"/>
        <v>T</v>
      </c>
      <c r="W98" s="1072" t="str">
        <f t="shared" si="165"/>
        <v>S</v>
      </c>
      <c r="X98" s="1070" t="str">
        <f t="shared" si="165"/>
        <v>S</v>
      </c>
      <c r="Y98" s="1070" t="str">
        <f t="shared" si="165"/>
        <v>S</v>
      </c>
      <c r="Z98" s="1070" t="str">
        <f t="shared" si="165"/>
        <v>S</v>
      </c>
      <c r="AA98" s="1070" t="str">
        <f t="shared" si="165"/>
        <v>S</v>
      </c>
      <c r="AB98" s="1070" t="str">
        <f t="shared" si="165"/>
        <v>S</v>
      </c>
      <c r="AC98" s="1070" t="str">
        <f t="shared" si="165"/>
        <v>S</v>
      </c>
      <c r="AD98" s="1070" t="str">
        <f t="shared" si="165"/>
        <v>S</v>
      </c>
      <c r="AE98" s="1070" t="str">
        <f t="shared" si="165"/>
        <v>S</v>
      </c>
      <c r="AF98" s="1070" t="str">
        <f t="shared" si="165"/>
        <v>S</v>
      </c>
      <c r="AG98" s="1070" t="str">
        <f t="shared" si="165"/>
        <v>S</v>
      </c>
      <c r="AH98" s="1070" t="str">
        <f t="shared" si="165"/>
        <v>S</v>
      </c>
      <c r="AI98" s="1070" t="str">
        <f t="shared" si="165"/>
        <v>S</v>
      </c>
      <c r="AJ98" s="1070" t="str">
        <f t="shared" si="165"/>
        <v>S</v>
      </c>
      <c r="AK98" s="1070" t="str">
        <f t="shared" si="165"/>
        <v>S</v>
      </c>
      <c r="AL98" s="1070" t="str">
        <f t="shared" si="165"/>
        <v>S</v>
      </c>
      <c r="AM98" s="1070" t="str">
        <f t="shared" si="165"/>
        <v>S</v>
      </c>
      <c r="AN98" s="1070" t="str">
        <f t="shared" si="165"/>
        <v>S</v>
      </c>
      <c r="AO98" s="1070" t="str">
        <f t="shared" si="165"/>
        <v>S</v>
      </c>
      <c r="AP98" s="1070" t="str">
        <f t="shared" si="165"/>
        <v>S</v>
      </c>
      <c r="AQ98" s="1070" t="str">
        <f t="shared" si="165"/>
        <v>S</v>
      </c>
      <c r="AR98" s="1070" t="str">
        <f t="shared" si="165"/>
        <v>S</v>
      </c>
      <c r="AS98" s="1070" t="str">
        <f t="shared" si="165"/>
        <v>S</v>
      </c>
      <c r="AT98" s="1070" t="str">
        <f t="shared" si="165"/>
        <v>S</v>
      </c>
      <c r="AU98" s="1070" t="str">
        <f t="shared" si="165"/>
        <v>S</v>
      </c>
      <c r="AV98" s="1070" t="str">
        <f t="shared" si="165"/>
        <v>S</v>
      </c>
      <c r="AW98" s="1070" t="str">
        <f t="shared" si="165"/>
        <v>S</v>
      </c>
      <c r="AX98" s="1070" t="str">
        <f t="shared" si="165"/>
        <v>S</v>
      </c>
      <c r="AY98" s="1070" t="str">
        <f t="shared" si="165"/>
        <v>S</v>
      </c>
      <c r="AZ98" s="1070" t="str">
        <f t="shared" si="165"/>
        <v>S</v>
      </c>
      <c r="BA98" s="1070" t="str">
        <f t="shared" si="165"/>
        <v>S</v>
      </c>
      <c r="BB98" s="1070" t="str">
        <f t="shared" si="165"/>
        <v>S</v>
      </c>
      <c r="BC98" s="1070" t="str">
        <f t="shared" si="165"/>
        <v>S</v>
      </c>
      <c r="BD98" s="1070" t="str">
        <f t="shared" si="165"/>
        <v>S</v>
      </c>
      <c r="BE98" s="1070" t="str">
        <f t="shared" si="165"/>
        <v>S</v>
      </c>
      <c r="BF98" s="1070" t="str">
        <f t="shared" si="165"/>
        <v>S</v>
      </c>
      <c r="BG98" s="1070" t="str">
        <f t="shared" si="165"/>
        <v>S</v>
      </c>
      <c r="BH98" s="1070" t="str">
        <f t="shared" si="165"/>
        <v>S</v>
      </c>
      <c r="BI98" s="1070" t="str">
        <f t="shared" si="165"/>
        <v>S</v>
      </c>
      <c r="BJ98" s="1070" t="str">
        <f t="shared" si="165"/>
        <v>S</v>
      </c>
      <c r="BK98" s="1070" t="str">
        <f t="shared" si="165"/>
        <v>S</v>
      </c>
      <c r="BL98" s="1070" t="str">
        <f t="shared" si="165"/>
        <v>S</v>
      </c>
      <c r="BM98" s="1070" t="str">
        <f t="shared" si="165"/>
        <v>S</v>
      </c>
      <c r="BN98" s="1070" t="str">
        <f t="shared" si="165"/>
        <v>S</v>
      </c>
      <c r="BO98" s="1070" t="str">
        <f t="shared" ref="BO98:DZ98" si="166">IF(BO97&lt;=$I20,"E",IF(BO97&lt;=$C14,"T","S"))</f>
        <v>S</v>
      </c>
      <c r="BP98" s="1070" t="str">
        <f t="shared" si="166"/>
        <v>S</v>
      </c>
      <c r="BQ98" s="1070" t="str">
        <f t="shared" si="166"/>
        <v>S</v>
      </c>
      <c r="BR98" s="1070" t="str">
        <f t="shared" si="166"/>
        <v>S</v>
      </c>
      <c r="BS98" s="1070" t="str">
        <f t="shared" si="166"/>
        <v>S</v>
      </c>
      <c r="BT98" s="1070" t="str">
        <f t="shared" si="166"/>
        <v>S</v>
      </c>
      <c r="BU98" s="1070" t="str">
        <f t="shared" si="166"/>
        <v>S</v>
      </c>
      <c r="BV98" s="1070" t="str">
        <f t="shared" si="166"/>
        <v>S</v>
      </c>
      <c r="BW98" s="1070" t="str">
        <f t="shared" si="166"/>
        <v>S</v>
      </c>
      <c r="BX98" s="1070" t="str">
        <f t="shared" si="166"/>
        <v>S</v>
      </c>
      <c r="BY98" s="1070" t="str">
        <f t="shared" si="166"/>
        <v>S</v>
      </c>
      <c r="BZ98" s="1070" t="str">
        <f t="shared" si="166"/>
        <v>S</v>
      </c>
      <c r="CA98" s="1070" t="str">
        <f t="shared" si="166"/>
        <v>S</v>
      </c>
      <c r="CB98" s="1070" t="str">
        <f t="shared" si="166"/>
        <v>S</v>
      </c>
      <c r="CC98" s="1070" t="str">
        <f t="shared" si="166"/>
        <v>S</v>
      </c>
      <c r="CD98" s="1070" t="str">
        <f t="shared" si="166"/>
        <v>S</v>
      </c>
      <c r="CE98" s="1070" t="str">
        <f t="shared" si="166"/>
        <v>S</v>
      </c>
      <c r="CF98" s="1070" t="str">
        <f t="shared" si="166"/>
        <v>S</v>
      </c>
      <c r="CG98" s="1070" t="str">
        <f t="shared" si="166"/>
        <v>S</v>
      </c>
      <c r="CH98" s="1070" t="str">
        <f t="shared" si="166"/>
        <v>S</v>
      </c>
      <c r="CI98" s="1070" t="str">
        <f t="shared" si="166"/>
        <v>S</v>
      </c>
      <c r="CJ98" s="1070" t="str">
        <f t="shared" si="166"/>
        <v>S</v>
      </c>
      <c r="CK98" s="1070" t="str">
        <f t="shared" si="166"/>
        <v>S</v>
      </c>
      <c r="CL98" s="1070" t="str">
        <f t="shared" si="166"/>
        <v>S</v>
      </c>
      <c r="CM98" s="1070" t="str">
        <f t="shared" si="166"/>
        <v>S</v>
      </c>
      <c r="CN98" s="1070" t="str">
        <f t="shared" si="166"/>
        <v>S</v>
      </c>
      <c r="CO98" s="1070" t="str">
        <f t="shared" si="166"/>
        <v>S</v>
      </c>
      <c r="CP98" s="1070" t="str">
        <f t="shared" si="166"/>
        <v>S</v>
      </c>
      <c r="CQ98" s="1070" t="str">
        <f t="shared" si="166"/>
        <v>S</v>
      </c>
      <c r="CR98" s="1070" t="str">
        <f t="shared" si="166"/>
        <v>S</v>
      </c>
      <c r="CS98" s="1070" t="str">
        <f t="shared" si="166"/>
        <v>S</v>
      </c>
      <c r="CT98" s="1070" t="str">
        <f t="shared" si="166"/>
        <v>S</v>
      </c>
      <c r="CU98" s="1070" t="str">
        <f t="shared" si="166"/>
        <v>S</v>
      </c>
      <c r="CV98" s="1070" t="str">
        <f t="shared" si="166"/>
        <v>S</v>
      </c>
      <c r="CW98" s="1070" t="str">
        <f t="shared" si="166"/>
        <v>S</v>
      </c>
      <c r="CX98" s="1070" t="str">
        <f t="shared" si="166"/>
        <v>S</v>
      </c>
      <c r="CY98" s="1070" t="str">
        <f t="shared" si="166"/>
        <v>S</v>
      </c>
      <c r="CZ98" s="1070" t="str">
        <f t="shared" si="166"/>
        <v>S</v>
      </c>
      <c r="DA98" s="1070" t="str">
        <f t="shared" si="166"/>
        <v>S</v>
      </c>
      <c r="DB98" s="1070" t="str">
        <f t="shared" si="166"/>
        <v>S</v>
      </c>
      <c r="DC98" s="1070" t="str">
        <f t="shared" si="166"/>
        <v>S</v>
      </c>
      <c r="DD98" s="1070" t="str">
        <f t="shared" si="166"/>
        <v>S</v>
      </c>
      <c r="DE98" s="1070" t="str">
        <f t="shared" si="166"/>
        <v>S</v>
      </c>
      <c r="DF98" s="1070" t="str">
        <f t="shared" si="166"/>
        <v>S</v>
      </c>
      <c r="DG98" s="1070" t="str">
        <f t="shared" si="166"/>
        <v>S</v>
      </c>
      <c r="DH98" s="1070" t="str">
        <f t="shared" si="166"/>
        <v>S</v>
      </c>
      <c r="DI98" s="1070" t="str">
        <f t="shared" si="166"/>
        <v>S</v>
      </c>
      <c r="DJ98" s="1070" t="str">
        <f t="shared" si="166"/>
        <v>S</v>
      </c>
      <c r="DK98" s="1070" t="str">
        <f t="shared" si="166"/>
        <v>S</v>
      </c>
      <c r="DL98" s="1070" t="str">
        <f t="shared" si="166"/>
        <v>S</v>
      </c>
      <c r="DM98" s="1070" t="str">
        <f t="shared" si="166"/>
        <v>S</v>
      </c>
      <c r="DN98" s="1070" t="str">
        <f t="shared" si="166"/>
        <v>S</v>
      </c>
      <c r="DO98" s="1070" t="str">
        <f t="shared" si="166"/>
        <v>S</v>
      </c>
      <c r="DP98" s="1070" t="str">
        <f t="shared" si="166"/>
        <v>S</v>
      </c>
      <c r="DQ98" s="1070" t="str">
        <f t="shared" si="166"/>
        <v>S</v>
      </c>
      <c r="DR98" s="1070" t="str">
        <f t="shared" si="166"/>
        <v>S</v>
      </c>
      <c r="DS98" s="1070" t="str">
        <f t="shared" si="166"/>
        <v>S</v>
      </c>
      <c r="DT98" s="1070" t="str">
        <f t="shared" si="166"/>
        <v>S</v>
      </c>
      <c r="DU98" s="1070" t="str">
        <f t="shared" si="166"/>
        <v>S</v>
      </c>
      <c r="DV98" s="1070" t="str">
        <f t="shared" si="166"/>
        <v>S</v>
      </c>
      <c r="DW98" s="1070" t="str">
        <f t="shared" si="166"/>
        <v>S</v>
      </c>
      <c r="DX98" s="1070" t="str">
        <f t="shared" si="166"/>
        <v>S</v>
      </c>
      <c r="DY98" s="1070" t="str">
        <f t="shared" si="166"/>
        <v>S</v>
      </c>
      <c r="DZ98" s="1070" t="str">
        <f t="shared" si="166"/>
        <v>S</v>
      </c>
      <c r="EA98" s="1070" t="str">
        <f t="shared" ref="EA98:GL98" si="167">IF(EA97&lt;=$I20,"E",IF(EA97&lt;=$C14,"T","S"))</f>
        <v>S</v>
      </c>
      <c r="EB98" s="1070" t="str">
        <f t="shared" si="167"/>
        <v>S</v>
      </c>
      <c r="EC98" s="1070" t="str">
        <f t="shared" si="167"/>
        <v>S</v>
      </c>
      <c r="ED98" s="1070" t="str">
        <f t="shared" si="167"/>
        <v>S</v>
      </c>
      <c r="EE98" s="1070" t="str">
        <f t="shared" si="167"/>
        <v>S</v>
      </c>
      <c r="EF98" s="1070" t="str">
        <f t="shared" si="167"/>
        <v>S</v>
      </c>
      <c r="EG98" s="1070" t="str">
        <f t="shared" si="167"/>
        <v>S</v>
      </c>
      <c r="EH98" s="1070" t="str">
        <f t="shared" si="167"/>
        <v>S</v>
      </c>
      <c r="EI98" s="1070" t="str">
        <f t="shared" si="167"/>
        <v>S</v>
      </c>
      <c r="EJ98" s="1070" t="str">
        <f t="shared" si="167"/>
        <v>S</v>
      </c>
      <c r="EK98" s="1070" t="str">
        <f t="shared" si="167"/>
        <v>S</v>
      </c>
      <c r="EL98" s="1070" t="str">
        <f t="shared" si="167"/>
        <v>S</v>
      </c>
      <c r="EM98" s="1070" t="str">
        <f t="shared" si="167"/>
        <v>S</v>
      </c>
      <c r="EN98" s="1070" t="str">
        <f t="shared" si="167"/>
        <v>S</v>
      </c>
      <c r="EO98" s="1070" t="str">
        <f t="shared" si="167"/>
        <v>S</v>
      </c>
      <c r="EP98" s="1070" t="str">
        <f t="shared" si="167"/>
        <v>S</v>
      </c>
      <c r="EQ98" s="1070" t="str">
        <f t="shared" si="167"/>
        <v>S</v>
      </c>
      <c r="ER98" s="1070" t="str">
        <f t="shared" si="167"/>
        <v>S</v>
      </c>
      <c r="ES98" s="1070" t="str">
        <f t="shared" si="167"/>
        <v>S</v>
      </c>
      <c r="ET98" s="1070" t="str">
        <f t="shared" si="167"/>
        <v>S</v>
      </c>
      <c r="EU98" s="1070" t="str">
        <f t="shared" si="167"/>
        <v>S</v>
      </c>
      <c r="EV98" s="1070" t="str">
        <f t="shared" si="167"/>
        <v>S</v>
      </c>
      <c r="EW98" s="1070" t="str">
        <f t="shared" si="167"/>
        <v>S</v>
      </c>
      <c r="EX98" s="1070" t="str">
        <f t="shared" si="167"/>
        <v>S</v>
      </c>
      <c r="EY98" s="1070" t="str">
        <f t="shared" si="167"/>
        <v>S</v>
      </c>
      <c r="EZ98" s="1070" t="str">
        <f t="shared" si="167"/>
        <v>S</v>
      </c>
      <c r="FA98" s="1070" t="str">
        <f t="shared" si="167"/>
        <v>S</v>
      </c>
      <c r="FB98" s="1070" t="str">
        <f t="shared" si="167"/>
        <v>S</v>
      </c>
      <c r="FC98" s="1070" t="str">
        <f t="shared" si="167"/>
        <v>S</v>
      </c>
      <c r="FD98" s="1070" t="str">
        <f t="shared" si="167"/>
        <v>S</v>
      </c>
      <c r="FE98" s="1070" t="str">
        <f t="shared" si="167"/>
        <v>S</v>
      </c>
      <c r="FF98" s="1070" t="str">
        <f t="shared" si="167"/>
        <v>S</v>
      </c>
      <c r="FG98" s="1070" t="str">
        <f t="shared" si="167"/>
        <v>S</v>
      </c>
      <c r="FH98" s="1070" t="str">
        <f t="shared" si="167"/>
        <v>S</v>
      </c>
      <c r="FI98" s="1070" t="str">
        <f t="shared" si="167"/>
        <v>S</v>
      </c>
      <c r="FJ98" s="1070" t="str">
        <f t="shared" si="167"/>
        <v>S</v>
      </c>
      <c r="FK98" s="1070" t="str">
        <f t="shared" si="167"/>
        <v>S</v>
      </c>
      <c r="FL98" s="1070" t="str">
        <f t="shared" si="167"/>
        <v>S</v>
      </c>
      <c r="FM98" s="1070" t="str">
        <f t="shared" si="167"/>
        <v>S</v>
      </c>
      <c r="FN98" s="1070" t="str">
        <f t="shared" si="167"/>
        <v>S</v>
      </c>
      <c r="FO98" s="1070" t="str">
        <f t="shared" si="167"/>
        <v>S</v>
      </c>
      <c r="FP98" s="1070" t="str">
        <f t="shared" si="167"/>
        <v>S</v>
      </c>
      <c r="FQ98" s="1070" t="str">
        <f t="shared" si="167"/>
        <v>S</v>
      </c>
      <c r="FR98" s="1070" t="str">
        <f t="shared" si="167"/>
        <v>S</v>
      </c>
      <c r="FS98" s="1070" t="str">
        <f t="shared" si="167"/>
        <v>S</v>
      </c>
      <c r="FT98" s="1070" t="str">
        <f t="shared" si="167"/>
        <v>S</v>
      </c>
      <c r="FU98" s="1070" t="str">
        <f t="shared" si="167"/>
        <v>S</v>
      </c>
      <c r="FV98" s="1070" t="str">
        <f t="shared" si="167"/>
        <v>S</v>
      </c>
      <c r="FW98" s="1070" t="str">
        <f t="shared" si="167"/>
        <v>S</v>
      </c>
      <c r="FX98" s="1070" t="str">
        <f t="shared" si="167"/>
        <v>S</v>
      </c>
      <c r="FY98" s="1070" t="str">
        <f t="shared" si="167"/>
        <v>S</v>
      </c>
      <c r="FZ98" s="1070" t="str">
        <f t="shared" si="167"/>
        <v>S</v>
      </c>
      <c r="GA98" s="1070" t="str">
        <f t="shared" si="167"/>
        <v>S</v>
      </c>
      <c r="GB98" s="1070" t="str">
        <f t="shared" si="167"/>
        <v>S</v>
      </c>
      <c r="GC98" s="1070" t="str">
        <f t="shared" si="167"/>
        <v>S</v>
      </c>
      <c r="GD98" s="1070" t="str">
        <f t="shared" si="167"/>
        <v>S</v>
      </c>
      <c r="GE98" s="1070" t="str">
        <f t="shared" si="167"/>
        <v>S</v>
      </c>
      <c r="GF98" s="1070" t="str">
        <f t="shared" si="167"/>
        <v>S</v>
      </c>
      <c r="GG98" s="1070" t="str">
        <f t="shared" si="167"/>
        <v>S</v>
      </c>
      <c r="GH98" s="1070" t="str">
        <f t="shared" si="167"/>
        <v>S</v>
      </c>
      <c r="GI98" s="1070" t="str">
        <f t="shared" si="167"/>
        <v>S</v>
      </c>
      <c r="GJ98" s="1070" t="str">
        <f t="shared" si="167"/>
        <v>S</v>
      </c>
      <c r="GK98" s="1070" t="str">
        <f t="shared" si="167"/>
        <v>S</v>
      </c>
      <c r="GL98" s="1070" t="str">
        <f t="shared" si="167"/>
        <v>S</v>
      </c>
      <c r="GM98" s="1070" t="str">
        <f t="shared" ref="GM98:IR98" si="168">IF(GM97&lt;=$I20,"E",IF(GM97&lt;=$C14,"T","S"))</f>
        <v>S</v>
      </c>
      <c r="GN98" s="1070" t="str">
        <f t="shared" si="168"/>
        <v>S</v>
      </c>
      <c r="GO98" s="1070" t="str">
        <f t="shared" si="168"/>
        <v>S</v>
      </c>
      <c r="GP98" s="1070" t="str">
        <f t="shared" si="168"/>
        <v>S</v>
      </c>
      <c r="GQ98" s="1070" t="str">
        <f t="shared" si="168"/>
        <v>S</v>
      </c>
      <c r="GR98" s="1070" t="str">
        <f t="shared" si="168"/>
        <v>S</v>
      </c>
      <c r="GS98" s="1070" t="str">
        <f t="shared" si="168"/>
        <v>S</v>
      </c>
      <c r="GT98" s="1070" t="str">
        <f t="shared" si="168"/>
        <v>S</v>
      </c>
      <c r="GU98" s="1070" t="str">
        <f t="shared" si="168"/>
        <v>S</v>
      </c>
      <c r="GV98" s="1070" t="str">
        <f t="shared" si="168"/>
        <v>S</v>
      </c>
      <c r="GW98" s="1070" t="str">
        <f t="shared" si="168"/>
        <v>S</v>
      </c>
      <c r="GX98" s="1070" t="str">
        <f t="shared" si="168"/>
        <v>S</v>
      </c>
      <c r="GY98" s="1070" t="str">
        <f t="shared" si="168"/>
        <v>S</v>
      </c>
      <c r="GZ98" s="1070" t="str">
        <f t="shared" si="168"/>
        <v>S</v>
      </c>
      <c r="HA98" s="1070" t="str">
        <f t="shared" si="168"/>
        <v>S</v>
      </c>
      <c r="HB98" s="1070" t="str">
        <f t="shared" si="168"/>
        <v>S</v>
      </c>
      <c r="HC98" s="1070" t="str">
        <f t="shared" si="168"/>
        <v>S</v>
      </c>
      <c r="HD98" s="1070" t="str">
        <f t="shared" si="168"/>
        <v>S</v>
      </c>
      <c r="HE98" s="1070" t="str">
        <f t="shared" si="168"/>
        <v>S</v>
      </c>
      <c r="HF98" s="1070" t="str">
        <f t="shared" si="168"/>
        <v>S</v>
      </c>
      <c r="HG98" s="1070" t="str">
        <f t="shared" si="168"/>
        <v>S</v>
      </c>
      <c r="HH98" s="1070" t="str">
        <f t="shared" si="168"/>
        <v>S</v>
      </c>
      <c r="HI98" s="1070" t="str">
        <f t="shared" si="168"/>
        <v>S</v>
      </c>
      <c r="HJ98" s="1070" t="str">
        <f t="shared" si="168"/>
        <v>S</v>
      </c>
      <c r="HK98" s="1070" t="str">
        <f t="shared" si="168"/>
        <v>S</v>
      </c>
      <c r="HL98" s="1070" t="str">
        <f t="shared" si="168"/>
        <v>S</v>
      </c>
      <c r="HM98" s="1070" t="str">
        <f t="shared" si="168"/>
        <v>S</v>
      </c>
      <c r="HN98" s="1070" t="str">
        <f t="shared" si="168"/>
        <v>S</v>
      </c>
      <c r="HO98" s="1070" t="str">
        <f t="shared" si="168"/>
        <v>S</v>
      </c>
      <c r="HP98" s="1070" t="str">
        <f t="shared" si="168"/>
        <v>S</v>
      </c>
      <c r="HQ98" s="1070" t="str">
        <f t="shared" si="168"/>
        <v>S</v>
      </c>
      <c r="HR98" s="1070" t="str">
        <f t="shared" si="168"/>
        <v>S</v>
      </c>
      <c r="HS98" s="1070" t="str">
        <f t="shared" si="168"/>
        <v>S</v>
      </c>
      <c r="HT98" s="1070" t="str">
        <f t="shared" si="168"/>
        <v>S</v>
      </c>
      <c r="HU98" s="1070" t="str">
        <f t="shared" si="168"/>
        <v>S</v>
      </c>
      <c r="HV98" s="1070" t="str">
        <f t="shared" si="168"/>
        <v>S</v>
      </c>
      <c r="HW98" s="1070" t="str">
        <f t="shared" si="168"/>
        <v>S</v>
      </c>
      <c r="HX98" s="1070" t="str">
        <f t="shared" si="168"/>
        <v>S</v>
      </c>
      <c r="HY98" s="1070" t="str">
        <f t="shared" si="168"/>
        <v>S</v>
      </c>
      <c r="HZ98" s="1070" t="str">
        <f t="shared" si="168"/>
        <v>S</v>
      </c>
      <c r="IA98" s="1070" t="str">
        <f t="shared" si="168"/>
        <v>S</v>
      </c>
      <c r="IB98" s="1070" t="str">
        <f t="shared" si="168"/>
        <v>S</v>
      </c>
      <c r="IC98" s="1070" t="str">
        <f t="shared" si="168"/>
        <v>S</v>
      </c>
      <c r="ID98" s="1070" t="str">
        <f t="shared" si="168"/>
        <v>S</v>
      </c>
      <c r="IE98" s="1070" t="str">
        <f t="shared" si="168"/>
        <v>S</v>
      </c>
      <c r="IF98" s="1070" t="str">
        <f t="shared" si="168"/>
        <v>S</v>
      </c>
      <c r="IG98" s="1070" t="str">
        <f t="shared" si="168"/>
        <v>S</v>
      </c>
      <c r="IH98" s="1070" t="str">
        <f t="shared" si="168"/>
        <v>S</v>
      </c>
      <c r="II98" s="1070" t="str">
        <f t="shared" si="168"/>
        <v>S</v>
      </c>
      <c r="IJ98" s="1070" t="str">
        <f t="shared" si="168"/>
        <v>S</v>
      </c>
      <c r="IK98" s="1070" t="str">
        <f t="shared" si="168"/>
        <v>S</v>
      </c>
      <c r="IL98" s="1070" t="str">
        <f t="shared" si="168"/>
        <v>S</v>
      </c>
      <c r="IM98" s="1070" t="str">
        <f t="shared" si="168"/>
        <v>S</v>
      </c>
      <c r="IN98" s="1070" t="str">
        <f t="shared" si="168"/>
        <v>S</v>
      </c>
      <c r="IO98" s="1070" t="str">
        <f t="shared" si="168"/>
        <v>S</v>
      </c>
      <c r="IP98" s="1070" t="str">
        <f t="shared" si="168"/>
        <v>S</v>
      </c>
      <c r="IQ98" s="1070" t="str">
        <f t="shared" si="168"/>
        <v>S</v>
      </c>
      <c r="IR98" s="1070" t="str">
        <f t="shared" si="168"/>
        <v>S</v>
      </c>
    </row>
    <row r="99" spans="1:252" s="851" customFormat="1" ht="11.85" customHeight="1" collapsed="1">
      <c r="B99" s="1073" t="s">
        <v>728</v>
      </c>
      <c r="D99" s="1074"/>
      <c r="W99" s="1071"/>
    </row>
    <row r="100" spans="1:252" s="851" customFormat="1" ht="11.85" customHeight="1">
      <c r="B100" s="1075" t="str">
        <f>IF(OR(AC100&gt;0.05*C56,AC100&lt;-0.05*C56),"*** Balance Sheet Out of Balance ***", "&lt;&lt;&lt; Balance Sheet in Balance &gt;&gt;&gt;")</f>
        <v>*** Balance Sheet Out of Balance ***</v>
      </c>
      <c r="C100" s="1076">
        <f t="shared" ref="C100:AB100" si="169">IF(ISNUMBER(+C53-C54-C55-C56),+C53-C54-C55-C56,0)</f>
        <v>-209.92800000000057</v>
      </c>
      <c r="D100" s="1076">
        <f t="shared" si="169"/>
        <v>-411.08300000000031</v>
      </c>
      <c r="E100" s="1076">
        <f t="shared" si="169"/>
        <v>-699.83900000000028</v>
      </c>
      <c r="F100" s="1076">
        <f t="shared" si="169"/>
        <v>-699.83926423068408</v>
      </c>
      <c r="G100" s="1076">
        <f t="shared" si="169"/>
        <v>0</v>
      </c>
      <c r="H100" s="1076">
        <f t="shared" si="169"/>
        <v>0</v>
      </c>
      <c r="I100" s="1076">
        <f t="shared" si="169"/>
        <v>0</v>
      </c>
      <c r="J100" s="1076">
        <f t="shared" si="169"/>
        <v>0</v>
      </c>
      <c r="K100" s="1076">
        <f t="shared" si="169"/>
        <v>0</v>
      </c>
      <c r="L100" s="1076">
        <f t="shared" si="169"/>
        <v>0</v>
      </c>
      <c r="M100" s="1076">
        <f t="shared" si="169"/>
        <v>0</v>
      </c>
      <c r="N100" s="1076">
        <f t="shared" si="169"/>
        <v>0</v>
      </c>
      <c r="O100" s="1076">
        <f t="shared" si="169"/>
        <v>0</v>
      </c>
      <c r="P100" s="1076">
        <f t="shared" si="169"/>
        <v>0</v>
      </c>
      <c r="Q100" s="1076">
        <f t="shared" si="169"/>
        <v>0</v>
      </c>
      <c r="R100" s="1076">
        <f t="shared" si="169"/>
        <v>0</v>
      </c>
      <c r="S100" s="1076">
        <f t="shared" si="169"/>
        <v>0</v>
      </c>
      <c r="T100" s="1076">
        <f t="shared" si="169"/>
        <v>0</v>
      </c>
      <c r="U100" s="1076">
        <f t="shared" si="169"/>
        <v>0</v>
      </c>
      <c r="V100" s="1076">
        <f t="shared" si="169"/>
        <v>0</v>
      </c>
      <c r="W100" s="1077">
        <f t="shared" si="169"/>
        <v>0</v>
      </c>
      <c r="X100" s="1074">
        <f t="shared" si="169"/>
        <v>0</v>
      </c>
      <c r="Y100" s="1076">
        <f t="shared" si="169"/>
        <v>0</v>
      </c>
      <c r="Z100" s="1076">
        <f t="shared" si="169"/>
        <v>0</v>
      </c>
      <c r="AA100" s="1076">
        <f t="shared" si="169"/>
        <v>0</v>
      </c>
      <c r="AB100" s="1076">
        <f t="shared" si="169"/>
        <v>0</v>
      </c>
      <c r="AC100" s="1076">
        <f>ROUND(SUM(C100:AB100),1)</f>
        <v>-2020.7</v>
      </c>
    </row>
    <row r="101" spans="1:252" s="851" customFormat="1" ht="11.85" customHeight="1">
      <c r="B101" s="1078"/>
      <c r="C101" s="1079"/>
      <c r="E101" s="1070"/>
      <c r="W101" s="1071"/>
    </row>
    <row r="102" spans="1:252" s="1080" customFormat="1" ht="11.85" customHeight="1">
      <c r="B102" s="1081">
        <f ca="1">IF(C39-2=YEAR(U22),-12,IF(C39=YEAR(U22),12,IF(C39+1=YEAR(U22),24,0)))+MONTH(U22)-I21</f>
        <v>3</v>
      </c>
      <c r="E102" s="1082"/>
      <c r="W102" s="1071"/>
      <c r="X102" s="851"/>
    </row>
    <row r="103" spans="1:252" s="1080" customFormat="1" ht="11.85" customHeight="1">
      <c r="E103" s="1082"/>
      <c r="W103" s="1071"/>
      <c r="X103" s="851"/>
    </row>
    <row r="104" spans="1:252" s="851" customFormat="1" ht="11.85" customHeight="1">
      <c r="B104" s="1073" t="s">
        <v>729</v>
      </c>
      <c r="C104" s="1083"/>
      <c r="E104" s="1070"/>
      <c r="W104" s="1071"/>
    </row>
    <row r="105" spans="1:252" s="1084" customFormat="1" ht="11.25" customHeight="1">
      <c r="B105" s="1084" t="s">
        <v>730</v>
      </c>
      <c r="C105" s="1085">
        <f ca="1">IF(ISERROR(L2),"",L2)</f>
        <v>6.175930464967494E-2</v>
      </c>
      <c r="W105" s="1086"/>
    </row>
    <row r="106" spans="1:252" s="1084" customFormat="1" ht="11.25" customHeight="1">
      <c r="B106" s="1074">
        <f ca="1">-(rng_IVStockPrice*C16)/(1+C12)^(B102/12)</f>
        <v>-3670.8185541569183</v>
      </c>
      <c r="C106" s="1074">
        <f>+C81-(C82-(AD28*$V$23))</f>
        <v>-13.454444888800182</v>
      </c>
      <c r="D106" s="1084">
        <f t="shared" ref="D106:BO106" si="170">+D81-(D82-C82)</f>
        <v>-53.839442635460472</v>
      </c>
      <c r="E106" s="1084">
        <f t="shared" si="170"/>
        <v>-210.44769758208679</v>
      </c>
      <c r="F106" s="1084">
        <f t="shared" si="170"/>
        <v>67.453624153304077</v>
      </c>
      <c r="G106" s="1084">
        <f t="shared" ca="1" si="170"/>
        <v>12.024116157475703</v>
      </c>
      <c r="H106" s="1084">
        <f t="shared" ca="1" si="170"/>
        <v>116.15191489471013</v>
      </c>
      <c r="I106" s="1084">
        <f t="shared" ca="1" si="170"/>
        <v>117.69622650724216</v>
      </c>
      <c r="J106" s="1084">
        <f t="shared" ca="1" si="170"/>
        <v>118.56809643620844</v>
      </c>
      <c r="K106" s="1084">
        <f t="shared" ca="1" si="170"/>
        <v>118.5182603632023</v>
      </c>
      <c r="L106" s="1084">
        <f t="shared" ca="1" si="170"/>
        <v>117.21871776518753</v>
      </c>
      <c r="M106" s="1084">
        <f t="shared" ca="1" si="170"/>
        <v>114.23222101985596</v>
      </c>
      <c r="N106" s="1084">
        <f t="shared" ca="1" si="170"/>
        <v>108.96679193538216</v>
      </c>
      <c r="O106" s="1084">
        <f t="shared" ca="1" si="170"/>
        <v>100.60627520923958</v>
      </c>
      <c r="P106" s="1084">
        <f t="shared" ca="1" si="170"/>
        <v>88.001427706632001</v>
      </c>
      <c r="Q106" s="1084">
        <f t="shared" ca="1" si="170"/>
        <v>69.4938647639446</v>
      </c>
      <c r="R106" s="1084">
        <f t="shared" ca="1" si="170"/>
        <v>42.621418034181943</v>
      </c>
      <c r="S106" s="1084">
        <f t="shared" ca="1" si="170"/>
        <v>3.6047437702590628</v>
      </c>
      <c r="T106" s="1084">
        <f t="shared" ca="1" si="170"/>
        <v>-53.590719071373144</v>
      </c>
      <c r="U106" s="1084">
        <f t="shared" ca="1" si="170"/>
        <v>-139.06897362940327</v>
      </c>
      <c r="V106" s="1084">
        <f t="shared" ca="1" si="170"/>
        <v>-282.83880366027711</v>
      </c>
      <c r="W106" s="1086">
        <f t="shared" ca="1" si="170"/>
        <v>76.088070802422635</v>
      </c>
      <c r="X106" s="1084">
        <f t="shared" ca="1" si="170"/>
        <v>342.47112541373212</v>
      </c>
      <c r="Y106" s="1084">
        <f t="shared" ca="1" si="170"/>
        <v>350.95460815638489</v>
      </c>
      <c r="Z106" s="1084">
        <f t="shared" ca="1" si="170"/>
        <v>359.78037134983924</v>
      </c>
      <c r="AA106" s="1084">
        <f t="shared" ca="1" si="170"/>
        <v>368.96199457397256</v>
      </c>
      <c r="AB106" s="1084">
        <f t="shared" ca="1" si="170"/>
        <v>378.51360472197575</v>
      </c>
      <c r="AC106" s="1084">
        <f t="shared" ca="1" si="170"/>
        <v>388.44989775204181</v>
      </c>
      <c r="AD106" s="1084">
        <f t="shared" ca="1" si="170"/>
        <v>398.78616131256717</v>
      </c>
      <c r="AE106" s="1084">
        <f t="shared" ca="1" si="170"/>
        <v>409.53829827588424</v>
      </c>
      <c r="AF106" s="1084">
        <f t="shared" ca="1" si="170"/>
        <v>420.72285121693596</v>
      </c>
      <c r="AG106" s="1084">
        <f t="shared" ca="1" si="170"/>
        <v>432.35702787469404</v>
      </c>
      <c r="AH106" s="1084">
        <f t="shared" ca="1" si="170"/>
        <v>444.45872763569162</v>
      </c>
      <c r="AI106" s="1084">
        <f t="shared" ca="1" si="170"/>
        <v>457.04656908050038</v>
      </c>
      <c r="AJ106" s="1084">
        <f t="shared" ca="1" si="170"/>
        <v>470.13991863568936</v>
      </c>
      <c r="AK106" s="1084">
        <f t="shared" ca="1" si="170"/>
        <v>483.75892037541314</v>
      </c>
      <c r="AL106" s="1084">
        <f t="shared" ca="1" si="170"/>
        <v>497.92452701863249</v>
      </c>
      <c r="AM106" s="1084">
        <f t="shared" ca="1" si="170"/>
        <v>512.65853216967605</v>
      </c>
      <c r="AN106" s="1084">
        <f t="shared" ca="1" si="170"/>
        <v>527.98360385187675</v>
      </c>
      <c r="AO106" s="1084">
        <f t="shared" ca="1" si="170"/>
        <v>543.92331938589962</v>
      </c>
      <c r="AP106" s="1084">
        <f t="shared" ca="1" si="170"/>
        <v>560.50220166650161</v>
      </c>
      <c r="AQ106" s="1084">
        <f t="shared" ca="1" si="170"/>
        <v>577.74575689358994</v>
      </c>
      <c r="AR106" s="1084">
        <f t="shared" ca="1" si="170"/>
        <v>595.68051381565397</v>
      </c>
      <c r="AS106" s="1084">
        <f t="shared" ca="1" si="170"/>
        <v>614.33406454602914</v>
      </c>
      <c r="AT106" s="1084">
        <f t="shared" ca="1" si="170"/>
        <v>633.73510701476152</v>
      </c>
      <c r="AU106" s="1084">
        <f t="shared" ca="1" si="170"/>
        <v>653.91348912147532</v>
      </c>
      <c r="AV106" s="1084">
        <f t="shared" ca="1" si="170"/>
        <v>674.90025465720964</v>
      </c>
      <c r="AW106" s="1084">
        <f t="shared" ca="1" si="170"/>
        <v>696.72769106579403</v>
      </c>
      <c r="AX106" s="1084">
        <f t="shared" ca="1" si="170"/>
        <v>719.42937911843569</v>
      </c>
      <c r="AY106" s="1084">
        <f t="shared" ca="1" si="170"/>
        <v>743.04024457779042</v>
      </c>
      <c r="AZ106" s="1084">
        <f t="shared" ca="1" si="170"/>
        <v>767.5966119311488</v>
      </c>
      <c r="BA106" s="1084">
        <f t="shared" ca="1" si="170"/>
        <v>793.13626027535679</v>
      </c>
      <c r="BB106" s="1084">
        <f t="shared" ca="1" si="170"/>
        <v>819.69848143944046</v>
      </c>
      <c r="BC106" s="1084">
        <f t="shared" ca="1" si="170"/>
        <v>847.32414043450171</v>
      </c>
      <c r="BD106" s="1084">
        <f t="shared" ca="1" si="170"/>
        <v>876.05573832365621</v>
      </c>
      <c r="BE106" s="1084">
        <f t="shared" ca="1" si="170"/>
        <v>905.93747760902988</v>
      </c>
      <c r="BF106" s="1084">
        <f t="shared" ca="1" si="170"/>
        <v>937.01533023617048</v>
      </c>
      <c r="BG106" s="1084">
        <f t="shared" ca="1" si="170"/>
        <v>969.3371083206971</v>
      </c>
      <c r="BH106" s="1084">
        <f t="shared" ca="1" si="170"/>
        <v>1002.9525377058135</v>
      </c>
      <c r="BI106" s="1084">
        <f t="shared" ca="1" si="170"/>
        <v>1037.9133344641405</v>
      </c>
      <c r="BJ106" s="1084">
        <f t="shared" ca="1" si="170"/>
        <v>1074.2732844611569</v>
      </c>
      <c r="BK106" s="1084">
        <f t="shared" ca="1" si="170"/>
        <v>1112.0883261031408</v>
      </c>
      <c r="BL106" s="1084">
        <f t="shared" ca="1" si="170"/>
        <v>1151.416636396455</v>
      </c>
      <c r="BM106" s="1084">
        <f t="shared" ca="1" si="170"/>
        <v>1192.3187204509591</v>
      </c>
      <c r="BN106" s="1084">
        <f t="shared" ca="1" si="170"/>
        <v>1234.8575045650387</v>
      </c>
      <c r="BO106" s="1084">
        <f t="shared" ca="1" si="170"/>
        <v>1279.0984330354486</v>
      </c>
      <c r="BP106" s="1084">
        <f t="shared" ref="BP106:EA106" ca="1" si="171">+BP81-(BP82-BO82)</f>
        <v>1325.1095688410837</v>
      </c>
      <c r="BQ106" s="1084">
        <f t="shared" ca="1" si="171"/>
        <v>1372.9616983554133</v>
      </c>
      <c r="BR106" s="1084">
        <f t="shared" ca="1" si="171"/>
        <v>1422.7284402487367</v>
      </c>
      <c r="BS106" s="1084">
        <f t="shared" ca="1" si="171"/>
        <v>1474.4863587477807</v>
      </c>
      <c r="BT106" s="1084">
        <f t="shared" ca="1" si="171"/>
        <v>1528.3150814269729</v>
      </c>
      <c r="BU106" s="1084">
        <f t="shared" ca="1" si="171"/>
        <v>1584.297421712492</v>
      </c>
      <c r="BV106" s="1084">
        <f t="shared" ca="1" si="171"/>
        <v>1642.5195062876624</v>
      </c>
      <c r="BW106" s="1084">
        <f t="shared" ca="1" si="171"/>
        <v>1703.070907595536</v>
      </c>
      <c r="BX106" s="1084">
        <f t="shared" ca="1" si="171"/>
        <v>1766.0447816428223</v>
      </c>
      <c r="BY106" s="1084">
        <f t="shared" ca="1" si="171"/>
        <v>1831.5380113168353</v>
      </c>
      <c r="BZ106" s="1084">
        <f t="shared" ca="1" si="171"/>
        <v>1899.6513554361709</v>
      </c>
      <c r="CA106" s="1084">
        <f t="shared" ca="1" si="171"/>
        <v>1970.4896037643384</v>
      </c>
      <c r="CB106" s="1084">
        <f t="shared" ca="1" si="171"/>
        <v>2044.1617382247005</v>
      </c>
      <c r="CC106" s="1084">
        <f t="shared" ca="1" si="171"/>
        <v>2120.7811005652402</v>
      </c>
      <c r="CD106" s="1084">
        <f t="shared" ca="1" si="171"/>
        <v>2200.4655667303077</v>
      </c>
      <c r="CE106" s="1084">
        <f t="shared" ca="1" si="171"/>
        <v>2283.3377282083984</v>
      </c>
      <c r="CF106" s="1084">
        <f t="shared" ca="1" si="171"/>
        <v>2369.5250806343611</v>
      </c>
      <c r="CG106" s="1084">
        <f t="shared" ca="1" si="171"/>
        <v>2459.1602199366353</v>
      </c>
      <c r="CH106" s="1084">
        <f t="shared" ca="1" si="171"/>
        <v>2552.3810463309856</v>
      </c>
      <c r="CI106" s="1084">
        <f t="shared" ca="1" si="171"/>
        <v>2649.3309764746828</v>
      </c>
      <c r="CJ106" s="1084">
        <f t="shared" ca="1" si="171"/>
        <v>2750.1591641075283</v>
      </c>
      <c r="CK106" s="1084">
        <f t="shared" ca="1" si="171"/>
        <v>2855.0207295192749</v>
      </c>
      <c r="CL106" s="1084">
        <f t="shared" ca="1" si="171"/>
        <v>2964.0769981960011</v>
      </c>
      <c r="CM106" s="1084">
        <f t="shared" ca="1" si="171"/>
        <v>3077.4957490134293</v>
      </c>
      <c r="CN106" s="1084">
        <f t="shared" ca="1" si="171"/>
        <v>3195.4514723581397</v>
      </c>
      <c r="CO106" s="1084">
        <f t="shared" ca="1" si="171"/>
        <v>3318.1256385743818</v>
      </c>
      <c r="CP106" s="1084">
        <f t="shared" ca="1" si="171"/>
        <v>3445.7069771491842</v>
      </c>
      <c r="CQ106" s="1084">
        <f t="shared" ca="1" si="171"/>
        <v>3578.3917670655192</v>
      </c>
      <c r="CR106" s="1084">
        <f t="shared" ca="1" si="171"/>
        <v>3716.3841387698003</v>
      </c>
      <c r="CS106" s="1084">
        <f t="shared" ca="1" si="171"/>
        <v>3859.8963882189182</v>
      </c>
      <c r="CT106" s="1084">
        <f t="shared" ca="1" si="171"/>
        <v>4009.1493034893101</v>
      </c>
      <c r="CU106" s="1084">
        <f t="shared" ca="1" si="171"/>
        <v>4164.372504450932</v>
      </c>
      <c r="CV106" s="1084">
        <f t="shared" ca="1" si="171"/>
        <v>4325.8047960286021</v>
      </c>
      <c r="CW106" s="1084">
        <f t="shared" ca="1" si="171"/>
        <v>4493.6945355942189</v>
      </c>
      <c r="CX106" s="1084">
        <f t="shared" ca="1" si="171"/>
        <v>4668.3000150550779</v>
      </c>
      <c r="CY106" s="1084">
        <f t="shared" ca="1" si="171"/>
        <v>4849.8898582258971</v>
      </c>
      <c r="CZ106" s="1084">
        <f t="shared" ca="1" si="171"/>
        <v>5038.7434340963064</v>
      </c>
      <c r="DA106" s="1084">
        <f t="shared" ca="1" si="171"/>
        <v>5235.1512866294161</v>
      </c>
      <c r="DB106" s="1084">
        <f t="shared" ca="1" si="171"/>
        <v>5439.415581752266</v>
      </c>
      <c r="DC106" s="1084">
        <f t="shared" ca="1" si="171"/>
        <v>5651.8505722267582</v>
      </c>
      <c r="DD106" s="1084">
        <f t="shared" ca="1" si="171"/>
        <v>5872.783081115198</v>
      </c>
      <c r="DE106" s="1084">
        <f t="shared" ca="1" si="171"/>
        <v>6102.5530045853302</v>
      </c>
      <c r="DF106" s="1084">
        <f t="shared" ca="1" si="171"/>
        <v>6341.5138348270739</v>
      </c>
      <c r="DG106" s="1084">
        <f t="shared" ca="1" si="171"/>
        <v>6590.0332038871129</v>
      </c>
      <c r="DH106" s="1084">
        <f t="shared" ca="1" si="171"/>
        <v>6848.4934492562734</v>
      </c>
      <c r="DI106" s="1084">
        <f t="shared" ca="1" si="171"/>
        <v>7117.2922020814112</v>
      </c>
      <c r="DJ106" s="1084">
        <f t="shared" ca="1" si="171"/>
        <v>7396.8429989054202</v>
      </c>
      <c r="DK106" s="1084">
        <f t="shared" ca="1" si="171"/>
        <v>7687.575917877246</v>
      </c>
      <c r="DL106" s="1084">
        <f t="shared" ca="1" si="171"/>
        <v>7989.9382404107564</v>
      </c>
      <c r="DM106" s="1084">
        <f t="shared" ca="1" si="171"/>
        <v>8304.3951393098505</v>
      </c>
      <c r="DN106" s="1084">
        <f t="shared" ca="1" si="171"/>
        <v>8631.4303944190942</v>
      </c>
      <c r="DO106" s="1084">
        <f t="shared" ca="1" si="171"/>
        <v>8971.5471369002444</v>
      </c>
      <c r="DP106" s="1084">
        <f t="shared" ca="1" si="171"/>
        <v>9325.2686232800661</v>
      </c>
      <c r="DQ106" s="1084">
        <f t="shared" ca="1" si="171"/>
        <v>9693.139040460781</v>
      </c>
      <c r="DR106" s="1084">
        <f t="shared" ca="1" si="171"/>
        <v>10075.724342930553</v>
      </c>
      <c r="DS106" s="1084">
        <f t="shared" ca="1" si="171"/>
        <v>10473.613123462175</v>
      </c>
      <c r="DT106" s="1084">
        <f t="shared" ca="1" si="171"/>
        <v>10887.417518641199</v>
      </c>
      <c r="DU106" s="1084">
        <f t="shared" ca="1" si="171"/>
        <v>11317.774150614117</v>
      </c>
      <c r="DV106" s="1084">
        <f t="shared" ca="1" si="171"/>
        <v>11765.345106506888</v>
      </c>
      <c r="DW106" s="1084">
        <f t="shared" ca="1" si="171"/>
        <v>12230.818957021056</v>
      </c>
      <c r="DX106" s="1084">
        <f t="shared" ca="1" si="171"/>
        <v>12714.911815773085</v>
      </c>
      <c r="DY106" s="1084">
        <f t="shared" ca="1" si="171"/>
        <v>13218.368441006467</v>
      </c>
      <c r="DZ106" s="1084">
        <f t="shared" ca="1" si="171"/>
        <v>13741.963381376077</v>
      </c>
      <c r="EA106" s="1084">
        <f t="shared" ca="1" si="171"/>
        <v>14286.50216755908</v>
      </c>
      <c r="EB106" s="1084">
        <f t="shared" ref="EB106:GM106" ca="1" si="172">+EB81-(EB82-EA82)</f>
        <v>14852.822551534464</v>
      </c>
      <c r="EC106" s="1084">
        <f t="shared" ca="1" si="172"/>
        <v>15441.795795431164</v>
      </c>
      <c r="ED106" s="1084">
        <f t="shared" ca="1" si="172"/>
        <v>16054.32801193227</v>
      </c>
      <c r="EE106" s="1084">
        <f t="shared" ca="1" si="172"/>
        <v>16691.361558293953</v>
      </c>
      <c r="EF106" s="1084">
        <f t="shared" ca="1" si="172"/>
        <v>17353.876486125853</v>
      </c>
      <c r="EG106" s="1084">
        <f t="shared" ca="1" si="172"/>
        <v>18042.892049163558</v>
      </c>
      <c r="EH106" s="1084">
        <f t="shared" ca="1" si="172"/>
        <v>18759.468271349309</v>
      </c>
      <c r="EI106" s="1084">
        <f t="shared" ca="1" si="172"/>
        <v>19504.707577641304</v>
      </c>
      <c r="EJ106" s="1084">
        <f t="shared" ca="1" si="172"/>
        <v>20279.756490048509</v>
      </c>
      <c r="EK106" s="1084">
        <f t="shared" ca="1" si="172"/>
        <v>21085.807391513423</v>
      </c>
      <c r="EL106" s="1084">
        <f t="shared" ca="1" si="172"/>
        <v>21924.10036034615</v>
      </c>
      <c r="EM106" s="1084">
        <f t="shared" ca="1" si="172"/>
        <v>22795.925078036882</v>
      </c>
      <c r="EN106" s="1084">
        <f t="shared" ca="1" si="172"/>
        <v>23702.622813381924</v>
      </c>
      <c r="EO106" s="1084">
        <f t="shared" ca="1" si="172"/>
        <v>24645.588485974804</v>
      </c>
      <c r="EP106" s="1084">
        <f t="shared" ca="1" si="172"/>
        <v>25626.272812233969</v>
      </c>
      <c r="EQ106" s="1084">
        <f t="shared" ca="1" si="172"/>
        <v>26646.184537277608</v>
      </c>
      <c r="ER106" s="1084">
        <f t="shared" ca="1" si="172"/>
        <v>27706.892756067034</v>
      </c>
      <c r="ES106" s="1084">
        <f t="shared" ca="1" si="172"/>
        <v>28810.029327399774</v>
      </c>
      <c r="ET106" s="1084">
        <f t="shared" ca="1" si="172"/>
        <v>29957.291384463555</v>
      </c>
      <c r="EU106" s="1084">
        <f t="shared" ca="1" si="172"/>
        <v>31150.443945806976</v>
      </c>
      <c r="EV106" s="1084">
        <f t="shared" ca="1" si="172"/>
        <v>32391.322630755189</v>
      </c>
      <c r="EW106" s="1084">
        <f t="shared" ca="1" si="172"/>
        <v>33681.836483439678</v>
      </c>
      <c r="EX106" s="1084">
        <f t="shared" ca="1" si="172"/>
        <v>35023.970909786498</v>
      </c>
      <c r="EY106" s="1084">
        <f t="shared" ca="1" si="172"/>
        <v>36419.790731990652</v>
      </c>
      <c r="EZ106" s="1084">
        <f t="shared" ca="1" si="172"/>
        <v>37871.443365163446</v>
      </c>
      <c r="FA106" s="1084">
        <f t="shared" ca="1" si="172"/>
        <v>39381.162121047499</v>
      </c>
      <c r="FB106" s="1084">
        <f t="shared" ca="1" si="172"/>
        <v>40951.269643883468</v>
      </c>
      <c r="FC106" s="1084">
        <f t="shared" ca="1" si="172"/>
        <v>42584.181483705615</v>
      </c>
      <c r="FD106" s="1084">
        <f t="shared" ca="1" si="172"/>
        <v>44282.409812576327</v>
      </c>
      <c r="FE106" s="1084">
        <f t="shared" ca="1" si="172"/>
        <v>46048.567289461731</v>
      </c>
      <c r="FF106" s="1084">
        <f t="shared" ca="1" si="172"/>
        <v>47885.371079712553</v>
      </c>
      <c r="FG106" s="1084">
        <f t="shared" ca="1" si="172"/>
        <v>49795.647035311325</v>
      </c>
      <c r="FH106" s="1084">
        <f t="shared" ca="1" si="172"/>
        <v>51782.334042346483</v>
      </c>
      <c r="FI106" s="1084">
        <f t="shared" ca="1" si="172"/>
        <v>53848.488542365638</v>
      </c>
      <c r="FJ106" s="1084">
        <f t="shared" ca="1" si="172"/>
        <v>55997.289234599331</v>
      </c>
      <c r="FK106" s="1084">
        <f t="shared" ca="1" si="172"/>
        <v>58232.04196626725</v>
      </c>
      <c r="FL106" s="1084">
        <f t="shared" ca="1" si="172"/>
        <v>60556.184818495327</v>
      </c>
      <c r="FM106" s="1084">
        <f t="shared" ca="1" si="172"/>
        <v>62973.293395669141</v>
      </c>
      <c r="FN106" s="1084">
        <f t="shared" ca="1" si="172"/>
        <v>65487.086326373028</v>
      </c>
      <c r="FO106" s="1084">
        <f t="shared" ca="1" si="172"/>
        <v>68101.430984343286</v>
      </c>
      <c r="FP106" s="1084">
        <f t="shared" ca="1" si="172"/>
        <v>70820.349438285746</v>
      </c>
      <c r="FQ106" s="1084">
        <f t="shared" ca="1" si="172"/>
        <v>73648.024639667012</v>
      </c>
      <c r="FR106" s="1084">
        <f t="shared" ca="1" si="172"/>
        <v>76588.806858028955</v>
      </c>
      <c r="FS106" s="1084">
        <f t="shared" ca="1" si="172"/>
        <v>79647.220373707707</v>
      </c>
      <c r="FT106" s="1084">
        <f t="shared" ca="1" si="172"/>
        <v>82827.97043826399</v>
      </c>
      <c r="FU106" s="1084">
        <f t="shared" ca="1" si="172"/>
        <v>86135.950513337739</v>
      </c>
      <c r="FV106" s="1084">
        <f t="shared" ca="1" si="172"/>
        <v>89576.249799042242</v>
      </c>
      <c r="FW106" s="1084">
        <f t="shared" ca="1" si="172"/>
        <v>93154.161063511914</v>
      </c>
      <c r="FX106" s="1084">
        <f t="shared" ca="1" si="172"/>
        <v>96875.188785612903</v>
      </c>
      <c r="FY106" s="1084">
        <f t="shared" ca="1" si="172"/>
        <v>100745.05762338094</v>
      </c>
      <c r="FZ106" s="1084">
        <f t="shared" ca="1" si="172"/>
        <v>104769.72122117964</v>
      </c>
      <c r="GA106" s="1084">
        <f t="shared" ca="1" si="172"/>
        <v>108955.37136916217</v>
      </c>
      <c r="GB106" s="1084">
        <f t="shared" ca="1" si="172"/>
        <v>113308.44752909362</v>
      </c>
      <c r="GC106" s="1084">
        <f t="shared" ca="1" si="172"/>
        <v>117835.64674121814</v>
      </c>
      <c r="GD106" s="1084">
        <f t="shared" ca="1" si="172"/>
        <v>122543.93392740202</v>
      </c>
      <c r="GE106" s="1084">
        <f t="shared" ca="1" si="172"/>
        <v>127440.55260639521</v>
      </c>
      <c r="GF106" s="1084">
        <f t="shared" ca="1" si="172"/>
        <v>132533.03603770112</v>
      </c>
      <c r="GG106" s="1084">
        <f t="shared" ca="1" si="172"/>
        <v>137829.21881121548</v>
      </c>
      <c r="GH106" s="1084">
        <f t="shared" ca="1" si="172"/>
        <v>143337.24890043342</v>
      </c>
      <c r="GI106" s="1084">
        <f t="shared" ca="1" si="172"/>
        <v>149065.60019780335</v>
      </c>
      <c r="GJ106" s="1084">
        <f t="shared" ca="1" si="172"/>
        <v>155023.08555147483</v>
      </c>
      <c r="GK106" s="1084">
        <f t="shared" ca="1" si="172"/>
        <v>161218.87032352685</v>
      </c>
      <c r="GL106" s="1084">
        <f t="shared" ca="1" si="172"/>
        <v>167662.48649053602</v>
      </c>
      <c r="GM106" s="1084">
        <f t="shared" ca="1" si="172"/>
        <v>174363.84730814147</v>
      </c>
      <c r="GN106" s="1084">
        <f t="shared" ref="GN106:IR106" ca="1" si="173">+GN81-(GN82-GM82)</f>
        <v>181333.26256221748</v>
      </c>
      <c r="GO106" s="1084">
        <f t="shared" ca="1" si="173"/>
        <v>188581.45443007688</v>
      </c>
      <c r="GP106" s="1084">
        <f t="shared" ca="1" si="173"/>
        <v>196119.57397613145</v>
      </c>
      <c r="GQ106" s="1084">
        <f t="shared" ca="1" si="173"/>
        <v>203959.21830737893</v>
      </c>
      <c r="GR106" s="1084">
        <f t="shared" ca="1" si="173"/>
        <v>212112.44841509312</v>
      </c>
      <c r="GS106" s="1084">
        <f t="shared" ca="1" si="173"/>
        <v>220591.80773021083</v>
      </c>
      <c r="GT106" s="1084">
        <f t="shared" ca="1" si="173"/>
        <v>229410.34142091242</v>
      </c>
      <c r="GU106" s="1084">
        <f t="shared" ca="1" si="173"/>
        <v>238581.61646209983</v>
      </c>
      <c r="GV106" s="1084">
        <f t="shared" ca="1" si="173"/>
        <v>248119.74250769068</v>
      </c>
      <c r="GW106" s="1084">
        <f t="shared" ca="1" si="173"/>
        <v>258039.39359774685</v>
      </c>
      <c r="GX106" s="1084">
        <f t="shared" ca="1" si="173"/>
        <v>268355.83073395421</v>
      </c>
      <c r="GY106" s="1084">
        <f t="shared" ca="1" si="173"/>
        <v>279084.92535805155</v>
      </c>
      <c r="GZ106" s="1084">
        <f t="shared" ca="1" si="173"/>
        <v>290243.18376946845</v>
      </c>
      <c r="HA106" s="1084">
        <f t="shared" ca="1" si="173"/>
        <v>301847.77251959906</v>
      </c>
      <c r="HB106" s="1084">
        <f t="shared" ca="1" si="173"/>
        <v>313916.54482191475</v>
      </c>
      <c r="HC106" s="1084">
        <f t="shared" ca="1" si="173"/>
        <v>326468.0680184107</v>
      </c>
      <c r="HD106" s="1084">
        <f t="shared" ca="1" si="173"/>
        <v>339521.65214478027</v>
      </c>
      <c r="HE106" s="1084">
        <f t="shared" ca="1" si="173"/>
        <v>353097.37963813439</v>
      </c>
      <c r="HF106" s="1084">
        <f t="shared" ca="1" si="173"/>
        <v>367216.13623308518</v>
      </c>
      <c r="HG106" s="1084">
        <f t="shared" ca="1" si="173"/>
        <v>381899.64309361926</v>
      </c>
      <c r="HH106" s="1084">
        <f t="shared" ca="1" si="173"/>
        <v>397170.49023029255</v>
      </c>
      <c r="HI106" s="1084">
        <f t="shared" ca="1" si="173"/>
        <v>413052.17125408596</v>
      </c>
      <c r="HJ106" s="1084">
        <f t="shared" ca="1" si="173"/>
        <v>429569.11952042324</v>
      </c>
      <c r="HK106" s="1084">
        <f t="shared" ca="1" si="173"/>
        <v>446746.74571893958</v>
      </c>
      <c r="HL106" s="1084">
        <f t="shared" ca="1" si="173"/>
        <v>464611.47696686059</v>
      </c>
      <c r="HM106" s="1084">
        <f t="shared" ca="1" si="173"/>
        <v>483190.79746612348</v>
      </c>
      <c r="HN106" s="1084">
        <f t="shared" ca="1" si="173"/>
        <v>502513.29078670265</v>
      </c>
      <c r="HO106" s="1084">
        <f t="shared" ca="1" si="173"/>
        <v>522608.68384141778</v>
      </c>
      <c r="HP106" s="1084">
        <f t="shared" ca="1" si="173"/>
        <v>543507.89261957677</v>
      </c>
      <c r="HQ106" s="1084">
        <f t="shared" ca="1" si="173"/>
        <v>565243.06975006708</v>
      </c>
      <c r="HR106" s="1084">
        <f t="shared" ca="1" si="173"/>
        <v>587847.65396694141</v>
      </c>
      <c r="HS106" s="1084">
        <f t="shared" ca="1" si="173"/>
        <v>611356.421553605</v>
      </c>
      <c r="HT106" s="1084">
        <f t="shared" ca="1" si="173"/>
        <v>635805.53984481073</v>
      </c>
      <c r="HU106" s="1084">
        <f t="shared" ca="1" si="173"/>
        <v>661232.62286869297</v>
      </c>
      <c r="HV106" s="1084">
        <f t="shared" ca="1" si="173"/>
        <v>687676.78921452747</v>
      </c>
      <c r="HW106" s="1084">
        <f t="shared" ca="1" si="173"/>
        <v>715178.72221514606</v>
      </c>
      <c r="HX106" s="1084">
        <f t="shared" ca="1" si="173"/>
        <v>743780.73253670917</v>
      </c>
      <c r="HY106" s="1084">
        <f t="shared" ca="1" si="173"/>
        <v>773526.82327201916</v>
      </c>
      <c r="HZ106" s="1084">
        <f t="shared" ca="1" si="173"/>
        <v>804462.75763758528</v>
      </c>
      <c r="IA106" s="1084">
        <f t="shared" ca="1" si="173"/>
        <v>836636.12937859003</v>
      </c>
      <c r="IB106" s="1084">
        <f t="shared" ca="1" si="173"/>
        <v>870096.43599002738</v>
      </c>
      <c r="IC106" s="1084">
        <f t="shared" ca="1" si="173"/>
        <v>904895.1548666663</v>
      </c>
      <c r="ID106" s="1084">
        <f t="shared" ca="1" si="173"/>
        <v>941085.82249908918</v>
      </c>
      <c r="IE106" s="1084">
        <f t="shared" ca="1" si="173"/>
        <v>978724.11683752947</v>
      </c>
      <c r="IF106" s="1084">
        <f t="shared" ca="1" si="173"/>
        <v>1017867.9429501656</v>
      </c>
      <c r="IG106" s="1084">
        <f t="shared" ca="1" si="173"/>
        <v>1058577.5221079513</v>
      </c>
      <c r="IH106" s="1084">
        <f t="shared" ca="1" si="173"/>
        <v>1100915.484432668</v>
      </c>
      <c r="II106" s="1084">
        <f t="shared" ca="1" si="173"/>
        <v>1144946.9652509694</v>
      </c>
      <c r="IJ106" s="1084">
        <f t="shared" ca="1" si="173"/>
        <v>1190739.7053025784</v>
      </c>
      <c r="IK106" s="1084">
        <f t="shared" ca="1" si="173"/>
        <v>1238364.1549567976</v>
      </c>
      <c r="IL106" s="1084">
        <f t="shared" ca="1" si="173"/>
        <v>1287893.5825977237</v>
      </c>
      <c r="IM106" s="1084">
        <f t="shared" ca="1" si="173"/>
        <v>1339404.1873447853</v>
      </c>
      <c r="IN106" s="1084">
        <f t="shared" ca="1" si="173"/>
        <v>1392975.2162822308</v>
      </c>
      <c r="IO106" s="1084">
        <f t="shared" ca="1" si="173"/>
        <v>1448689.086377644</v>
      </c>
      <c r="IP106" s="1084">
        <f t="shared" ca="1" si="173"/>
        <v>1506631.5112773189</v>
      </c>
      <c r="IQ106" s="1084">
        <f t="shared" ca="1" si="173"/>
        <v>1566891.6331734196</v>
      </c>
      <c r="IR106" s="1084">
        <f t="shared" ca="1" si="173"/>
        <v>43994677.987468891</v>
      </c>
    </row>
    <row r="107" spans="1:252" s="851" customFormat="1" ht="11.25" customHeight="1">
      <c r="B107" s="1071"/>
      <c r="C107" s="1083"/>
      <c r="E107" s="1070"/>
      <c r="W107" s="1071"/>
    </row>
    <row r="108" spans="1:252" s="851" customFormat="1" ht="11.25" customHeight="1">
      <c r="B108" s="1074" t="s">
        <v>731</v>
      </c>
      <c r="C108" s="1083">
        <f ca="1">IF(ISERROR(L3),"",L3)</f>
        <v>5.7195832160804816E-2</v>
      </c>
      <c r="D108" s="1074"/>
      <c r="E108" s="1087"/>
      <c r="F108" s="1074"/>
      <c r="G108" s="1074"/>
      <c r="H108" s="1074"/>
      <c r="I108" s="1074"/>
      <c r="J108" s="1074"/>
      <c r="K108" s="1074"/>
      <c r="L108" s="1074"/>
      <c r="M108" s="1074"/>
      <c r="N108" s="1074"/>
      <c r="O108" s="1074"/>
      <c r="P108" s="1074"/>
      <c r="Q108" s="1074"/>
      <c r="R108" s="1074"/>
      <c r="S108" s="1074"/>
      <c r="T108" s="1074"/>
      <c r="U108" s="1074"/>
      <c r="V108" s="1074"/>
      <c r="W108" s="1077"/>
      <c r="X108" s="1074"/>
      <c r="Y108" s="1074"/>
      <c r="Z108" s="1074"/>
      <c r="AA108" s="1074"/>
      <c r="AB108" s="1074"/>
      <c r="AC108" s="1074"/>
      <c r="AD108" s="1074"/>
      <c r="AE108" s="1074"/>
      <c r="AF108" s="1074"/>
      <c r="AG108" s="1074"/>
      <c r="AH108" s="1074"/>
      <c r="AI108" s="1074"/>
      <c r="AJ108" s="1074"/>
      <c r="AK108" s="1074"/>
      <c r="AL108" s="1074"/>
      <c r="AM108" s="1074"/>
      <c r="AN108" s="1074"/>
      <c r="AO108" s="1074"/>
      <c r="AP108" s="1074"/>
      <c r="AQ108" s="1074"/>
      <c r="AR108" s="1074"/>
      <c r="AS108" s="1074"/>
      <c r="AT108" s="1074"/>
      <c r="AU108" s="1074"/>
      <c r="AV108" s="1074"/>
      <c r="AW108" s="1074"/>
      <c r="AX108" s="1074"/>
      <c r="AY108" s="1074"/>
      <c r="AZ108" s="1074"/>
      <c r="BA108" s="1074"/>
      <c r="BB108" s="1074"/>
      <c r="BC108" s="1074"/>
      <c r="BD108" s="1074"/>
      <c r="BE108" s="1074"/>
      <c r="BF108" s="1074"/>
      <c r="BG108" s="1074"/>
      <c r="BH108" s="1074"/>
      <c r="BI108" s="1074"/>
      <c r="BJ108" s="1074"/>
      <c r="BK108" s="1074"/>
      <c r="BL108" s="1074"/>
      <c r="BM108" s="1074"/>
      <c r="BN108" s="1074"/>
      <c r="BO108" s="1074"/>
      <c r="BP108" s="1074"/>
      <c r="BQ108" s="1074"/>
      <c r="BR108" s="1074"/>
      <c r="BS108" s="1074"/>
      <c r="BT108" s="1074"/>
      <c r="BU108" s="1074"/>
      <c r="BV108" s="1074"/>
      <c r="BW108" s="1074"/>
      <c r="BX108" s="1074"/>
      <c r="BY108" s="1074"/>
      <c r="BZ108" s="1074"/>
      <c r="CA108" s="1074"/>
      <c r="CB108" s="1074"/>
      <c r="CC108" s="1074"/>
      <c r="CD108" s="1074"/>
      <c r="CE108" s="1074"/>
      <c r="CF108" s="1074"/>
      <c r="CG108" s="1074"/>
      <c r="CH108" s="1074"/>
      <c r="CI108" s="1074"/>
      <c r="CJ108" s="1074"/>
      <c r="CK108" s="1074"/>
      <c r="CL108" s="1074"/>
      <c r="CM108" s="1074"/>
      <c r="CN108" s="1074"/>
      <c r="CO108" s="1074"/>
      <c r="CP108" s="1074"/>
      <c r="CQ108" s="1074"/>
      <c r="CR108" s="1074"/>
      <c r="CS108" s="1074"/>
      <c r="CT108" s="1074"/>
      <c r="CU108" s="1074"/>
      <c r="CV108" s="1074"/>
      <c r="CW108" s="1074"/>
      <c r="CX108" s="1074"/>
      <c r="CY108" s="1074"/>
      <c r="CZ108" s="1074"/>
      <c r="DA108" s="1074"/>
      <c r="DB108" s="1074"/>
      <c r="DC108" s="1074"/>
      <c r="DD108" s="1074"/>
      <c r="DE108" s="1074"/>
      <c r="DF108" s="1074"/>
      <c r="DG108" s="1074"/>
      <c r="DH108" s="1074"/>
      <c r="DI108" s="1074"/>
      <c r="DJ108" s="1074"/>
      <c r="DK108" s="1074"/>
      <c r="DL108" s="1074"/>
      <c r="DM108" s="1074"/>
      <c r="DN108" s="1074"/>
      <c r="DO108" s="1074"/>
      <c r="DP108" s="1074"/>
      <c r="DQ108" s="1074"/>
      <c r="DR108" s="1074"/>
      <c r="DS108" s="1074"/>
      <c r="DT108" s="1074"/>
      <c r="DU108" s="1074"/>
      <c r="DV108" s="1074"/>
      <c r="DW108" s="1074"/>
      <c r="DX108" s="1074"/>
      <c r="DY108" s="1074"/>
      <c r="DZ108" s="1074"/>
      <c r="EA108" s="1074"/>
      <c r="EB108" s="1074"/>
      <c r="EC108" s="1074"/>
      <c r="ED108" s="1074"/>
      <c r="EE108" s="1074"/>
      <c r="EF108" s="1074"/>
      <c r="EG108" s="1074"/>
      <c r="EH108" s="1074"/>
      <c r="EI108" s="1074"/>
      <c r="EJ108" s="1074"/>
      <c r="EK108" s="1074"/>
      <c r="EL108" s="1074"/>
      <c r="EM108" s="1074"/>
      <c r="EN108" s="1074"/>
      <c r="EO108" s="1074"/>
      <c r="EP108" s="1074"/>
      <c r="EQ108" s="1074"/>
      <c r="ER108" s="1074"/>
      <c r="ES108" s="1074"/>
      <c r="ET108" s="1074"/>
      <c r="EU108" s="1074"/>
      <c r="EV108" s="1074"/>
      <c r="EW108" s="1074"/>
      <c r="EX108" s="1074"/>
      <c r="EY108" s="1074"/>
      <c r="EZ108" s="1074"/>
      <c r="FA108" s="1074"/>
      <c r="FB108" s="1074"/>
      <c r="FC108" s="1074"/>
      <c r="FD108" s="1074"/>
      <c r="FE108" s="1074"/>
      <c r="FF108" s="1074"/>
      <c r="FG108" s="1074"/>
      <c r="FH108" s="1074"/>
      <c r="FI108" s="1074"/>
      <c r="FJ108" s="1074"/>
      <c r="FK108" s="1074"/>
      <c r="FL108" s="1074"/>
      <c r="FM108" s="1074"/>
      <c r="FN108" s="1074"/>
      <c r="FO108" s="1074"/>
      <c r="FP108" s="1074"/>
      <c r="FQ108" s="1074"/>
      <c r="FR108" s="1074"/>
      <c r="FS108" s="1074"/>
      <c r="FT108" s="1074"/>
      <c r="FU108" s="1074"/>
      <c r="FV108" s="1074"/>
      <c r="FW108" s="1074"/>
      <c r="FX108" s="1074"/>
      <c r="FY108" s="1074"/>
      <c r="FZ108" s="1074"/>
      <c r="GA108" s="1074"/>
      <c r="GB108" s="1074"/>
      <c r="GC108" s="1074"/>
      <c r="GD108" s="1074"/>
      <c r="GE108" s="1074"/>
      <c r="GF108" s="1074"/>
      <c r="GG108" s="1074"/>
      <c r="GH108" s="1074"/>
      <c r="GI108" s="1074"/>
      <c r="GJ108" s="1074"/>
      <c r="GK108" s="1074"/>
      <c r="GL108" s="1074"/>
      <c r="GM108" s="1074"/>
      <c r="GN108" s="1074"/>
      <c r="GO108" s="1074"/>
      <c r="GP108" s="1074"/>
      <c r="GQ108" s="1074"/>
      <c r="GR108" s="1074"/>
      <c r="GS108" s="1074"/>
      <c r="GT108" s="1074"/>
      <c r="GU108" s="1074"/>
      <c r="GV108" s="1074"/>
      <c r="GW108" s="1074"/>
      <c r="GX108" s="1074"/>
      <c r="GY108" s="1074"/>
      <c r="GZ108" s="1074"/>
      <c r="HA108" s="1074"/>
      <c r="HB108" s="1074"/>
      <c r="HC108" s="1074"/>
      <c r="HD108" s="1074"/>
      <c r="HE108" s="1074"/>
      <c r="HF108" s="1074"/>
      <c r="HG108" s="1074"/>
      <c r="HH108" s="1074"/>
      <c r="HI108" s="1074"/>
      <c r="HJ108" s="1074"/>
      <c r="HK108" s="1074"/>
      <c r="HL108" s="1074"/>
      <c r="HM108" s="1074"/>
      <c r="HN108" s="1074"/>
      <c r="HO108" s="1074"/>
      <c r="HP108" s="1074"/>
      <c r="HQ108" s="1074"/>
      <c r="HR108" s="1074"/>
      <c r="HS108" s="1074"/>
      <c r="HT108" s="1074"/>
      <c r="HU108" s="1074"/>
      <c r="HV108" s="1074"/>
      <c r="HW108" s="1074"/>
      <c r="HX108" s="1074"/>
      <c r="HY108" s="1074"/>
      <c r="HZ108" s="1074"/>
      <c r="IA108" s="1074"/>
      <c r="IB108" s="1074"/>
      <c r="IC108" s="1074"/>
      <c r="ID108" s="1074"/>
      <c r="IE108" s="1074"/>
      <c r="IF108" s="1074"/>
      <c r="IG108" s="1074"/>
      <c r="IH108" s="1074"/>
      <c r="II108" s="1074"/>
      <c r="IJ108" s="1074"/>
      <c r="IK108" s="1074"/>
      <c r="IL108" s="1074"/>
      <c r="IM108" s="1074"/>
      <c r="IN108" s="1074"/>
      <c r="IO108" s="1074"/>
      <c r="IP108" s="1074"/>
      <c r="IQ108" s="1074"/>
    </row>
    <row r="109" spans="1:252" s="851" customFormat="1" ht="11.25" customHeight="1">
      <c r="B109" s="1074">
        <f ca="1">-(-B106-(AD27*$V$23))</f>
        <v>-6471.143961788227</v>
      </c>
      <c r="C109" s="1074">
        <f t="shared" ref="C109:BN109" si="174">C68</f>
        <v>185.67470237795447</v>
      </c>
      <c r="D109" s="1074">
        <f t="shared" si="174"/>
        <v>400.81313228559111</v>
      </c>
      <c r="E109" s="1087">
        <f t="shared" si="174"/>
        <v>163.16558722460124</v>
      </c>
      <c r="F109" s="1074">
        <f t="shared" si="174"/>
        <v>305.775864891075</v>
      </c>
      <c r="G109" s="1074">
        <f t="shared" ca="1" si="174"/>
        <v>-274.01727842789444</v>
      </c>
      <c r="H109" s="1074">
        <f t="shared" ca="1" si="174"/>
        <v>40.998362218159571</v>
      </c>
      <c r="I109" s="1074">
        <f t="shared" ca="1" si="174"/>
        <v>51.686479671532538</v>
      </c>
      <c r="J109" s="1074">
        <f t="shared" ca="1" si="174"/>
        <v>63.733631988806223</v>
      </c>
      <c r="K109" s="1074">
        <f t="shared" ca="1" si="174"/>
        <v>77.196016708951163</v>
      </c>
      <c r="L109" s="1074">
        <f t="shared" ca="1" si="174"/>
        <v>92.120910260340054</v>
      </c>
      <c r="M109" s="1074">
        <f t="shared" ca="1" si="174"/>
        <v>108.5451715780469</v>
      </c>
      <c r="N109" s="1074">
        <f t="shared" ca="1" si="174"/>
        <v>126.49378064707076</v>
      </c>
      <c r="O109" s="1074">
        <f t="shared" ca="1" si="174"/>
        <v>145.97844147955266</v>
      </c>
      <c r="P109" s="1074">
        <f t="shared" ca="1" si="174"/>
        <v>166.99628028709208</v>
      </c>
      <c r="Q109" s="1074">
        <f t="shared" ca="1" si="174"/>
        <v>189.52867022494991</v>
      </c>
      <c r="R109" s="1074">
        <f t="shared" ca="1" si="174"/>
        <v>213.54021399438585</v>
      </c>
      <c r="S109" s="1074">
        <f t="shared" ca="1" si="174"/>
        <v>238.97791473695315</v>
      </c>
      <c r="T109" s="1074">
        <f t="shared" ca="1" si="174"/>
        <v>265.77056400500408</v>
      </c>
      <c r="U109" s="1074">
        <f t="shared" ca="1" si="174"/>
        <v>293.82837312972254</v>
      </c>
      <c r="V109" s="1074">
        <f t="shared" ca="1" si="174"/>
        <v>304.93177488032734</v>
      </c>
      <c r="W109" s="1077">
        <f t="shared" ca="1" si="174"/>
        <v>-69.356621231542249</v>
      </c>
      <c r="X109" s="1074">
        <f t="shared" ca="1" si="174"/>
        <v>323.56389873121782</v>
      </c>
      <c r="Y109" s="1074">
        <f t="shared" ca="1" si="174"/>
        <v>333.0984817538299</v>
      </c>
      <c r="Z109" s="1074">
        <f t="shared" ca="1" si="174"/>
        <v>343.01848640647813</v>
      </c>
      <c r="AA109" s="1074">
        <f t="shared" ca="1" si="174"/>
        <v>353.3391763420409</v>
      </c>
      <c r="AB109" s="1074">
        <f t="shared" ca="1" si="174"/>
        <v>364.07643141972062</v>
      </c>
      <c r="AC109" s="1074">
        <f t="shared" ca="1" si="174"/>
        <v>375.24677216116811</v>
      </c>
      <c r="AD109" s="1074">
        <f t="shared" ca="1" si="174"/>
        <v>386.86738518946458</v>
      </c>
      <c r="AE109" s="1074">
        <f t="shared" ca="1" si="174"/>
        <v>398.95614969035694</v>
      </c>
      <c r="AF109" s="1074">
        <f t="shared" ca="1" si="174"/>
        <v>411.53166493677259</v>
      </c>
      <c r="AG109" s="1074">
        <f t="shared" ca="1" si="174"/>
        <v>424.61327891915312</v>
      </c>
      <c r="AH109" s="1074">
        <f t="shared" ca="1" si="174"/>
        <v>438.22111812591834</v>
      </c>
      <c r="AI109" s="1074">
        <f t="shared" ca="1" si="174"/>
        <v>452.37611852003647</v>
      </c>
      <c r="AJ109" s="1074">
        <f t="shared" ca="1" si="174"/>
        <v>467.10005775954949</v>
      </c>
      <c r="AK109" s="1074">
        <f t="shared" ca="1" si="174"/>
        <v>482.41558871172833</v>
      </c>
      <c r="AL109" s="1074">
        <f t="shared" ca="1" si="174"/>
        <v>498.34627431265517</v>
      </c>
      <c r="AM109" s="1074">
        <f t="shared" ca="1" si="174"/>
        <v>514.91662382585628</v>
      </c>
      <c r="AN109" s="1074">
        <f t="shared" ca="1" si="174"/>
        <v>532.15213055598861</v>
      </c>
      <c r="AO109" s="1074">
        <f t="shared" ca="1" si="174"/>
        <v>550.07931107563286</v>
      </c>
      <c r="AP109" s="1074">
        <f t="shared" ca="1" si="174"/>
        <v>568.72574602564669</v>
      </c>
      <c r="AQ109" s="1074">
        <f t="shared" ca="1" si="174"/>
        <v>588.12012255192712</v>
      </c>
      <c r="AR109" s="1074">
        <f t="shared" ca="1" si="174"/>
        <v>608.29227844392994</v>
      </c>
      <c r="AS109" s="1074">
        <f t="shared" ca="1" si="174"/>
        <v>629.2732480429413</v>
      </c>
      <c r="AT109" s="1074">
        <f t="shared" ca="1" si="174"/>
        <v>651.09530999072058</v>
      </c>
      <c r="AU109" s="1074">
        <f t="shared" ca="1" si="174"/>
        <v>673.79203689207884</v>
      </c>
      <c r="AV109" s="1074">
        <f t="shared" ca="1" si="174"/>
        <v>697.3983469678692</v>
      </c>
      <c r="AW109" s="1074">
        <f t="shared" ca="1" si="174"/>
        <v>721.95055777774746</v>
      </c>
      <c r="AX109" s="1074">
        <f t="shared" ca="1" si="174"/>
        <v>747.48644209559916</v>
      </c>
      <c r="AY109" s="1074">
        <f t="shared" ca="1" si="174"/>
        <v>774.04528602342225</v>
      </c>
      <c r="AZ109" s="1074">
        <f t="shared" ca="1" si="174"/>
        <v>801.66794943324635</v>
      </c>
      <c r="BA109" s="1074">
        <f t="shared" ca="1" si="174"/>
        <v>830.39692883002522</v>
      </c>
      <c r="BB109" s="1074">
        <f t="shared" ca="1" si="174"/>
        <v>860.27642273221704</v>
      </c>
      <c r="BC109" s="1074">
        <f t="shared" ca="1" si="174"/>
        <v>891.35239967082612</v>
      </c>
      <c r="BD109" s="1074">
        <f t="shared" ca="1" si="174"/>
        <v>923.67266891118334</v>
      </c>
      <c r="BE109" s="1074">
        <f t="shared" ca="1" si="174"/>
        <v>957.2869540067295</v>
      </c>
      <c r="BF109" s="1074">
        <f t="shared" ca="1" si="174"/>
        <v>992.24696929761285</v>
      </c>
      <c r="BG109" s="1074">
        <f t="shared" ca="1" si="174"/>
        <v>1028.6064994719868</v>
      </c>
      <c r="BH109" s="1074">
        <f t="shared" ca="1" si="174"/>
        <v>1066.421482312332</v>
      </c>
      <c r="BI109" s="1074">
        <f t="shared" ca="1" si="174"/>
        <v>1105.7500947542694</v>
      </c>
      <c r="BJ109" s="1074">
        <f t="shared" ca="1" si="174"/>
        <v>1146.6528423899872</v>
      </c>
      <c r="BK109" s="1074">
        <f t="shared" ca="1" si="174"/>
        <v>1189.1926525543136</v>
      </c>
      <c r="BL109" s="1074">
        <f t="shared" ca="1" si="174"/>
        <v>1233.4349711363811</v>
      </c>
      <c r="BM109" s="1074">
        <f t="shared" ca="1" si="174"/>
        <v>1279.4478632660002</v>
      </c>
      <c r="BN109" s="1074">
        <f t="shared" ca="1" si="174"/>
        <v>1327.3021180296223</v>
      </c>
      <c r="BO109" s="1074">
        <f t="shared" ref="BO109:DZ109" ca="1" si="175">BO68</f>
        <v>1377.0713573768608</v>
      </c>
      <c r="BP109" s="1074">
        <f t="shared" ca="1" si="175"/>
        <v>1428.8321493853191</v>
      </c>
      <c r="BQ109" s="1074">
        <f t="shared" ca="1" si="175"/>
        <v>1482.6641260579054</v>
      </c>
      <c r="BR109" s="1074">
        <f t="shared" ca="1" si="175"/>
        <v>1538.6501058337776</v>
      </c>
      <c r="BS109" s="1074">
        <f t="shared" ca="1" si="175"/>
        <v>1596.8762210015152</v>
      </c>
      <c r="BT109" s="1074">
        <f t="shared" ca="1" si="175"/>
        <v>1657.4320502104788</v>
      </c>
      <c r="BU109" s="1074">
        <f t="shared" ca="1" si="175"/>
        <v>1720.4107562843542</v>
      </c>
      <c r="BV109" s="1074">
        <f t="shared" ca="1" si="175"/>
        <v>1785.9092295486093</v>
      </c>
      <c r="BW109" s="1074">
        <f t="shared" ca="1" si="175"/>
        <v>1854.028236892691</v>
      </c>
      <c r="BX109" s="1074">
        <f t="shared" ca="1" si="175"/>
        <v>1924.8725767960832</v>
      </c>
      <c r="BY109" s="1074">
        <f t="shared" ca="1" si="175"/>
        <v>1998.5512405568752</v>
      </c>
      <c r="BZ109" s="1074">
        <f t="shared" ca="1" si="175"/>
        <v>2075.1775799707357</v>
      </c>
      <c r="CA109" s="1074">
        <f t="shared" ca="1" si="175"/>
        <v>2154.869481718426</v>
      </c>
      <c r="CB109" s="1074">
        <f t="shared" ca="1" si="175"/>
        <v>2237.7495487297638</v>
      </c>
      <c r="CC109" s="1074">
        <f t="shared" ca="1" si="175"/>
        <v>2323.9452888039468</v>
      </c>
      <c r="CD109" s="1074">
        <f t="shared" ca="1" si="175"/>
        <v>2413.5893107750926</v>
      </c>
      <c r="CE109" s="1074">
        <f t="shared" ca="1" si="175"/>
        <v>2506.8195285261245</v>
      </c>
      <c r="CF109" s="1074">
        <f t="shared" ca="1" si="175"/>
        <v>2603.7793731638631</v>
      </c>
      <c r="CG109" s="1074">
        <f t="shared" ca="1" si="175"/>
        <v>2704.6180136823459</v>
      </c>
      <c r="CH109" s="1074">
        <f t="shared" ca="1" si="175"/>
        <v>2809.4905864536995</v>
      </c>
      <c r="CI109" s="1074">
        <f t="shared" ca="1" si="175"/>
        <v>2918.5584338993631</v>
      </c>
      <c r="CJ109" s="1074">
        <f t="shared" ca="1" si="175"/>
        <v>3031.9893527093282</v>
      </c>
      <c r="CK109" s="1074">
        <f t="shared" ca="1" si="175"/>
        <v>3149.9578519909774</v>
      </c>
      <c r="CL109" s="1074">
        <f t="shared" ca="1" si="175"/>
        <v>3272.6454217443988</v>
      </c>
      <c r="CM109" s="1074">
        <f t="shared" ca="1" si="175"/>
        <v>3400.2408120780692</v>
      </c>
      <c r="CN109" s="1074">
        <f t="shared" ca="1" si="175"/>
        <v>3532.9403235935788</v>
      </c>
      <c r="CO109" s="1074">
        <f t="shared" ca="1" si="175"/>
        <v>3670.9481093863724</v>
      </c>
      <c r="CP109" s="1074">
        <f t="shared" ca="1" si="175"/>
        <v>3814.4764891277864</v>
      </c>
      <c r="CQ109" s="1074">
        <f t="shared" ca="1" si="175"/>
        <v>3963.7462757103949</v>
      </c>
      <c r="CR109" s="1074">
        <f t="shared" ca="1" si="175"/>
        <v>4118.9871149603714</v>
      </c>
      <c r="CS109" s="1074">
        <f t="shared" ca="1" si="175"/>
        <v>4280.4378389386111</v>
      </c>
      <c r="CT109" s="1074">
        <f t="shared" ca="1" si="175"/>
        <v>4448.3468333749042</v>
      </c>
      <c r="CU109" s="1074">
        <f t="shared" ca="1" si="175"/>
        <v>4622.9724197994983</v>
      </c>
      <c r="CV109" s="1074">
        <f t="shared" ca="1" si="175"/>
        <v>4804.583252961218</v>
      </c>
      <c r="CW109" s="1074">
        <f t="shared" ca="1" si="175"/>
        <v>4993.4587341421029</v>
      </c>
      <c r="CX109" s="1074">
        <f t="shared" ca="1" si="175"/>
        <v>5189.8894410059675</v>
      </c>
      <c r="CY109" s="1074">
        <f t="shared" ca="1" si="175"/>
        <v>5394.1775746404383</v>
      </c>
      <c r="CZ109" s="1074">
        <f t="shared" ca="1" si="175"/>
        <v>5606.6374244821636</v>
      </c>
      <c r="DA109" s="1074">
        <f t="shared" ca="1" si="175"/>
        <v>5827.5958518388743</v>
      </c>
      <c r="DB109" s="1074">
        <f t="shared" ca="1" si="175"/>
        <v>6057.3927927527275</v>
      </c>
      <c r="DC109" s="1074">
        <f t="shared" ca="1" si="175"/>
        <v>6296.381780979289</v>
      </c>
      <c r="DD109" s="1074">
        <f t="shared" ca="1" si="175"/>
        <v>6544.9304918850776</v>
      </c>
      <c r="DE109" s="1074">
        <f t="shared" ca="1" si="175"/>
        <v>6803.4213081025628</v>
      </c>
      <c r="DF109" s="1074">
        <f t="shared" ca="1" si="175"/>
        <v>7072.251907810456</v>
      </c>
      <c r="DG109" s="1074">
        <f t="shared" ca="1" si="175"/>
        <v>7351.8358765471203</v>
      </c>
      <c r="DH109" s="1074">
        <f t="shared" ca="1" si="175"/>
        <v>7642.6033434950623</v>
      </c>
      <c r="DI109" s="1074">
        <f t="shared" ca="1" si="175"/>
        <v>7945.0016432190459</v>
      </c>
      <c r="DJ109" s="1074">
        <f t="shared" ca="1" si="175"/>
        <v>8259.4960038726422</v>
      </c>
      <c r="DK109" s="1074">
        <f t="shared" ca="1" si="175"/>
        <v>8586.5702629336411</v>
      </c>
      <c r="DL109" s="1074">
        <f t="shared" ca="1" si="175"/>
        <v>8926.7276115700988</v>
      </c>
      <c r="DM109" s="1074">
        <f t="shared" ca="1" si="175"/>
        <v>9280.4913687798107</v>
      </c>
      <c r="DN109" s="1074">
        <f t="shared" ca="1" si="175"/>
        <v>9648.4057864971073</v>
      </c>
      <c r="DO109" s="1074">
        <f t="shared" ca="1" si="175"/>
        <v>10031.036886903141</v>
      </c>
      <c r="DP109" s="1074">
        <f t="shared" ca="1" si="175"/>
        <v>10428.97333322918</v>
      </c>
      <c r="DQ109" s="1074">
        <f t="shared" ca="1" si="175"/>
        <v>10842.827335392805</v>
      </c>
      <c r="DR109" s="1074">
        <f t="shared" ca="1" si="175"/>
        <v>11273.235591859033</v>
      </c>
      <c r="DS109" s="1074">
        <f t="shared" ca="1" si="175"/>
        <v>11720.86026917605</v>
      </c>
      <c r="DT109" s="1074">
        <f t="shared" ca="1" si="175"/>
        <v>12186.390020693754</v>
      </c>
      <c r="DU109" s="1074">
        <f t="shared" ca="1" si="175"/>
        <v>12670.541046029881</v>
      </c>
      <c r="DV109" s="1074">
        <f t="shared" ca="1" si="175"/>
        <v>13174.058192915527</v>
      </c>
      <c r="DW109" s="1074">
        <f t="shared" ca="1" si="175"/>
        <v>13697.716103115432</v>
      </c>
      <c r="DX109" s="1074">
        <f t="shared" ca="1" si="175"/>
        <v>14242.320404183927</v>
      </c>
      <c r="DY109" s="1074">
        <f t="shared" ca="1" si="175"/>
        <v>14808.708948891159</v>
      </c>
      <c r="DZ109" s="1074">
        <f t="shared" ca="1" si="175"/>
        <v>15397.753104229829</v>
      </c>
      <c r="EA109" s="1074">
        <f t="shared" ref="EA109:GL109" ca="1" si="176">EA68</f>
        <v>16010.359091976839</v>
      </c>
      <c r="EB109" s="1074">
        <f t="shared" ca="1" si="176"/>
        <v>16647.469382882875</v>
      </c>
      <c r="EC109" s="1074">
        <f t="shared" ca="1" si="176"/>
        <v>17310.064146626049</v>
      </c>
      <c r="ED109" s="1074">
        <f t="shared" ca="1" si="176"/>
        <v>17999.162759766099</v>
      </c>
      <c r="EE109" s="1074">
        <f t="shared" ca="1" si="176"/>
        <v>18715.825374015629</v>
      </c>
      <c r="EF109" s="1074">
        <f t="shared" ca="1" si="176"/>
        <v>19461.15454724244</v>
      </c>
      <c r="EG109" s="1074">
        <f t="shared" ca="1" si="176"/>
        <v>20236.296939713691</v>
      </c>
      <c r="EH109" s="1074">
        <f t="shared" ca="1" si="176"/>
        <v>21042.445078185876</v>
      </c>
      <c r="EI109" s="1074">
        <f t="shared" ca="1" si="176"/>
        <v>21880.839190565552</v>
      </c>
      <c r="EJ109" s="1074">
        <f t="shared" ca="1" si="176"/>
        <v>22752.769113947914</v>
      </c>
      <c r="EK109" s="1074">
        <f t="shared" ca="1" si="176"/>
        <v>23659.576278984685</v>
      </c>
      <c r="EL109" s="1074">
        <f t="shared" ca="1" si="176"/>
        <v>24602.655773622122</v>
      </c>
      <c r="EM109" s="1074">
        <f t="shared" ca="1" si="176"/>
        <v>25583.458489390105</v>
      </c>
      <c r="EN109" s="1074">
        <f t="shared" ca="1" si="176"/>
        <v>26603.493353543839</v>
      </c>
      <c r="EO109" s="1074">
        <f t="shared" ca="1" si="176"/>
        <v>27664.329650489897</v>
      </c>
      <c r="EP109" s="1074">
        <f t="shared" ca="1" si="176"/>
        <v>28767.599436069242</v>
      </c>
      <c r="EQ109" s="1074">
        <f t="shared" ca="1" si="176"/>
        <v>29915.000048414251</v>
      </c>
      <c r="ER109" s="1074">
        <f t="shared" ca="1" si="176"/>
        <v>31108.296719235776</v>
      </c>
      <c r="ES109" s="1074">
        <f t="shared" ca="1" si="176"/>
        <v>32349.325289565488</v>
      </c>
      <c r="ET109" s="1074">
        <f t="shared" ca="1" si="176"/>
        <v>33639.99503412786</v>
      </c>
      <c r="EU109" s="1074">
        <f t="shared" ca="1" si="176"/>
        <v>34982.291598683194</v>
      </c>
      <c r="EV109" s="1074">
        <f t="shared" ca="1" si="176"/>
        <v>36378.280054869145</v>
      </c>
      <c r="EW109" s="1074">
        <f t="shared" ca="1" si="176"/>
        <v>37830.108077234458</v>
      </c>
      <c r="EX109" s="1074">
        <f t="shared" ca="1" si="176"/>
        <v>39340.009247351103</v>
      </c>
      <c r="EY109" s="1074">
        <f t="shared" ca="1" si="176"/>
        <v>40910.306490096162</v>
      </c>
      <c r="EZ109" s="1074">
        <f t="shared" ca="1" si="176"/>
        <v>42543.415647382746</v>
      </c>
      <c r="FA109" s="1074">
        <f t="shared" ca="1" si="176"/>
        <v>44241.84919483561</v>
      </c>
      <c r="FB109" s="1074">
        <f t="shared" ca="1" si="176"/>
        <v>46008.220107145215</v>
      </c>
      <c r="FC109" s="1074">
        <f t="shared" ca="1" si="176"/>
        <v>47845.245878021044</v>
      </c>
      <c r="FD109" s="1074">
        <f t="shared" ca="1" si="176"/>
        <v>49755.752700957921</v>
      </c>
      <c r="FE109" s="1074">
        <f t="shared" ca="1" si="176"/>
        <v>51742.679817221215</v>
      </c>
      <c r="FF109" s="1074">
        <f t="shared" ca="1" si="176"/>
        <v>53809.084037759749</v>
      </c>
      <c r="FG109" s="1074">
        <f t="shared" ca="1" si="176"/>
        <v>55958.144445987957</v>
      </c>
      <c r="FH109" s="1074">
        <f t="shared" ca="1" si="176"/>
        <v>58193.16728869034</v>
      </c>
      <c r="FI109" s="1074">
        <f t="shared" ca="1" si="176"/>
        <v>60517.591062546271</v>
      </c>
      <c r="FJ109" s="1074">
        <f t="shared" ca="1" si="176"/>
        <v>62934.991804130957</v>
      </c>
      <c r="FK109" s="1074">
        <f t="shared" ca="1" si="176"/>
        <v>65449.088591509062</v>
      </c>
      <c r="FL109" s="1074">
        <f t="shared" ca="1" si="176"/>
        <v>68063.749265892198</v>
      </c>
      <c r="FM109" s="1074">
        <f t="shared" ca="1" si="176"/>
        <v>70782.996382161218</v>
      </c>
      <c r="FN109" s="1074">
        <f t="shared" ca="1" si="176"/>
        <v>73611.013397422998</v>
      </c>
      <c r="FO109" s="1074">
        <f t="shared" ca="1" si="176"/>
        <v>76552.151107081503</v>
      </c>
      <c r="FP109" s="1074">
        <f t="shared" ca="1" si="176"/>
        <v>79610.934338384279</v>
      </c>
      <c r="FQ109" s="1074">
        <f t="shared" ca="1" si="176"/>
        <v>82792.06891168587</v>
      </c>
      <c r="FR109" s="1074">
        <f t="shared" ca="1" si="176"/>
        <v>86100.448880176904</v>
      </c>
      <c r="FS109" s="1074">
        <f t="shared" ca="1" si="176"/>
        <v>89541.164059194736</v>
      </c>
      <c r="FT109" s="1074">
        <f t="shared" ca="1" si="176"/>
        <v>93119.507856704149</v>
      </c>
      <c r="FU109" s="1074">
        <f t="shared" ca="1" si="176"/>
        <v>96840.985417011805</v>
      </c>
      <c r="FV109" s="1074">
        <f t="shared" ca="1" si="176"/>
        <v>100711.3220902083</v>
      </c>
      <c r="FW109" s="1074">
        <f t="shared" ca="1" si="176"/>
        <v>104736.47224040786</v>
      </c>
      <c r="FX109" s="1074">
        <f t="shared" ca="1" si="176"/>
        <v>108922.62840630134</v>
      </c>
      <c r="FY109" s="1074">
        <f t="shared" ca="1" si="176"/>
        <v>113276.23082814727</v>
      </c>
      <c r="FZ109" s="1074">
        <f t="shared" ca="1" si="176"/>
        <v>117803.97735582112</v>
      </c>
      <c r="GA109" s="1074">
        <f t="shared" ca="1" si="176"/>
        <v>122512.8337532148</v>
      </c>
      <c r="GB109" s="1074">
        <f t="shared" ca="1" si="176"/>
        <v>127410.04441478552</v>
      </c>
      <c r="GC109" s="1074">
        <f t="shared" ca="1" si="176"/>
        <v>132503.14351077884</v>
      </c>
      <c r="GD109" s="1074">
        <f t="shared" ca="1" si="176"/>
        <v>137799.96657826839</v>
      </c>
      <c r="GE109" s="1074">
        <f t="shared" ca="1" si="176"/>
        <v>143308.66257582052</v>
      </c>
      <c r="GF109" s="1074">
        <f t="shared" ca="1" si="176"/>
        <v>149037.70642035158</v>
      </c>
      <c r="GG109" s="1074">
        <f t="shared" ca="1" si="176"/>
        <v>154995.91202547174</v>
      </c>
      <c r="GH109" s="1074">
        <f t="shared" ca="1" si="176"/>
        <v>161192.44586133736</v>
      </c>
      <c r="GI109" s="1074">
        <f t="shared" ca="1" si="176"/>
        <v>167636.84105693252</v>
      </c>
      <c r="GJ109" s="1074">
        <f t="shared" ca="1" si="176"/>
        <v>174339.01206640305</v>
      </c>
      <c r="GK109" s="1074">
        <f t="shared" ca="1" si="176"/>
        <v>181309.26992206782</v>
      </c>
      <c r="GL109" s="1074">
        <f t="shared" ca="1" si="176"/>
        <v>188558.33809755399</v>
      </c>
      <c r="GM109" s="1074">
        <f t="shared" ref="GM109:IR109" ca="1" si="177">GM68</f>
        <v>196097.36900543957</v>
      </c>
      <c r="GN109" s="1074">
        <f t="shared" ca="1" si="177"/>
        <v>203937.96115481295</v>
      </c>
      <c r="GO109" s="1074">
        <f t="shared" ca="1" si="177"/>
        <v>212092.17699513189</v>
      </c>
      <c r="GP109" s="1074">
        <f t="shared" ca="1" si="177"/>
        <v>220572.56147384574</v>
      </c>
      <c r="GQ109" s="1074">
        <f t="shared" ca="1" si="177"/>
        <v>229392.16133630939</v>
      </c>
      <c r="GR109" s="1074">
        <f t="shared" ca="1" si="177"/>
        <v>238564.54519768828</v>
      </c>
      <c r="GS109" s="1074">
        <f t="shared" ca="1" si="177"/>
        <v>248103.82441777457</v>
      </c>
      <c r="GT109" s="1074">
        <f t="shared" ca="1" si="177"/>
        <v>258024.67481075448</v>
      </c>
      <c r="GU109" s="1074">
        <f t="shared" ca="1" si="177"/>
        <v>268342.35922337975</v>
      </c>
      <c r="GV109" s="1074">
        <f t="shared" ca="1" si="177"/>
        <v>279072.75101629307</v>
      </c>
      <c r="GW109" s="1074">
        <f t="shared" ca="1" si="177"/>
        <v>290232.35848455317</v>
      </c>
      <c r="GX109" s="1074">
        <f t="shared" ca="1" si="177"/>
        <v>301838.35025504313</v>
      </c>
      <c r="GY109" s="1074">
        <f t="shared" ca="1" si="177"/>
        <v>313908.5816997065</v>
      </c>
      <c r="GZ109" s="1074">
        <f t="shared" ca="1" si="177"/>
        <v>326461.62240539014</v>
      </c>
      <c r="HA109" s="1074">
        <f t="shared" ca="1" si="177"/>
        <v>339516.78474240308</v>
      </c>
      <c r="HB109" s="1074">
        <f t="shared" ca="1" si="177"/>
        <v>353094.15357588953</v>
      </c>
      <c r="HC109" s="1074">
        <f t="shared" ca="1" si="177"/>
        <v>367214.61716558202</v>
      </c>
      <c r="HD109" s="1074">
        <f t="shared" ca="1" si="177"/>
        <v>381899.89930162614</v>
      </c>
      <c r="HE109" s="1074">
        <f t="shared" ca="1" si="177"/>
        <v>397172.59272576799</v>
      </c>
      <c r="HF109" s="1074">
        <f t="shared" ca="1" si="177"/>
        <v>413056.193889427</v>
      </c>
      <c r="HG109" s="1074">
        <f t="shared" ca="1" si="177"/>
        <v>429575.13910208712</v>
      </c>
      <c r="HH109" s="1074">
        <f t="shared" ca="1" si="177"/>
        <v>446754.84212561359</v>
      </c>
      <c r="HI109" s="1074">
        <f t="shared" ca="1" si="177"/>
        <v>464621.73327235156</v>
      </c>
      <c r="HJ109" s="1074">
        <f t="shared" ca="1" si="177"/>
        <v>483203.30006714514</v>
      </c>
      <c r="HK109" s="1074">
        <f t="shared" ca="1" si="177"/>
        <v>502528.12953582243</v>
      </c>
      <c r="HL109" s="1074">
        <f t="shared" ca="1" si="177"/>
        <v>522625.95218526362</v>
      </c>
      <c r="HM109" s="1074">
        <f t="shared" ca="1" si="177"/>
        <v>543527.68774263328</v>
      </c>
      <c r="HN109" s="1074">
        <f t="shared" ca="1" si="177"/>
        <v>565265.49272415135</v>
      </c>
      <c r="HO109" s="1074">
        <f t="shared" ca="1" si="177"/>
        <v>587872.80990672996</v>
      </c>
      <c r="HP109" s="1074">
        <f t="shared" ca="1" si="177"/>
        <v>611384.41977833561</v>
      </c>
      <c r="HQ109" s="1074">
        <f t="shared" ca="1" si="177"/>
        <v>635836.4940464627</v>
      </c>
      <c r="HR109" s="1074">
        <f t="shared" ca="1" si="177"/>
        <v>661266.65128691285</v>
      </c>
      <c r="HS109" s="1074">
        <f t="shared" ca="1" si="177"/>
        <v>687714.01481850795</v>
      </c>
      <c r="HT109" s="1074">
        <f t="shared" ca="1" si="177"/>
        <v>715219.27289285301</v>
      </c>
      <c r="HU109" s="1074">
        <f t="shared" ca="1" si="177"/>
        <v>743824.74129157211</v>
      </c>
      <c r="HV109" s="1074">
        <f t="shared" ca="1" si="177"/>
        <v>773574.42842761939</v>
      </c>
      <c r="HW109" s="1074">
        <f t="shared" ca="1" si="177"/>
        <v>804514.10305041005</v>
      </c>
      <c r="HX109" s="1074">
        <f t="shared" ca="1" si="177"/>
        <v>836691.36465937179</v>
      </c>
      <c r="HY109" s="1074">
        <f t="shared" ca="1" si="177"/>
        <v>870155.71673391433</v>
      </c>
      <c r="HZ109" s="1074">
        <f t="shared" ca="1" si="177"/>
        <v>904958.64289259119</v>
      </c>
      <c r="IA109" s="1074">
        <f t="shared" ca="1" si="177"/>
        <v>941153.68609873764</v>
      </c>
      <c r="IB109" s="1074">
        <f t="shared" ca="1" si="177"/>
        <v>978796.53103421582</v>
      </c>
      <c r="IC109" s="1074">
        <f t="shared" ca="1" si="177"/>
        <v>1017945.0897681434</v>
      </c>
      <c r="ID109" s="1074">
        <f t="shared" ca="1" si="177"/>
        <v>1058659.5908524073</v>
      </c>
      <c r="IE109" s="1074">
        <f t="shared" ca="1" si="177"/>
        <v>1101002.6719810306</v>
      </c>
      <c r="IF109" s="1074">
        <f t="shared" ca="1" si="177"/>
        <v>1145039.4763557054</v>
      </c>
      <c r="IG109" s="1074">
        <f t="shared" ca="1" si="177"/>
        <v>1190837.7529062559</v>
      </c>
      <c r="IH109" s="1074">
        <f t="shared" ca="1" si="177"/>
        <v>1238467.9605196747</v>
      </c>
      <c r="II109" s="1074">
        <f t="shared" ca="1" si="177"/>
        <v>1288003.3764384454</v>
      </c>
      <c r="IJ109" s="1074">
        <f t="shared" ca="1" si="177"/>
        <v>1339520.2089947616</v>
      </c>
      <c r="IK109" s="1074">
        <f t="shared" ca="1" si="177"/>
        <v>1393097.7148540812</v>
      </c>
      <c r="IL109" s="1074">
        <f t="shared" ca="1" si="177"/>
        <v>1448818.3209485151</v>
      </c>
      <c r="IM109" s="1074">
        <f t="shared" ca="1" si="177"/>
        <v>1506767.7512874044</v>
      </c>
      <c r="IN109" s="1074">
        <f t="shared" ca="1" si="177"/>
        <v>1567035.1588405389</v>
      </c>
      <c r="IO109" s="1074">
        <f t="shared" ca="1" si="177"/>
        <v>1629713.2626964427</v>
      </c>
      <c r="IP109" s="1074">
        <f t="shared" ca="1" si="177"/>
        <v>1694898.4907072005</v>
      </c>
      <c r="IQ109" s="1074">
        <f t="shared" ca="1" si="177"/>
        <v>1762691.1278389837</v>
      </c>
      <c r="IR109" s="1074">
        <f t="shared" ca="1" si="177"/>
        <v>65380664.037959695</v>
      </c>
    </row>
    <row r="110" spans="1:252" s="851" customFormat="1" ht="11.25" customHeight="1">
      <c r="E110" s="1070"/>
      <c r="W110" s="1071"/>
    </row>
    <row r="111" spans="1:252" s="851" customFormat="1" ht="11.25" customHeight="1">
      <c r="C111" s="1083"/>
      <c r="E111" s="1070"/>
      <c r="W111" s="1071"/>
    </row>
    <row r="112" spans="1:252" s="851" customFormat="1" ht="11.25" customHeight="1">
      <c r="B112" s="851" t="s">
        <v>426</v>
      </c>
      <c r="C112" s="1083">
        <f>rngInput1</f>
        <v>0.05</v>
      </c>
      <c r="E112" s="1070"/>
      <c r="W112" s="1071"/>
    </row>
    <row r="113" spans="2:252" s="851" customFormat="1" ht="11.25" customHeight="1">
      <c r="B113" s="851" t="s">
        <v>732</v>
      </c>
      <c r="C113" s="1083">
        <f ca="1">C105</f>
        <v>6.175930464967494E-2</v>
      </c>
      <c r="E113" s="1070"/>
      <c r="W113" s="1071"/>
    </row>
    <row r="114" spans="2:252" s="851" customFormat="1" ht="11.25" customHeight="1">
      <c r="B114" s="851" t="s">
        <v>430</v>
      </c>
      <c r="C114" s="1083">
        <f ca="1">rngWACC</f>
        <v>4.901996446968937E-2</v>
      </c>
      <c r="E114" s="1070"/>
      <c r="W114" s="1071"/>
    </row>
    <row r="115" spans="2:252" s="851" customFormat="1">
      <c r="B115" s="851" t="s">
        <v>733</v>
      </c>
      <c r="C115" s="1083">
        <f ca="1">C108</f>
        <v>5.7195832160804816E-2</v>
      </c>
      <c r="E115" s="1070"/>
      <c r="W115" s="1071"/>
    </row>
    <row r="116" spans="2:252" s="851" customFormat="1">
      <c r="C116" s="1079"/>
      <c r="E116" s="1070"/>
      <c r="W116" s="1071"/>
    </row>
    <row r="117" spans="2:252" s="959" customFormat="1" ht="11.25" customHeight="1">
      <c r="E117" s="1088"/>
      <c r="W117" s="958"/>
    </row>
    <row r="118" spans="2:252" s="959" customFormat="1" ht="11.25" customHeight="1">
      <c r="E118" s="1088"/>
      <c r="W118" s="958"/>
    </row>
    <row r="119" spans="2:252" s="959" customFormat="1" ht="11.25" customHeight="1">
      <c r="E119" s="1088"/>
      <c r="W119" s="958"/>
    </row>
    <row r="120" spans="2:252" s="959" customFormat="1" ht="12.75">
      <c r="E120" s="1088"/>
      <c r="W120" s="958"/>
    </row>
    <row r="121" spans="2:252" s="959" customFormat="1" ht="12.75">
      <c r="E121" s="1088"/>
      <c r="W121" s="958"/>
    </row>
    <row r="122" spans="2:252" s="959" customFormat="1" ht="12.75">
      <c r="E122" s="1088"/>
      <c r="W122" s="958"/>
    </row>
    <row r="123" spans="2:252" s="959" customFormat="1" ht="12.75">
      <c r="E123" s="1088"/>
      <c r="W123" s="958"/>
    </row>
    <row r="124" spans="2:252" s="959" customFormat="1" ht="12.75">
      <c r="E124" s="1088"/>
      <c r="W124" s="958"/>
    </row>
    <row r="125" spans="2:252" s="959" customFormat="1" ht="12.75">
      <c r="E125" s="1088"/>
      <c r="W125" s="958"/>
    </row>
    <row r="126" spans="2:252" s="959" customFormat="1" ht="12.75">
      <c r="E126" s="1088"/>
      <c r="W126" s="958"/>
    </row>
    <row r="127" spans="2:252" s="851" customFormat="1" ht="11.25" customHeight="1">
      <c r="B127" s="851" t="s">
        <v>430</v>
      </c>
      <c r="C127" s="1089">
        <f t="shared" ref="C127:BN127" si="178">rngInput1</f>
        <v>0.05</v>
      </c>
      <c r="D127" s="1089">
        <f t="shared" si="178"/>
        <v>0.05</v>
      </c>
      <c r="E127" s="1089">
        <f t="shared" si="178"/>
        <v>0.05</v>
      </c>
      <c r="F127" s="1089">
        <f t="shared" si="178"/>
        <v>0.05</v>
      </c>
      <c r="G127" s="1089">
        <f t="shared" si="178"/>
        <v>0.05</v>
      </c>
      <c r="H127" s="1089">
        <f t="shared" si="178"/>
        <v>0.05</v>
      </c>
      <c r="I127" s="1089">
        <f t="shared" si="178"/>
        <v>0.05</v>
      </c>
      <c r="J127" s="1089">
        <f t="shared" si="178"/>
        <v>0.05</v>
      </c>
      <c r="K127" s="1089">
        <f t="shared" si="178"/>
        <v>0.05</v>
      </c>
      <c r="L127" s="1089">
        <f t="shared" si="178"/>
        <v>0.05</v>
      </c>
      <c r="M127" s="1089">
        <f t="shared" si="178"/>
        <v>0.05</v>
      </c>
      <c r="N127" s="1089">
        <f t="shared" si="178"/>
        <v>0.05</v>
      </c>
      <c r="O127" s="1089">
        <f t="shared" si="178"/>
        <v>0.05</v>
      </c>
      <c r="P127" s="1089">
        <f t="shared" si="178"/>
        <v>0.05</v>
      </c>
      <c r="Q127" s="1089">
        <f t="shared" si="178"/>
        <v>0.05</v>
      </c>
      <c r="R127" s="1089">
        <f t="shared" si="178"/>
        <v>0.05</v>
      </c>
      <c r="S127" s="1089">
        <f t="shared" si="178"/>
        <v>0.05</v>
      </c>
      <c r="T127" s="1089">
        <f t="shared" si="178"/>
        <v>0.05</v>
      </c>
      <c r="U127" s="1089">
        <f t="shared" si="178"/>
        <v>0.05</v>
      </c>
      <c r="V127" s="1089">
        <f t="shared" si="178"/>
        <v>0.05</v>
      </c>
      <c r="W127" s="1089">
        <f t="shared" si="178"/>
        <v>0.05</v>
      </c>
      <c r="X127" s="1089">
        <f t="shared" si="178"/>
        <v>0.05</v>
      </c>
      <c r="Y127" s="1089">
        <f t="shared" si="178"/>
        <v>0.05</v>
      </c>
      <c r="Z127" s="1089">
        <f t="shared" si="178"/>
        <v>0.05</v>
      </c>
      <c r="AA127" s="1089">
        <f t="shared" si="178"/>
        <v>0.05</v>
      </c>
      <c r="AB127" s="1089">
        <f t="shared" si="178"/>
        <v>0.05</v>
      </c>
      <c r="AC127" s="1089">
        <f t="shared" si="178"/>
        <v>0.05</v>
      </c>
      <c r="AD127" s="1089">
        <f t="shared" si="178"/>
        <v>0.05</v>
      </c>
      <c r="AE127" s="1089">
        <f t="shared" si="178"/>
        <v>0.05</v>
      </c>
      <c r="AF127" s="1089">
        <f t="shared" si="178"/>
        <v>0.05</v>
      </c>
      <c r="AG127" s="1089">
        <f t="shared" si="178"/>
        <v>0.05</v>
      </c>
      <c r="AH127" s="1089">
        <f t="shared" si="178"/>
        <v>0.05</v>
      </c>
      <c r="AI127" s="1089">
        <f t="shared" si="178"/>
        <v>0.05</v>
      </c>
      <c r="AJ127" s="1089">
        <f t="shared" si="178"/>
        <v>0.05</v>
      </c>
      <c r="AK127" s="1089">
        <f t="shared" si="178"/>
        <v>0.05</v>
      </c>
      <c r="AL127" s="1089">
        <f t="shared" si="178"/>
        <v>0.05</v>
      </c>
      <c r="AM127" s="1089">
        <f t="shared" si="178"/>
        <v>0.05</v>
      </c>
      <c r="AN127" s="1089">
        <f t="shared" si="178"/>
        <v>0.05</v>
      </c>
      <c r="AO127" s="1089">
        <f t="shared" si="178"/>
        <v>0.05</v>
      </c>
      <c r="AP127" s="1089">
        <f t="shared" si="178"/>
        <v>0.05</v>
      </c>
      <c r="AQ127" s="1089">
        <f t="shared" si="178"/>
        <v>0.05</v>
      </c>
      <c r="AR127" s="1089">
        <f t="shared" si="178"/>
        <v>0.05</v>
      </c>
      <c r="AS127" s="1089">
        <f t="shared" si="178"/>
        <v>0.05</v>
      </c>
      <c r="AT127" s="1089">
        <f t="shared" si="178"/>
        <v>0.05</v>
      </c>
      <c r="AU127" s="1089">
        <f t="shared" si="178"/>
        <v>0.05</v>
      </c>
      <c r="AV127" s="1089">
        <f t="shared" si="178"/>
        <v>0.05</v>
      </c>
      <c r="AW127" s="1089">
        <f t="shared" si="178"/>
        <v>0.05</v>
      </c>
      <c r="AX127" s="1089">
        <f t="shared" si="178"/>
        <v>0.05</v>
      </c>
      <c r="AY127" s="1089">
        <f t="shared" si="178"/>
        <v>0.05</v>
      </c>
      <c r="AZ127" s="1089">
        <f t="shared" si="178"/>
        <v>0.05</v>
      </c>
      <c r="BA127" s="1089">
        <f t="shared" si="178"/>
        <v>0.05</v>
      </c>
      <c r="BB127" s="1089">
        <f t="shared" si="178"/>
        <v>0.05</v>
      </c>
      <c r="BC127" s="1089">
        <f t="shared" si="178"/>
        <v>0.05</v>
      </c>
      <c r="BD127" s="1089">
        <f t="shared" si="178"/>
        <v>0.05</v>
      </c>
      <c r="BE127" s="1089">
        <f t="shared" si="178"/>
        <v>0.05</v>
      </c>
      <c r="BF127" s="1089">
        <f t="shared" si="178"/>
        <v>0.05</v>
      </c>
      <c r="BG127" s="1089">
        <f t="shared" si="178"/>
        <v>0.05</v>
      </c>
      <c r="BH127" s="1089">
        <f t="shared" si="178"/>
        <v>0.05</v>
      </c>
      <c r="BI127" s="1089">
        <f t="shared" si="178"/>
        <v>0.05</v>
      </c>
      <c r="BJ127" s="1089">
        <f t="shared" si="178"/>
        <v>0.05</v>
      </c>
      <c r="BK127" s="1089">
        <f t="shared" si="178"/>
        <v>0.05</v>
      </c>
      <c r="BL127" s="1089">
        <f t="shared" si="178"/>
        <v>0.05</v>
      </c>
      <c r="BM127" s="1089">
        <f t="shared" si="178"/>
        <v>0.05</v>
      </c>
      <c r="BN127" s="1089">
        <f t="shared" si="178"/>
        <v>0.05</v>
      </c>
      <c r="BO127" s="1089">
        <f t="shared" ref="BO127:DZ127" si="179">rngInput1</f>
        <v>0.05</v>
      </c>
      <c r="BP127" s="1089">
        <f t="shared" si="179"/>
        <v>0.05</v>
      </c>
      <c r="BQ127" s="1089">
        <f t="shared" si="179"/>
        <v>0.05</v>
      </c>
      <c r="BR127" s="1089">
        <f t="shared" si="179"/>
        <v>0.05</v>
      </c>
      <c r="BS127" s="1089">
        <f t="shared" si="179"/>
        <v>0.05</v>
      </c>
      <c r="BT127" s="1089">
        <f t="shared" si="179"/>
        <v>0.05</v>
      </c>
      <c r="BU127" s="1089">
        <f t="shared" si="179"/>
        <v>0.05</v>
      </c>
      <c r="BV127" s="1089">
        <f t="shared" si="179"/>
        <v>0.05</v>
      </c>
      <c r="BW127" s="1089">
        <f t="shared" si="179"/>
        <v>0.05</v>
      </c>
      <c r="BX127" s="1089">
        <f t="shared" si="179"/>
        <v>0.05</v>
      </c>
      <c r="BY127" s="1089">
        <f t="shared" si="179"/>
        <v>0.05</v>
      </c>
      <c r="BZ127" s="1089">
        <f t="shared" si="179"/>
        <v>0.05</v>
      </c>
      <c r="CA127" s="1089">
        <f t="shared" si="179"/>
        <v>0.05</v>
      </c>
      <c r="CB127" s="1089">
        <f t="shared" si="179"/>
        <v>0.05</v>
      </c>
      <c r="CC127" s="1089">
        <f t="shared" si="179"/>
        <v>0.05</v>
      </c>
      <c r="CD127" s="1089">
        <f t="shared" si="179"/>
        <v>0.05</v>
      </c>
      <c r="CE127" s="1089">
        <f t="shared" si="179"/>
        <v>0.05</v>
      </c>
      <c r="CF127" s="1089">
        <f t="shared" si="179"/>
        <v>0.05</v>
      </c>
      <c r="CG127" s="1089">
        <f t="shared" si="179"/>
        <v>0.05</v>
      </c>
      <c r="CH127" s="1089">
        <f t="shared" si="179"/>
        <v>0.05</v>
      </c>
      <c r="CI127" s="1089">
        <f t="shared" si="179"/>
        <v>0.05</v>
      </c>
      <c r="CJ127" s="1089">
        <f t="shared" si="179"/>
        <v>0.05</v>
      </c>
      <c r="CK127" s="1089">
        <f t="shared" si="179"/>
        <v>0.05</v>
      </c>
      <c r="CL127" s="1089">
        <f t="shared" si="179"/>
        <v>0.05</v>
      </c>
      <c r="CM127" s="1089">
        <f t="shared" si="179"/>
        <v>0.05</v>
      </c>
      <c r="CN127" s="1089">
        <f t="shared" si="179"/>
        <v>0.05</v>
      </c>
      <c r="CO127" s="1089">
        <f t="shared" si="179"/>
        <v>0.05</v>
      </c>
      <c r="CP127" s="1089">
        <f t="shared" si="179"/>
        <v>0.05</v>
      </c>
      <c r="CQ127" s="1089">
        <f t="shared" si="179"/>
        <v>0.05</v>
      </c>
      <c r="CR127" s="1089">
        <f t="shared" si="179"/>
        <v>0.05</v>
      </c>
      <c r="CS127" s="1089">
        <f t="shared" si="179"/>
        <v>0.05</v>
      </c>
      <c r="CT127" s="1089">
        <f t="shared" si="179"/>
        <v>0.05</v>
      </c>
      <c r="CU127" s="1089">
        <f t="shared" si="179"/>
        <v>0.05</v>
      </c>
      <c r="CV127" s="1089">
        <f t="shared" si="179"/>
        <v>0.05</v>
      </c>
      <c r="CW127" s="1089">
        <f t="shared" si="179"/>
        <v>0.05</v>
      </c>
      <c r="CX127" s="1089">
        <f t="shared" si="179"/>
        <v>0.05</v>
      </c>
      <c r="CY127" s="1089">
        <f t="shared" si="179"/>
        <v>0.05</v>
      </c>
      <c r="CZ127" s="1089">
        <f t="shared" si="179"/>
        <v>0.05</v>
      </c>
      <c r="DA127" s="1089">
        <f t="shared" si="179"/>
        <v>0.05</v>
      </c>
      <c r="DB127" s="1089">
        <f t="shared" si="179"/>
        <v>0.05</v>
      </c>
      <c r="DC127" s="1089">
        <f t="shared" si="179"/>
        <v>0.05</v>
      </c>
      <c r="DD127" s="1089">
        <f t="shared" si="179"/>
        <v>0.05</v>
      </c>
      <c r="DE127" s="1089">
        <f t="shared" si="179"/>
        <v>0.05</v>
      </c>
      <c r="DF127" s="1089">
        <f t="shared" si="179"/>
        <v>0.05</v>
      </c>
      <c r="DG127" s="1089">
        <f t="shared" si="179"/>
        <v>0.05</v>
      </c>
      <c r="DH127" s="1089">
        <f t="shared" si="179"/>
        <v>0.05</v>
      </c>
      <c r="DI127" s="1089">
        <f t="shared" si="179"/>
        <v>0.05</v>
      </c>
      <c r="DJ127" s="1089">
        <f t="shared" si="179"/>
        <v>0.05</v>
      </c>
      <c r="DK127" s="1089">
        <f t="shared" si="179"/>
        <v>0.05</v>
      </c>
      <c r="DL127" s="1089">
        <f t="shared" si="179"/>
        <v>0.05</v>
      </c>
      <c r="DM127" s="1089">
        <f t="shared" si="179"/>
        <v>0.05</v>
      </c>
      <c r="DN127" s="1089">
        <f t="shared" si="179"/>
        <v>0.05</v>
      </c>
      <c r="DO127" s="1089">
        <f t="shared" si="179"/>
        <v>0.05</v>
      </c>
      <c r="DP127" s="1089">
        <f t="shared" si="179"/>
        <v>0.05</v>
      </c>
      <c r="DQ127" s="1089">
        <f t="shared" si="179"/>
        <v>0.05</v>
      </c>
      <c r="DR127" s="1089">
        <f t="shared" si="179"/>
        <v>0.05</v>
      </c>
      <c r="DS127" s="1089">
        <f t="shared" si="179"/>
        <v>0.05</v>
      </c>
      <c r="DT127" s="1089">
        <f t="shared" si="179"/>
        <v>0.05</v>
      </c>
      <c r="DU127" s="1089">
        <f t="shared" si="179"/>
        <v>0.05</v>
      </c>
      <c r="DV127" s="1089">
        <f t="shared" si="179"/>
        <v>0.05</v>
      </c>
      <c r="DW127" s="1089">
        <f t="shared" si="179"/>
        <v>0.05</v>
      </c>
      <c r="DX127" s="1089">
        <f t="shared" si="179"/>
        <v>0.05</v>
      </c>
      <c r="DY127" s="1089">
        <f t="shared" si="179"/>
        <v>0.05</v>
      </c>
      <c r="DZ127" s="1089">
        <f t="shared" si="179"/>
        <v>0.05</v>
      </c>
      <c r="EA127" s="1089">
        <f t="shared" ref="EA127:GL127" si="180">rngInput1</f>
        <v>0.05</v>
      </c>
      <c r="EB127" s="1089">
        <f t="shared" si="180"/>
        <v>0.05</v>
      </c>
      <c r="EC127" s="1089">
        <f t="shared" si="180"/>
        <v>0.05</v>
      </c>
      <c r="ED127" s="1089">
        <f t="shared" si="180"/>
        <v>0.05</v>
      </c>
      <c r="EE127" s="1089">
        <f t="shared" si="180"/>
        <v>0.05</v>
      </c>
      <c r="EF127" s="1089">
        <f t="shared" si="180"/>
        <v>0.05</v>
      </c>
      <c r="EG127" s="1089">
        <f t="shared" si="180"/>
        <v>0.05</v>
      </c>
      <c r="EH127" s="1089">
        <f t="shared" si="180"/>
        <v>0.05</v>
      </c>
      <c r="EI127" s="1089">
        <f t="shared" si="180"/>
        <v>0.05</v>
      </c>
      <c r="EJ127" s="1089">
        <f t="shared" si="180"/>
        <v>0.05</v>
      </c>
      <c r="EK127" s="1089">
        <f t="shared" si="180"/>
        <v>0.05</v>
      </c>
      <c r="EL127" s="1089">
        <f t="shared" si="180"/>
        <v>0.05</v>
      </c>
      <c r="EM127" s="1089">
        <f t="shared" si="180"/>
        <v>0.05</v>
      </c>
      <c r="EN127" s="1089">
        <f t="shared" si="180"/>
        <v>0.05</v>
      </c>
      <c r="EO127" s="1089">
        <f t="shared" si="180"/>
        <v>0.05</v>
      </c>
      <c r="EP127" s="1089">
        <f t="shared" si="180"/>
        <v>0.05</v>
      </c>
      <c r="EQ127" s="1089">
        <f t="shared" si="180"/>
        <v>0.05</v>
      </c>
      <c r="ER127" s="1089">
        <f t="shared" si="180"/>
        <v>0.05</v>
      </c>
      <c r="ES127" s="1089">
        <f t="shared" si="180"/>
        <v>0.05</v>
      </c>
      <c r="ET127" s="1089">
        <f t="shared" si="180"/>
        <v>0.05</v>
      </c>
      <c r="EU127" s="1089">
        <f t="shared" si="180"/>
        <v>0.05</v>
      </c>
      <c r="EV127" s="1089">
        <f t="shared" si="180"/>
        <v>0.05</v>
      </c>
      <c r="EW127" s="1089">
        <f t="shared" si="180"/>
        <v>0.05</v>
      </c>
      <c r="EX127" s="1089">
        <f t="shared" si="180"/>
        <v>0.05</v>
      </c>
      <c r="EY127" s="1089">
        <f t="shared" si="180"/>
        <v>0.05</v>
      </c>
      <c r="EZ127" s="1089">
        <f t="shared" si="180"/>
        <v>0.05</v>
      </c>
      <c r="FA127" s="1089">
        <f t="shared" si="180"/>
        <v>0.05</v>
      </c>
      <c r="FB127" s="1089">
        <f t="shared" si="180"/>
        <v>0.05</v>
      </c>
      <c r="FC127" s="1089">
        <f t="shared" si="180"/>
        <v>0.05</v>
      </c>
      <c r="FD127" s="1089">
        <f t="shared" si="180"/>
        <v>0.05</v>
      </c>
      <c r="FE127" s="1089">
        <f t="shared" si="180"/>
        <v>0.05</v>
      </c>
      <c r="FF127" s="1089">
        <f t="shared" si="180"/>
        <v>0.05</v>
      </c>
      <c r="FG127" s="1089">
        <f t="shared" si="180"/>
        <v>0.05</v>
      </c>
      <c r="FH127" s="1089">
        <f t="shared" si="180"/>
        <v>0.05</v>
      </c>
      <c r="FI127" s="1089">
        <f t="shared" si="180"/>
        <v>0.05</v>
      </c>
      <c r="FJ127" s="1089">
        <f t="shared" si="180"/>
        <v>0.05</v>
      </c>
      <c r="FK127" s="1089">
        <f t="shared" si="180"/>
        <v>0.05</v>
      </c>
      <c r="FL127" s="1089">
        <f t="shared" si="180"/>
        <v>0.05</v>
      </c>
      <c r="FM127" s="1089">
        <f t="shared" si="180"/>
        <v>0.05</v>
      </c>
      <c r="FN127" s="1089">
        <f t="shared" si="180"/>
        <v>0.05</v>
      </c>
      <c r="FO127" s="1089">
        <f t="shared" si="180"/>
        <v>0.05</v>
      </c>
      <c r="FP127" s="1089">
        <f t="shared" si="180"/>
        <v>0.05</v>
      </c>
      <c r="FQ127" s="1089">
        <f t="shared" si="180"/>
        <v>0.05</v>
      </c>
      <c r="FR127" s="1089">
        <f t="shared" si="180"/>
        <v>0.05</v>
      </c>
      <c r="FS127" s="1089">
        <f t="shared" si="180"/>
        <v>0.05</v>
      </c>
      <c r="FT127" s="1089">
        <f t="shared" si="180"/>
        <v>0.05</v>
      </c>
      <c r="FU127" s="1089">
        <f t="shared" si="180"/>
        <v>0.05</v>
      </c>
      <c r="FV127" s="1089">
        <f t="shared" si="180"/>
        <v>0.05</v>
      </c>
      <c r="FW127" s="1089">
        <f t="shared" si="180"/>
        <v>0.05</v>
      </c>
      <c r="FX127" s="1089">
        <f t="shared" si="180"/>
        <v>0.05</v>
      </c>
      <c r="FY127" s="1089">
        <f t="shared" si="180"/>
        <v>0.05</v>
      </c>
      <c r="FZ127" s="1089">
        <f t="shared" si="180"/>
        <v>0.05</v>
      </c>
      <c r="GA127" s="1089">
        <f t="shared" si="180"/>
        <v>0.05</v>
      </c>
      <c r="GB127" s="1089">
        <f t="shared" si="180"/>
        <v>0.05</v>
      </c>
      <c r="GC127" s="1089">
        <f t="shared" si="180"/>
        <v>0.05</v>
      </c>
      <c r="GD127" s="1089">
        <f t="shared" si="180"/>
        <v>0.05</v>
      </c>
      <c r="GE127" s="1089">
        <f t="shared" si="180"/>
        <v>0.05</v>
      </c>
      <c r="GF127" s="1089">
        <f t="shared" si="180"/>
        <v>0.05</v>
      </c>
      <c r="GG127" s="1089">
        <f t="shared" si="180"/>
        <v>0.05</v>
      </c>
      <c r="GH127" s="1089">
        <f t="shared" si="180"/>
        <v>0.05</v>
      </c>
      <c r="GI127" s="1089">
        <f t="shared" si="180"/>
        <v>0.05</v>
      </c>
      <c r="GJ127" s="1089">
        <f t="shared" si="180"/>
        <v>0.05</v>
      </c>
      <c r="GK127" s="1089">
        <f t="shared" si="180"/>
        <v>0.05</v>
      </c>
      <c r="GL127" s="1089">
        <f t="shared" si="180"/>
        <v>0.05</v>
      </c>
      <c r="GM127" s="1089">
        <f t="shared" ref="GM127:IR127" si="181">rngInput1</f>
        <v>0.05</v>
      </c>
      <c r="GN127" s="1089">
        <f t="shared" si="181"/>
        <v>0.05</v>
      </c>
      <c r="GO127" s="1089">
        <f t="shared" si="181"/>
        <v>0.05</v>
      </c>
      <c r="GP127" s="1089">
        <f t="shared" si="181"/>
        <v>0.05</v>
      </c>
      <c r="GQ127" s="1089">
        <f t="shared" si="181"/>
        <v>0.05</v>
      </c>
      <c r="GR127" s="1089">
        <f t="shared" si="181"/>
        <v>0.05</v>
      </c>
      <c r="GS127" s="1089">
        <f t="shared" si="181"/>
        <v>0.05</v>
      </c>
      <c r="GT127" s="1089">
        <f t="shared" si="181"/>
        <v>0.05</v>
      </c>
      <c r="GU127" s="1089">
        <f t="shared" si="181"/>
        <v>0.05</v>
      </c>
      <c r="GV127" s="1089">
        <f t="shared" si="181"/>
        <v>0.05</v>
      </c>
      <c r="GW127" s="1089">
        <f t="shared" si="181"/>
        <v>0.05</v>
      </c>
      <c r="GX127" s="1089">
        <f t="shared" si="181"/>
        <v>0.05</v>
      </c>
      <c r="GY127" s="1089">
        <f t="shared" si="181"/>
        <v>0.05</v>
      </c>
      <c r="GZ127" s="1089">
        <f t="shared" si="181"/>
        <v>0.05</v>
      </c>
      <c r="HA127" s="1089">
        <f t="shared" si="181"/>
        <v>0.05</v>
      </c>
      <c r="HB127" s="1089">
        <f t="shared" si="181"/>
        <v>0.05</v>
      </c>
      <c r="HC127" s="1089">
        <f t="shared" si="181"/>
        <v>0.05</v>
      </c>
      <c r="HD127" s="1089">
        <f t="shared" si="181"/>
        <v>0.05</v>
      </c>
      <c r="HE127" s="1089">
        <f t="shared" si="181"/>
        <v>0.05</v>
      </c>
      <c r="HF127" s="1089">
        <f t="shared" si="181"/>
        <v>0.05</v>
      </c>
      <c r="HG127" s="1089">
        <f t="shared" si="181"/>
        <v>0.05</v>
      </c>
      <c r="HH127" s="1089">
        <f t="shared" si="181"/>
        <v>0.05</v>
      </c>
      <c r="HI127" s="1089">
        <f t="shared" si="181"/>
        <v>0.05</v>
      </c>
      <c r="HJ127" s="1089">
        <f t="shared" si="181"/>
        <v>0.05</v>
      </c>
      <c r="HK127" s="1089">
        <f t="shared" si="181"/>
        <v>0.05</v>
      </c>
      <c r="HL127" s="1089">
        <f t="shared" si="181"/>
        <v>0.05</v>
      </c>
      <c r="HM127" s="1089">
        <f t="shared" si="181"/>
        <v>0.05</v>
      </c>
      <c r="HN127" s="1089">
        <f t="shared" si="181"/>
        <v>0.05</v>
      </c>
      <c r="HO127" s="1089">
        <f t="shared" si="181"/>
        <v>0.05</v>
      </c>
      <c r="HP127" s="1089">
        <f t="shared" si="181"/>
        <v>0.05</v>
      </c>
      <c r="HQ127" s="1089">
        <f t="shared" si="181"/>
        <v>0.05</v>
      </c>
      <c r="HR127" s="1089">
        <f t="shared" si="181"/>
        <v>0.05</v>
      </c>
      <c r="HS127" s="1089">
        <f t="shared" si="181"/>
        <v>0.05</v>
      </c>
      <c r="HT127" s="1089">
        <f t="shared" si="181"/>
        <v>0.05</v>
      </c>
      <c r="HU127" s="1089">
        <f t="shared" si="181"/>
        <v>0.05</v>
      </c>
      <c r="HV127" s="1089">
        <f t="shared" si="181"/>
        <v>0.05</v>
      </c>
      <c r="HW127" s="1089">
        <f t="shared" si="181"/>
        <v>0.05</v>
      </c>
      <c r="HX127" s="1089">
        <f t="shared" si="181"/>
        <v>0.05</v>
      </c>
      <c r="HY127" s="1089">
        <f t="shared" si="181"/>
        <v>0.05</v>
      </c>
      <c r="HZ127" s="1089">
        <f t="shared" si="181"/>
        <v>0.05</v>
      </c>
      <c r="IA127" s="1089">
        <f t="shared" si="181"/>
        <v>0.05</v>
      </c>
      <c r="IB127" s="1089">
        <f t="shared" si="181"/>
        <v>0.05</v>
      </c>
      <c r="IC127" s="1089">
        <f t="shared" si="181"/>
        <v>0.05</v>
      </c>
      <c r="ID127" s="1089">
        <f t="shared" si="181"/>
        <v>0.05</v>
      </c>
      <c r="IE127" s="1089">
        <f t="shared" si="181"/>
        <v>0.05</v>
      </c>
      <c r="IF127" s="1089">
        <f t="shared" si="181"/>
        <v>0.05</v>
      </c>
      <c r="IG127" s="1089">
        <f t="shared" si="181"/>
        <v>0.05</v>
      </c>
      <c r="IH127" s="1089">
        <f t="shared" si="181"/>
        <v>0.05</v>
      </c>
      <c r="II127" s="1089">
        <f t="shared" si="181"/>
        <v>0.05</v>
      </c>
      <c r="IJ127" s="1089">
        <f t="shared" si="181"/>
        <v>0.05</v>
      </c>
      <c r="IK127" s="1089">
        <f t="shared" si="181"/>
        <v>0.05</v>
      </c>
      <c r="IL127" s="1089">
        <f t="shared" si="181"/>
        <v>0.05</v>
      </c>
      <c r="IM127" s="1089">
        <f t="shared" si="181"/>
        <v>0.05</v>
      </c>
      <c r="IN127" s="1089">
        <f t="shared" si="181"/>
        <v>0.05</v>
      </c>
      <c r="IO127" s="1089">
        <f t="shared" si="181"/>
        <v>0.05</v>
      </c>
      <c r="IP127" s="1089">
        <f t="shared" si="181"/>
        <v>0.05</v>
      </c>
      <c r="IQ127" s="1089">
        <f t="shared" si="181"/>
        <v>0.05</v>
      </c>
      <c r="IR127" s="1089">
        <f t="shared" si="181"/>
        <v>0.05</v>
      </c>
    </row>
    <row r="128" spans="2:252" s="851" customFormat="1" ht="11.25" customHeight="1">
      <c r="B128" s="851" t="s">
        <v>678</v>
      </c>
      <c r="C128" s="1089">
        <f t="shared" ref="C128:BN128" si="182">$C$12</f>
        <v>0.05</v>
      </c>
      <c r="D128" s="1089">
        <f t="shared" si="182"/>
        <v>0.05</v>
      </c>
      <c r="E128" s="1089">
        <f t="shared" si="182"/>
        <v>0.05</v>
      </c>
      <c r="F128" s="1089">
        <f t="shared" si="182"/>
        <v>0.05</v>
      </c>
      <c r="G128" s="1089">
        <f t="shared" si="182"/>
        <v>0.05</v>
      </c>
      <c r="H128" s="1089">
        <f t="shared" si="182"/>
        <v>0.05</v>
      </c>
      <c r="I128" s="1089">
        <f t="shared" si="182"/>
        <v>0.05</v>
      </c>
      <c r="J128" s="1089">
        <f t="shared" si="182"/>
        <v>0.05</v>
      </c>
      <c r="K128" s="1089">
        <f t="shared" si="182"/>
        <v>0.05</v>
      </c>
      <c r="L128" s="1089">
        <f t="shared" si="182"/>
        <v>0.05</v>
      </c>
      <c r="M128" s="1089">
        <f t="shared" si="182"/>
        <v>0.05</v>
      </c>
      <c r="N128" s="1089">
        <f t="shared" si="182"/>
        <v>0.05</v>
      </c>
      <c r="O128" s="1089">
        <f t="shared" si="182"/>
        <v>0.05</v>
      </c>
      <c r="P128" s="1089">
        <f t="shared" si="182"/>
        <v>0.05</v>
      </c>
      <c r="Q128" s="1089">
        <f t="shared" si="182"/>
        <v>0.05</v>
      </c>
      <c r="R128" s="1089">
        <f t="shared" si="182"/>
        <v>0.05</v>
      </c>
      <c r="S128" s="1089">
        <f t="shared" si="182"/>
        <v>0.05</v>
      </c>
      <c r="T128" s="1089">
        <f t="shared" si="182"/>
        <v>0.05</v>
      </c>
      <c r="U128" s="1089">
        <f t="shared" si="182"/>
        <v>0.05</v>
      </c>
      <c r="V128" s="1089">
        <f t="shared" si="182"/>
        <v>0.05</v>
      </c>
      <c r="W128" s="1089">
        <f t="shared" si="182"/>
        <v>0.05</v>
      </c>
      <c r="X128" s="1089">
        <f t="shared" si="182"/>
        <v>0.05</v>
      </c>
      <c r="Y128" s="1089">
        <f t="shared" si="182"/>
        <v>0.05</v>
      </c>
      <c r="Z128" s="1089">
        <f t="shared" si="182"/>
        <v>0.05</v>
      </c>
      <c r="AA128" s="1089">
        <f t="shared" si="182"/>
        <v>0.05</v>
      </c>
      <c r="AB128" s="1089">
        <f t="shared" si="182"/>
        <v>0.05</v>
      </c>
      <c r="AC128" s="1089">
        <f t="shared" si="182"/>
        <v>0.05</v>
      </c>
      <c r="AD128" s="1089">
        <f t="shared" si="182"/>
        <v>0.05</v>
      </c>
      <c r="AE128" s="1089">
        <f t="shared" si="182"/>
        <v>0.05</v>
      </c>
      <c r="AF128" s="1089">
        <f t="shared" si="182"/>
        <v>0.05</v>
      </c>
      <c r="AG128" s="1089">
        <f t="shared" si="182"/>
        <v>0.05</v>
      </c>
      <c r="AH128" s="1089">
        <f t="shared" si="182"/>
        <v>0.05</v>
      </c>
      <c r="AI128" s="1089">
        <f t="shared" si="182"/>
        <v>0.05</v>
      </c>
      <c r="AJ128" s="1089">
        <f t="shared" si="182"/>
        <v>0.05</v>
      </c>
      <c r="AK128" s="1089">
        <f t="shared" si="182"/>
        <v>0.05</v>
      </c>
      <c r="AL128" s="1089">
        <f t="shared" si="182"/>
        <v>0.05</v>
      </c>
      <c r="AM128" s="1089">
        <f t="shared" si="182"/>
        <v>0.05</v>
      </c>
      <c r="AN128" s="1089">
        <f t="shared" si="182"/>
        <v>0.05</v>
      </c>
      <c r="AO128" s="1089">
        <f t="shared" si="182"/>
        <v>0.05</v>
      </c>
      <c r="AP128" s="1089">
        <f t="shared" si="182"/>
        <v>0.05</v>
      </c>
      <c r="AQ128" s="1089">
        <f t="shared" si="182"/>
        <v>0.05</v>
      </c>
      <c r="AR128" s="1089">
        <f t="shared" si="182"/>
        <v>0.05</v>
      </c>
      <c r="AS128" s="1089">
        <f t="shared" si="182"/>
        <v>0.05</v>
      </c>
      <c r="AT128" s="1089">
        <f t="shared" si="182"/>
        <v>0.05</v>
      </c>
      <c r="AU128" s="1089">
        <f t="shared" si="182"/>
        <v>0.05</v>
      </c>
      <c r="AV128" s="1089">
        <f t="shared" si="182"/>
        <v>0.05</v>
      </c>
      <c r="AW128" s="1089">
        <f t="shared" si="182"/>
        <v>0.05</v>
      </c>
      <c r="AX128" s="1089">
        <f t="shared" si="182"/>
        <v>0.05</v>
      </c>
      <c r="AY128" s="1089">
        <f t="shared" si="182"/>
        <v>0.05</v>
      </c>
      <c r="AZ128" s="1089">
        <f t="shared" si="182"/>
        <v>0.05</v>
      </c>
      <c r="BA128" s="1089">
        <f t="shared" si="182"/>
        <v>0.05</v>
      </c>
      <c r="BB128" s="1089">
        <f t="shared" si="182"/>
        <v>0.05</v>
      </c>
      <c r="BC128" s="1089">
        <f t="shared" si="182"/>
        <v>0.05</v>
      </c>
      <c r="BD128" s="1089">
        <f t="shared" si="182"/>
        <v>0.05</v>
      </c>
      <c r="BE128" s="1089">
        <f t="shared" si="182"/>
        <v>0.05</v>
      </c>
      <c r="BF128" s="1089">
        <f t="shared" si="182"/>
        <v>0.05</v>
      </c>
      <c r="BG128" s="1089">
        <f t="shared" si="182"/>
        <v>0.05</v>
      </c>
      <c r="BH128" s="1089">
        <f t="shared" si="182"/>
        <v>0.05</v>
      </c>
      <c r="BI128" s="1089">
        <f t="shared" si="182"/>
        <v>0.05</v>
      </c>
      <c r="BJ128" s="1089">
        <f t="shared" si="182"/>
        <v>0.05</v>
      </c>
      <c r="BK128" s="1089">
        <f t="shared" si="182"/>
        <v>0.05</v>
      </c>
      <c r="BL128" s="1089">
        <f t="shared" si="182"/>
        <v>0.05</v>
      </c>
      <c r="BM128" s="1089">
        <f t="shared" si="182"/>
        <v>0.05</v>
      </c>
      <c r="BN128" s="1089">
        <f t="shared" si="182"/>
        <v>0.05</v>
      </c>
      <c r="BO128" s="1089">
        <f t="shared" ref="BO128:DZ128" si="183">$C$12</f>
        <v>0.05</v>
      </c>
      <c r="BP128" s="1089">
        <f t="shared" si="183"/>
        <v>0.05</v>
      </c>
      <c r="BQ128" s="1089">
        <f t="shared" si="183"/>
        <v>0.05</v>
      </c>
      <c r="BR128" s="1089">
        <f t="shared" si="183"/>
        <v>0.05</v>
      </c>
      <c r="BS128" s="1089">
        <f t="shared" si="183"/>
        <v>0.05</v>
      </c>
      <c r="BT128" s="1089">
        <f t="shared" si="183"/>
        <v>0.05</v>
      </c>
      <c r="BU128" s="1089">
        <f t="shared" si="183"/>
        <v>0.05</v>
      </c>
      <c r="BV128" s="1089">
        <f t="shared" si="183"/>
        <v>0.05</v>
      </c>
      <c r="BW128" s="1089">
        <f t="shared" si="183"/>
        <v>0.05</v>
      </c>
      <c r="BX128" s="1089">
        <f t="shared" si="183"/>
        <v>0.05</v>
      </c>
      <c r="BY128" s="1089">
        <f t="shared" si="183"/>
        <v>0.05</v>
      </c>
      <c r="BZ128" s="1089">
        <f t="shared" si="183"/>
        <v>0.05</v>
      </c>
      <c r="CA128" s="1089">
        <f t="shared" si="183"/>
        <v>0.05</v>
      </c>
      <c r="CB128" s="1089">
        <f t="shared" si="183"/>
        <v>0.05</v>
      </c>
      <c r="CC128" s="1089">
        <f t="shared" si="183"/>
        <v>0.05</v>
      </c>
      <c r="CD128" s="1089">
        <f t="shared" si="183"/>
        <v>0.05</v>
      </c>
      <c r="CE128" s="1089">
        <f t="shared" si="183"/>
        <v>0.05</v>
      </c>
      <c r="CF128" s="1089">
        <f t="shared" si="183"/>
        <v>0.05</v>
      </c>
      <c r="CG128" s="1089">
        <f t="shared" si="183"/>
        <v>0.05</v>
      </c>
      <c r="CH128" s="1089">
        <f t="shared" si="183"/>
        <v>0.05</v>
      </c>
      <c r="CI128" s="1089">
        <f t="shared" si="183"/>
        <v>0.05</v>
      </c>
      <c r="CJ128" s="1089">
        <f t="shared" si="183"/>
        <v>0.05</v>
      </c>
      <c r="CK128" s="1089">
        <f t="shared" si="183"/>
        <v>0.05</v>
      </c>
      <c r="CL128" s="1089">
        <f t="shared" si="183"/>
        <v>0.05</v>
      </c>
      <c r="CM128" s="1089">
        <f t="shared" si="183"/>
        <v>0.05</v>
      </c>
      <c r="CN128" s="1089">
        <f t="shared" si="183"/>
        <v>0.05</v>
      </c>
      <c r="CO128" s="1089">
        <f t="shared" si="183"/>
        <v>0.05</v>
      </c>
      <c r="CP128" s="1089">
        <f t="shared" si="183"/>
        <v>0.05</v>
      </c>
      <c r="CQ128" s="1089">
        <f t="shared" si="183"/>
        <v>0.05</v>
      </c>
      <c r="CR128" s="1089">
        <f t="shared" si="183"/>
        <v>0.05</v>
      </c>
      <c r="CS128" s="1089">
        <f t="shared" si="183"/>
        <v>0.05</v>
      </c>
      <c r="CT128" s="1089">
        <f t="shared" si="183"/>
        <v>0.05</v>
      </c>
      <c r="CU128" s="1089">
        <f t="shared" si="183"/>
        <v>0.05</v>
      </c>
      <c r="CV128" s="1089">
        <f t="shared" si="183"/>
        <v>0.05</v>
      </c>
      <c r="CW128" s="1089">
        <f t="shared" si="183"/>
        <v>0.05</v>
      </c>
      <c r="CX128" s="1089">
        <f t="shared" si="183"/>
        <v>0.05</v>
      </c>
      <c r="CY128" s="1089">
        <f t="shared" si="183"/>
        <v>0.05</v>
      </c>
      <c r="CZ128" s="1089">
        <f t="shared" si="183"/>
        <v>0.05</v>
      </c>
      <c r="DA128" s="1089">
        <f t="shared" si="183"/>
        <v>0.05</v>
      </c>
      <c r="DB128" s="1089">
        <f t="shared" si="183"/>
        <v>0.05</v>
      </c>
      <c r="DC128" s="1089">
        <f t="shared" si="183"/>
        <v>0.05</v>
      </c>
      <c r="DD128" s="1089">
        <f t="shared" si="183"/>
        <v>0.05</v>
      </c>
      <c r="DE128" s="1089">
        <f t="shared" si="183"/>
        <v>0.05</v>
      </c>
      <c r="DF128" s="1089">
        <f t="shared" si="183"/>
        <v>0.05</v>
      </c>
      <c r="DG128" s="1089">
        <f t="shared" si="183"/>
        <v>0.05</v>
      </c>
      <c r="DH128" s="1089">
        <f t="shared" si="183"/>
        <v>0.05</v>
      </c>
      <c r="DI128" s="1089">
        <f t="shared" si="183"/>
        <v>0.05</v>
      </c>
      <c r="DJ128" s="1089">
        <f t="shared" si="183"/>
        <v>0.05</v>
      </c>
      <c r="DK128" s="1089">
        <f t="shared" si="183"/>
        <v>0.05</v>
      </c>
      <c r="DL128" s="1089">
        <f t="shared" si="183"/>
        <v>0.05</v>
      </c>
      <c r="DM128" s="1089">
        <f t="shared" si="183"/>
        <v>0.05</v>
      </c>
      <c r="DN128" s="1089">
        <f t="shared" si="183"/>
        <v>0.05</v>
      </c>
      <c r="DO128" s="1089">
        <f t="shared" si="183"/>
        <v>0.05</v>
      </c>
      <c r="DP128" s="1089">
        <f t="shared" si="183"/>
        <v>0.05</v>
      </c>
      <c r="DQ128" s="1089">
        <f t="shared" si="183"/>
        <v>0.05</v>
      </c>
      <c r="DR128" s="1089">
        <f t="shared" si="183"/>
        <v>0.05</v>
      </c>
      <c r="DS128" s="1089">
        <f t="shared" si="183"/>
        <v>0.05</v>
      </c>
      <c r="DT128" s="1089">
        <f t="shared" si="183"/>
        <v>0.05</v>
      </c>
      <c r="DU128" s="1089">
        <f t="shared" si="183"/>
        <v>0.05</v>
      </c>
      <c r="DV128" s="1089">
        <f t="shared" si="183"/>
        <v>0.05</v>
      </c>
      <c r="DW128" s="1089">
        <f t="shared" si="183"/>
        <v>0.05</v>
      </c>
      <c r="DX128" s="1089">
        <f t="shared" si="183"/>
        <v>0.05</v>
      </c>
      <c r="DY128" s="1089">
        <f t="shared" si="183"/>
        <v>0.05</v>
      </c>
      <c r="DZ128" s="1089">
        <f t="shared" si="183"/>
        <v>0.05</v>
      </c>
      <c r="EA128" s="1089">
        <f t="shared" ref="EA128:GL128" si="184">$C$12</f>
        <v>0.05</v>
      </c>
      <c r="EB128" s="1089">
        <f t="shared" si="184"/>
        <v>0.05</v>
      </c>
      <c r="EC128" s="1089">
        <f t="shared" si="184"/>
        <v>0.05</v>
      </c>
      <c r="ED128" s="1089">
        <f t="shared" si="184"/>
        <v>0.05</v>
      </c>
      <c r="EE128" s="1089">
        <f t="shared" si="184"/>
        <v>0.05</v>
      </c>
      <c r="EF128" s="1089">
        <f t="shared" si="184"/>
        <v>0.05</v>
      </c>
      <c r="EG128" s="1089">
        <f t="shared" si="184"/>
        <v>0.05</v>
      </c>
      <c r="EH128" s="1089">
        <f t="shared" si="184"/>
        <v>0.05</v>
      </c>
      <c r="EI128" s="1089">
        <f t="shared" si="184"/>
        <v>0.05</v>
      </c>
      <c r="EJ128" s="1089">
        <f t="shared" si="184"/>
        <v>0.05</v>
      </c>
      <c r="EK128" s="1089">
        <f t="shared" si="184"/>
        <v>0.05</v>
      </c>
      <c r="EL128" s="1089">
        <f t="shared" si="184"/>
        <v>0.05</v>
      </c>
      <c r="EM128" s="1089">
        <f t="shared" si="184"/>
        <v>0.05</v>
      </c>
      <c r="EN128" s="1089">
        <f t="shared" si="184"/>
        <v>0.05</v>
      </c>
      <c r="EO128" s="1089">
        <f t="shared" si="184"/>
        <v>0.05</v>
      </c>
      <c r="EP128" s="1089">
        <f t="shared" si="184"/>
        <v>0.05</v>
      </c>
      <c r="EQ128" s="1089">
        <f t="shared" si="184"/>
        <v>0.05</v>
      </c>
      <c r="ER128" s="1089">
        <f t="shared" si="184"/>
        <v>0.05</v>
      </c>
      <c r="ES128" s="1089">
        <f t="shared" si="184"/>
        <v>0.05</v>
      </c>
      <c r="ET128" s="1089">
        <f t="shared" si="184"/>
        <v>0.05</v>
      </c>
      <c r="EU128" s="1089">
        <f t="shared" si="184"/>
        <v>0.05</v>
      </c>
      <c r="EV128" s="1089">
        <f t="shared" si="184"/>
        <v>0.05</v>
      </c>
      <c r="EW128" s="1089">
        <f t="shared" si="184"/>
        <v>0.05</v>
      </c>
      <c r="EX128" s="1089">
        <f t="shared" si="184"/>
        <v>0.05</v>
      </c>
      <c r="EY128" s="1089">
        <f t="shared" si="184"/>
        <v>0.05</v>
      </c>
      <c r="EZ128" s="1089">
        <f t="shared" si="184"/>
        <v>0.05</v>
      </c>
      <c r="FA128" s="1089">
        <f t="shared" si="184"/>
        <v>0.05</v>
      </c>
      <c r="FB128" s="1089">
        <f t="shared" si="184"/>
        <v>0.05</v>
      </c>
      <c r="FC128" s="1089">
        <f t="shared" si="184"/>
        <v>0.05</v>
      </c>
      <c r="FD128" s="1089">
        <f t="shared" si="184"/>
        <v>0.05</v>
      </c>
      <c r="FE128" s="1089">
        <f t="shared" si="184"/>
        <v>0.05</v>
      </c>
      <c r="FF128" s="1089">
        <f t="shared" si="184"/>
        <v>0.05</v>
      </c>
      <c r="FG128" s="1089">
        <f t="shared" si="184"/>
        <v>0.05</v>
      </c>
      <c r="FH128" s="1089">
        <f t="shared" si="184"/>
        <v>0.05</v>
      </c>
      <c r="FI128" s="1089">
        <f t="shared" si="184"/>
        <v>0.05</v>
      </c>
      <c r="FJ128" s="1089">
        <f t="shared" si="184"/>
        <v>0.05</v>
      </c>
      <c r="FK128" s="1089">
        <f t="shared" si="184"/>
        <v>0.05</v>
      </c>
      <c r="FL128" s="1089">
        <f t="shared" si="184"/>
        <v>0.05</v>
      </c>
      <c r="FM128" s="1089">
        <f t="shared" si="184"/>
        <v>0.05</v>
      </c>
      <c r="FN128" s="1089">
        <f t="shared" si="184"/>
        <v>0.05</v>
      </c>
      <c r="FO128" s="1089">
        <f t="shared" si="184"/>
        <v>0.05</v>
      </c>
      <c r="FP128" s="1089">
        <f t="shared" si="184"/>
        <v>0.05</v>
      </c>
      <c r="FQ128" s="1089">
        <f t="shared" si="184"/>
        <v>0.05</v>
      </c>
      <c r="FR128" s="1089">
        <f t="shared" si="184"/>
        <v>0.05</v>
      </c>
      <c r="FS128" s="1089">
        <f t="shared" si="184"/>
        <v>0.05</v>
      </c>
      <c r="FT128" s="1089">
        <f t="shared" si="184"/>
        <v>0.05</v>
      </c>
      <c r="FU128" s="1089">
        <f t="shared" si="184"/>
        <v>0.05</v>
      </c>
      <c r="FV128" s="1089">
        <f t="shared" si="184"/>
        <v>0.05</v>
      </c>
      <c r="FW128" s="1089">
        <f t="shared" si="184"/>
        <v>0.05</v>
      </c>
      <c r="FX128" s="1089">
        <f t="shared" si="184"/>
        <v>0.05</v>
      </c>
      <c r="FY128" s="1089">
        <f t="shared" si="184"/>
        <v>0.05</v>
      </c>
      <c r="FZ128" s="1089">
        <f t="shared" si="184"/>
        <v>0.05</v>
      </c>
      <c r="GA128" s="1089">
        <f t="shared" si="184"/>
        <v>0.05</v>
      </c>
      <c r="GB128" s="1089">
        <f t="shared" si="184"/>
        <v>0.05</v>
      </c>
      <c r="GC128" s="1089">
        <f t="shared" si="184"/>
        <v>0.05</v>
      </c>
      <c r="GD128" s="1089">
        <f t="shared" si="184"/>
        <v>0.05</v>
      </c>
      <c r="GE128" s="1089">
        <f t="shared" si="184"/>
        <v>0.05</v>
      </c>
      <c r="GF128" s="1089">
        <f t="shared" si="184"/>
        <v>0.05</v>
      </c>
      <c r="GG128" s="1089">
        <f t="shared" si="184"/>
        <v>0.05</v>
      </c>
      <c r="GH128" s="1089">
        <f t="shared" si="184"/>
        <v>0.05</v>
      </c>
      <c r="GI128" s="1089">
        <f t="shared" si="184"/>
        <v>0.05</v>
      </c>
      <c r="GJ128" s="1089">
        <f t="shared" si="184"/>
        <v>0.05</v>
      </c>
      <c r="GK128" s="1089">
        <f t="shared" si="184"/>
        <v>0.05</v>
      </c>
      <c r="GL128" s="1089">
        <f t="shared" si="184"/>
        <v>0.05</v>
      </c>
      <c r="GM128" s="1089">
        <f t="shared" ref="GM128:IR128" si="185">$C$12</f>
        <v>0.05</v>
      </c>
      <c r="GN128" s="1089">
        <f t="shared" si="185"/>
        <v>0.05</v>
      </c>
      <c r="GO128" s="1089">
        <f t="shared" si="185"/>
        <v>0.05</v>
      </c>
      <c r="GP128" s="1089">
        <f t="shared" si="185"/>
        <v>0.05</v>
      </c>
      <c r="GQ128" s="1089">
        <f t="shared" si="185"/>
        <v>0.05</v>
      </c>
      <c r="GR128" s="1089">
        <f t="shared" si="185"/>
        <v>0.05</v>
      </c>
      <c r="GS128" s="1089">
        <f t="shared" si="185"/>
        <v>0.05</v>
      </c>
      <c r="GT128" s="1089">
        <f t="shared" si="185"/>
        <v>0.05</v>
      </c>
      <c r="GU128" s="1089">
        <f t="shared" si="185"/>
        <v>0.05</v>
      </c>
      <c r="GV128" s="1089">
        <f t="shared" si="185"/>
        <v>0.05</v>
      </c>
      <c r="GW128" s="1089">
        <f t="shared" si="185"/>
        <v>0.05</v>
      </c>
      <c r="GX128" s="1089">
        <f t="shared" si="185"/>
        <v>0.05</v>
      </c>
      <c r="GY128" s="1089">
        <f t="shared" si="185"/>
        <v>0.05</v>
      </c>
      <c r="GZ128" s="1089">
        <f t="shared" si="185"/>
        <v>0.05</v>
      </c>
      <c r="HA128" s="1089">
        <f t="shared" si="185"/>
        <v>0.05</v>
      </c>
      <c r="HB128" s="1089">
        <f t="shared" si="185"/>
        <v>0.05</v>
      </c>
      <c r="HC128" s="1089">
        <f t="shared" si="185"/>
        <v>0.05</v>
      </c>
      <c r="HD128" s="1089">
        <f t="shared" si="185"/>
        <v>0.05</v>
      </c>
      <c r="HE128" s="1089">
        <f t="shared" si="185"/>
        <v>0.05</v>
      </c>
      <c r="HF128" s="1089">
        <f t="shared" si="185"/>
        <v>0.05</v>
      </c>
      <c r="HG128" s="1089">
        <f t="shared" si="185"/>
        <v>0.05</v>
      </c>
      <c r="HH128" s="1089">
        <f t="shared" si="185"/>
        <v>0.05</v>
      </c>
      <c r="HI128" s="1089">
        <f t="shared" si="185"/>
        <v>0.05</v>
      </c>
      <c r="HJ128" s="1089">
        <f t="shared" si="185"/>
        <v>0.05</v>
      </c>
      <c r="HK128" s="1089">
        <f t="shared" si="185"/>
        <v>0.05</v>
      </c>
      <c r="HL128" s="1089">
        <f t="shared" si="185"/>
        <v>0.05</v>
      </c>
      <c r="HM128" s="1089">
        <f t="shared" si="185"/>
        <v>0.05</v>
      </c>
      <c r="HN128" s="1089">
        <f t="shared" si="185"/>
        <v>0.05</v>
      </c>
      <c r="HO128" s="1089">
        <f t="shared" si="185"/>
        <v>0.05</v>
      </c>
      <c r="HP128" s="1089">
        <f t="shared" si="185"/>
        <v>0.05</v>
      </c>
      <c r="HQ128" s="1089">
        <f t="shared" si="185"/>
        <v>0.05</v>
      </c>
      <c r="HR128" s="1089">
        <f t="shared" si="185"/>
        <v>0.05</v>
      </c>
      <c r="HS128" s="1089">
        <f t="shared" si="185"/>
        <v>0.05</v>
      </c>
      <c r="HT128" s="1089">
        <f t="shared" si="185"/>
        <v>0.05</v>
      </c>
      <c r="HU128" s="1089">
        <f t="shared" si="185"/>
        <v>0.05</v>
      </c>
      <c r="HV128" s="1089">
        <f t="shared" si="185"/>
        <v>0.05</v>
      </c>
      <c r="HW128" s="1089">
        <f t="shared" si="185"/>
        <v>0.05</v>
      </c>
      <c r="HX128" s="1089">
        <f t="shared" si="185"/>
        <v>0.05</v>
      </c>
      <c r="HY128" s="1089">
        <f t="shared" si="185"/>
        <v>0.05</v>
      </c>
      <c r="HZ128" s="1089">
        <f t="shared" si="185"/>
        <v>0.05</v>
      </c>
      <c r="IA128" s="1089">
        <f t="shared" si="185"/>
        <v>0.05</v>
      </c>
      <c r="IB128" s="1089">
        <f t="shared" si="185"/>
        <v>0.05</v>
      </c>
      <c r="IC128" s="1089">
        <f t="shared" si="185"/>
        <v>0.05</v>
      </c>
      <c r="ID128" s="1089">
        <f t="shared" si="185"/>
        <v>0.05</v>
      </c>
      <c r="IE128" s="1089">
        <f t="shared" si="185"/>
        <v>0.05</v>
      </c>
      <c r="IF128" s="1089">
        <f t="shared" si="185"/>
        <v>0.05</v>
      </c>
      <c r="IG128" s="1089">
        <f t="shared" si="185"/>
        <v>0.05</v>
      </c>
      <c r="IH128" s="1089">
        <f t="shared" si="185"/>
        <v>0.05</v>
      </c>
      <c r="II128" s="1089">
        <f t="shared" si="185"/>
        <v>0.05</v>
      </c>
      <c r="IJ128" s="1089">
        <f t="shared" si="185"/>
        <v>0.05</v>
      </c>
      <c r="IK128" s="1089">
        <f t="shared" si="185"/>
        <v>0.05</v>
      </c>
      <c r="IL128" s="1089">
        <f t="shared" si="185"/>
        <v>0.05</v>
      </c>
      <c r="IM128" s="1089">
        <f t="shared" si="185"/>
        <v>0.05</v>
      </c>
      <c r="IN128" s="1089">
        <f t="shared" si="185"/>
        <v>0.05</v>
      </c>
      <c r="IO128" s="1089">
        <f t="shared" si="185"/>
        <v>0.05</v>
      </c>
      <c r="IP128" s="1089">
        <f t="shared" si="185"/>
        <v>0.05</v>
      </c>
      <c r="IQ128" s="1089">
        <f t="shared" si="185"/>
        <v>0.05</v>
      </c>
      <c r="IR128" s="1089">
        <f t="shared" si="185"/>
        <v>0.05</v>
      </c>
    </row>
    <row r="129" spans="2:252" s="851" customFormat="1" ht="11.25" customHeight="1">
      <c r="B129" s="851" t="s">
        <v>734</v>
      </c>
      <c r="D129" s="1074">
        <f t="shared" ref="D129:BO129" si="186">(D86-C86)/$C$12/(1+$C$12)^C97</f>
        <v>1084.1404565717312</v>
      </c>
      <c r="E129" s="1074">
        <f t="shared" si="186"/>
        <v>2993.1403451239153</v>
      </c>
      <c r="F129" s="1074">
        <f t="shared" si="186"/>
        <v>-4568.9358829114635</v>
      </c>
      <c r="G129" s="1074">
        <f t="shared" ca="1" si="186"/>
        <v>431.22694961179229</v>
      </c>
      <c r="H129" s="1074">
        <f t="shared" ca="1" si="186"/>
        <v>805.73412850554314</v>
      </c>
      <c r="I129" s="1074">
        <f t="shared" ca="1" si="186"/>
        <v>112.67214943818416</v>
      </c>
      <c r="J129" s="1074">
        <f t="shared" ca="1" si="186"/>
        <v>111.22340927665073</v>
      </c>
      <c r="K129" s="1074">
        <f t="shared" ca="1" si="186"/>
        <v>109.36734121498533</v>
      </c>
      <c r="L129" s="1074">
        <f t="shared" ca="1" si="186"/>
        <v>107.11353105116969</v>
      </c>
      <c r="M129" s="1074">
        <f t="shared" ca="1" si="186"/>
        <v>104.47524799420383</v>
      </c>
      <c r="N129" s="1074">
        <f t="shared" ca="1" si="186"/>
        <v>101.4693618425347</v>
      </c>
      <c r="O129" s="1074">
        <f t="shared" ca="1" si="186"/>
        <v>98.116201586158667</v>
      </c>
      <c r="P129" s="1074">
        <f t="shared" ca="1" si="186"/>
        <v>94.439357717701228</v>
      </c>
      <c r="Q129" s="1074">
        <f t="shared" ca="1" si="186"/>
        <v>90.465431551116623</v>
      </c>
      <c r="R129" s="1074">
        <f t="shared" ca="1" si="186"/>
        <v>86.223735829259724</v>
      </c>
      <c r="S129" s="1074">
        <f t="shared" ca="1" si="186"/>
        <v>81.745951823593174</v>
      </c>
      <c r="T129" s="1074">
        <f t="shared" ca="1" si="186"/>
        <v>77.065748963753904</v>
      </c>
      <c r="U129" s="1074">
        <f t="shared" ca="1" si="186"/>
        <v>72.218373757381642</v>
      </c>
      <c r="V129" s="1074">
        <f t="shared" ca="1" si="186"/>
        <v>67.240215348034027</v>
      </c>
      <c r="W129" s="1074">
        <f t="shared" ca="1" si="186"/>
        <v>41.016537135082004</v>
      </c>
      <c r="X129" s="1074">
        <f t="shared" ca="1" si="186"/>
        <v>95.536989292308391</v>
      </c>
      <c r="Y129" s="1074">
        <f t="shared" ca="1" si="186"/>
        <v>43.628809830683352</v>
      </c>
      <c r="Z129" s="1074">
        <f t="shared" ca="1" si="186"/>
        <v>43.218160121874988</v>
      </c>
      <c r="AA129" s="1074">
        <f t="shared" ca="1" si="186"/>
        <v>42.81101312676401</v>
      </c>
      <c r="AB129" s="1074">
        <f t="shared" ca="1" si="186"/>
        <v>42.407369658322551</v>
      </c>
      <c r="AC129" s="1074">
        <f t="shared" ca="1" si="186"/>
        <v>42.007227676625817</v>
      </c>
      <c r="AD129" s="1074">
        <f t="shared" ca="1" si="186"/>
        <v>41.610582550555065</v>
      </c>
      <c r="AE129" s="1074">
        <f t="shared" ca="1" si="186"/>
        <v>41.21742729804307</v>
      </c>
      <c r="AF129" s="1074">
        <f t="shared" ca="1" si="186"/>
        <v>40.827752806532835</v>
      </c>
      <c r="AG129" s="1074">
        <f t="shared" ca="1" si="186"/>
        <v>40.441548035264795</v>
      </c>
      <c r="AH129" s="1074">
        <f t="shared" ca="1" si="186"/>
        <v>40.058800200684111</v>
      </c>
      <c r="AI129" s="1074">
        <f t="shared" ca="1" si="186"/>
        <v>39.679494946502182</v>
      </c>
      <c r="AJ129" s="1074">
        <f t="shared" ca="1" si="186"/>
        <v>39.303616499502738</v>
      </c>
      <c r="AK129" s="1074">
        <f t="shared" ca="1" si="186"/>
        <v>38.931147812364088</v>
      </c>
      <c r="AL129" s="1074">
        <f t="shared" ca="1" si="186"/>
        <v>38.562070694325108</v>
      </c>
      <c r="AM129" s="1074">
        <f t="shared" ca="1" si="186"/>
        <v>38.196365930993039</v>
      </c>
      <c r="AN129" s="1074">
        <f t="shared" ca="1" si="186"/>
        <v>37.834013393934413</v>
      </c>
      <c r="AO129" s="1074">
        <f t="shared" ca="1" si="186"/>
        <v>37.474992140952033</v>
      </c>
      <c r="AP129" s="1074">
        <f t="shared" ca="1" si="186"/>
        <v>37.11928050783618</v>
      </c>
      <c r="AQ129" s="1074">
        <f t="shared" ca="1" si="186"/>
        <v>36.766856192299791</v>
      </c>
      <c r="AR129" s="1074">
        <f t="shared" ca="1" si="186"/>
        <v>36.417696330642514</v>
      </c>
      <c r="AS129" s="1074">
        <f t="shared" ca="1" si="186"/>
        <v>36.071777567903197</v>
      </c>
      <c r="AT129" s="1074">
        <f t="shared" ca="1" si="186"/>
        <v>35.729076121902153</v>
      </c>
      <c r="AU129" s="1074">
        <f t="shared" ca="1" si="186"/>
        <v>35.389567841696632</v>
      </c>
      <c r="AV129" s="1074">
        <f t="shared" ca="1" si="186"/>
        <v>35.053228261024792</v>
      </c>
      <c r="AW129" s="1074">
        <f t="shared" ca="1" si="186"/>
        <v>34.720032647015458</v>
      </c>
      <c r="AX129" s="1074">
        <f t="shared" ca="1" si="186"/>
        <v>34.389956044621336</v>
      </c>
      <c r="AY129" s="1074">
        <f t="shared" ca="1" si="186"/>
        <v>34.06297331715632</v>
      </c>
      <c r="AZ129" s="1074">
        <f t="shared" ca="1" si="186"/>
        <v>33.73905918321001</v>
      </c>
      <c r="BA129" s="1074">
        <f t="shared" ca="1" si="186"/>
        <v>33.418188250260279</v>
      </c>
      <c r="BB129" s="1074">
        <f t="shared" ca="1" si="186"/>
        <v>33.100335045306927</v>
      </c>
      <c r="BC129" s="1074">
        <f t="shared" ca="1" si="186"/>
        <v>32.785474042696421</v>
      </c>
      <c r="BD129" s="1074">
        <f t="shared" ca="1" si="186"/>
        <v>32.473579689428774</v>
      </c>
      <c r="BE129" s="1074">
        <f t="shared" ca="1" si="186"/>
        <v>32.164626428150562</v>
      </c>
      <c r="BF129" s="1074">
        <f t="shared" ca="1" si="186"/>
        <v>31.858588718005684</v>
      </c>
      <c r="BG129" s="1074">
        <f t="shared" ca="1" si="186"/>
        <v>31.555441053556308</v>
      </c>
      <c r="BH129" s="1074">
        <f t="shared" ca="1" si="186"/>
        <v>31.255157981935042</v>
      </c>
      <c r="BI129" s="1074">
        <f t="shared" ca="1" si="186"/>
        <v>30.957714118340974</v>
      </c>
      <c r="BJ129" s="1074">
        <f t="shared" ca="1" si="186"/>
        <v>30.663084160021008</v>
      </c>
      <c r="BK129" s="1074">
        <f t="shared" ca="1" si="186"/>
        <v>30.371242898988562</v>
      </c>
      <c r="BL129" s="1074">
        <f t="shared" ca="1" si="186"/>
        <v>30.082165233358243</v>
      </c>
      <c r="BM129" s="1074">
        <f t="shared" ca="1" si="186"/>
        <v>29.795826177651751</v>
      </c>
      <c r="BN129" s="1074">
        <f t="shared" ca="1" si="186"/>
        <v>29.512200871975001</v>
      </c>
      <c r="BO129" s="1074">
        <f t="shared" ca="1" si="186"/>
        <v>29.231264590305081</v>
      </c>
      <c r="BP129" s="1074">
        <f t="shared" ref="BP129:EA129" ca="1" si="187">(BP86-BO86)/$C$12/(1+$C$12)^BO97</f>
        <v>28.952992747866162</v>
      </c>
      <c r="BQ129" s="1074">
        <f t="shared" ca="1" si="187"/>
        <v>28.677360907709073</v>
      </c>
      <c r="BR129" s="1074">
        <f t="shared" ca="1" si="187"/>
        <v>28.404344786562483</v>
      </c>
      <c r="BS129" s="1074">
        <f t="shared" ca="1" si="187"/>
        <v>28.133920260063899</v>
      </c>
      <c r="BT129" s="1074">
        <f t="shared" ca="1" si="187"/>
        <v>27.866063367277189</v>
      </c>
      <c r="BU129" s="1074">
        <f t="shared" ca="1" si="187"/>
        <v>27.60075031476698</v>
      </c>
      <c r="BV129" s="1074">
        <f t="shared" ca="1" si="187"/>
        <v>27.337957480097913</v>
      </c>
      <c r="BW129" s="1074">
        <f t="shared" ca="1" si="187"/>
        <v>27.077661414895207</v>
      </c>
      <c r="BX129" s="1074">
        <f t="shared" ca="1" si="187"/>
        <v>26.819838847438145</v>
      </c>
      <c r="BY129" s="1074">
        <f t="shared" ca="1" si="187"/>
        <v>26.564466684976438</v>
      </c>
      <c r="BZ129" s="1074">
        <f t="shared" ca="1" si="187"/>
        <v>26.31152201554394</v>
      </c>
      <c r="CA129" s="1074">
        <f t="shared" ca="1" si="187"/>
        <v>26.060982109585201</v>
      </c>
      <c r="CB129" s="1074">
        <f t="shared" ca="1" si="187"/>
        <v>25.812824421205832</v>
      </c>
      <c r="CC129" s="1074">
        <f t="shared" ca="1" si="187"/>
        <v>25.567026589211132</v>
      </c>
      <c r="CD129" s="1074">
        <f t="shared" ca="1" si="187"/>
        <v>25.323566437837446</v>
      </c>
      <c r="CE129" s="1074">
        <f t="shared" ca="1" si="187"/>
        <v>25.082421977343831</v>
      </c>
      <c r="CF129" s="1074">
        <f t="shared" ca="1" si="187"/>
        <v>24.843571404343056</v>
      </c>
      <c r="CG129" s="1074">
        <f t="shared" ca="1" si="187"/>
        <v>24.606993101962335</v>
      </c>
      <c r="CH129" s="1074">
        <f t="shared" ca="1" si="187"/>
        <v>24.372665639870522</v>
      </c>
      <c r="CI129" s="1074">
        <f t="shared" ca="1" si="187"/>
        <v>24.140567774103118</v>
      </c>
      <c r="CJ129" s="1074">
        <f t="shared" ca="1" si="187"/>
        <v>23.910678446798755</v>
      </c>
      <c r="CK129" s="1074">
        <f t="shared" ca="1" si="187"/>
        <v>23.682976785790686</v>
      </c>
      <c r="CL129" s="1074">
        <f t="shared" ca="1" si="187"/>
        <v>23.457442104083867</v>
      </c>
      <c r="CM129" s="1074">
        <f t="shared" ca="1" si="187"/>
        <v>23.23405389924212</v>
      </c>
      <c r="CN129" s="1074">
        <f t="shared" ca="1" si="187"/>
        <v>23.01279185268233</v>
      </c>
      <c r="CO129" s="1074">
        <f t="shared" ca="1" si="187"/>
        <v>22.793635828869952</v>
      </c>
      <c r="CP129" s="1074">
        <f t="shared" ca="1" si="187"/>
        <v>22.576565874483581</v>
      </c>
      <c r="CQ129" s="1074">
        <f t="shared" ca="1" si="187"/>
        <v>22.361562217456662</v>
      </c>
      <c r="CR129" s="1074">
        <f t="shared" ca="1" si="187"/>
        <v>22.148605266006978</v>
      </c>
      <c r="CS129" s="1074">
        <f t="shared" ca="1" si="187"/>
        <v>21.937675607590819</v>
      </c>
      <c r="CT129" s="1074">
        <f t="shared" ca="1" si="187"/>
        <v>21.728754007822463</v>
      </c>
      <c r="CU129" s="1074">
        <f t="shared" ca="1" si="187"/>
        <v>21.521821409324499</v>
      </c>
      <c r="CV129" s="1074">
        <f t="shared" ca="1" si="187"/>
        <v>21.316858930581596</v>
      </c>
      <c r="CW129" s="1074">
        <f t="shared" ca="1" si="187"/>
        <v>21.113847864732101</v>
      </c>
      <c r="CX129" s="1074">
        <f t="shared" ca="1" si="187"/>
        <v>20.912769678348273</v>
      </c>
      <c r="CY129" s="1074">
        <f t="shared" ca="1" si="187"/>
        <v>20.713606010162483</v>
      </c>
      <c r="CZ129" s="1074">
        <f t="shared" ca="1" si="187"/>
        <v>20.516338669817635</v>
      </c>
      <c r="DA129" s="1074">
        <f t="shared" ca="1" si="187"/>
        <v>20.320949636566716</v>
      </c>
      <c r="DB129" s="1074">
        <f t="shared" ca="1" si="187"/>
        <v>20.127421057945106</v>
      </c>
      <c r="DC129" s="1074">
        <f t="shared" ca="1" si="187"/>
        <v>19.935735248481084</v>
      </c>
      <c r="DD129" s="1074">
        <f t="shared" ca="1" si="187"/>
        <v>19.745874688320896</v>
      </c>
      <c r="DE129" s="1074">
        <f t="shared" ca="1" si="187"/>
        <v>19.557822021942695</v>
      </c>
      <c r="DF129" s="1074">
        <f t="shared" ca="1" si="187"/>
        <v>19.371560056748635</v>
      </c>
      <c r="DG129" s="1074">
        <f t="shared" ca="1" si="187"/>
        <v>19.187071761738796</v>
      </c>
      <c r="DH129" s="1074">
        <f t="shared" ca="1" si="187"/>
        <v>19.004340266162835</v>
      </c>
      <c r="DI129" s="1074">
        <f t="shared" ca="1" si="187"/>
        <v>18.823348858139813</v>
      </c>
      <c r="DJ129" s="1074">
        <f t="shared" ca="1" si="187"/>
        <v>18.644080983295538</v>
      </c>
      <c r="DK129" s="1074">
        <f t="shared" ca="1" si="187"/>
        <v>18.466520243419783</v>
      </c>
      <c r="DL129" s="1074">
        <f t="shared" ca="1" si="187"/>
        <v>18.290650395090573</v>
      </c>
      <c r="DM129" s="1074">
        <f t="shared" ca="1" si="187"/>
        <v>18.116455348321463</v>
      </c>
      <c r="DN129" s="1074">
        <f t="shared" ca="1" si="187"/>
        <v>17.943919165208246</v>
      </c>
      <c r="DO129" s="1074">
        <f t="shared" ca="1" si="187"/>
        <v>17.773026058570988</v>
      </c>
      <c r="DP129" s="1074">
        <f t="shared" ca="1" si="187"/>
        <v>17.603760390615797</v>
      </c>
      <c r="DQ129" s="1074">
        <f t="shared" ca="1" si="187"/>
        <v>17.436106671591592</v>
      </c>
      <c r="DR129" s="1074">
        <f t="shared" ca="1" si="187"/>
        <v>17.270049558455696</v>
      </c>
      <c r="DS129" s="1074">
        <f t="shared" ca="1" si="187"/>
        <v>17.105573853543152</v>
      </c>
      <c r="DT129" s="1074">
        <f t="shared" ca="1" si="187"/>
        <v>16.942664503240078</v>
      </c>
      <c r="DU129" s="1074">
        <f t="shared" ca="1" si="187"/>
        <v>16.781306596682413</v>
      </c>
      <c r="DV129" s="1074">
        <f t="shared" ca="1" si="187"/>
        <v>16.621485364444368</v>
      </c>
      <c r="DW129" s="1074">
        <f t="shared" ca="1" si="187"/>
        <v>16.463186177224252</v>
      </c>
      <c r="DX129" s="1074">
        <f t="shared" ca="1" si="187"/>
        <v>16.306394544578424</v>
      </c>
      <c r="DY129" s="1074">
        <f t="shared" ca="1" si="187"/>
        <v>16.151096113626792</v>
      </c>
      <c r="DZ129" s="1074">
        <f t="shared" ca="1" si="187"/>
        <v>15.997276667771519</v>
      </c>
      <c r="EA129" s="1074">
        <f t="shared" ca="1" si="187"/>
        <v>15.844922125452609</v>
      </c>
      <c r="EB129" s="1074">
        <f t="shared" ref="EB129:GM129" ca="1" si="188">(EB86-EA86)/$C$12/(1+$C$12)^EA97</f>
        <v>15.694018538878383</v>
      </c>
      <c r="EC129" s="1074">
        <f t="shared" ca="1" si="188"/>
        <v>15.544552092783031</v>
      </c>
      <c r="ED129" s="1074">
        <f t="shared" ca="1" si="188"/>
        <v>15.396509103189569</v>
      </c>
      <c r="EE129" s="1074">
        <f t="shared" ca="1" si="188"/>
        <v>15.249876016194083</v>
      </c>
      <c r="EF129" s="1074">
        <f t="shared" ca="1" si="188"/>
        <v>15.104639406732426</v>
      </c>
      <c r="EG129" s="1074">
        <f t="shared" ca="1" si="188"/>
        <v>14.960785977378544</v>
      </c>
      <c r="EH129" s="1074">
        <f t="shared" ca="1" si="188"/>
        <v>14.818302557156219</v>
      </c>
      <c r="EI129" s="1074">
        <f t="shared" ca="1" si="188"/>
        <v>14.677176100341422</v>
      </c>
      <c r="EJ129" s="1074">
        <f t="shared" ca="1" si="188"/>
        <v>14.537393685290764</v>
      </c>
      <c r="EK129" s="1074">
        <f t="shared" ca="1" si="188"/>
        <v>14.398942513261723</v>
      </c>
      <c r="EL129" s="1074">
        <f t="shared" ca="1" si="188"/>
        <v>14.261809907282448</v>
      </c>
      <c r="EM129" s="1074">
        <f t="shared" ca="1" si="188"/>
        <v>14.125983310964523</v>
      </c>
      <c r="EN129" s="1074">
        <f t="shared" ca="1" si="188"/>
        <v>13.991450287405453</v>
      </c>
      <c r="EO129" s="1074">
        <f t="shared" ca="1" si="188"/>
        <v>13.858198518026821</v>
      </c>
      <c r="EP129" s="1074">
        <f t="shared" ca="1" si="188"/>
        <v>13.726215801484106</v>
      </c>
      <c r="EQ129" s="1074">
        <f t="shared" ca="1" si="188"/>
        <v>13.595490052535121</v>
      </c>
      <c r="ER129" s="1074">
        <f t="shared" ca="1" si="188"/>
        <v>13.466009300963863</v>
      </c>
      <c r="ES129" s="1074">
        <f t="shared" ca="1" si="188"/>
        <v>13.337761690471046</v>
      </c>
      <c r="ET129" s="1074">
        <f t="shared" ca="1" si="188"/>
        <v>13.210735477606638</v>
      </c>
      <c r="EU129" s="1074">
        <f t="shared" ca="1" si="188"/>
        <v>13.08491903070497</v>
      </c>
      <c r="EV129" s="1074">
        <f t="shared" ca="1" si="188"/>
        <v>12.96030082881607</v>
      </c>
      <c r="EW129" s="1074">
        <f t="shared" ca="1" si="188"/>
        <v>12.836869460661614</v>
      </c>
      <c r="EX129" s="1074">
        <f t="shared" ca="1" si="188"/>
        <v>12.714613623591069</v>
      </c>
      <c r="EY129" s="1074">
        <f t="shared" ca="1" si="188"/>
        <v>12.593522122553944</v>
      </c>
      <c r="EZ129" s="1074">
        <f t="shared" ca="1" si="188"/>
        <v>12.47358386908415</v>
      </c>
      <c r="FA129" s="1074">
        <f t="shared" ca="1" si="188"/>
        <v>12.354787880273694</v>
      </c>
      <c r="FB129" s="1074">
        <f t="shared" ca="1" si="188"/>
        <v>12.23712327778817</v>
      </c>
      <c r="FC129" s="1074">
        <f t="shared" ca="1" si="188"/>
        <v>12.12057928685457</v>
      </c>
      <c r="FD129" s="1074">
        <f t="shared" ca="1" si="188"/>
        <v>12.005145235301564</v>
      </c>
      <c r="FE129" s="1074">
        <f t="shared" ca="1" si="188"/>
        <v>11.890810552555429</v>
      </c>
      <c r="FF129" s="1074">
        <f t="shared" ca="1" si="188"/>
        <v>11.777564768709286</v>
      </c>
      <c r="FG129" s="1074">
        <f t="shared" ca="1" si="188"/>
        <v>11.66539751352475</v>
      </c>
      <c r="FH129" s="1074">
        <f t="shared" ca="1" si="188"/>
        <v>11.554298515533832</v>
      </c>
      <c r="FI129" s="1074">
        <f t="shared" ca="1" si="188"/>
        <v>11.444257601045962</v>
      </c>
      <c r="FJ129" s="1074">
        <f t="shared" ca="1" si="188"/>
        <v>11.335264693269789</v>
      </c>
      <c r="FK129" s="1074">
        <f t="shared" ca="1" si="188"/>
        <v>11.227309811351759</v>
      </c>
      <c r="FL129" s="1074">
        <f t="shared" ca="1" si="188"/>
        <v>11.120383069489451</v>
      </c>
      <c r="FM129" s="1074">
        <f t="shared" ca="1" si="188"/>
        <v>11.014474676011835</v>
      </c>
      <c r="FN129" s="1074">
        <f t="shared" ca="1" si="188"/>
        <v>10.909574932492252</v>
      </c>
      <c r="FO129" s="1074">
        <f t="shared" ca="1" si="188"/>
        <v>10.805674232861302</v>
      </c>
      <c r="FP129" s="1074">
        <f t="shared" ca="1" si="188"/>
        <v>10.7027630625204</v>
      </c>
      <c r="FQ129" s="1074">
        <f t="shared" ca="1" si="188"/>
        <v>10.600831997485463</v>
      </c>
      <c r="FR129" s="1074">
        <f t="shared" ca="1" si="188"/>
        <v>10.499871703507416</v>
      </c>
      <c r="FS129" s="1074">
        <f t="shared" ca="1" si="188"/>
        <v>10.399872935231269</v>
      </c>
      <c r="FT129" s="1074">
        <f t="shared" ca="1" si="188"/>
        <v>10.300826535347861</v>
      </c>
      <c r="FU129" s="1074">
        <f t="shared" ca="1" si="188"/>
        <v>10.2027234337513</v>
      </c>
      <c r="FV129" s="1074">
        <f t="shared" ca="1" si="188"/>
        <v>10.105554646711422</v>
      </c>
      <c r="FW129" s="1074">
        <f t="shared" ca="1" si="188"/>
        <v>10.0093112760508</v>
      </c>
      <c r="FX129" s="1074">
        <f t="shared" ca="1" si="188"/>
        <v>9.9139845083406826</v>
      </c>
      <c r="FY129" s="1074">
        <f t="shared" ca="1" si="188"/>
        <v>9.8195656140704166</v>
      </c>
      <c r="FZ129" s="1074">
        <f t="shared" ca="1" si="188"/>
        <v>9.7260459468786191</v>
      </c>
      <c r="GA129" s="1074">
        <f t="shared" ca="1" si="188"/>
        <v>9.6334169427327279</v>
      </c>
      <c r="GB129" s="1074">
        <f t="shared" ca="1" si="188"/>
        <v>9.5416701191702824</v>
      </c>
      <c r="GC129" s="1074">
        <f t="shared" ca="1" si="188"/>
        <v>9.4507970745011463</v>
      </c>
      <c r="GD129" s="1074">
        <f t="shared" ca="1" si="188"/>
        <v>9.3607894870589252</v>
      </c>
      <c r="GE129" s="1074">
        <f t="shared" ca="1" si="188"/>
        <v>9.2716391144180541</v>
      </c>
      <c r="GF129" s="1074">
        <f t="shared" ca="1" si="188"/>
        <v>9.183337792658353</v>
      </c>
      <c r="GG129" s="1074">
        <f t="shared" ca="1" si="188"/>
        <v>9.0958774356008565</v>
      </c>
      <c r="GH129" s="1074">
        <f t="shared" ca="1" si="188"/>
        <v>9.0092500340848893</v>
      </c>
      <c r="GI129" s="1074">
        <f t="shared" ca="1" si="188"/>
        <v>8.9234476552170285</v>
      </c>
      <c r="GJ129" s="1074">
        <f t="shared" ca="1" si="188"/>
        <v>8.8384624416605249</v>
      </c>
      <c r="GK129" s="1074">
        <f t="shared" ca="1" si="188"/>
        <v>8.7542866109045452</v>
      </c>
      <c r="GL129" s="1074">
        <f t="shared" ca="1" si="188"/>
        <v>8.6709124545541894</v>
      </c>
      <c r="GM129" s="1074">
        <f t="shared" ca="1" si="188"/>
        <v>8.5883323376358618</v>
      </c>
      <c r="GN129" s="1074">
        <f t="shared" ref="GN129:IR129" ca="1" si="189">(GN86-GM86)/$C$12/(1+$C$12)^GM97</f>
        <v>8.5065386978767759</v>
      </c>
      <c r="GO129" s="1074">
        <f t="shared" ca="1" si="189"/>
        <v>8.4255240450334945</v>
      </c>
      <c r="GP129" s="1074">
        <f t="shared" ca="1" si="189"/>
        <v>8.3452809601900686</v>
      </c>
      <c r="GQ129" s="1074">
        <f t="shared" ca="1" si="189"/>
        <v>8.2658020950954416</v>
      </c>
      <c r="GR129" s="1074">
        <f t="shared" ca="1" si="189"/>
        <v>8.1870801714718588</v>
      </c>
      <c r="GS129" s="1074">
        <f t="shared" ca="1" si="189"/>
        <v>8.1091079803621628</v>
      </c>
      <c r="GT129" s="1074">
        <f t="shared" ca="1" si="189"/>
        <v>8.0318783814637218</v>
      </c>
      <c r="GU129" s="1074">
        <f t="shared" ca="1" si="189"/>
        <v>7.9553843024787341</v>
      </c>
      <c r="GV129" s="1074">
        <f t="shared" ca="1" si="189"/>
        <v>7.8796187384614225</v>
      </c>
      <c r="GW129" s="1074">
        <f t="shared" ca="1" si="189"/>
        <v>7.8045747511793095</v>
      </c>
      <c r="GX129" s="1074">
        <f t="shared" ca="1" si="189"/>
        <v>7.7302454684771797</v>
      </c>
      <c r="GY129" s="1074">
        <f t="shared" ca="1" si="189"/>
        <v>7.6566240836532229</v>
      </c>
      <c r="GZ129" s="1074">
        <f t="shared" ca="1" si="189"/>
        <v>7.5837038548246962</v>
      </c>
      <c r="HA129" s="1074">
        <f t="shared" ca="1" si="189"/>
        <v>7.5114781043208181</v>
      </c>
      <c r="HB129" s="1074">
        <f t="shared" ca="1" si="189"/>
        <v>7.4399402180663659</v>
      </c>
      <c r="HC129" s="1074">
        <f t="shared" ca="1" si="189"/>
        <v>7.3690836449742871</v>
      </c>
      <c r="HD129" s="1074">
        <f t="shared" ca="1" si="189"/>
        <v>7.2989018963550141</v>
      </c>
      <c r="HE129" s="1074">
        <f t="shared" ca="1" si="189"/>
        <v>7.2293885453078373</v>
      </c>
      <c r="HF129" s="1074">
        <f t="shared" ca="1" si="189"/>
        <v>7.1605372261487306</v>
      </c>
      <c r="HG129" s="1074">
        <f t="shared" ca="1" si="189"/>
        <v>7.0923416338090171</v>
      </c>
      <c r="HH129" s="1074">
        <f t="shared" ca="1" si="189"/>
        <v>7.0247955232776045</v>
      </c>
      <c r="HI129" s="1074">
        <f t="shared" ca="1" si="189"/>
        <v>6.9578927090150655</v>
      </c>
      <c r="HJ129" s="1074">
        <f t="shared" ca="1" si="189"/>
        <v>6.8916270643919253</v>
      </c>
      <c r="HK129" s="1074">
        <f t="shared" ca="1" si="189"/>
        <v>6.8259925211253414</v>
      </c>
      <c r="HL129" s="1074">
        <f t="shared" ca="1" si="189"/>
        <v>6.7609830687311723</v>
      </c>
      <c r="HM129" s="1074">
        <f t="shared" ca="1" si="189"/>
        <v>6.6965927539635741</v>
      </c>
      <c r="HN129" s="1074">
        <f t="shared" ca="1" si="189"/>
        <v>6.6328156802730271</v>
      </c>
      <c r="HO129" s="1074">
        <f t="shared" ca="1" si="189"/>
        <v>6.5696460072724321</v>
      </c>
      <c r="HP129" s="1074">
        <f t="shared" ca="1" si="189"/>
        <v>6.5070779501914302</v>
      </c>
      <c r="HQ129" s="1074">
        <f t="shared" ca="1" si="189"/>
        <v>6.4451057793587223</v>
      </c>
      <c r="HR129" s="1074">
        <f t="shared" ca="1" si="189"/>
        <v>6.3837238196657786</v>
      </c>
      <c r="HS129" s="1074">
        <f t="shared" ca="1" si="189"/>
        <v>6.3229264500561104</v>
      </c>
      <c r="HT129" s="1074">
        <f t="shared" ca="1" si="189"/>
        <v>6.2627081030060179</v>
      </c>
      <c r="HU129" s="1074">
        <f t="shared" ca="1" si="189"/>
        <v>6.2030632640147321</v>
      </c>
      <c r="HV129" s="1074">
        <f t="shared" ca="1" si="189"/>
        <v>6.1439864711017931</v>
      </c>
      <c r="HW129" s="1074">
        <f t="shared" ca="1" si="189"/>
        <v>6.0854723143047318</v>
      </c>
      <c r="HX129" s="1074">
        <f t="shared" ca="1" si="189"/>
        <v>6.0275154351872704</v>
      </c>
      <c r="HY129" s="1074">
        <f t="shared" ca="1" si="189"/>
        <v>5.9701105263398251</v>
      </c>
      <c r="HZ129" s="1074">
        <f t="shared" ca="1" si="189"/>
        <v>5.9132523309060296</v>
      </c>
      <c r="IA129" s="1074">
        <f t="shared" ca="1" si="189"/>
        <v>5.856935642090078</v>
      </c>
      <c r="IB129" s="1074">
        <f t="shared" ca="1" si="189"/>
        <v>5.8011553026877092</v>
      </c>
      <c r="IC129" s="1074">
        <f t="shared" ca="1" si="189"/>
        <v>5.7459062046085068</v>
      </c>
      <c r="ID129" s="1074">
        <f t="shared" ca="1" si="189"/>
        <v>5.6911832884131037</v>
      </c>
      <c r="IE129" s="1074">
        <f t="shared" ca="1" si="189"/>
        <v>5.6369815428448398</v>
      </c>
      <c r="IF129" s="1074">
        <f t="shared" ca="1" si="189"/>
        <v>5.5832960043732198</v>
      </c>
      <c r="IG129" s="1074">
        <f t="shared" ca="1" si="189"/>
        <v>5.5301217567420187</v>
      </c>
      <c r="IH129" s="1074">
        <f t="shared" ca="1" si="189"/>
        <v>5.4774539305145007</v>
      </c>
      <c r="II129" s="1074">
        <f t="shared" ca="1" si="189"/>
        <v>5.4252877026297597</v>
      </c>
      <c r="IJ129" s="1074">
        <f t="shared" ca="1" si="189"/>
        <v>5.3736182959606991</v>
      </c>
      <c r="IK129" s="1074">
        <f t="shared" ca="1" si="189"/>
        <v>5.3224409788775491</v>
      </c>
      <c r="IL129" s="1074">
        <f t="shared" ca="1" si="189"/>
        <v>5.271751064811161</v>
      </c>
      <c r="IM129" s="1074">
        <f t="shared" ca="1" si="189"/>
        <v>5.2215439118306968</v>
      </c>
      <c r="IN129" s="1074">
        <f t="shared" ca="1" si="189"/>
        <v>5.1718149222112135</v>
      </c>
      <c r="IO129" s="1074">
        <f t="shared" ca="1" si="189"/>
        <v>5.1225595420130414</v>
      </c>
      <c r="IP129" s="1074">
        <f t="shared" ca="1" si="189"/>
        <v>5.0737732606743613</v>
      </c>
      <c r="IQ129" s="1074">
        <f t="shared" ca="1" si="189"/>
        <v>5.0254516105852725</v>
      </c>
      <c r="IR129" s="1074">
        <f t="shared" ca="1" si="189"/>
        <v>4.9631049454959886</v>
      </c>
    </row>
    <row r="130" spans="2:252" s="851" customFormat="1" ht="11.25" customHeight="1">
      <c r="B130" s="851" t="s">
        <v>735</v>
      </c>
      <c r="C130" s="1079">
        <f t="shared" ref="C130:BN130" si="190">ROUND(C83-C128,2)</f>
        <v>-0.78</v>
      </c>
      <c r="D130" s="1079">
        <f t="shared" si="190"/>
        <v>-4.9800000000000004</v>
      </c>
      <c r="E130" s="1079">
        <f t="shared" si="190"/>
        <v>0.88</v>
      </c>
      <c r="F130" s="1079">
        <f t="shared" si="190"/>
        <v>0.28999999999999998</v>
      </c>
      <c r="G130" s="1079">
        <f t="shared" ca="1" si="190"/>
        <v>0.17</v>
      </c>
      <c r="H130" s="1079">
        <f t="shared" ca="1" si="190"/>
        <v>0.21</v>
      </c>
      <c r="I130" s="1079">
        <f t="shared" ca="1" si="190"/>
        <v>0.2</v>
      </c>
      <c r="J130" s="1079">
        <f t="shared" ca="1" si="190"/>
        <v>0.19</v>
      </c>
      <c r="K130" s="1079">
        <f t="shared" ca="1" si="190"/>
        <v>0.18</v>
      </c>
      <c r="L130" s="1079">
        <f t="shared" ca="1" si="190"/>
        <v>0.17</v>
      </c>
      <c r="M130" s="1079">
        <f t="shared" ca="1" si="190"/>
        <v>0.16</v>
      </c>
      <c r="N130" s="1079">
        <f t="shared" ca="1" si="190"/>
        <v>0.15</v>
      </c>
      <c r="O130" s="1079">
        <f t="shared" ca="1" si="190"/>
        <v>0.14000000000000001</v>
      </c>
      <c r="P130" s="1079">
        <f t="shared" ca="1" si="190"/>
        <v>0.13</v>
      </c>
      <c r="Q130" s="1079">
        <f t="shared" ca="1" si="190"/>
        <v>0.12</v>
      </c>
      <c r="R130" s="1079">
        <f t="shared" ca="1" si="190"/>
        <v>0.11</v>
      </c>
      <c r="S130" s="1079">
        <f t="shared" ca="1" si="190"/>
        <v>0.1</v>
      </c>
      <c r="T130" s="1079">
        <f t="shared" ca="1" si="190"/>
        <v>0.09</v>
      </c>
      <c r="U130" s="1079">
        <f t="shared" ca="1" si="190"/>
        <v>0.08</v>
      </c>
      <c r="V130" s="1079">
        <f t="shared" ca="1" si="190"/>
        <v>7.0000000000000007E-2</v>
      </c>
      <c r="W130" s="1079">
        <f t="shared" ca="1" si="190"/>
        <v>0.06</v>
      </c>
      <c r="X130" s="1079">
        <f t="shared" ca="1" si="190"/>
        <v>0.06</v>
      </c>
      <c r="Y130" s="1079">
        <f t="shared" ca="1" si="190"/>
        <v>0.06</v>
      </c>
      <c r="Z130" s="1079">
        <f t="shared" ca="1" si="190"/>
        <v>0.06</v>
      </c>
      <c r="AA130" s="1079">
        <f t="shared" ca="1" si="190"/>
        <v>0.05</v>
      </c>
      <c r="AB130" s="1079">
        <f t="shared" ca="1" si="190"/>
        <v>0.05</v>
      </c>
      <c r="AC130" s="1079">
        <f t="shared" ca="1" si="190"/>
        <v>0.05</v>
      </c>
      <c r="AD130" s="1079">
        <f t="shared" ca="1" si="190"/>
        <v>0.05</v>
      </c>
      <c r="AE130" s="1079">
        <f t="shared" ca="1" si="190"/>
        <v>0.05</v>
      </c>
      <c r="AF130" s="1079">
        <f t="shared" ca="1" si="190"/>
        <v>0.05</v>
      </c>
      <c r="AG130" s="1079">
        <f t="shared" ca="1" si="190"/>
        <v>0.05</v>
      </c>
      <c r="AH130" s="1079">
        <f t="shared" ca="1" si="190"/>
        <v>0.05</v>
      </c>
      <c r="AI130" s="1079">
        <f t="shared" ca="1" si="190"/>
        <v>0.05</v>
      </c>
      <c r="AJ130" s="1079">
        <f t="shared" ca="1" si="190"/>
        <v>0.05</v>
      </c>
      <c r="AK130" s="1079">
        <f t="shared" ca="1" si="190"/>
        <v>0.05</v>
      </c>
      <c r="AL130" s="1079">
        <f t="shared" ca="1" si="190"/>
        <v>0.05</v>
      </c>
      <c r="AM130" s="1079">
        <f t="shared" ca="1" si="190"/>
        <v>0.04</v>
      </c>
      <c r="AN130" s="1079">
        <f t="shared" ca="1" si="190"/>
        <v>0.04</v>
      </c>
      <c r="AO130" s="1079">
        <f t="shared" ca="1" si="190"/>
        <v>0.04</v>
      </c>
      <c r="AP130" s="1079">
        <f t="shared" ca="1" si="190"/>
        <v>0.04</v>
      </c>
      <c r="AQ130" s="1079">
        <f t="shared" ca="1" si="190"/>
        <v>0.04</v>
      </c>
      <c r="AR130" s="1079">
        <f t="shared" ca="1" si="190"/>
        <v>0.04</v>
      </c>
      <c r="AS130" s="1079">
        <f t="shared" ca="1" si="190"/>
        <v>0.04</v>
      </c>
      <c r="AT130" s="1079">
        <f t="shared" ca="1" si="190"/>
        <v>0.04</v>
      </c>
      <c r="AU130" s="1079">
        <f t="shared" ca="1" si="190"/>
        <v>0.04</v>
      </c>
      <c r="AV130" s="1079">
        <f t="shared" ca="1" si="190"/>
        <v>0.04</v>
      </c>
      <c r="AW130" s="1079">
        <f t="shared" ca="1" si="190"/>
        <v>0.04</v>
      </c>
      <c r="AX130" s="1079">
        <f t="shared" ca="1" si="190"/>
        <v>0.04</v>
      </c>
      <c r="AY130" s="1079">
        <f t="shared" ca="1" si="190"/>
        <v>0.04</v>
      </c>
      <c r="AZ130" s="1079">
        <f t="shared" ca="1" si="190"/>
        <v>0.04</v>
      </c>
      <c r="BA130" s="1079">
        <f t="shared" ca="1" si="190"/>
        <v>0.04</v>
      </c>
      <c r="BB130" s="1079">
        <f t="shared" ca="1" si="190"/>
        <v>0.04</v>
      </c>
      <c r="BC130" s="1079">
        <f t="shared" ca="1" si="190"/>
        <v>0.04</v>
      </c>
      <c r="BD130" s="1079">
        <f t="shared" ca="1" si="190"/>
        <v>0.04</v>
      </c>
      <c r="BE130" s="1079">
        <f t="shared" ca="1" si="190"/>
        <v>0.04</v>
      </c>
      <c r="BF130" s="1079">
        <f t="shared" ca="1" si="190"/>
        <v>0.04</v>
      </c>
      <c r="BG130" s="1079">
        <f t="shared" ca="1" si="190"/>
        <v>0.04</v>
      </c>
      <c r="BH130" s="1079">
        <f t="shared" ca="1" si="190"/>
        <v>0.04</v>
      </c>
      <c r="BI130" s="1079">
        <f t="shared" ca="1" si="190"/>
        <v>0.04</v>
      </c>
      <c r="BJ130" s="1079">
        <f t="shared" ca="1" si="190"/>
        <v>0.04</v>
      </c>
      <c r="BK130" s="1079">
        <f t="shared" ca="1" si="190"/>
        <v>0.04</v>
      </c>
      <c r="BL130" s="1079">
        <f t="shared" ca="1" si="190"/>
        <v>0.04</v>
      </c>
      <c r="BM130" s="1079">
        <f t="shared" ca="1" si="190"/>
        <v>0.04</v>
      </c>
      <c r="BN130" s="1079">
        <f t="shared" ca="1" si="190"/>
        <v>0.04</v>
      </c>
      <c r="BO130" s="1079">
        <f t="shared" ref="BO130:DZ130" ca="1" si="191">ROUND(BO83-BO128,2)</f>
        <v>0.03</v>
      </c>
      <c r="BP130" s="1079">
        <f t="shared" ca="1" si="191"/>
        <v>0.03</v>
      </c>
      <c r="BQ130" s="1079">
        <f t="shared" ca="1" si="191"/>
        <v>0.03</v>
      </c>
      <c r="BR130" s="1079">
        <f t="shared" ca="1" si="191"/>
        <v>0.03</v>
      </c>
      <c r="BS130" s="1079">
        <f t="shared" ca="1" si="191"/>
        <v>0.03</v>
      </c>
      <c r="BT130" s="1079">
        <f t="shared" ca="1" si="191"/>
        <v>0.03</v>
      </c>
      <c r="BU130" s="1079">
        <f t="shared" ca="1" si="191"/>
        <v>0.03</v>
      </c>
      <c r="BV130" s="1079">
        <f t="shared" ca="1" si="191"/>
        <v>0.03</v>
      </c>
      <c r="BW130" s="1079">
        <f t="shared" ca="1" si="191"/>
        <v>0.03</v>
      </c>
      <c r="BX130" s="1079">
        <f t="shared" ca="1" si="191"/>
        <v>0.03</v>
      </c>
      <c r="BY130" s="1079">
        <f t="shared" ca="1" si="191"/>
        <v>0.03</v>
      </c>
      <c r="BZ130" s="1079">
        <f t="shared" ca="1" si="191"/>
        <v>0.03</v>
      </c>
      <c r="CA130" s="1079">
        <f t="shared" ca="1" si="191"/>
        <v>0.03</v>
      </c>
      <c r="CB130" s="1079">
        <f t="shared" ca="1" si="191"/>
        <v>0.03</v>
      </c>
      <c r="CC130" s="1079">
        <f t="shared" ca="1" si="191"/>
        <v>0.03</v>
      </c>
      <c r="CD130" s="1079">
        <f t="shared" ca="1" si="191"/>
        <v>0.03</v>
      </c>
      <c r="CE130" s="1079">
        <f t="shared" ca="1" si="191"/>
        <v>0.03</v>
      </c>
      <c r="CF130" s="1079">
        <f t="shared" ca="1" si="191"/>
        <v>0.03</v>
      </c>
      <c r="CG130" s="1079">
        <f t="shared" ca="1" si="191"/>
        <v>0.03</v>
      </c>
      <c r="CH130" s="1079">
        <f t="shared" ca="1" si="191"/>
        <v>0.03</v>
      </c>
      <c r="CI130" s="1079">
        <f t="shared" ca="1" si="191"/>
        <v>0.03</v>
      </c>
      <c r="CJ130" s="1079">
        <f t="shared" ca="1" si="191"/>
        <v>0.03</v>
      </c>
      <c r="CK130" s="1079">
        <f t="shared" ca="1" si="191"/>
        <v>0.03</v>
      </c>
      <c r="CL130" s="1079">
        <f t="shared" ca="1" si="191"/>
        <v>0.03</v>
      </c>
      <c r="CM130" s="1079">
        <f t="shared" ca="1" si="191"/>
        <v>0.03</v>
      </c>
      <c r="CN130" s="1079">
        <f t="shared" ca="1" si="191"/>
        <v>0.03</v>
      </c>
      <c r="CO130" s="1079">
        <f t="shared" ca="1" si="191"/>
        <v>0.03</v>
      </c>
      <c r="CP130" s="1079">
        <f t="shared" ca="1" si="191"/>
        <v>0.03</v>
      </c>
      <c r="CQ130" s="1079">
        <f t="shared" ca="1" si="191"/>
        <v>0.03</v>
      </c>
      <c r="CR130" s="1079">
        <f t="shared" ca="1" si="191"/>
        <v>0.03</v>
      </c>
      <c r="CS130" s="1079">
        <f t="shared" ca="1" si="191"/>
        <v>0.03</v>
      </c>
      <c r="CT130" s="1079">
        <f t="shared" ca="1" si="191"/>
        <v>0.03</v>
      </c>
      <c r="CU130" s="1079">
        <f t="shared" ca="1" si="191"/>
        <v>0.03</v>
      </c>
      <c r="CV130" s="1079">
        <f t="shared" ca="1" si="191"/>
        <v>0.03</v>
      </c>
      <c r="CW130" s="1079">
        <f t="shared" ca="1" si="191"/>
        <v>0.03</v>
      </c>
      <c r="CX130" s="1079">
        <f t="shared" ca="1" si="191"/>
        <v>0.03</v>
      </c>
      <c r="CY130" s="1079">
        <f t="shared" ca="1" si="191"/>
        <v>0.03</v>
      </c>
      <c r="CZ130" s="1079">
        <f t="shared" ca="1" si="191"/>
        <v>0.03</v>
      </c>
      <c r="DA130" s="1079">
        <f t="shared" ca="1" si="191"/>
        <v>0.03</v>
      </c>
      <c r="DB130" s="1079">
        <f t="shared" ca="1" si="191"/>
        <v>0.03</v>
      </c>
      <c r="DC130" s="1079">
        <f t="shared" ca="1" si="191"/>
        <v>0.03</v>
      </c>
      <c r="DD130" s="1079">
        <f t="shared" ca="1" si="191"/>
        <v>0.03</v>
      </c>
      <c r="DE130" s="1079">
        <f t="shared" ca="1" si="191"/>
        <v>0.03</v>
      </c>
      <c r="DF130" s="1079">
        <f t="shared" ca="1" si="191"/>
        <v>0.03</v>
      </c>
      <c r="DG130" s="1079">
        <f t="shared" ca="1" si="191"/>
        <v>0.03</v>
      </c>
      <c r="DH130" s="1079">
        <f t="shared" ca="1" si="191"/>
        <v>0.03</v>
      </c>
      <c r="DI130" s="1079">
        <f t="shared" ca="1" si="191"/>
        <v>0.03</v>
      </c>
      <c r="DJ130" s="1079">
        <f t="shared" ca="1" si="191"/>
        <v>0.03</v>
      </c>
      <c r="DK130" s="1079">
        <f t="shared" ca="1" si="191"/>
        <v>0.03</v>
      </c>
      <c r="DL130" s="1079">
        <f t="shared" ca="1" si="191"/>
        <v>0.03</v>
      </c>
      <c r="DM130" s="1079">
        <f t="shared" ca="1" si="191"/>
        <v>0.03</v>
      </c>
      <c r="DN130" s="1079">
        <f t="shared" ca="1" si="191"/>
        <v>0.03</v>
      </c>
      <c r="DO130" s="1079">
        <f t="shared" ca="1" si="191"/>
        <v>0.03</v>
      </c>
      <c r="DP130" s="1079">
        <f t="shared" ca="1" si="191"/>
        <v>0.03</v>
      </c>
      <c r="DQ130" s="1079">
        <f t="shared" ca="1" si="191"/>
        <v>0.03</v>
      </c>
      <c r="DR130" s="1079">
        <f t="shared" ca="1" si="191"/>
        <v>0.03</v>
      </c>
      <c r="DS130" s="1079">
        <f t="shared" ca="1" si="191"/>
        <v>0.03</v>
      </c>
      <c r="DT130" s="1079">
        <f t="shared" ca="1" si="191"/>
        <v>0.03</v>
      </c>
      <c r="DU130" s="1079">
        <f t="shared" ca="1" si="191"/>
        <v>0.03</v>
      </c>
      <c r="DV130" s="1079">
        <f t="shared" ca="1" si="191"/>
        <v>0.03</v>
      </c>
      <c r="DW130" s="1079">
        <f t="shared" ca="1" si="191"/>
        <v>0.03</v>
      </c>
      <c r="DX130" s="1079">
        <f t="shared" ca="1" si="191"/>
        <v>0.03</v>
      </c>
      <c r="DY130" s="1079">
        <f t="shared" ca="1" si="191"/>
        <v>0.03</v>
      </c>
      <c r="DZ130" s="1079">
        <f t="shared" ca="1" si="191"/>
        <v>0.03</v>
      </c>
      <c r="EA130" s="1079">
        <f t="shared" ref="EA130:GL130" ca="1" si="192">ROUND(EA83-EA128,2)</f>
        <v>0.03</v>
      </c>
      <c r="EB130" s="1079">
        <f t="shared" ca="1" si="192"/>
        <v>0.03</v>
      </c>
      <c r="EC130" s="1079">
        <f t="shared" ca="1" si="192"/>
        <v>0.03</v>
      </c>
      <c r="ED130" s="1079">
        <f t="shared" ca="1" si="192"/>
        <v>0.03</v>
      </c>
      <c r="EE130" s="1079">
        <f t="shared" ca="1" si="192"/>
        <v>0.03</v>
      </c>
      <c r="EF130" s="1079">
        <f t="shared" ca="1" si="192"/>
        <v>0.03</v>
      </c>
      <c r="EG130" s="1079">
        <f t="shared" ca="1" si="192"/>
        <v>0.03</v>
      </c>
      <c r="EH130" s="1079">
        <f t="shared" ca="1" si="192"/>
        <v>0.03</v>
      </c>
      <c r="EI130" s="1079">
        <f t="shared" ca="1" si="192"/>
        <v>0.03</v>
      </c>
      <c r="EJ130" s="1079">
        <f t="shared" ca="1" si="192"/>
        <v>0.03</v>
      </c>
      <c r="EK130" s="1079">
        <f t="shared" ca="1" si="192"/>
        <v>0.03</v>
      </c>
      <c r="EL130" s="1079">
        <f t="shared" ca="1" si="192"/>
        <v>0.03</v>
      </c>
      <c r="EM130" s="1079">
        <f t="shared" ca="1" si="192"/>
        <v>0.03</v>
      </c>
      <c r="EN130" s="1079">
        <f t="shared" ca="1" si="192"/>
        <v>0.03</v>
      </c>
      <c r="EO130" s="1079">
        <f t="shared" ca="1" si="192"/>
        <v>0.03</v>
      </c>
      <c r="EP130" s="1079">
        <f t="shared" ca="1" si="192"/>
        <v>0.03</v>
      </c>
      <c r="EQ130" s="1079">
        <f t="shared" ca="1" si="192"/>
        <v>0.03</v>
      </c>
      <c r="ER130" s="1079">
        <f t="shared" ca="1" si="192"/>
        <v>0.03</v>
      </c>
      <c r="ES130" s="1079">
        <f t="shared" ca="1" si="192"/>
        <v>0.03</v>
      </c>
      <c r="ET130" s="1079">
        <f t="shared" ca="1" si="192"/>
        <v>0.03</v>
      </c>
      <c r="EU130" s="1079">
        <f t="shared" ca="1" si="192"/>
        <v>0.03</v>
      </c>
      <c r="EV130" s="1079">
        <f t="shared" ca="1" si="192"/>
        <v>0.03</v>
      </c>
      <c r="EW130" s="1079">
        <f t="shared" ca="1" si="192"/>
        <v>0.03</v>
      </c>
      <c r="EX130" s="1079">
        <f t="shared" ca="1" si="192"/>
        <v>0.03</v>
      </c>
      <c r="EY130" s="1079">
        <f t="shared" ca="1" si="192"/>
        <v>0.03</v>
      </c>
      <c r="EZ130" s="1079">
        <f t="shared" ca="1" si="192"/>
        <v>0.03</v>
      </c>
      <c r="FA130" s="1079">
        <f t="shared" ca="1" si="192"/>
        <v>0.03</v>
      </c>
      <c r="FB130" s="1079">
        <f t="shared" ca="1" si="192"/>
        <v>0.03</v>
      </c>
      <c r="FC130" s="1079">
        <f t="shared" ca="1" si="192"/>
        <v>0.03</v>
      </c>
      <c r="FD130" s="1079">
        <f t="shared" ca="1" si="192"/>
        <v>0.03</v>
      </c>
      <c r="FE130" s="1079">
        <f t="shared" ca="1" si="192"/>
        <v>0.03</v>
      </c>
      <c r="FF130" s="1079">
        <f t="shared" ca="1" si="192"/>
        <v>0.03</v>
      </c>
      <c r="FG130" s="1079">
        <f t="shared" ca="1" si="192"/>
        <v>0.03</v>
      </c>
      <c r="FH130" s="1079">
        <f t="shared" ca="1" si="192"/>
        <v>0.03</v>
      </c>
      <c r="FI130" s="1079">
        <f t="shared" ca="1" si="192"/>
        <v>0.03</v>
      </c>
      <c r="FJ130" s="1079">
        <f t="shared" ca="1" si="192"/>
        <v>0.03</v>
      </c>
      <c r="FK130" s="1079">
        <f t="shared" ca="1" si="192"/>
        <v>0.03</v>
      </c>
      <c r="FL130" s="1079">
        <f t="shared" ca="1" si="192"/>
        <v>0.03</v>
      </c>
      <c r="FM130" s="1079">
        <f t="shared" ca="1" si="192"/>
        <v>0.03</v>
      </c>
      <c r="FN130" s="1079">
        <f t="shared" ca="1" si="192"/>
        <v>0.03</v>
      </c>
      <c r="FO130" s="1079">
        <f t="shared" ca="1" si="192"/>
        <v>0.03</v>
      </c>
      <c r="FP130" s="1079">
        <f t="shared" ca="1" si="192"/>
        <v>0.03</v>
      </c>
      <c r="FQ130" s="1079">
        <f t="shared" ca="1" si="192"/>
        <v>0.03</v>
      </c>
      <c r="FR130" s="1079">
        <f t="shared" ca="1" si="192"/>
        <v>0.03</v>
      </c>
      <c r="FS130" s="1079">
        <f t="shared" ca="1" si="192"/>
        <v>0.03</v>
      </c>
      <c r="FT130" s="1079">
        <f t="shared" ca="1" si="192"/>
        <v>0.03</v>
      </c>
      <c r="FU130" s="1079">
        <f t="shared" ca="1" si="192"/>
        <v>0.03</v>
      </c>
      <c r="FV130" s="1079">
        <f t="shared" ca="1" si="192"/>
        <v>0.03</v>
      </c>
      <c r="FW130" s="1079">
        <f t="shared" ca="1" si="192"/>
        <v>0.03</v>
      </c>
      <c r="FX130" s="1079">
        <f t="shared" ca="1" si="192"/>
        <v>0.03</v>
      </c>
      <c r="FY130" s="1079">
        <f t="shared" ca="1" si="192"/>
        <v>0.03</v>
      </c>
      <c r="FZ130" s="1079">
        <f t="shared" ca="1" si="192"/>
        <v>0.03</v>
      </c>
      <c r="GA130" s="1079">
        <f t="shared" ca="1" si="192"/>
        <v>0.03</v>
      </c>
      <c r="GB130" s="1079">
        <f t="shared" ca="1" si="192"/>
        <v>0.03</v>
      </c>
      <c r="GC130" s="1079">
        <f t="shared" ca="1" si="192"/>
        <v>0.03</v>
      </c>
      <c r="GD130" s="1079">
        <f t="shared" ca="1" si="192"/>
        <v>0.03</v>
      </c>
      <c r="GE130" s="1079">
        <f t="shared" ca="1" si="192"/>
        <v>0.03</v>
      </c>
      <c r="GF130" s="1079">
        <f t="shared" ca="1" si="192"/>
        <v>0.03</v>
      </c>
      <c r="GG130" s="1079">
        <f t="shared" ca="1" si="192"/>
        <v>0.03</v>
      </c>
      <c r="GH130" s="1079">
        <f t="shared" ca="1" si="192"/>
        <v>0.03</v>
      </c>
      <c r="GI130" s="1079">
        <f t="shared" ca="1" si="192"/>
        <v>0.03</v>
      </c>
      <c r="GJ130" s="1079">
        <f t="shared" ca="1" si="192"/>
        <v>0.03</v>
      </c>
      <c r="GK130" s="1079">
        <f t="shared" ca="1" si="192"/>
        <v>0.03</v>
      </c>
      <c r="GL130" s="1079">
        <f t="shared" ca="1" si="192"/>
        <v>0.03</v>
      </c>
      <c r="GM130" s="1079">
        <f t="shared" ref="GM130:IR130" ca="1" si="193">ROUND(GM83-GM128,2)</f>
        <v>0.03</v>
      </c>
      <c r="GN130" s="1079">
        <f t="shared" ca="1" si="193"/>
        <v>0.03</v>
      </c>
      <c r="GO130" s="1079">
        <f t="shared" ca="1" si="193"/>
        <v>0.03</v>
      </c>
      <c r="GP130" s="1079">
        <f t="shared" ca="1" si="193"/>
        <v>0.03</v>
      </c>
      <c r="GQ130" s="1079">
        <f t="shared" ca="1" si="193"/>
        <v>0.03</v>
      </c>
      <c r="GR130" s="1079">
        <f t="shared" ca="1" si="193"/>
        <v>0.03</v>
      </c>
      <c r="GS130" s="1079">
        <f t="shared" ca="1" si="193"/>
        <v>0.03</v>
      </c>
      <c r="GT130" s="1079">
        <f t="shared" ca="1" si="193"/>
        <v>0.03</v>
      </c>
      <c r="GU130" s="1079">
        <f t="shared" ca="1" si="193"/>
        <v>0.03</v>
      </c>
      <c r="GV130" s="1079">
        <f t="shared" ca="1" si="193"/>
        <v>0.03</v>
      </c>
      <c r="GW130" s="1079">
        <f t="shared" ca="1" si="193"/>
        <v>0.03</v>
      </c>
      <c r="GX130" s="1079">
        <f t="shared" ca="1" si="193"/>
        <v>0.03</v>
      </c>
      <c r="GY130" s="1079">
        <f t="shared" ca="1" si="193"/>
        <v>0.03</v>
      </c>
      <c r="GZ130" s="1079">
        <f t="shared" ca="1" si="193"/>
        <v>0.03</v>
      </c>
      <c r="HA130" s="1079">
        <f t="shared" ca="1" si="193"/>
        <v>0.03</v>
      </c>
      <c r="HB130" s="1079">
        <f t="shared" ca="1" si="193"/>
        <v>0.03</v>
      </c>
      <c r="HC130" s="1079">
        <f t="shared" ca="1" si="193"/>
        <v>0.03</v>
      </c>
      <c r="HD130" s="1079">
        <f t="shared" ca="1" si="193"/>
        <v>0.03</v>
      </c>
      <c r="HE130" s="1079">
        <f t="shared" ca="1" si="193"/>
        <v>0.03</v>
      </c>
      <c r="HF130" s="1079">
        <f t="shared" ca="1" si="193"/>
        <v>0.03</v>
      </c>
      <c r="HG130" s="1079">
        <f t="shared" ca="1" si="193"/>
        <v>0.03</v>
      </c>
      <c r="HH130" s="1079">
        <f t="shared" ca="1" si="193"/>
        <v>0.03</v>
      </c>
      <c r="HI130" s="1079">
        <f t="shared" ca="1" si="193"/>
        <v>0.03</v>
      </c>
      <c r="HJ130" s="1079">
        <f t="shared" ca="1" si="193"/>
        <v>0.03</v>
      </c>
      <c r="HK130" s="1079">
        <f t="shared" ca="1" si="193"/>
        <v>0.03</v>
      </c>
      <c r="HL130" s="1079">
        <f t="shared" ca="1" si="193"/>
        <v>0.03</v>
      </c>
      <c r="HM130" s="1079">
        <f t="shared" ca="1" si="193"/>
        <v>0.03</v>
      </c>
      <c r="HN130" s="1079">
        <f t="shared" ca="1" si="193"/>
        <v>0.03</v>
      </c>
      <c r="HO130" s="1079">
        <f t="shared" ca="1" si="193"/>
        <v>0.03</v>
      </c>
      <c r="HP130" s="1079">
        <f t="shared" ca="1" si="193"/>
        <v>0.03</v>
      </c>
      <c r="HQ130" s="1079">
        <f t="shared" ca="1" si="193"/>
        <v>0.03</v>
      </c>
      <c r="HR130" s="1079">
        <f t="shared" ca="1" si="193"/>
        <v>0.03</v>
      </c>
      <c r="HS130" s="1079">
        <f t="shared" ca="1" si="193"/>
        <v>0.03</v>
      </c>
      <c r="HT130" s="1079">
        <f t="shared" ca="1" si="193"/>
        <v>0.03</v>
      </c>
      <c r="HU130" s="1079">
        <f t="shared" ca="1" si="193"/>
        <v>0.03</v>
      </c>
      <c r="HV130" s="1079">
        <f t="shared" ca="1" si="193"/>
        <v>0.03</v>
      </c>
      <c r="HW130" s="1079">
        <f t="shared" ca="1" si="193"/>
        <v>0.03</v>
      </c>
      <c r="HX130" s="1079">
        <f t="shared" ca="1" si="193"/>
        <v>0.03</v>
      </c>
      <c r="HY130" s="1079">
        <f t="shared" ca="1" si="193"/>
        <v>0.03</v>
      </c>
      <c r="HZ130" s="1079">
        <f t="shared" ca="1" si="193"/>
        <v>0.03</v>
      </c>
      <c r="IA130" s="1079">
        <f t="shared" ca="1" si="193"/>
        <v>0.03</v>
      </c>
      <c r="IB130" s="1079">
        <f t="shared" ca="1" si="193"/>
        <v>0.03</v>
      </c>
      <c r="IC130" s="1079">
        <f t="shared" ca="1" si="193"/>
        <v>0.03</v>
      </c>
      <c r="ID130" s="1079">
        <f t="shared" ca="1" si="193"/>
        <v>0.03</v>
      </c>
      <c r="IE130" s="1079">
        <f t="shared" ca="1" si="193"/>
        <v>0.03</v>
      </c>
      <c r="IF130" s="1079">
        <f t="shared" ca="1" si="193"/>
        <v>0.03</v>
      </c>
      <c r="IG130" s="1079">
        <f t="shared" ca="1" si="193"/>
        <v>0.03</v>
      </c>
      <c r="IH130" s="1079">
        <f t="shared" ca="1" si="193"/>
        <v>0.03</v>
      </c>
      <c r="II130" s="1079">
        <f t="shared" ca="1" si="193"/>
        <v>0.03</v>
      </c>
      <c r="IJ130" s="1079">
        <f t="shared" ca="1" si="193"/>
        <v>0.03</v>
      </c>
      <c r="IK130" s="1079">
        <f t="shared" ca="1" si="193"/>
        <v>0.03</v>
      </c>
      <c r="IL130" s="1079">
        <f t="shared" ca="1" si="193"/>
        <v>0.03</v>
      </c>
      <c r="IM130" s="1079">
        <f t="shared" ca="1" si="193"/>
        <v>0.03</v>
      </c>
      <c r="IN130" s="1079">
        <f t="shared" ca="1" si="193"/>
        <v>0.03</v>
      </c>
      <c r="IO130" s="1079">
        <f t="shared" ca="1" si="193"/>
        <v>0.03</v>
      </c>
      <c r="IP130" s="1079">
        <f t="shared" ca="1" si="193"/>
        <v>0.03</v>
      </c>
      <c r="IQ130" s="1079">
        <f t="shared" ca="1" si="193"/>
        <v>0.03</v>
      </c>
      <c r="IR130" s="1079">
        <f t="shared" si="193"/>
        <v>-0.05</v>
      </c>
    </row>
    <row r="131" spans="2:252" s="851" customFormat="1" ht="11.25" customHeight="1">
      <c r="B131" s="851" t="s">
        <v>736</v>
      </c>
      <c r="C131" s="1090">
        <f>C22</f>
        <v>0</v>
      </c>
      <c r="D131" s="1079"/>
      <c r="E131" s="1079"/>
      <c r="F131" s="1079"/>
      <c r="G131" s="1079"/>
      <c r="H131" s="1079"/>
      <c r="I131" s="1079"/>
      <c r="J131" s="1079"/>
      <c r="K131" s="1079"/>
      <c r="L131" s="1079"/>
      <c r="M131" s="1079"/>
      <c r="N131" s="1079"/>
      <c r="O131" s="1079"/>
      <c r="P131" s="1079"/>
      <c r="Q131" s="1079"/>
      <c r="R131" s="1079"/>
      <c r="S131" s="1079"/>
      <c r="T131" s="1079"/>
      <c r="U131" s="1079"/>
      <c r="V131" s="1079"/>
      <c r="W131" s="1079"/>
      <c r="X131" s="1079"/>
      <c r="Y131" s="1079"/>
      <c r="Z131" s="1079"/>
      <c r="AA131" s="1079"/>
      <c r="AB131" s="1079"/>
      <c r="AC131" s="1079"/>
      <c r="AD131" s="1079"/>
      <c r="AE131" s="1079"/>
      <c r="AF131" s="1079"/>
      <c r="AG131" s="1079"/>
      <c r="AH131" s="1079"/>
      <c r="AI131" s="1079"/>
      <c r="AJ131" s="1079"/>
      <c r="AK131" s="1079"/>
      <c r="AL131" s="1079"/>
      <c r="AM131" s="1079"/>
      <c r="AN131" s="1079"/>
      <c r="AO131" s="1079"/>
      <c r="AP131" s="1079"/>
      <c r="AQ131" s="1079"/>
      <c r="AR131" s="1079"/>
      <c r="AS131" s="1079"/>
      <c r="AT131" s="1079"/>
      <c r="AU131" s="1079"/>
      <c r="AV131" s="1079"/>
      <c r="AW131" s="1079"/>
      <c r="AX131" s="1079"/>
      <c r="AY131" s="1079"/>
      <c r="AZ131" s="1079"/>
      <c r="BA131" s="1079"/>
      <c r="BB131" s="1079"/>
      <c r="BC131" s="1079"/>
      <c r="BD131" s="1079"/>
      <c r="BE131" s="1079"/>
      <c r="BF131" s="1079"/>
      <c r="BG131" s="1079"/>
      <c r="BH131" s="1079"/>
      <c r="BI131" s="1079"/>
      <c r="BJ131" s="1079"/>
      <c r="BK131" s="1079"/>
      <c r="BL131" s="1079"/>
      <c r="BM131" s="1079"/>
      <c r="BN131" s="1079"/>
      <c r="BO131" s="1079"/>
      <c r="BP131" s="1079"/>
      <c r="BQ131" s="1079"/>
      <c r="BR131" s="1079"/>
      <c r="BS131" s="1079"/>
      <c r="BT131" s="1079"/>
      <c r="BU131" s="1079"/>
      <c r="BV131" s="1079"/>
      <c r="BW131" s="1079"/>
      <c r="BX131" s="1079"/>
      <c r="BY131" s="1079"/>
      <c r="BZ131" s="1079"/>
      <c r="CA131" s="1079"/>
      <c r="CB131" s="1079"/>
      <c r="CC131" s="1079"/>
      <c r="CD131" s="1079"/>
      <c r="CE131" s="1079"/>
      <c r="CF131" s="1079"/>
      <c r="CG131" s="1079"/>
      <c r="CH131" s="1079"/>
      <c r="CI131" s="1079"/>
      <c r="CJ131" s="1079"/>
      <c r="CK131" s="1079"/>
      <c r="CL131" s="1079"/>
      <c r="CM131" s="1079"/>
      <c r="CN131" s="1079"/>
      <c r="CO131" s="1079"/>
      <c r="CP131" s="1079"/>
      <c r="CQ131" s="1079"/>
      <c r="CR131" s="1079"/>
      <c r="CS131" s="1079"/>
      <c r="CT131" s="1079"/>
      <c r="CU131" s="1079"/>
      <c r="CV131" s="1079"/>
      <c r="CW131" s="1079"/>
      <c r="CX131" s="1079"/>
      <c r="CY131" s="1079"/>
      <c r="CZ131" s="1079"/>
      <c r="DA131" s="1079"/>
      <c r="DB131" s="1079"/>
      <c r="DC131" s="1079"/>
      <c r="DD131" s="1079"/>
      <c r="DE131" s="1079"/>
      <c r="DF131" s="1079"/>
      <c r="DG131" s="1079"/>
      <c r="DH131" s="1079"/>
      <c r="DI131" s="1079"/>
      <c r="DJ131" s="1079"/>
      <c r="DK131" s="1079"/>
      <c r="DL131" s="1079"/>
      <c r="DM131" s="1079"/>
      <c r="DN131" s="1079"/>
      <c r="DO131" s="1079"/>
      <c r="DP131" s="1079"/>
      <c r="DQ131" s="1079"/>
      <c r="DR131" s="1079"/>
      <c r="DS131" s="1079"/>
      <c r="DT131" s="1079"/>
      <c r="DU131" s="1079"/>
      <c r="DV131" s="1079"/>
      <c r="DW131" s="1079"/>
      <c r="DX131" s="1079"/>
      <c r="DY131" s="1079"/>
      <c r="DZ131" s="1079"/>
      <c r="EA131" s="1079"/>
      <c r="EB131" s="1079"/>
      <c r="EC131" s="1079"/>
      <c r="ED131" s="1079"/>
      <c r="EE131" s="1079"/>
      <c r="EF131" s="1079"/>
      <c r="EG131" s="1079"/>
      <c r="EH131" s="1079"/>
      <c r="EI131" s="1079"/>
      <c r="EJ131" s="1079"/>
      <c r="EK131" s="1079"/>
      <c r="EL131" s="1079"/>
      <c r="EM131" s="1079"/>
      <c r="EN131" s="1079"/>
      <c r="EO131" s="1079"/>
      <c r="EP131" s="1079"/>
      <c r="EQ131" s="1079"/>
      <c r="ER131" s="1079"/>
      <c r="ES131" s="1079"/>
      <c r="ET131" s="1079"/>
      <c r="EU131" s="1079"/>
      <c r="EV131" s="1079"/>
      <c r="EW131" s="1079"/>
      <c r="EX131" s="1079"/>
      <c r="EY131" s="1079"/>
      <c r="EZ131" s="1079"/>
      <c r="FA131" s="1079"/>
      <c r="FB131" s="1079"/>
      <c r="FC131" s="1079"/>
      <c r="FD131" s="1079"/>
      <c r="FE131" s="1079"/>
      <c r="FF131" s="1079"/>
      <c r="FG131" s="1079"/>
      <c r="FH131" s="1079"/>
      <c r="FI131" s="1079"/>
      <c r="FJ131" s="1079"/>
      <c r="FK131" s="1079"/>
      <c r="FL131" s="1079"/>
      <c r="FM131" s="1079"/>
      <c r="FN131" s="1079"/>
      <c r="FO131" s="1079"/>
      <c r="FP131" s="1079"/>
      <c r="FQ131" s="1079"/>
      <c r="FR131" s="1079"/>
      <c r="FS131" s="1079"/>
      <c r="FT131" s="1079"/>
      <c r="FU131" s="1079"/>
      <c r="FV131" s="1079"/>
      <c r="FW131" s="1079"/>
      <c r="FX131" s="1079"/>
      <c r="FY131" s="1079"/>
      <c r="FZ131" s="1079"/>
      <c r="GA131" s="1079"/>
      <c r="GB131" s="1079"/>
      <c r="GC131" s="1079"/>
      <c r="GD131" s="1079"/>
      <c r="GE131" s="1079"/>
      <c r="GF131" s="1079"/>
      <c r="GG131" s="1079"/>
      <c r="GH131" s="1079"/>
      <c r="GI131" s="1079"/>
      <c r="GJ131" s="1079"/>
      <c r="GK131" s="1079"/>
      <c r="GL131" s="1079"/>
      <c r="GM131" s="1079"/>
      <c r="GN131" s="1079"/>
      <c r="GO131" s="1079"/>
      <c r="GP131" s="1079"/>
      <c r="GQ131" s="1079"/>
      <c r="GR131" s="1079"/>
      <c r="GS131" s="1079"/>
      <c r="GT131" s="1079"/>
      <c r="GU131" s="1079"/>
      <c r="GV131" s="1079"/>
      <c r="GW131" s="1079"/>
      <c r="GX131" s="1079"/>
      <c r="GY131" s="1079"/>
      <c r="GZ131" s="1079"/>
      <c r="HA131" s="1079"/>
      <c r="HB131" s="1079"/>
      <c r="HC131" s="1079"/>
      <c r="HD131" s="1079"/>
      <c r="HE131" s="1079"/>
      <c r="HF131" s="1079"/>
      <c r="HG131" s="1079"/>
      <c r="HH131" s="1079"/>
      <c r="HI131" s="1079"/>
      <c r="HJ131" s="1079"/>
      <c r="HK131" s="1079"/>
      <c r="HL131" s="1079"/>
      <c r="HM131" s="1079"/>
      <c r="HN131" s="1079"/>
      <c r="HO131" s="1079"/>
      <c r="HP131" s="1079"/>
      <c r="HQ131" s="1079"/>
      <c r="HR131" s="1079"/>
      <c r="HS131" s="1079"/>
      <c r="HT131" s="1079"/>
      <c r="HU131" s="1079"/>
      <c r="HV131" s="1079"/>
      <c r="HW131" s="1079"/>
      <c r="HX131" s="1079"/>
      <c r="HY131" s="1079"/>
      <c r="HZ131" s="1079"/>
      <c r="IA131" s="1079"/>
      <c r="IB131" s="1079"/>
      <c r="IC131" s="1079"/>
      <c r="ID131" s="1079"/>
      <c r="IE131" s="1079"/>
      <c r="IF131" s="1079"/>
      <c r="IG131" s="1079"/>
      <c r="IH131" s="1079"/>
      <c r="II131" s="1079"/>
      <c r="IJ131" s="1079"/>
      <c r="IK131" s="1079"/>
      <c r="IL131" s="1079"/>
      <c r="IM131" s="1079"/>
      <c r="IN131" s="1079"/>
      <c r="IO131" s="1079"/>
      <c r="IP131" s="1079"/>
      <c r="IQ131" s="1079"/>
      <c r="IR131" s="1079"/>
    </row>
    <row r="132" spans="2:252" s="851" customFormat="1" ht="33.75">
      <c r="B132" s="1091" t="s">
        <v>737</v>
      </c>
      <c r="C132" s="1092" t="s">
        <v>738</v>
      </c>
      <c r="D132" s="1093" t="s">
        <v>739</v>
      </c>
      <c r="E132" s="1094" t="s">
        <v>740</v>
      </c>
      <c r="F132" s="1093" t="s">
        <v>741</v>
      </c>
      <c r="G132" s="1092" t="s">
        <v>742</v>
      </c>
      <c r="H132" s="1092" t="s">
        <v>743</v>
      </c>
      <c r="I132" s="1093" t="s">
        <v>744</v>
      </c>
      <c r="J132" s="1093" t="s">
        <v>745</v>
      </c>
      <c r="K132" s="1094" t="s">
        <v>746</v>
      </c>
      <c r="L132" s="1094" t="s">
        <v>747</v>
      </c>
      <c r="M132" s="1094" t="str">
        <f>R22</f>
        <v>IV per share (Current)</v>
      </c>
      <c r="N132" s="1094" t="str">
        <f>E14</f>
        <v>Expected share price return</v>
      </c>
      <c r="O132" s="1095" t="str">
        <f>"IV ("&amp;C19&amp;" Months) / IV Current"</f>
        <v>IV (12 Months) / IV Current</v>
      </c>
      <c r="IR132" s="1089"/>
    </row>
    <row r="133" spans="2:252" s="851" customFormat="1" ht="11.25" customHeight="1">
      <c r="B133" s="1096" t="s">
        <v>748</v>
      </c>
      <c r="C133" s="1097"/>
      <c r="D133" s="1097">
        <f ca="1">IF(F8,N133,M133)</f>
        <v>28.40495379034941</v>
      </c>
      <c r="E133" s="1098"/>
      <c r="F133" s="1097"/>
      <c r="G133" s="1097"/>
      <c r="H133" s="1097"/>
      <c r="I133" s="1097"/>
      <c r="J133" s="1097"/>
      <c r="K133" s="1098"/>
      <c r="L133" s="1098"/>
      <c r="M133" s="1098">
        <f>(C20*(C81/$C$12))/$C$16</f>
        <v>27.052336943189914</v>
      </c>
      <c r="N133" s="1098">
        <f ca="1">M133*$O$133</f>
        <v>28.40495379034941</v>
      </c>
      <c r="O133" s="1098">
        <f ca="1">I13/V22</f>
        <v>1.05</v>
      </c>
      <c r="IR133" s="1089"/>
    </row>
    <row r="134" spans="2:252" s="851" customFormat="1" ht="11.25" customHeight="1">
      <c r="B134" s="1096" t="s">
        <v>749</v>
      </c>
      <c r="C134" s="1097">
        <f ca="1">D133-H134</f>
        <v>28.40495379034941</v>
      </c>
      <c r="D134" s="1097"/>
      <c r="E134" s="1098">
        <f ca="1">IF(F8,N134,M134)</f>
        <v>11.074897165585311</v>
      </c>
      <c r="F134" s="1097"/>
      <c r="G134" s="1097">
        <f ca="1">MAX(E134,0)</f>
        <v>11.074897165585311</v>
      </c>
      <c r="H134" s="1097">
        <f ca="1">ABS(MIN(E134,0))</f>
        <v>0</v>
      </c>
      <c r="I134" s="1097">
        <f ca="1">ABS(E134)</f>
        <v>11.074897165585311</v>
      </c>
      <c r="J134" s="1097"/>
      <c r="K134" s="1098" t="str">
        <f>IF(D134&gt;0,D134,"")</f>
        <v/>
      </c>
      <c r="L134" s="1098" t="str">
        <f>IF(D134&lt;0,ABS(D134),"")</f>
        <v/>
      </c>
      <c r="M134" s="1098">
        <f ca="1">C20*(((OFFSET(C81,,I20-1)/C12)/C16)/(1+C12)^I20)-M133+C20*(SUM(OFFSET(C85,0,0,,I20))/C16)</f>
        <v>10.547521110081249</v>
      </c>
      <c r="N134" s="1098">
        <f ca="1">M134*$O$133</f>
        <v>11.074897165585311</v>
      </c>
      <c r="O134" s="1098"/>
    </row>
    <row r="135" spans="2:252" s="851" customFormat="1" ht="11.25" customHeight="1">
      <c r="B135" s="1096" t="s">
        <v>750</v>
      </c>
      <c r="C135" s="1097">
        <f ca="1">(C134+G134)-H135</f>
        <v>39.479850955934722</v>
      </c>
      <c r="D135" s="1097"/>
      <c r="E135" s="1098">
        <f ca="1">IF(F8,N135,M135)</f>
        <v>68.068734452901083</v>
      </c>
      <c r="F135" s="1097"/>
      <c r="G135" s="1097">
        <f ca="1">MAX(E135,0)</f>
        <v>68.068734452901083</v>
      </c>
      <c r="H135" s="1097">
        <f ca="1">ABS(MIN(E135,0))</f>
        <v>0</v>
      </c>
      <c r="I135" s="1097">
        <f ca="1">ABS(E135)</f>
        <v>68.068734452901083</v>
      </c>
      <c r="J135" s="1097"/>
      <c r="K135" s="1098" t="str">
        <f>IF(D135&gt;0,D135,"")</f>
        <v/>
      </c>
      <c r="L135" s="1098" t="str">
        <f>IF(D135&lt;0,ABS(D135),"")</f>
        <v/>
      </c>
      <c r="M135" s="1098">
        <f ca="1">V22-M133-M134</f>
        <v>64.827366145620076</v>
      </c>
      <c r="N135" s="1098">
        <f ca="1">M135*$O$133</f>
        <v>68.068734452901083</v>
      </c>
      <c r="O135" s="1098"/>
    </row>
    <row r="136" spans="2:252" s="851" customFormat="1" ht="11.25" customHeight="1">
      <c r="B136" s="1096" t="s">
        <v>751</v>
      </c>
      <c r="C136" s="1097"/>
      <c r="D136" s="1097">
        <f ca="1">SUM(C135,G135)</f>
        <v>107.54858540883581</v>
      </c>
      <c r="E136" s="1098"/>
      <c r="F136" s="1097"/>
      <c r="G136" s="1097"/>
      <c r="H136" s="1097"/>
      <c r="I136" s="1097"/>
      <c r="J136" s="1097"/>
      <c r="K136" s="1098">
        <f ca="1">IF(D136&gt;0,D136,"")</f>
        <v>107.54858540883581</v>
      </c>
      <c r="L136" s="1098" t="str">
        <f ca="1">IF(D136&lt;0,ABS(D136),"")</f>
        <v/>
      </c>
      <c r="M136" s="1079"/>
      <c r="N136" s="1079"/>
      <c r="O136" s="1079"/>
    </row>
    <row r="137" spans="2:252" s="851" customFormat="1" ht="11.25" customHeight="1">
      <c r="B137" s="1096" t="s">
        <v>752</v>
      </c>
      <c r="C137" s="1097">
        <f ca="1">IF(D136&gt;=D138,D138,D136)</f>
        <v>48.98</v>
      </c>
      <c r="D137" s="1097"/>
      <c r="E137" s="1098"/>
      <c r="F137" s="1097">
        <f ca="1">IF(D136&gt;=D138,ABS(D136-D138),0)</f>
        <v>58.568585408835808</v>
      </c>
      <c r="G137" s="1097"/>
      <c r="H137" s="1097"/>
      <c r="I137" s="1097"/>
      <c r="J137" s="1097">
        <f ca="1">IF(D136&lt;D138,ABS(D136-D138),0)</f>
        <v>0</v>
      </c>
      <c r="K137" s="1098"/>
      <c r="L137" s="1098"/>
      <c r="M137" s="1079"/>
      <c r="N137" s="1079"/>
      <c r="O137" s="1079"/>
    </row>
    <row r="138" spans="2:252" s="851" customFormat="1" ht="11.25" customHeight="1">
      <c r="B138" s="1096" t="s">
        <v>753</v>
      </c>
      <c r="C138" s="1097"/>
      <c r="D138" s="1097">
        <f>rng_IVStockPrice</f>
        <v>48.98</v>
      </c>
      <c r="E138" s="1098"/>
      <c r="F138" s="1097"/>
      <c r="G138" s="1097"/>
      <c r="H138" s="1097"/>
      <c r="I138" s="1097"/>
      <c r="J138" s="1097"/>
      <c r="K138" s="1098">
        <f>IF(D138&gt;0,D138,"")</f>
        <v>48.98</v>
      </c>
      <c r="L138" s="1098" t="str">
        <f>IF(D138&lt;0,ABS(D138),"")</f>
        <v/>
      </c>
      <c r="M138" s="1079"/>
      <c r="N138" s="1079"/>
      <c r="O138" s="1079"/>
    </row>
    <row r="139" spans="2:252" s="851" customFormat="1">
      <c r="B139" s="1099" t="s">
        <v>754</v>
      </c>
      <c r="C139" s="1100">
        <f ca="1">MAX(C67:DE67,C83:DE83,C128,C127)</f>
        <v>0.92730982077115554</v>
      </c>
      <c r="D139" s="1101">
        <f ca="1">CEILING(C139,0.05)</f>
        <v>0.95000000000000007</v>
      </c>
      <c r="E139" s="1101">
        <f ca="1">CEILING((D139*1%)+D139,0.05)</f>
        <v>1</v>
      </c>
      <c r="F139" s="1079"/>
      <c r="G139" s="1079"/>
      <c r="H139" s="1079"/>
      <c r="I139" s="1079"/>
      <c r="J139" s="1079"/>
      <c r="K139" s="1079"/>
      <c r="L139" s="1079"/>
      <c r="M139" s="1079"/>
      <c r="N139" s="1079"/>
      <c r="O139" s="1079"/>
    </row>
    <row r="140" spans="2:252" s="851" customFormat="1">
      <c r="C140" s="1102" t="s">
        <v>755</v>
      </c>
      <c r="D140" s="1102" t="s">
        <v>756</v>
      </c>
      <c r="E140" s="1070"/>
    </row>
    <row r="141" spans="2:252" s="851" customFormat="1">
      <c r="E141" s="1070"/>
    </row>
    <row r="142" spans="2:252" s="851" customFormat="1">
      <c r="B142" s="1099" t="s">
        <v>757</v>
      </c>
      <c r="C142" s="1103">
        <f>rngForecastYears</f>
        <v>4</v>
      </c>
      <c r="D142" s="1104">
        <f ca="1">E139</f>
        <v>1</v>
      </c>
      <c r="E142" s="1070"/>
    </row>
    <row r="143" spans="2:252" s="851" customFormat="1">
      <c r="B143" s="1099"/>
      <c r="C143" s="1105">
        <f>C142</f>
        <v>4</v>
      </c>
      <c r="D143" s="1104">
        <v>0</v>
      </c>
      <c r="E143" s="1070"/>
    </row>
    <row r="144" spans="2:252" s="851" customFormat="1">
      <c r="B144" s="1099" t="s">
        <v>758</v>
      </c>
      <c r="C144" s="1105">
        <f>rngInput4</f>
        <v>20</v>
      </c>
      <c r="D144" s="1104">
        <f ca="1">E139</f>
        <v>1</v>
      </c>
      <c r="E144" s="1070"/>
    </row>
    <row r="145" spans="1:24" s="851" customFormat="1">
      <c r="B145" s="1099"/>
      <c r="C145" s="1106">
        <f>C144</f>
        <v>20</v>
      </c>
      <c r="D145" s="1104">
        <v>0</v>
      </c>
      <c r="E145" s="1070"/>
      <c r="F145" s="851">
        <f ca="1">IF(F8,N133,M133)</f>
        <v>28.40495379034941</v>
      </c>
    </row>
    <row r="146" spans="1:24" s="1107" customFormat="1">
      <c r="E146" s="1108"/>
      <c r="W146" s="1109"/>
      <c r="X146" s="1110"/>
    </row>
    <row r="147" spans="1:24" s="1107" customFormat="1">
      <c r="B147" s="1111"/>
      <c r="E147" s="1108"/>
      <c r="W147" s="1109"/>
      <c r="X147" s="1110"/>
    </row>
    <row r="148" spans="1:24" s="1112" customFormat="1" ht="14.25" customHeight="1">
      <c r="B148" s="1113" t="s">
        <v>691</v>
      </c>
      <c r="C148" s="1107"/>
      <c r="D148" s="1107"/>
      <c r="E148" s="1108"/>
      <c r="F148" s="1107"/>
      <c r="G148" s="1107"/>
      <c r="H148" s="1107"/>
      <c r="I148" s="1107"/>
      <c r="J148" s="1107"/>
      <c r="K148" s="1107"/>
      <c r="L148" s="1107"/>
      <c r="W148" s="1109"/>
      <c r="X148" s="1110"/>
    </row>
    <row r="149" spans="1:24" s="1112" customFormat="1" ht="12.75" customHeight="1">
      <c r="B149" s="1114"/>
      <c r="C149" s="1107"/>
      <c r="D149" s="1107"/>
      <c r="E149" s="1108"/>
      <c r="F149" s="1107"/>
      <c r="G149" s="1107"/>
      <c r="H149" s="1107"/>
      <c r="I149" s="1107"/>
      <c r="J149" s="1107"/>
      <c r="K149" s="1107"/>
      <c r="L149" s="1107"/>
      <c r="W149" s="1109"/>
      <c r="X149" s="1110"/>
    </row>
    <row r="150" spans="1:24" s="1112" customFormat="1" ht="12.75" customHeight="1">
      <c r="B150" s="1115" t="s">
        <v>759</v>
      </c>
      <c r="C150" s="1116">
        <f>rngInput7</f>
        <v>0.5</v>
      </c>
      <c r="D150" s="1107"/>
      <c r="E150" s="1108"/>
      <c r="F150" s="1107"/>
      <c r="G150" s="1107"/>
      <c r="H150" s="1107"/>
      <c r="I150" s="1107"/>
      <c r="J150" s="1107"/>
      <c r="K150" s="1107"/>
      <c r="L150" s="1107"/>
      <c r="W150" s="1109"/>
      <c r="X150" s="1110"/>
    </row>
    <row r="151" spans="1:24" s="1112" customFormat="1" ht="12.75" customHeight="1">
      <c r="B151" s="1115" t="s">
        <v>760</v>
      </c>
      <c r="C151" s="1116">
        <f>rngInput6</f>
        <v>0.05</v>
      </c>
      <c r="D151" s="1107"/>
      <c r="E151" s="1108"/>
      <c r="F151" s="1107"/>
      <c r="G151" s="1107"/>
      <c r="H151" s="1107"/>
      <c r="I151" s="1107"/>
      <c r="J151" s="1107"/>
      <c r="K151" s="1107"/>
      <c r="L151" s="1107"/>
      <c r="W151" s="1109"/>
      <c r="X151" s="1110"/>
    </row>
    <row r="152" spans="1:24" s="1112" customFormat="1" ht="12.75" customHeight="1">
      <c r="B152" s="1114"/>
      <c r="C152" s="1107"/>
      <c r="D152" s="1107"/>
      <c r="E152" s="1108"/>
      <c r="F152" s="1107"/>
      <c r="G152" s="1107"/>
      <c r="H152" s="1107"/>
      <c r="I152" s="1107"/>
      <c r="J152" s="1107"/>
      <c r="K152" s="1107"/>
      <c r="L152" s="1107"/>
      <c r="W152" s="1109"/>
      <c r="X152" s="1110"/>
    </row>
    <row r="153" spans="1:24" s="1112" customFormat="1" ht="12.75" customHeight="1">
      <c r="A153" s="1107" t="s">
        <v>761</v>
      </c>
      <c r="B153" s="1117" t="s">
        <v>762</v>
      </c>
      <c r="C153" s="1107"/>
      <c r="D153" s="1107"/>
      <c r="E153" s="1108"/>
      <c r="F153" s="1107"/>
      <c r="G153" s="1107"/>
      <c r="H153" s="1107"/>
      <c r="I153" s="1107"/>
      <c r="J153" s="1107"/>
      <c r="K153" s="1107"/>
      <c r="L153" s="1107"/>
      <c r="W153" s="1109"/>
      <c r="X153" s="1110"/>
    </row>
    <row r="154" spans="1:24" s="1112" customFormat="1" ht="12.75" customHeight="1">
      <c r="B154" s="1114"/>
      <c r="C154" s="1107"/>
      <c r="D154" s="1107"/>
      <c r="E154" s="1108"/>
      <c r="F154" s="1107"/>
      <c r="G154" s="1107"/>
      <c r="H154" s="1107"/>
      <c r="I154" s="1107"/>
      <c r="J154" s="1107"/>
      <c r="K154" s="1107"/>
      <c r="L154" s="1107"/>
      <c r="W154" s="1109"/>
      <c r="X154" s="1110"/>
    </row>
    <row r="155" spans="1:24" s="1112" customFormat="1" ht="12.75" customHeight="1">
      <c r="B155" s="1109" t="s">
        <v>763</v>
      </c>
      <c r="C155" s="1107"/>
      <c r="D155" s="1107"/>
      <c r="E155" s="1118">
        <f>(IF(OR(ISERROR(0),0="NA"),0,0)*$V$23)</f>
        <v>0</v>
      </c>
      <c r="F155" s="1107"/>
      <c r="G155" s="1107"/>
      <c r="H155" s="1107"/>
      <c r="I155" s="1107"/>
      <c r="J155" s="1107"/>
      <c r="K155" s="1107"/>
      <c r="L155" s="1107"/>
      <c r="W155" s="871" t="s">
        <v>764</v>
      </c>
      <c r="X155" s="1119"/>
    </row>
    <row r="156" spans="1:24" s="1112" customFormat="1" ht="12.75" customHeight="1">
      <c r="B156" s="1114"/>
      <c r="C156" s="1107"/>
      <c r="D156" s="1107"/>
      <c r="E156" s="1108"/>
      <c r="F156" s="1107"/>
      <c r="G156" s="1107"/>
      <c r="H156" s="1107"/>
      <c r="I156" s="1107"/>
      <c r="J156" s="1107"/>
      <c r="K156" s="1107"/>
      <c r="L156" s="1107"/>
      <c r="W156" s="1120"/>
      <c r="X156" s="1119"/>
    </row>
    <row r="157" spans="1:24" s="1112" customFormat="1" ht="12.75" customHeight="1">
      <c r="B157" s="1109" t="s">
        <v>765</v>
      </c>
      <c r="C157" s="1121">
        <f t="shared" ref="C157:V157" si="194">(IF(C$98="E",IF($E$155=0,0,IF(C$158=0,C$159,C$158)),0))*$V$23</f>
        <v>0</v>
      </c>
      <c r="D157" s="1121">
        <f t="shared" si="194"/>
        <v>0</v>
      </c>
      <c r="E157" s="1121">
        <f t="shared" si="194"/>
        <v>0</v>
      </c>
      <c r="F157" s="1121">
        <f t="shared" si="194"/>
        <v>0</v>
      </c>
      <c r="G157" s="1121">
        <f t="shared" si="194"/>
        <v>0</v>
      </c>
      <c r="H157" s="1121">
        <f t="shared" si="194"/>
        <v>0</v>
      </c>
      <c r="I157" s="1121">
        <f t="shared" si="194"/>
        <v>0</v>
      </c>
      <c r="J157" s="1121">
        <f t="shared" si="194"/>
        <v>0</v>
      </c>
      <c r="K157" s="1121">
        <f t="shared" si="194"/>
        <v>0</v>
      </c>
      <c r="L157" s="1121">
        <f t="shared" si="194"/>
        <v>0</v>
      </c>
      <c r="M157" s="1121">
        <f t="shared" si="194"/>
        <v>0</v>
      </c>
      <c r="N157" s="1121">
        <f t="shared" si="194"/>
        <v>0</v>
      </c>
      <c r="O157" s="1121">
        <f t="shared" si="194"/>
        <v>0</v>
      </c>
      <c r="P157" s="1121">
        <f t="shared" si="194"/>
        <v>0</v>
      </c>
      <c r="Q157" s="1121">
        <f t="shared" si="194"/>
        <v>0</v>
      </c>
      <c r="R157" s="1121">
        <f t="shared" si="194"/>
        <v>0</v>
      </c>
      <c r="S157" s="1121">
        <f t="shared" si="194"/>
        <v>0</v>
      </c>
      <c r="T157" s="1121">
        <f t="shared" si="194"/>
        <v>0</v>
      </c>
      <c r="U157" s="1121">
        <f t="shared" si="194"/>
        <v>0</v>
      </c>
      <c r="V157" s="1121">
        <f t="shared" si="194"/>
        <v>0</v>
      </c>
      <c r="W157" s="871"/>
      <c r="X157" s="1119"/>
    </row>
    <row r="158" spans="1:24" s="1112" customFormat="1" ht="12.75" hidden="1" customHeight="1">
      <c r="B158" s="1109"/>
      <c r="C158" s="1121">
        <f t="shared" ref="C158:V158" si="195">IF(OR(ISERROR(0),0="NA"),0,0)</f>
        <v>0</v>
      </c>
      <c r="D158" s="1121">
        <f t="shared" si="195"/>
        <v>0</v>
      </c>
      <c r="E158" s="1121">
        <f t="shared" si="195"/>
        <v>0</v>
      </c>
      <c r="F158" s="1121">
        <f t="shared" si="195"/>
        <v>0</v>
      </c>
      <c r="G158" s="1121">
        <f t="shared" si="195"/>
        <v>0</v>
      </c>
      <c r="H158" s="1121">
        <f t="shared" si="195"/>
        <v>0</v>
      </c>
      <c r="I158" s="1121">
        <f t="shared" si="195"/>
        <v>0</v>
      </c>
      <c r="J158" s="1121">
        <f t="shared" si="195"/>
        <v>0</v>
      </c>
      <c r="K158" s="1121">
        <f t="shared" si="195"/>
        <v>0</v>
      </c>
      <c r="L158" s="1121">
        <f t="shared" si="195"/>
        <v>0</v>
      </c>
      <c r="M158" s="1121">
        <f t="shared" si="195"/>
        <v>0</v>
      </c>
      <c r="N158" s="1121">
        <f t="shared" si="195"/>
        <v>0</v>
      </c>
      <c r="O158" s="1121">
        <f t="shared" si="195"/>
        <v>0</v>
      </c>
      <c r="P158" s="1121">
        <f t="shared" si="195"/>
        <v>0</v>
      </c>
      <c r="Q158" s="1121">
        <f t="shared" si="195"/>
        <v>0</v>
      </c>
      <c r="R158" s="1121">
        <f t="shared" si="195"/>
        <v>0</v>
      </c>
      <c r="S158" s="1121">
        <f t="shared" si="195"/>
        <v>0</v>
      </c>
      <c r="T158" s="1121">
        <f t="shared" si="195"/>
        <v>0</v>
      </c>
      <c r="U158" s="1121">
        <f t="shared" si="195"/>
        <v>0</v>
      </c>
      <c r="V158" s="1121">
        <f t="shared" si="195"/>
        <v>0</v>
      </c>
      <c r="W158" s="871" t="s">
        <v>766</v>
      </c>
      <c r="X158" s="1119"/>
    </row>
    <row r="159" spans="1:24" s="1112" customFormat="1" ht="12.75" hidden="1" customHeight="1">
      <c r="B159" s="1109"/>
      <c r="C159" s="1121">
        <f t="shared" ref="C159:V159" si="196">SUM(C160:C162)</f>
        <v>0</v>
      </c>
      <c r="D159" s="1121">
        <f t="shared" si="196"/>
        <v>0</v>
      </c>
      <c r="E159" s="1121">
        <f t="shared" si="196"/>
        <v>0</v>
      </c>
      <c r="F159" s="1121">
        <f t="shared" si="196"/>
        <v>0</v>
      </c>
      <c r="G159" s="1121">
        <f t="shared" si="196"/>
        <v>0</v>
      </c>
      <c r="H159" s="1121">
        <f t="shared" si="196"/>
        <v>0</v>
      </c>
      <c r="I159" s="1121">
        <f t="shared" si="196"/>
        <v>0</v>
      </c>
      <c r="J159" s="1121">
        <f t="shared" si="196"/>
        <v>0</v>
      </c>
      <c r="K159" s="1121">
        <f t="shared" si="196"/>
        <v>0</v>
      </c>
      <c r="L159" s="1121">
        <f t="shared" si="196"/>
        <v>0</v>
      </c>
      <c r="M159" s="1121">
        <f t="shared" si="196"/>
        <v>0</v>
      </c>
      <c r="N159" s="1121">
        <f t="shared" si="196"/>
        <v>0</v>
      </c>
      <c r="O159" s="1121">
        <f t="shared" si="196"/>
        <v>0</v>
      </c>
      <c r="P159" s="1121">
        <f t="shared" si="196"/>
        <v>0</v>
      </c>
      <c r="Q159" s="1121">
        <f t="shared" si="196"/>
        <v>0</v>
      </c>
      <c r="R159" s="1121">
        <f t="shared" si="196"/>
        <v>0</v>
      </c>
      <c r="S159" s="1121">
        <f t="shared" si="196"/>
        <v>0</v>
      </c>
      <c r="T159" s="1121">
        <f t="shared" si="196"/>
        <v>0</v>
      </c>
      <c r="U159" s="1121">
        <f t="shared" si="196"/>
        <v>0</v>
      </c>
      <c r="V159" s="1121">
        <f t="shared" si="196"/>
        <v>0</v>
      </c>
      <c r="W159" s="871"/>
      <c r="X159" s="1119"/>
    </row>
    <row r="160" spans="1:24" s="1112" customFormat="1" ht="12.75" hidden="1" customHeight="1">
      <c r="B160" s="1109"/>
      <c r="C160" s="1122">
        <f t="shared" ref="C160:L162" si="197">IF(OR(ISERROR(0),0="NA"),0,0)</f>
        <v>0</v>
      </c>
      <c r="D160" s="1122">
        <f t="shared" si="197"/>
        <v>0</v>
      </c>
      <c r="E160" s="1122">
        <f t="shared" si="197"/>
        <v>0</v>
      </c>
      <c r="F160" s="1122">
        <f t="shared" si="197"/>
        <v>0</v>
      </c>
      <c r="G160" s="1122">
        <f t="shared" si="197"/>
        <v>0</v>
      </c>
      <c r="H160" s="1122">
        <f t="shared" si="197"/>
        <v>0</v>
      </c>
      <c r="I160" s="1122">
        <f t="shared" si="197"/>
        <v>0</v>
      </c>
      <c r="J160" s="1122">
        <f t="shared" si="197"/>
        <v>0</v>
      </c>
      <c r="K160" s="1122">
        <f t="shared" si="197"/>
        <v>0</v>
      </c>
      <c r="L160" s="1122">
        <f t="shared" si="197"/>
        <v>0</v>
      </c>
      <c r="M160" s="1122">
        <f t="shared" ref="M160:V162" si="198">IF(OR(ISERROR(0),0="NA"),0,0)</f>
        <v>0</v>
      </c>
      <c r="N160" s="1122">
        <f t="shared" si="198"/>
        <v>0</v>
      </c>
      <c r="O160" s="1122">
        <f t="shared" si="198"/>
        <v>0</v>
      </c>
      <c r="P160" s="1122">
        <f t="shared" si="198"/>
        <v>0</v>
      </c>
      <c r="Q160" s="1122">
        <f t="shared" si="198"/>
        <v>0</v>
      </c>
      <c r="R160" s="1122">
        <f t="shared" si="198"/>
        <v>0</v>
      </c>
      <c r="S160" s="1122">
        <f t="shared" si="198"/>
        <v>0</v>
      </c>
      <c r="T160" s="1122">
        <f t="shared" si="198"/>
        <v>0</v>
      </c>
      <c r="U160" s="1122">
        <f t="shared" si="198"/>
        <v>0</v>
      </c>
      <c r="V160" s="1122">
        <f t="shared" si="198"/>
        <v>0</v>
      </c>
      <c r="W160" s="1123" t="s">
        <v>767</v>
      </c>
      <c r="X160" s="1119"/>
    </row>
    <row r="161" spans="2:28" s="1112" customFormat="1" ht="12.75" hidden="1" customHeight="1">
      <c r="B161" s="1109"/>
      <c r="C161" s="1122">
        <f t="shared" si="197"/>
        <v>0</v>
      </c>
      <c r="D161" s="1122">
        <f t="shared" si="197"/>
        <v>0</v>
      </c>
      <c r="E161" s="1122">
        <f t="shared" si="197"/>
        <v>0</v>
      </c>
      <c r="F161" s="1122">
        <f t="shared" si="197"/>
        <v>0</v>
      </c>
      <c r="G161" s="1122">
        <f t="shared" si="197"/>
        <v>0</v>
      </c>
      <c r="H161" s="1122">
        <f t="shared" si="197"/>
        <v>0</v>
      </c>
      <c r="I161" s="1122">
        <f t="shared" si="197"/>
        <v>0</v>
      </c>
      <c r="J161" s="1122">
        <f t="shared" si="197"/>
        <v>0</v>
      </c>
      <c r="K161" s="1122">
        <f t="shared" si="197"/>
        <v>0</v>
      </c>
      <c r="L161" s="1122">
        <f t="shared" si="197"/>
        <v>0</v>
      </c>
      <c r="M161" s="1122">
        <f t="shared" si="198"/>
        <v>0</v>
      </c>
      <c r="N161" s="1122">
        <f t="shared" si="198"/>
        <v>0</v>
      </c>
      <c r="O161" s="1122">
        <f t="shared" si="198"/>
        <v>0</v>
      </c>
      <c r="P161" s="1122">
        <f t="shared" si="198"/>
        <v>0</v>
      </c>
      <c r="Q161" s="1122">
        <f t="shared" si="198"/>
        <v>0</v>
      </c>
      <c r="R161" s="1122">
        <f t="shared" si="198"/>
        <v>0</v>
      </c>
      <c r="S161" s="1122">
        <f t="shared" si="198"/>
        <v>0</v>
      </c>
      <c r="T161" s="1122">
        <f t="shared" si="198"/>
        <v>0</v>
      </c>
      <c r="U161" s="1122">
        <f t="shared" si="198"/>
        <v>0</v>
      </c>
      <c r="V161" s="1122">
        <f t="shared" si="198"/>
        <v>0</v>
      </c>
      <c r="W161" s="1123" t="s">
        <v>768</v>
      </c>
      <c r="X161" s="1119"/>
    </row>
    <row r="162" spans="2:28" s="1112" customFormat="1" ht="12.75" hidden="1" customHeight="1">
      <c r="B162" s="1109"/>
      <c r="C162" s="1122">
        <f t="shared" si="197"/>
        <v>0</v>
      </c>
      <c r="D162" s="1122">
        <f t="shared" si="197"/>
        <v>0</v>
      </c>
      <c r="E162" s="1122">
        <f t="shared" si="197"/>
        <v>0</v>
      </c>
      <c r="F162" s="1122">
        <f t="shared" si="197"/>
        <v>0</v>
      </c>
      <c r="G162" s="1122">
        <f t="shared" si="197"/>
        <v>0</v>
      </c>
      <c r="H162" s="1122">
        <f t="shared" si="197"/>
        <v>0</v>
      </c>
      <c r="I162" s="1122">
        <f t="shared" si="197"/>
        <v>0</v>
      </c>
      <c r="J162" s="1122">
        <f t="shared" si="197"/>
        <v>0</v>
      </c>
      <c r="K162" s="1122">
        <f t="shared" si="197"/>
        <v>0</v>
      </c>
      <c r="L162" s="1122">
        <f t="shared" si="197"/>
        <v>0</v>
      </c>
      <c r="M162" s="1122">
        <f t="shared" si="198"/>
        <v>0</v>
      </c>
      <c r="N162" s="1122">
        <f t="shared" si="198"/>
        <v>0</v>
      </c>
      <c r="O162" s="1122">
        <f t="shared" si="198"/>
        <v>0</v>
      </c>
      <c r="P162" s="1122">
        <f t="shared" si="198"/>
        <v>0</v>
      </c>
      <c r="Q162" s="1122">
        <f t="shared" si="198"/>
        <v>0</v>
      </c>
      <c r="R162" s="1122">
        <f t="shared" si="198"/>
        <v>0</v>
      </c>
      <c r="S162" s="1122">
        <f t="shared" si="198"/>
        <v>0</v>
      </c>
      <c r="T162" s="1122">
        <f t="shared" si="198"/>
        <v>0</v>
      </c>
      <c r="U162" s="1122">
        <f t="shared" si="198"/>
        <v>0</v>
      </c>
      <c r="V162" s="1122">
        <f t="shared" si="198"/>
        <v>0</v>
      </c>
      <c r="W162" s="1123" t="s">
        <v>769</v>
      </c>
      <c r="X162" s="1119"/>
    </row>
    <row r="163" spans="2:28" s="1112" customFormat="1" ht="12.75" customHeight="1">
      <c r="B163" s="1114"/>
      <c r="C163" s="1121"/>
      <c r="D163" s="1124"/>
      <c r="E163" s="1125"/>
      <c r="F163" s="1124"/>
      <c r="G163" s="1124"/>
      <c r="H163" s="1124"/>
      <c r="I163" s="1124"/>
      <c r="J163" s="1124"/>
      <c r="K163" s="1124"/>
      <c r="L163" s="1124"/>
      <c r="M163" s="1126"/>
      <c r="N163" s="1126"/>
      <c r="O163" s="1126"/>
      <c r="P163" s="1126"/>
      <c r="Q163" s="1126"/>
      <c r="R163" s="1126"/>
      <c r="S163" s="1126"/>
      <c r="T163" s="1126"/>
      <c r="U163" s="1126"/>
      <c r="V163" s="1126"/>
      <c r="W163" s="1120"/>
      <c r="X163" s="1119"/>
    </row>
    <row r="164" spans="2:28" s="1112" customFormat="1" ht="12.75" customHeight="1">
      <c r="B164" s="1109" t="s">
        <v>770</v>
      </c>
      <c r="C164" s="1121">
        <f t="shared" ref="C164:V164" si="199">(IF(C$98="E",IF($E$155=0,0,IF(C$165=0,C$166,C$165)),0))*$V$23</f>
        <v>0</v>
      </c>
      <c r="D164" s="1121">
        <f t="shared" si="199"/>
        <v>0</v>
      </c>
      <c r="E164" s="1121">
        <f t="shared" si="199"/>
        <v>0</v>
      </c>
      <c r="F164" s="1121">
        <f t="shared" si="199"/>
        <v>0</v>
      </c>
      <c r="G164" s="1121">
        <f t="shared" si="199"/>
        <v>0</v>
      </c>
      <c r="H164" s="1121">
        <f t="shared" si="199"/>
        <v>0</v>
      </c>
      <c r="I164" s="1121">
        <f t="shared" si="199"/>
        <v>0</v>
      </c>
      <c r="J164" s="1121">
        <f t="shared" si="199"/>
        <v>0</v>
      </c>
      <c r="K164" s="1121">
        <f t="shared" si="199"/>
        <v>0</v>
      </c>
      <c r="L164" s="1121">
        <f t="shared" si="199"/>
        <v>0</v>
      </c>
      <c r="M164" s="1121">
        <f t="shared" si="199"/>
        <v>0</v>
      </c>
      <c r="N164" s="1121">
        <f t="shared" si="199"/>
        <v>0</v>
      </c>
      <c r="O164" s="1121">
        <f t="shared" si="199"/>
        <v>0</v>
      </c>
      <c r="P164" s="1121">
        <f t="shared" si="199"/>
        <v>0</v>
      </c>
      <c r="Q164" s="1121">
        <f t="shared" si="199"/>
        <v>0</v>
      </c>
      <c r="R164" s="1121">
        <f t="shared" si="199"/>
        <v>0</v>
      </c>
      <c r="S164" s="1121">
        <f t="shared" si="199"/>
        <v>0</v>
      </c>
      <c r="T164" s="1121">
        <f t="shared" si="199"/>
        <v>0</v>
      </c>
      <c r="U164" s="1121">
        <f t="shared" si="199"/>
        <v>0</v>
      </c>
      <c r="V164" s="1121">
        <f t="shared" si="199"/>
        <v>0</v>
      </c>
      <c r="W164" s="1120"/>
      <c r="X164" s="1119"/>
    </row>
    <row r="165" spans="2:28" s="1112" customFormat="1" ht="12.75" hidden="1" customHeight="1">
      <c r="B165" s="1109"/>
      <c r="C165" s="1122">
        <f t="shared" ref="C165:V165" si="200">IF(OR(ISERROR(0),0="NA"),0,0)</f>
        <v>0</v>
      </c>
      <c r="D165" s="1122">
        <f t="shared" si="200"/>
        <v>0</v>
      </c>
      <c r="E165" s="1122">
        <f t="shared" si="200"/>
        <v>0</v>
      </c>
      <c r="F165" s="1122">
        <f t="shared" si="200"/>
        <v>0</v>
      </c>
      <c r="G165" s="1122">
        <f t="shared" si="200"/>
        <v>0</v>
      </c>
      <c r="H165" s="1122">
        <f t="shared" si="200"/>
        <v>0</v>
      </c>
      <c r="I165" s="1122">
        <f t="shared" si="200"/>
        <v>0</v>
      </c>
      <c r="J165" s="1122">
        <f t="shared" si="200"/>
        <v>0</v>
      </c>
      <c r="K165" s="1122">
        <f t="shared" si="200"/>
        <v>0</v>
      </c>
      <c r="L165" s="1122">
        <f t="shared" si="200"/>
        <v>0</v>
      </c>
      <c r="M165" s="1122">
        <f t="shared" si="200"/>
        <v>0</v>
      </c>
      <c r="N165" s="1122">
        <f t="shared" si="200"/>
        <v>0</v>
      </c>
      <c r="O165" s="1122">
        <f t="shared" si="200"/>
        <v>0</v>
      </c>
      <c r="P165" s="1122">
        <f t="shared" si="200"/>
        <v>0</v>
      </c>
      <c r="Q165" s="1122">
        <f t="shared" si="200"/>
        <v>0</v>
      </c>
      <c r="R165" s="1122">
        <f t="shared" si="200"/>
        <v>0</v>
      </c>
      <c r="S165" s="1122">
        <f t="shared" si="200"/>
        <v>0</v>
      </c>
      <c r="T165" s="1122">
        <f t="shared" si="200"/>
        <v>0</v>
      </c>
      <c r="U165" s="1122">
        <f t="shared" si="200"/>
        <v>0</v>
      </c>
      <c r="V165" s="1122">
        <f t="shared" si="200"/>
        <v>0</v>
      </c>
      <c r="W165" s="871" t="s">
        <v>771</v>
      </c>
      <c r="X165" s="1119"/>
    </row>
    <row r="166" spans="2:28" s="1112" customFormat="1" ht="12.75" hidden="1" customHeight="1">
      <c r="B166" s="1109"/>
      <c r="C166" s="1122">
        <f t="shared" ref="C166:V166" si="201">C$167*(1-C$168)</f>
        <v>0</v>
      </c>
      <c r="D166" s="1122">
        <f t="shared" si="201"/>
        <v>0</v>
      </c>
      <c r="E166" s="1122">
        <f t="shared" si="201"/>
        <v>0</v>
      </c>
      <c r="F166" s="1122">
        <f t="shared" si="201"/>
        <v>0</v>
      </c>
      <c r="G166" s="1122">
        <f t="shared" si="201"/>
        <v>0</v>
      </c>
      <c r="H166" s="1122">
        <f t="shared" si="201"/>
        <v>0</v>
      </c>
      <c r="I166" s="1122">
        <f t="shared" si="201"/>
        <v>0</v>
      </c>
      <c r="J166" s="1122">
        <f t="shared" si="201"/>
        <v>0</v>
      </c>
      <c r="K166" s="1122">
        <f t="shared" si="201"/>
        <v>0</v>
      </c>
      <c r="L166" s="1122">
        <f t="shared" si="201"/>
        <v>0</v>
      </c>
      <c r="M166" s="1122">
        <f t="shared" si="201"/>
        <v>0</v>
      </c>
      <c r="N166" s="1122">
        <f t="shared" si="201"/>
        <v>0</v>
      </c>
      <c r="O166" s="1122">
        <f t="shared" si="201"/>
        <v>0</v>
      </c>
      <c r="P166" s="1122">
        <f t="shared" si="201"/>
        <v>0</v>
      </c>
      <c r="Q166" s="1122">
        <f t="shared" si="201"/>
        <v>0</v>
      </c>
      <c r="R166" s="1122">
        <f t="shared" si="201"/>
        <v>0</v>
      </c>
      <c r="S166" s="1122">
        <f t="shared" si="201"/>
        <v>0</v>
      </c>
      <c r="T166" s="1122">
        <f t="shared" si="201"/>
        <v>0</v>
      </c>
      <c r="U166" s="1122">
        <f t="shared" si="201"/>
        <v>0</v>
      </c>
      <c r="V166" s="1122">
        <f t="shared" si="201"/>
        <v>0</v>
      </c>
      <c r="W166" s="1120"/>
      <c r="X166" s="1119"/>
    </row>
    <row r="167" spans="2:28" s="1112" customFormat="1" ht="12.75" hidden="1" customHeight="1">
      <c r="B167" s="1109"/>
      <c r="C167" s="1122">
        <f t="shared" ref="C167:V167" si="202">IF(OR(ISERROR(0),0="NA"),0,0)</f>
        <v>0</v>
      </c>
      <c r="D167" s="1122">
        <f t="shared" si="202"/>
        <v>0</v>
      </c>
      <c r="E167" s="1122">
        <f t="shared" si="202"/>
        <v>0</v>
      </c>
      <c r="F167" s="1122">
        <f t="shared" si="202"/>
        <v>0</v>
      </c>
      <c r="G167" s="1122">
        <f t="shared" si="202"/>
        <v>0</v>
      </c>
      <c r="H167" s="1122">
        <f t="shared" si="202"/>
        <v>0</v>
      </c>
      <c r="I167" s="1122">
        <f t="shared" si="202"/>
        <v>0</v>
      </c>
      <c r="J167" s="1122">
        <f t="shared" si="202"/>
        <v>0</v>
      </c>
      <c r="K167" s="1122">
        <f t="shared" si="202"/>
        <v>0</v>
      </c>
      <c r="L167" s="1122">
        <f t="shared" si="202"/>
        <v>0</v>
      </c>
      <c r="M167" s="1122">
        <f t="shared" si="202"/>
        <v>0</v>
      </c>
      <c r="N167" s="1122">
        <f t="shared" si="202"/>
        <v>0</v>
      </c>
      <c r="O167" s="1122">
        <f t="shared" si="202"/>
        <v>0</v>
      </c>
      <c r="P167" s="1122">
        <f t="shared" si="202"/>
        <v>0</v>
      </c>
      <c r="Q167" s="1122">
        <f t="shared" si="202"/>
        <v>0</v>
      </c>
      <c r="R167" s="1122">
        <f t="shared" si="202"/>
        <v>0</v>
      </c>
      <c r="S167" s="1122">
        <f t="shared" si="202"/>
        <v>0</v>
      </c>
      <c r="T167" s="1122">
        <f t="shared" si="202"/>
        <v>0</v>
      </c>
      <c r="U167" s="1122">
        <f t="shared" si="202"/>
        <v>0</v>
      </c>
      <c r="V167" s="1122">
        <f t="shared" si="202"/>
        <v>0</v>
      </c>
      <c r="W167" s="871" t="s">
        <v>772</v>
      </c>
      <c r="X167" s="1119"/>
    </row>
    <row r="168" spans="2:28" s="1112" customFormat="1" ht="12.75" hidden="1" customHeight="1">
      <c r="B168" s="1127"/>
      <c r="C168" s="1128">
        <f>IF(OR(ISERROR(sumry!BR83),sumry!BR83="NA"),0,sumry!BR83)</f>
        <v>0.39</v>
      </c>
      <c r="D168" s="1128">
        <f>IF(OR(ISERROR(sumry!BS83),sumry!BS83="NA"),0,sumry!BS83)</f>
        <v>0.39</v>
      </c>
      <c r="E168" s="1128">
        <f>IF(OR(ISERROR(sumry!BT83),sumry!BT83="NA"),0,sumry!BT83)</f>
        <v>0.39</v>
      </c>
      <c r="F168" s="1128">
        <f>IF(OR(ISERROR(sumry!BU83),sumry!BU83="NA"),0,sumry!BU83)</f>
        <v>0.39</v>
      </c>
      <c r="G168" s="1128">
        <f t="shared" ref="G168:V168" si="203">IF(OR(ISERROR(0),0="NA"),0,0)</f>
        <v>0</v>
      </c>
      <c r="H168" s="1128">
        <f t="shared" si="203"/>
        <v>0</v>
      </c>
      <c r="I168" s="1128">
        <f t="shared" si="203"/>
        <v>0</v>
      </c>
      <c r="J168" s="1128">
        <f t="shared" si="203"/>
        <v>0</v>
      </c>
      <c r="K168" s="1128">
        <f t="shared" si="203"/>
        <v>0</v>
      </c>
      <c r="L168" s="1128">
        <f t="shared" si="203"/>
        <v>0</v>
      </c>
      <c r="M168" s="1128">
        <f t="shared" si="203"/>
        <v>0</v>
      </c>
      <c r="N168" s="1128">
        <f t="shared" si="203"/>
        <v>0</v>
      </c>
      <c r="O168" s="1128">
        <f t="shared" si="203"/>
        <v>0</v>
      </c>
      <c r="P168" s="1128">
        <f t="shared" si="203"/>
        <v>0</v>
      </c>
      <c r="Q168" s="1128">
        <f t="shared" si="203"/>
        <v>0</v>
      </c>
      <c r="R168" s="1128">
        <f t="shared" si="203"/>
        <v>0</v>
      </c>
      <c r="S168" s="1128">
        <f t="shared" si="203"/>
        <v>0</v>
      </c>
      <c r="T168" s="1128">
        <f t="shared" si="203"/>
        <v>0</v>
      </c>
      <c r="U168" s="1128">
        <f t="shared" si="203"/>
        <v>0</v>
      </c>
      <c r="V168" s="1128">
        <f t="shared" si="203"/>
        <v>0</v>
      </c>
      <c r="W168" s="1129" t="s">
        <v>773</v>
      </c>
      <c r="X168" s="1013"/>
      <c r="Y168" s="1130"/>
      <c r="Z168" s="1130"/>
      <c r="AA168" s="1130"/>
      <c r="AB168" s="1130"/>
    </row>
    <row r="169" spans="2:28" s="1112" customFormat="1" ht="12.75" customHeight="1">
      <c r="B169" s="1127"/>
      <c r="C169" s="1128"/>
      <c r="D169" s="1128"/>
      <c r="E169" s="1128"/>
      <c r="F169" s="1128"/>
      <c r="G169" s="1128"/>
      <c r="H169" s="1128"/>
      <c r="I169" s="1128"/>
      <c r="J169" s="1128"/>
      <c r="K169" s="1128"/>
      <c r="L169" s="1128"/>
      <c r="M169" s="1128"/>
      <c r="N169" s="1128"/>
      <c r="O169" s="1128"/>
      <c r="P169" s="1128"/>
      <c r="Q169" s="1128"/>
      <c r="R169" s="1128"/>
      <c r="S169" s="1128"/>
      <c r="T169" s="1128"/>
      <c r="U169" s="1128"/>
      <c r="V169" s="1128"/>
      <c r="W169" s="1129"/>
      <c r="X169" s="1013"/>
      <c r="Y169" s="1130"/>
      <c r="Z169" s="1130"/>
      <c r="AA169" s="1130"/>
      <c r="AB169" s="1130"/>
    </row>
    <row r="170" spans="2:28" s="1112" customFormat="1" ht="12.75" customHeight="1">
      <c r="B170" s="1131" t="s">
        <v>774</v>
      </c>
      <c r="C170" s="1124"/>
      <c r="D170" s="1121"/>
      <c r="E170" s="1132"/>
      <c r="F170" s="1121"/>
      <c r="G170" s="1121"/>
      <c r="H170" s="1121"/>
      <c r="I170" s="1121"/>
      <c r="J170" s="1121"/>
      <c r="K170" s="1121"/>
      <c r="L170" s="1121"/>
      <c r="M170" s="1122"/>
      <c r="N170" s="1122"/>
      <c r="O170" s="1122"/>
      <c r="P170" s="1122"/>
      <c r="Q170" s="1122"/>
      <c r="R170" s="1122"/>
      <c r="S170" s="1122"/>
      <c r="T170" s="1122"/>
      <c r="U170" s="1122"/>
      <c r="V170" s="1122"/>
      <c r="W170" s="1133"/>
      <c r="X170" s="1013"/>
      <c r="Y170" s="1130"/>
      <c r="Z170" s="1130"/>
      <c r="AA170" s="1130"/>
      <c r="AB170" s="1130"/>
    </row>
    <row r="171" spans="2:28" s="1112" customFormat="1" ht="12.75" customHeight="1">
      <c r="B171" s="1134" t="s">
        <v>775</v>
      </c>
      <c r="C171" s="1124">
        <f t="shared" ref="C171:V171" si="204">IF(ISERROR((C$157)/(1+1/$C$150)),0,((C$157)/(1+1/$C$150)))</f>
        <v>0</v>
      </c>
      <c r="D171" s="1124">
        <f t="shared" si="204"/>
        <v>0</v>
      </c>
      <c r="E171" s="1124">
        <f t="shared" si="204"/>
        <v>0</v>
      </c>
      <c r="F171" s="1124">
        <f t="shared" si="204"/>
        <v>0</v>
      </c>
      <c r="G171" s="1124">
        <f t="shared" si="204"/>
        <v>0</v>
      </c>
      <c r="H171" s="1124">
        <f t="shared" si="204"/>
        <v>0</v>
      </c>
      <c r="I171" s="1124">
        <f t="shared" si="204"/>
        <v>0</v>
      </c>
      <c r="J171" s="1124">
        <f t="shared" si="204"/>
        <v>0</v>
      </c>
      <c r="K171" s="1124">
        <f t="shared" si="204"/>
        <v>0</v>
      </c>
      <c r="L171" s="1124">
        <f t="shared" si="204"/>
        <v>0</v>
      </c>
      <c r="M171" s="1124">
        <f t="shared" si="204"/>
        <v>0</v>
      </c>
      <c r="N171" s="1124">
        <f t="shared" si="204"/>
        <v>0</v>
      </c>
      <c r="O171" s="1124">
        <f t="shared" si="204"/>
        <v>0</v>
      </c>
      <c r="P171" s="1124">
        <f t="shared" si="204"/>
        <v>0</v>
      </c>
      <c r="Q171" s="1124">
        <f t="shared" si="204"/>
        <v>0</v>
      </c>
      <c r="R171" s="1124">
        <f t="shared" si="204"/>
        <v>0</v>
      </c>
      <c r="S171" s="1124">
        <f t="shared" si="204"/>
        <v>0</v>
      </c>
      <c r="T171" s="1124">
        <f t="shared" si="204"/>
        <v>0</v>
      </c>
      <c r="U171" s="1124">
        <f t="shared" si="204"/>
        <v>0</v>
      </c>
      <c r="V171" s="1124">
        <f t="shared" si="204"/>
        <v>0</v>
      </c>
      <c r="W171" s="1123"/>
      <c r="X171" s="1013"/>
      <c r="Y171" s="1130"/>
      <c r="Z171" s="1130"/>
      <c r="AA171" s="1130"/>
      <c r="AB171" s="1130"/>
    </row>
    <row r="172" spans="2:28" s="1112" customFormat="1" ht="12.75" customHeight="1">
      <c r="B172" s="1134" t="s">
        <v>776</v>
      </c>
      <c r="C172" s="1121">
        <f t="shared" ref="C172:V172" si="205">IF(ISERROR(C$157-C$171),0,(C$157-C$171))</f>
        <v>0</v>
      </c>
      <c r="D172" s="1121">
        <f t="shared" si="205"/>
        <v>0</v>
      </c>
      <c r="E172" s="1121">
        <f t="shared" si="205"/>
        <v>0</v>
      </c>
      <c r="F172" s="1121">
        <f t="shared" si="205"/>
        <v>0</v>
      </c>
      <c r="G172" s="1121">
        <f t="shared" si="205"/>
        <v>0</v>
      </c>
      <c r="H172" s="1121">
        <f t="shared" si="205"/>
        <v>0</v>
      </c>
      <c r="I172" s="1121">
        <f t="shared" si="205"/>
        <v>0</v>
      </c>
      <c r="J172" s="1121">
        <f t="shared" si="205"/>
        <v>0</v>
      </c>
      <c r="K172" s="1121">
        <f t="shared" si="205"/>
        <v>0</v>
      </c>
      <c r="L172" s="1121">
        <f t="shared" si="205"/>
        <v>0</v>
      </c>
      <c r="M172" s="1121">
        <f t="shared" si="205"/>
        <v>0</v>
      </c>
      <c r="N172" s="1121">
        <f t="shared" si="205"/>
        <v>0</v>
      </c>
      <c r="O172" s="1121">
        <f t="shared" si="205"/>
        <v>0</v>
      </c>
      <c r="P172" s="1121">
        <f t="shared" si="205"/>
        <v>0</v>
      </c>
      <c r="Q172" s="1121">
        <f t="shared" si="205"/>
        <v>0</v>
      </c>
      <c r="R172" s="1121">
        <f t="shared" si="205"/>
        <v>0</v>
      </c>
      <c r="S172" s="1121">
        <f t="shared" si="205"/>
        <v>0</v>
      </c>
      <c r="T172" s="1121">
        <f t="shared" si="205"/>
        <v>0</v>
      </c>
      <c r="U172" s="1121">
        <f t="shared" si="205"/>
        <v>0</v>
      </c>
      <c r="V172" s="1121">
        <f t="shared" si="205"/>
        <v>0</v>
      </c>
      <c r="W172" s="1123"/>
      <c r="X172" s="1013"/>
      <c r="Y172" s="1130"/>
      <c r="Z172" s="1130"/>
      <c r="AA172" s="1130"/>
      <c r="AB172" s="1130"/>
    </row>
    <row r="173" spans="2:28" s="1112" customFormat="1" ht="12.75" customHeight="1">
      <c r="B173" s="1127"/>
      <c r="C173" s="1121"/>
      <c r="D173" s="1121"/>
      <c r="E173" s="1132"/>
      <c r="F173" s="1121"/>
      <c r="G173" s="1121"/>
      <c r="H173" s="1121"/>
      <c r="I173" s="1121"/>
      <c r="J173" s="1121"/>
      <c r="K173" s="1121"/>
      <c r="L173" s="1121"/>
      <c r="M173" s="1122"/>
      <c r="N173" s="1122"/>
      <c r="O173" s="1122"/>
      <c r="P173" s="1122"/>
      <c r="Q173" s="1122"/>
      <c r="R173" s="1122"/>
      <c r="S173" s="1122"/>
      <c r="T173" s="1122"/>
      <c r="U173" s="1122"/>
      <c r="V173" s="1122"/>
      <c r="W173" s="1123"/>
      <c r="X173" s="1013"/>
      <c r="Y173" s="1130"/>
      <c r="Z173" s="1130"/>
      <c r="AA173" s="1130"/>
      <c r="AB173" s="1130"/>
    </row>
    <row r="174" spans="2:28" s="1112" customFormat="1" ht="12.75" customHeight="1">
      <c r="B174" s="1131" t="s">
        <v>777</v>
      </c>
      <c r="C174" s="1121"/>
      <c r="D174" s="1121"/>
      <c r="E174" s="1132"/>
      <c r="F174" s="1121"/>
      <c r="G174" s="1121"/>
      <c r="H174" s="1121"/>
      <c r="I174" s="1121"/>
      <c r="J174" s="1121"/>
      <c r="K174" s="1121"/>
      <c r="L174" s="1121"/>
      <c r="M174" s="1122"/>
      <c r="N174" s="1122"/>
      <c r="O174" s="1122"/>
      <c r="P174" s="1122"/>
      <c r="Q174" s="1122"/>
      <c r="R174" s="1122"/>
      <c r="S174" s="1122"/>
      <c r="T174" s="1122"/>
      <c r="U174" s="1122"/>
      <c r="V174" s="1122"/>
      <c r="W174" s="1133"/>
      <c r="X174" s="1013"/>
      <c r="Y174" s="1130"/>
      <c r="Z174" s="1130"/>
      <c r="AA174" s="1130"/>
      <c r="AB174" s="1130"/>
    </row>
    <row r="175" spans="2:28" s="1112" customFormat="1" ht="12.75" customHeight="1">
      <c r="B175" s="1109" t="s">
        <v>778</v>
      </c>
      <c r="C175" s="1121">
        <f t="shared" ref="C175:V175" si="206">IF(ISERROR(C$171*$C$151),0,(C$171*$C$151))</f>
        <v>0</v>
      </c>
      <c r="D175" s="1121">
        <f t="shared" si="206"/>
        <v>0</v>
      </c>
      <c r="E175" s="1121">
        <f t="shared" si="206"/>
        <v>0</v>
      </c>
      <c r="F175" s="1121">
        <f t="shared" si="206"/>
        <v>0</v>
      </c>
      <c r="G175" s="1121">
        <f t="shared" si="206"/>
        <v>0</v>
      </c>
      <c r="H175" s="1121">
        <f t="shared" si="206"/>
        <v>0</v>
      </c>
      <c r="I175" s="1121">
        <f t="shared" si="206"/>
        <v>0</v>
      </c>
      <c r="J175" s="1121">
        <f t="shared" si="206"/>
        <v>0</v>
      </c>
      <c r="K175" s="1121">
        <f t="shared" si="206"/>
        <v>0</v>
      </c>
      <c r="L175" s="1121">
        <f t="shared" si="206"/>
        <v>0</v>
      </c>
      <c r="M175" s="1121">
        <f t="shared" si="206"/>
        <v>0</v>
      </c>
      <c r="N175" s="1121">
        <f t="shared" si="206"/>
        <v>0</v>
      </c>
      <c r="O175" s="1121">
        <f t="shared" si="206"/>
        <v>0</v>
      </c>
      <c r="P175" s="1121">
        <f t="shared" si="206"/>
        <v>0</v>
      </c>
      <c r="Q175" s="1121">
        <f t="shared" si="206"/>
        <v>0</v>
      </c>
      <c r="R175" s="1121">
        <f t="shared" si="206"/>
        <v>0</v>
      </c>
      <c r="S175" s="1121">
        <f t="shared" si="206"/>
        <v>0</v>
      </c>
      <c r="T175" s="1121">
        <f t="shared" si="206"/>
        <v>0</v>
      </c>
      <c r="U175" s="1121">
        <f t="shared" si="206"/>
        <v>0</v>
      </c>
      <c r="V175" s="1121">
        <f t="shared" si="206"/>
        <v>0</v>
      </c>
      <c r="W175" s="1120"/>
      <c r="X175" s="1119"/>
    </row>
    <row r="176" spans="2:28" s="1112" customFormat="1" ht="12.75" customHeight="1">
      <c r="B176" s="1114"/>
      <c r="C176" s="1121"/>
      <c r="D176" s="1124"/>
      <c r="E176" s="1125"/>
      <c r="F176" s="1124"/>
      <c r="G176" s="1124"/>
      <c r="H176" s="1124"/>
      <c r="I176" s="1124"/>
      <c r="J176" s="1124"/>
      <c r="K176" s="1124"/>
      <c r="L176" s="1124"/>
      <c r="M176" s="1126"/>
      <c r="N176" s="1126"/>
      <c r="O176" s="1126"/>
      <c r="P176" s="1126"/>
      <c r="Q176" s="1126"/>
      <c r="R176" s="1126"/>
      <c r="S176" s="1126"/>
      <c r="T176" s="1126"/>
      <c r="U176" s="1126"/>
      <c r="V176" s="1126"/>
      <c r="W176" s="1120"/>
      <c r="X176" s="1119"/>
    </row>
    <row r="177" spans="1:28" s="1112" customFormat="1" ht="12.75" customHeight="1">
      <c r="B177" s="1134" t="s">
        <v>779</v>
      </c>
      <c r="C177" s="1121"/>
      <c r="D177" s="1121"/>
      <c r="E177" s="1132"/>
      <c r="F177" s="1121"/>
      <c r="G177" s="1121"/>
      <c r="H177" s="1121"/>
      <c r="I177" s="1121"/>
      <c r="J177" s="1121"/>
      <c r="K177" s="1121"/>
      <c r="L177" s="1121"/>
      <c r="M177" s="1122"/>
      <c r="N177" s="1122"/>
      <c r="O177" s="1122"/>
      <c r="P177" s="1122"/>
      <c r="Q177" s="1122"/>
      <c r="R177" s="1122"/>
      <c r="S177" s="1122"/>
      <c r="T177" s="1122"/>
      <c r="U177" s="1122"/>
      <c r="V177" s="1122"/>
      <c r="W177" s="1133"/>
      <c r="X177" s="1013"/>
      <c r="Y177" s="1130"/>
      <c r="Z177" s="1130"/>
      <c r="AA177" s="1130"/>
      <c r="AB177" s="1130"/>
    </row>
    <row r="178" spans="1:28" s="1112" customFormat="1" ht="12.75" customHeight="1">
      <c r="B178" s="1131" t="s">
        <v>780</v>
      </c>
      <c r="C178" s="1121">
        <f>(IF(C$98="E",IF($E$155=0,0,IF(C$179=0,C$180,C$179)),0))*$V$23</f>
        <v>0</v>
      </c>
      <c r="D178" s="1121"/>
      <c r="E178" s="1132"/>
      <c r="F178" s="1121"/>
      <c r="G178" s="1121"/>
      <c r="H178" s="1121"/>
      <c r="I178" s="1121"/>
      <c r="J178" s="1121"/>
      <c r="K178" s="1121"/>
      <c r="L178" s="1121"/>
      <c r="M178" s="1122"/>
      <c r="N178" s="1122"/>
      <c r="O178" s="1122"/>
      <c r="P178" s="1122"/>
      <c r="Q178" s="1122"/>
      <c r="R178" s="1122"/>
      <c r="S178" s="1122"/>
      <c r="T178" s="1122"/>
      <c r="U178" s="1122"/>
      <c r="V178" s="1122"/>
      <c r="W178" s="1133"/>
      <c r="X178" s="1013"/>
      <c r="Y178" s="1130"/>
      <c r="Z178" s="1130"/>
      <c r="AA178" s="1130"/>
      <c r="AB178" s="1130"/>
    </row>
    <row r="179" spans="1:28" s="1112" customFormat="1" ht="12.75" hidden="1" customHeight="1">
      <c r="B179" s="1131"/>
      <c r="C179" s="1121">
        <f>IF(OR(ISERROR(0),0="NA"),0,0)</f>
        <v>0</v>
      </c>
      <c r="D179" s="1121"/>
      <c r="E179" s="1132"/>
      <c r="F179" s="1121"/>
      <c r="G179" s="1121"/>
      <c r="H179" s="1121"/>
      <c r="I179" s="1121"/>
      <c r="J179" s="1121"/>
      <c r="K179" s="1121"/>
      <c r="L179" s="1121"/>
      <c r="M179" s="1122"/>
      <c r="N179" s="1122"/>
      <c r="O179" s="1122"/>
      <c r="P179" s="1122"/>
      <c r="Q179" s="1122"/>
      <c r="R179" s="1122"/>
      <c r="S179" s="1122"/>
      <c r="T179" s="1122"/>
      <c r="U179" s="1122"/>
      <c r="V179" s="1122"/>
      <c r="W179" s="1133"/>
      <c r="X179" s="1013"/>
      <c r="Y179" s="1130"/>
      <c r="Z179" s="1130"/>
      <c r="AA179" s="1130"/>
      <c r="AB179" s="1130"/>
    </row>
    <row r="180" spans="1:28" s="1112" customFormat="1" ht="12.75" hidden="1" customHeight="1">
      <c r="B180" s="1131"/>
      <c r="C180" s="1121">
        <f>SUM(C181:C183)</f>
        <v>0</v>
      </c>
      <c r="D180" s="1121"/>
      <c r="E180" s="1132"/>
      <c r="F180" s="1121"/>
      <c r="G180" s="1121"/>
      <c r="H180" s="1121"/>
      <c r="I180" s="1121"/>
      <c r="J180" s="1121"/>
      <c r="K180" s="1121"/>
      <c r="L180" s="1121"/>
      <c r="M180" s="1122"/>
      <c r="N180" s="1122"/>
      <c r="O180" s="1122"/>
      <c r="P180" s="1122"/>
      <c r="Q180" s="1122"/>
      <c r="R180" s="1122"/>
      <c r="S180" s="1122"/>
      <c r="T180" s="1122"/>
      <c r="U180" s="1122"/>
      <c r="V180" s="1122"/>
      <c r="W180" s="1133"/>
      <c r="X180" s="1013"/>
      <c r="Y180" s="1130"/>
      <c r="Z180" s="1130"/>
      <c r="AA180" s="1130"/>
      <c r="AB180" s="1130"/>
    </row>
    <row r="181" spans="1:28" s="1112" customFormat="1" ht="12.75" hidden="1" customHeight="1">
      <c r="B181" s="1131"/>
      <c r="C181" s="1121">
        <f>IF(OR(ISERROR(0),0="NA"),0,0)</f>
        <v>0</v>
      </c>
      <c r="D181" s="1121"/>
      <c r="E181" s="1132"/>
      <c r="F181" s="1121"/>
      <c r="G181" s="1121"/>
      <c r="H181" s="1121"/>
      <c r="I181" s="1121"/>
      <c r="J181" s="1121"/>
      <c r="K181" s="1121"/>
      <c r="L181" s="1121"/>
      <c r="M181" s="1122"/>
      <c r="N181" s="1122"/>
      <c r="O181" s="1122"/>
      <c r="P181" s="1122"/>
      <c r="Q181" s="1122"/>
      <c r="R181" s="1122"/>
      <c r="S181" s="1122"/>
      <c r="T181" s="1122"/>
      <c r="U181" s="1122"/>
      <c r="V181" s="1122"/>
      <c r="W181" s="1133"/>
      <c r="X181" s="1013"/>
      <c r="Y181" s="1130"/>
      <c r="Z181" s="1130"/>
      <c r="AA181" s="1130"/>
      <c r="AB181" s="1130"/>
    </row>
    <row r="182" spans="1:28" s="1112" customFormat="1" ht="12.75" hidden="1" customHeight="1">
      <c r="B182" s="1131"/>
      <c r="C182" s="1121">
        <f>IF(OR(ISERROR(0),0="NA"),0,0)</f>
        <v>0</v>
      </c>
      <c r="D182" s="1121"/>
      <c r="E182" s="1132"/>
      <c r="F182" s="1121"/>
      <c r="G182" s="1121"/>
      <c r="H182" s="1121"/>
      <c r="I182" s="1121"/>
      <c r="J182" s="1121"/>
      <c r="K182" s="1121"/>
      <c r="L182" s="1121"/>
      <c r="M182" s="1122"/>
      <c r="N182" s="1122"/>
      <c r="O182" s="1122"/>
      <c r="P182" s="1122"/>
      <c r="Q182" s="1122"/>
      <c r="R182" s="1122"/>
      <c r="S182" s="1122"/>
      <c r="T182" s="1122"/>
      <c r="U182" s="1122"/>
      <c r="V182" s="1122"/>
      <c r="W182" s="1133"/>
      <c r="X182" s="1013"/>
      <c r="Y182" s="1130"/>
      <c r="Z182" s="1130"/>
      <c r="AA182" s="1130"/>
      <c r="AB182" s="1130"/>
    </row>
    <row r="183" spans="1:28" s="1112" customFormat="1" ht="12.75" hidden="1" customHeight="1">
      <c r="B183" s="1131"/>
      <c r="C183" s="1121">
        <f>IF(OR(ISERROR(0),0="NA"),0,0)</f>
        <v>0</v>
      </c>
      <c r="D183" s="1121"/>
      <c r="E183" s="1132"/>
      <c r="F183" s="1121"/>
      <c r="G183" s="1121"/>
      <c r="H183" s="1121"/>
      <c r="I183" s="1121"/>
      <c r="J183" s="1121"/>
      <c r="K183" s="1121"/>
      <c r="L183" s="1121"/>
      <c r="M183" s="1122"/>
      <c r="N183" s="1122"/>
      <c r="O183" s="1122"/>
      <c r="P183" s="1122"/>
      <c r="Q183" s="1122"/>
      <c r="R183" s="1122"/>
      <c r="S183" s="1122"/>
      <c r="T183" s="1122"/>
      <c r="U183" s="1122"/>
      <c r="V183" s="1122"/>
      <c r="W183" s="1133"/>
      <c r="X183" s="1013"/>
      <c r="Y183" s="1130"/>
      <c r="Z183" s="1130"/>
      <c r="AA183" s="1130"/>
      <c r="AB183" s="1130"/>
    </row>
    <row r="184" spans="1:28" s="1112" customFormat="1" ht="12.75" customHeight="1">
      <c r="B184" s="1134" t="s">
        <v>781</v>
      </c>
      <c r="C184" s="1124">
        <f>IF(ISERROR((C$178)/(1+1/$C$150)),0,((C$178)/(1+1/$C$150)))</f>
        <v>0</v>
      </c>
      <c r="D184" s="1121"/>
      <c r="E184" s="1132"/>
      <c r="F184" s="1121"/>
      <c r="G184" s="1121"/>
      <c r="H184" s="1121"/>
      <c r="I184" s="1121"/>
      <c r="J184" s="1121"/>
      <c r="K184" s="1121"/>
      <c r="L184" s="1121"/>
      <c r="M184" s="1122"/>
      <c r="N184" s="1122"/>
      <c r="O184" s="1122"/>
      <c r="P184" s="1122"/>
      <c r="Q184" s="1122"/>
      <c r="R184" s="1122"/>
      <c r="S184" s="1122"/>
      <c r="T184" s="1122"/>
      <c r="U184" s="1122"/>
      <c r="V184" s="1122"/>
      <c r="W184" s="1133"/>
      <c r="X184" s="1013"/>
      <c r="Y184" s="1130"/>
      <c r="Z184" s="1130"/>
      <c r="AA184" s="1130"/>
      <c r="AB184" s="1130"/>
    </row>
    <row r="185" spans="1:28" s="1112" customFormat="1" ht="12.75" customHeight="1">
      <c r="B185" s="1131" t="s">
        <v>782</v>
      </c>
      <c r="C185" s="1121">
        <f>IF(ISERROR(C$178-C$184),0,(C$178-C$184))</f>
        <v>0</v>
      </c>
      <c r="D185" s="1121"/>
      <c r="E185" s="1132"/>
      <c r="F185" s="1121"/>
      <c r="G185" s="1121"/>
      <c r="H185" s="1121"/>
      <c r="I185" s="1121"/>
      <c r="J185" s="1121"/>
      <c r="K185" s="1121"/>
      <c r="L185" s="1121"/>
      <c r="M185" s="1122"/>
      <c r="N185" s="1122"/>
      <c r="O185" s="1122"/>
      <c r="P185" s="1122"/>
      <c r="Q185" s="1122"/>
      <c r="R185" s="1122"/>
      <c r="S185" s="1122"/>
      <c r="T185" s="1122"/>
      <c r="U185" s="1122"/>
      <c r="V185" s="1122"/>
      <c r="W185" s="1133"/>
      <c r="X185" s="1013"/>
      <c r="Y185" s="1130"/>
      <c r="Z185" s="1130"/>
      <c r="AA185" s="1130"/>
      <c r="AB185" s="1130"/>
    </row>
    <row r="186" spans="1:28" s="1112" customFormat="1" ht="12.75" customHeight="1">
      <c r="B186" s="1127"/>
      <c r="C186" s="1121"/>
      <c r="D186" s="1121"/>
      <c r="E186" s="1132"/>
      <c r="F186" s="1121"/>
      <c r="G186" s="1121"/>
      <c r="H186" s="1121"/>
      <c r="I186" s="1121"/>
      <c r="J186" s="1121"/>
      <c r="K186" s="1121"/>
      <c r="L186" s="1121"/>
      <c r="M186" s="1122"/>
      <c r="N186" s="1122"/>
      <c r="O186" s="1122"/>
      <c r="P186" s="1122"/>
      <c r="Q186" s="1122"/>
      <c r="R186" s="1122"/>
      <c r="S186" s="1122"/>
      <c r="T186" s="1122"/>
      <c r="U186" s="1122"/>
      <c r="V186" s="1122"/>
      <c r="W186" s="1133"/>
      <c r="X186" s="1013"/>
      <c r="Y186" s="1130"/>
      <c r="Z186" s="1130"/>
      <c r="AA186" s="1130"/>
      <c r="AB186" s="1130"/>
    </row>
    <row r="187" spans="1:28" s="1112" customFormat="1" ht="12.75" customHeight="1">
      <c r="B187" s="1135"/>
      <c r="C187" s="1136"/>
      <c r="D187" s="1136"/>
      <c r="E187" s="1137"/>
      <c r="F187" s="1136"/>
      <c r="G187" s="1136"/>
      <c r="H187" s="1136"/>
      <c r="I187" s="1136"/>
      <c r="J187" s="1136"/>
      <c r="K187" s="1136"/>
      <c r="L187" s="1136"/>
      <c r="M187" s="1130"/>
      <c r="N187" s="1130"/>
      <c r="O187" s="1130"/>
      <c r="P187" s="1130"/>
      <c r="Q187" s="1130"/>
      <c r="R187" s="1130"/>
      <c r="S187" s="1130"/>
      <c r="T187" s="1130"/>
      <c r="U187" s="1130"/>
      <c r="V187" s="1130"/>
      <c r="W187" s="1133"/>
      <c r="X187" s="1013"/>
      <c r="Y187" s="1130"/>
      <c r="Z187" s="1130"/>
      <c r="AA187" s="1130"/>
      <c r="AB187" s="1130"/>
    </row>
    <row r="188" spans="1:28" s="1112" customFormat="1" ht="12.75" customHeight="1">
      <c r="A188" s="1107" t="s">
        <v>783</v>
      </c>
      <c r="B188" s="1117" t="s">
        <v>784</v>
      </c>
      <c r="C188" s="1107"/>
      <c r="D188" s="1107"/>
      <c r="E188" s="1108"/>
      <c r="F188" s="1107"/>
      <c r="G188" s="1107"/>
      <c r="H188" s="1107"/>
      <c r="I188" s="1107"/>
      <c r="J188" s="1107"/>
      <c r="K188" s="1107"/>
      <c r="L188" s="1107"/>
      <c r="W188" s="1120"/>
      <c r="X188" s="1119"/>
    </row>
    <row r="189" spans="1:28" s="1112" customFormat="1" ht="12.75" customHeight="1">
      <c r="B189" s="1114"/>
      <c r="C189" s="1107"/>
      <c r="D189" s="1107"/>
      <c r="E189" s="1108"/>
      <c r="F189" s="1107"/>
      <c r="G189" s="1107"/>
      <c r="H189" s="1107"/>
      <c r="I189" s="1107"/>
      <c r="J189" s="1107"/>
      <c r="K189" s="1107"/>
      <c r="L189" s="1107"/>
      <c r="W189" s="1120"/>
      <c r="X189" s="1119"/>
    </row>
    <row r="190" spans="1:28" s="1112" customFormat="1" ht="12.75" customHeight="1">
      <c r="B190" s="1109" t="s">
        <v>785</v>
      </c>
      <c r="C190" s="1136"/>
      <c r="D190" s="1136"/>
      <c r="E190" s="1138">
        <f>(IF(OR(ISERROR(0),0="NA"),0,0)*$V$23)</f>
        <v>0</v>
      </c>
      <c r="F190" s="1136"/>
      <c r="G190" s="1136"/>
      <c r="H190" s="1136"/>
      <c r="I190" s="1136"/>
      <c r="J190" s="1136"/>
      <c r="K190" s="1136"/>
      <c r="L190" s="1136"/>
      <c r="M190" s="1130"/>
      <c r="N190" s="1130"/>
      <c r="O190" s="1130"/>
      <c r="P190" s="1130"/>
      <c r="Q190" s="1130"/>
      <c r="R190" s="1130"/>
      <c r="S190" s="1130"/>
      <c r="T190" s="1130"/>
      <c r="U190" s="1130"/>
      <c r="V190" s="1130"/>
      <c r="W190" s="1139" t="s">
        <v>786</v>
      </c>
      <c r="X190" s="1013"/>
      <c r="Y190" s="1130"/>
      <c r="Z190" s="1130"/>
      <c r="AA190" s="1130"/>
      <c r="AB190" s="1130"/>
    </row>
    <row r="191" spans="1:28" s="1112" customFormat="1" ht="12.75" customHeight="1">
      <c r="B191" s="1114"/>
      <c r="C191" s="1136"/>
      <c r="D191" s="1136"/>
      <c r="E191" s="1137"/>
      <c r="F191" s="1136"/>
      <c r="G191" s="1136"/>
      <c r="H191" s="1136"/>
      <c r="I191" s="1136"/>
      <c r="J191" s="1136"/>
      <c r="K191" s="1136"/>
      <c r="L191" s="1136"/>
      <c r="M191" s="1130"/>
      <c r="N191" s="1130"/>
      <c r="O191" s="1130"/>
      <c r="P191" s="1130"/>
      <c r="Q191" s="1130"/>
      <c r="R191" s="1130"/>
      <c r="S191" s="1130"/>
      <c r="T191" s="1130"/>
      <c r="U191" s="1130"/>
      <c r="V191" s="1130"/>
      <c r="W191" s="1133"/>
      <c r="X191" s="1013"/>
      <c r="Y191" s="1130"/>
      <c r="Z191" s="1130"/>
      <c r="AA191" s="1130"/>
      <c r="AB191" s="1130"/>
    </row>
    <row r="192" spans="1:28" s="1112" customFormat="1" ht="12.75" customHeight="1">
      <c r="B192" s="1109" t="s">
        <v>787</v>
      </c>
      <c r="C192" s="1121">
        <f t="shared" ref="C192:V192" si="207">(IF(C$98="E",IF($E$190 =0,0,IF(OR(ISERROR(0),0="NA"),0,0)),0)*$V$23)</f>
        <v>0</v>
      </c>
      <c r="D192" s="1121">
        <f t="shared" si="207"/>
        <v>0</v>
      </c>
      <c r="E192" s="1121">
        <f t="shared" si="207"/>
        <v>0</v>
      </c>
      <c r="F192" s="1121">
        <f t="shared" si="207"/>
        <v>0</v>
      </c>
      <c r="G192" s="1121">
        <f t="shared" si="207"/>
        <v>0</v>
      </c>
      <c r="H192" s="1121">
        <f t="shared" si="207"/>
        <v>0</v>
      </c>
      <c r="I192" s="1121">
        <f t="shared" si="207"/>
        <v>0</v>
      </c>
      <c r="J192" s="1121">
        <f t="shared" si="207"/>
        <v>0</v>
      </c>
      <c r="K192" s="1121">
        <f t="shared" si="207"/>
        <v>0</v>
      </c>
      <c r="L192" s="1121">
        <f t="shared" si="207"/>
        <v>0</v>
      </c>
      <c r="M192" s="1121">
        <f t="shared" si="207"/>
        <v>0</v>
      </c>
      <c r="N192" s="1121">
        <f t="shared" si="207"/>
        <v>0</v>
      </c>
      <c r="O192" s="1121">
        <f t="shared" si="207"/>
        <v>0</v>
      </c>
      <c r="P192" s="1121">
        <f t="shared" si="207"/>
        <v>0</v>
      </c>
      <c r="Q192" s="1121">
        <f t="shared" si="207"/>
        <v>0</v>
      </c>
      <c r="R192" s="1121">
        <f t="shared" si="207"/>
        <v>0</v>
      </c>
      <c r="S192" s="1121">
        <f t="shared" si="207"/>
        <v>0</v>
      </c>
      <c r="T192" s="1121">
        <f t="shared" si="207"/>
        <v>0</v>
      </c>
      <c r="U192" s="1121">
        <f t="shared" si="207"/>
        <v>0</v>
      </c>
      <c r="V192" s="1121">
        <f t="shared" si="207"/>
        <v>0</v>
      </c>
      <c r="W192" s="871" t="s">
        <v>788</v>
      </c>
      <c r="X192" s="1013"/>
      <c r="Y192" s="1130"/>
      <c r="Z192" s="1130"/>
      <c r="AA192" s="1130"/>
      <c r="AB192" s="1130"/>
    </row>
    <row r="193" spans="2:28" s="1112" customFormat="1" ht="12.75" customHeight="1">
      <c r="B193" s="1114"/>
      <c r="C193" s="1121"/>
      <c r="D193" s="1121"/>
      <c r="E193" s="1121"/>
      <c r="F193" s="1121"/>
      <c r="G193" s="1121"/>
      <c r="H193" s="1121"/>
      <c r="I193" s="1121"/>
      <c r="J193" s="1121"/>
      <c r="K193" s="1121"/>
      <c r="L193" s="1121"/>
      <c r="M193" s="1121"/>
      <c r="N193" s="1121"/>
      <c r="O193" s="1121"/>
      <c r="P193" s="1121"/>
      <c r="Q193" s="1121"/>
      <c r="R193" s="1121"/>
      <c r="S193" s="1121"/>
      <c r="T193" s="1121"/>
      <c r="U193" s="1121"/>
      <c r="V193" s="1121"/>
      <c r="W193" s="1129"/>
      <c r="X193" s="1013"/>
      <c r="Y193" s="1130"/>
      <c r="Z193" s="1130"/>
      <c r="AA193" s="1130"/>
      <c r="AB193" s="1130"/>
    </row>
    <row r="194" spans="2:28" s="1112" customFormat="1" ht="12.75" customHeight="1">
      <c r="B194" s="1109" t="s">
        <v>789</v>
      </c>
      <c r="C194" s="1121">
        <f t="shared" ref="C194:V194" si="208">(IF(C$98="E",IF($E$190=0,0,IF(C$195=0,C$196,C$195)),0))*$V$23</f>
        <v>0</v>
      </c>
      <c r="D194" s="1121">
        <f t="shared" si="208"/>
        <v>0</v>
      </c>
      <c r="E194" s="1121">
        <f t="shared" si="208"/>
        <v>0</v>
      </c>
      <c r="F194" s="1121">
        <f t="shared" si="208"/>
        <v>0</v>
      </c>
      <c r="G194" s="1121">
        <f t="shared" si="208"/>
        <v>0</v>
      </c>
      <c r="H194" s="1121">
        <f t="shared" si="208"/>
        <v>0</v>
      </c>
      <c r="I194" s="1121">
        <f t="shared" si="208"/>
        <v>0</v>
      </c>
      <c r="J194" s="1121">
        <f t="shared" si="208"/>
        <v>0</v>
      </c>
      <c r="K194" s="1121">
        <f t="shared" si="208"/>
        <v>0</v>
      </c>
      <c r="L194" s="1121">
        <f t="shared" si="208"/>
        <v>0</v>
      </c>
      <c r="M194" s="1121">
        <f t="shared" si="208"/>
        <v>0</v>
      </c>
      <c r="N194" s="1121">
        <f t="shared" si="208"/>
        <v>0</v>
      </c>
      <c r="O194" s="1121">
        <f t="shared" si="208"/>
        <v>0</v>
      </c>
      <c r="P194" s="1121">
        <f t="shared" si="208"/>
        <v>0</v>
      </c>
      <c r="Q194" s="1121">
        <f t="shared" si="208"/>
        <v>0</v>
      </c>
      <c r="R194" s="1121">
        <f t="shared" si="208"/>
        <v>0</v>
      </c>
      <c r="S194" s="1121">
        <f t="shared" si="208"/>
        <v>0</v>
      </c>
      <c r="T194" s="1121">
        <f t="shared" si="208"/>
        <v>0</v>
      </c>
      <c r="U194" s="1121">
        <f t="shared" si="208"/>
        <v>0</v>
      </c>
      <c r="V194" s="1121">
        <f t="shared" si="208"/>
        <v>0</v>
      </c>
      <c r="W194" s="1129"/>
      <c r="X194" s="1013"/>
      <c r="Y194" s="1130"/>
      <c r="Z194" s="1130"/>
      <c r="AA194" s="1130"/>
      <c r="AB194" s="1130"/>
    </row>
    <row r="195" spans="2:28" s="1112" customFormat="1" ht="12.75" hidden="1" customHeight="1">
      <c r="B195" s="1109"/>
      <c r="C195" s="1121">
        <f t="shared" ref="C195:V195" si="209">IF(OR(ISERROR(0),0="NA"),0,0)</f>
        <v>0</v>
      </c>
      <c r="D195" s="1121">
        <f t="shared" si="209"/>
        <v>0</v>
      </c>
      <c r="E195" s="1121">
        <f t="shared" si="209"/>
        <v>0</v>
      </c>
      <c r="F195" s="1121">
        <f t="shared" si="209"/>
        <v>0</v>
      </c>
      <c r="G195" s="1121">
        <f t="shared" si="209"/>
        <v>0</v>
      </c>
      <c r="H195" s="1121">
        <f t="shared" si="209"/>
        <v>0</v>
      </c>
      <c r="I195" s="1121">
        <f t="shared" si="209"/>
        <v>0</v>
      </c>
      <c r="J195" s="1121">
        <f t="shared" si="209"/>
        <v>0</v>
      </c>
      <c r="K195" s="1121">
        <f t="shared" si="209"/>
        <v>0</v>
      </c>
      <c r="L195" s="1121">
        <f t="shared" si="209"/>
        <v>0</v>
      </c>
      <c r="M195" s="1121">
        <f t="shared" si="209"/>
        <v>0</v>
      </c>
      <c r="N195" s="1121">
        <f t="shared" si="209"/>
        <v>0</v>
      </c>
      <c r="O195" s="1121">
        <f t="shared" si="209"/>
        <v>0</v>
      </c>
      <c r="P195" s="1121">
        <f t="shared" si="209"/>
        <v>0</v>
      </c>
      <c r="Q195" s="1121">
        <f t="shared" si="209"/>
        <v>0</v>
      </c>
      <c r="R195" s="1121">
        <f t="shared" si="209"/>
        <v>0</v>
      </c>
      <c r="S195" s="1121">
        <f t="shared" si="209"/>
        <v>0</v>
      </c>
      <c r="T195" s="1121">
        <f t="shared" si="209"/>
        <v>0</v>
      </c>
      <c r="U195" s="1121">
        <f t="shared" si="209"/>
        <v>0</v>
      </c>
      <c r="V195" s="1121">
        <f t="shared" si="209"/>
        <v>0</v>
      </c>
      <c r="W195" s="1129" t="s">
        <v>790</v>
      </c>
      <c r="X195" s="1013"/>
      <c r="Y195" s="1130"/>
      <c r="Z195" s="1130"/>
      <c r="AA195" s="1130"/>
      <c r="AB195" s="1130"/>
    </row>
    <row r="196" spans="2:28" s="1112" customFormat="1" ht="12.75" hidden="1" customHeight="1">
      <c r="B196" s="1109"/>
      <c r="C196" s="1121">
        <f t="shared" ref="C196:V196" si="210">C$197*(1-C$198)</f>
        <v>0</v>
      </c>
      <c r="D196" s="1121">
        <f t="shared" si="210"/>
        <v>0</v>
      </c>
      <c r="E196" s="1121">
        <f t="shared" si="210"/>
        <v>0</v>
      </c>
      <c r="F196" s="1121">
        <f t="shared" si="210"/>
        <v>0</v>
      </c>
      <c r="G196" s="1121">
        <f t="shared" si="210"/>
        <v>0</v>
      </c>
      <c r="H196" s="1121">
        <f t="shared" si="210"/>
        <v>0</v>
      </c>
      <c r="I196" s="1121">
        <f t="shared" si="210"/>
        <v>0</v>
      </c>
      <c r="J196" s="1121">
        <f t="shared" si="210"/>
        <v>0</v>
      </c>
      <c r="K196" s="1121">
        <f t="shared" si="210"/>
        <v>0</v>
      </c>
      <c r="L196" s="1121">
        <f t="shared" si="210"/>
        <v>0</v>
      </c>
      <c r="M196" s="1121">
        <f t="shared" si="210"/>
        <v>0</v>
      </c>
      <c r="N196" s="1121">
        <f t="shared" si="210"/>
        <v>0</v>
      </c>
      <c r="O196" s="1121">
        <f t="shared" si="210"/>
        <v>0</v>
      </c>
      <c r="P196" s="1121">
        <f t="shared" si="210"/>
        <v>0</v>
      </c>
      <c r="Q196" s="1121">
        <f t="shared" si="210"/>
        <v>0</v>
      </c>
      <c r="R196" s="1121">
        <f t="shared" si="210"/>
        <v>0</v>
      </c>
      <c r="S196" s="1121">
        <f t="shared" si="210"/>
        <v>0</v>
      </c>
      <c r="T196" s="1121">
        <f t="shared" si="210"/>
        <v>0</v>
      </c>
      <c r="U196" s="1121">
        <f t="shared" si="210"/>
        <v>0</v>
      </c>
      <c r="V196" s="1121">
        <f t="shared" si="210"/>
        <v>0</v>
      </c>
      <c r="W196" s="1129"/>
      <c r="X196" s="1013"/>
      <c r="Y196" s="1130"/>
      <c r="Z196" s="1130"/>
      <c r="AA196" s="1130"/>
      <c r="AB196" s="1130"/>
    </row>
    <row r="197" spans="2:28" s="1112" customFormat="1" ht="12.75" hidden="1" customHeight="1">
      <c r="B197" s="1109"/>
      <c r="C197" s="1121">
        <f t="shared" ref="C197:V197" si="211">IF(OR(ISERROR(0),0="NA"),0,0)</f>
        <v>0</v>
      </c>
      <c r="D197" s="1121">
        <f t="shared" si="211"/>
        <v>0</v>
      </c>
      <c r="E197" s="1121">
        <f t="shared" si="211"/>
        <v>0</v>
      </c>
      <c r="F197" s="1121">
        <f t="shared" si="211"/>
        <v>0</v>
      </c>
      <c r="G197" s="1121">
        <f t="shared" si="211"/>
        <v>0</v>
      </c>
      <c r="H197" s="1121">
        <f t="shared" si="211"/>
        <v>0</v>
      </c>
      <c r="I197" s="1121">
        <f t="shared" si="211"/>
        <v>0</v>
      </c>
      <c r="J197" s="1121">
        <f t="shared" si="211"/>
        <v>0</v>
      </c>
      <c r="K197" s="1121">
        <f t="shared" si="211"/>
        <v>0</v>
      </c>
      <c r="L197" s="1121">
        <f t="shared" si="211"/>
        <v>0</v>
      </c>
      <c r="M197" s="1121">
        <f t="shared" si="211"/>
        <v>0</v>
      </c>
      <c r="N197" s="1121">
        <f t="shared" si="211"/>
        <v>0</v>
      </c>
      <c r="O197" s="1121">
        <f t="shared" si="211"/>
        <v>0</v>
      </c>
      <c r="P197" s="1121">
        <f t="shared" si="211"/>
        <v>0</v>
      </c>
      <c r="Q197" s="1121">
        <f t="shared" si="211"/>
        <v>0</v>
      </c>
      <c r="R197" s="1121">
        <f t="shared" si="211"/>
        <v>0</v>
      </c>
      <c r="S197" s="1121">
        <f t="shared" si="211"/>
        <v>0</v>
      </c>
      <c r="T197" s="1121">
        <f t="shared" si="211"/>
        <v>0</v>
      </c>
      <c r="U197" s="1121">
        <f t="shared" si="211"/>
        <v>0</v>
      </c>
      <c r="V197" s="1121">
        <f t="shared" si="211"/>
        <v>0</v>
      </c>
      <c r="W197" s="1129" t="s">
        <v>791</v>
      </c>
      <c r="X197" s="1013"/>
      <c r="Y197" s="1130"/>
      <c r="Z197" s="1130"/>
      <c r="AA197" s="1130"/>
      <c r="AB197" s="1130"/>
    </row>
    <row r="198" spans="2:28" s="1112" customFormat="1" ht="12.75" hidden="1" customHeight="1">
      <c r="B198" s="1127"/>
      <c r="C198" s="1128">
        <f>IF(OR(ISERROR(sumry!BR83),sumry!BR83="NA"),0,sumry!BR83)</f>
        <v>0.39</v>
      </c>
      <c r="D198" s="1128">
        <f>IF(OR(ISERROR(sumry!BS83),sumry!BS83="NA"),0,sumry!BS83)</f>
        <v>0.39</v>
      </c>
      <c r="E198" s="1128">
        <f>IF(OR(ISERROR(sumry!BT83),sumry!BT83="NA"),0,sumry!BT83)</f>
        <v>0.39</v>
      </c>
      <c r="F198" s="1128">
        <f>IF(OR(ISERROR(sumry!BU83),sumry!BU83="NA"),0,sumry!BU83)</f>
        <v>0.39</v>
      </c>
      <c r="G198" s="1128">
        <f t="shared" ref="G198:V198" si="212">IF(OR(ISERROR(0),0="NA"),0,0)</f>
        <v>0</v>
      </c>
      <c r="H198" s="1128">
        <f t="shared" si="212"/>
        <v>0</v>
      </c>
      <c r="I198" s="1128">
        <f t="shared" si="212"/>
        <v>0</v>
      </c>
      <c r="J198" s="1128">
        <f t="shared" si="212"/>
        <v>0</v>
      </c>
      <c r="K198" s="1128">
        <f t="shared" si="212"/>
        <v>0</v>
      </c>
      <c r="L198" s="1128">
        <f t="shared" si="212"/>
        <v>0</v>
      </c>
      <c r="M198" s="1128">
        <f t="shared" si="212"/>
        <v>0</v>
      </c>
      <c r="N198" s="1128">
        <f t="shared" si="212"/>
        <v>0</v>
      </c>
      <c r="O198" s="1128">
        <f t="shared" si="212"/>
        <v>0</v>
      </c>
      <c r="P198" s="1128">
        <f t="shared" si="212"/>
        <v>0</v>
      </c>
      <c r="Q198" s="1128">
        <f t="shared" si="212"/>
        <v>0</v>
      </c>
      <c r="R198" s="1128">
        <f t="shared" si="212"/>
        <v>0</v>
      </c>
      <c r="S198" s="1128">
        <f t="shared" si="212"/>
        <v>0</v>
      </c>
      <c r="T198" s="1128">
        <f t="shared" si="212"/>
        <v>0</v>
      </c>
      <c r="U198" s="1128">
        <f t="shared" si="212"/>
        <v>0</v>
      </c>
      <c r="V198" s="1128">
        <f t="shared" si="212"/>
        <v>0</v>
      </c>
      <c r="W198" s="1129" t="s">
        <v>773</v>
      </c>
      <c r="X198" s="1013"/>
      <c r="Y198" s="1130"/>
      <c r="Z198" s="1130"/>
      <c r="AA198" s="1130"/>
      <c r="AB198" s="1130"/>
    </row>
    <row r="199" spans="2:28" s="1112" customFormat="1" ht="12.75" customHeight="1">
      <c r="B199" s="1127"/>
      <c r="C199" s="1128"/>
      <c r="D199" s="1128"/>
      <c r="E199" s="1128"/>
      <c r="F199" s="1128"/>
      <c r="G199" s="1128"/>
      <c r="H199" s="1128"/>
      <c r="I199" s="1128"/>
      <c r="J199" s="1128"/>
      <c r="K199" s="1128"/>
      <c r="L199" s="1128"/>
      <c r="M199" s="1128"/>
      <c r="N199" s="1128"/>
      <c r="O199" s="1128"/>
      <c r="P199" s="1128"/>
      <c r="Q199" s="1128"/>
      <c r="R199" s="1128"/>
      <c r="S199" s="1128"/>
      <c r="T199" s="1128"/>
      <c r="U199" s="1128"/>
      <c r="V199" s="1128"/>
      <c r="W199" s="1129"/>
      <c r="X199" s="1013"/>
      <c r="Y199" s="1130"/>
      <c r="Z199" s="1130"/>
      <c r="AA199" s="1130"/>
      <c r="AB199" s="1130"/>
    </row>
    <row r="200" spans="2:28" s="1112" customFormat="1" ht="12.75" customHeight="1">
      <c r="B200" s="1131" t="s">
        <v>792</v>
      </c>
      <c r="C200" s="1121"/>
      <c r="D200" s="1121"/>
      <c r="E200" s="1121"/>
      <c r="F200" s="1121"/>
      <c r="G200" s="1121"/>
      <c r="H200" s="1121"/>
      <c r="I200" s="1121"/>
      <c r="J200" s="1121"/>
      <c r="K200" s="1121"/>
      <c r="L200" s="1121"/>
      <c r="M200" s="1121"/>
      <c r="N200" s="1121"/>
      <c r="O200" s="1121"/>
      <c r="P200" s="1121"/>
      <c r="Q200" s="1121"/>
      <c r="R200" s="1121"/>
      <c r="S200" s="1121"/>
      <c r="T200" s="1121"/>
      <c r="U200" s="1121"/>
      <c r="V200" s="1121"/>
      <c r="W200" s="1120"/>
      <c r="X200" s="1119"/>
    </row>
    <row r="201" spans="2:28" s="1112" customFormat="1" ht="12.75" customHeight="1">
      <c r="B201" s="1134" t="s">
        <v>793</v>
      </c>
      <c r="C201" s="1121">
        <f t="shared" ref="C201:V201" si="213">IF(ISERROR((C$192)/(1+1/$C$150)),0,((C$192)/(1+1/$C$150)))</f>
        <v>0</v>
      </c>
      <c r="D201" s="1121">
        <f t="shared" si="213"/>
        <v>0</v>
      </c>
      <c r="E201" s="1121">
        <f t="shared" si="213"/>
        <v>0</v>
      </c>
      <c r="F201" s="1121">
        <f t="shared" si="213"/>
        <v>0</v>
      </c>
      <c r="G201" s="1121">
        <f t="shared" si="213"/>
        <v>0</v>
      </c>
      <c r="H201" s="1121">
        <f t="shared" si="213"/>
        <v>0</v>
      </c>
      <c r="I201" s="1121">
        <f t="shared" si="213"/>
        <v>0</v>
      </c>
      <c r="J201" s="1121">
        <f t="shared" si="213"/>
        <v>0</v>
      </c>
      <c r="K201" s="1121">
        <f t="shared" si="213"/>
        <v>0</v>
      </c>
      <c r="L201" s="1121">
        <f t="shared" si="213"/>
        <v>0</v>
      </c>
      <c r="M201" s="1121">
        <f t="shared" si="213"/>
        <v>0</v>
      </c>
      <c r="N201" s="1121">
        <f t="shared" si="213"/>
        <v>0</v>
      </c>
      <c r="O201" s="1121">
        <f t="shared" si="213"/>
        <v>0</v>
      </c>
      <c r="P201" s="1121">
        <f t="shared" si="213"/>
        <v>0</v>
      </c>
      <c r="Q201" s="1121">
        <f t="shared" si="213"/>
        <v>0</v>
      </c>
      <c r="R201" s="1121">
        <f t="shared" si="213"/>
        <v>0</v>
      </c>
      <c r="S201" s="1121">
        <f t="shared" si="213"/>
        <v>0</v>
      </c>
      <c r="T201" s="1121">
        <f t="shared" si="213"/>
        <v>0</v>
      </c>
      <c r="U201" s="1121">
        <f t="shared" si="213"/>
        <v>0</v>
      </c>
      <c r="V201" s="1121">
        <f t="shared" si="213"/>
        <v>0</v>
      </c>
      <c r="W201" s="1120"/>
      <c r="X201" s="1119"/>
    </row>
    <row r="202" spans="2:28" s="1112" customFormat="1" ht="12.75" customHeight="1">
      <c r="B202" s="1134" t="s">
        <v>794</v>
      </c>
      <c r="C202" s="1121">
        <f t="shared" ref="C202:V202" si="214">IF(ISERROR(C$192-C$201),0,(C$192-C$201))</f>
        <v>0</v>
      </c>
      <c r="D202" s="1121">
        <f t="shared" si="214"/>
        <v>0</v>
      </c>
      <c r="E202" s="1121">
        <f t="shared" si="214"/>
        <v>0</v>
      </c>
      <c r="F202" s="1121">
        <f t="shared" si="214"/>
        <v>0</v>
      </c>
      <c r="G202" s="1121">
        <f t="shared" si="214"/>
        <v>0</v>
      </c>
      <c r="H202" s="1121">
        <f t="shared" si="214"/>
        <v>0</v>
      </c>
      <c r="I202" s="1121">
        <f t="shared" si="214"/>
        <v>0</v>
      </c>
      <c r="J202" s="1121">
        <f t="shared" si="214"/>
        <v>0</v>
      </c>
      <c r="K202" s="1121">
        <f t="shared" si="214"/>
        <v>0</v>
      </c>
      <c r="L202" s="1121">
        <f t="shared" si="214"/>
        <v>0</v>
      </c>
      <c r="M202" s="1121">
        <f t="shared" si="214"/>
        <v>0</v>
      </c>
      <c r="N202" s="1121">
        <f t="shared" si="214"/>
        <v>0</v>
      </c>
      <c r="O202" s="1121">
        <f t="shared" si="214"/>
        <v>0</v>
      </c>
      <c r="P202" s="1121">
        <f t="shared" si="214"/>
        <v>0</v>
      </c>
      <c r="Q202" s="1121">
        <f t="shared" si="214"/>
        <v>0</v>
      </c>
      <c r="R202" s="1121">
        <f t="shared" si="214"/>
        <v>0</v>
      </c>
      <c r="S202" s="1121">
        <f t="shared" si="214"/>
        <v>0</v>
      </c>
      <c r="T202" s="1121">
        <f t="shared" si="214"/>
        <v>0</v>
      </c>
      <c r="U202" s="1121">
        <f t="shared" si="214"/>
        <v>0</v>
      </c>
      <c r="V202" s="1121">
        <f t="shared" si="214"/>
        <v>0</v>
      </c>
      <c r="W202" s="1133"/>
      <c r="X202" s="1013"/>
      <c r="Y202" s="1130"/>
      <c r="Z202" s="1130"/>
      <c r="AA202" s="1130"/>
      <c r="AB202" s="1130"/>
    </row>
    <row r="203" spans="2:28" s="1112" customFormat="1" ht="12.75" customHeight="1">
      <c r="B203" s="1127"/>
      <c r="C203" s="1121"/>
      <c r="D203" s="1121"/>
      <c r="E203" s="1121"/>
      <c r="F203" s="1121"/>
      <c r="G203" s="1121"/>
      <c r="H203" s="1121"/>
      <c r="I203" s="1121"/>
      <c r="J203" s="1121"/>
      <c r="K203" s="1121"/>
      <c r="L203" s="1121"/>
      <c r="M203" s="1121"/>
      <c r="N203" s="1121"/>
      <c r="O203" s="1121"/>
      <c r="P203" s="1121"/>
      <c r="Q203" s="1121"/>
      <c r="R203" s="1121"/>
      <c r="S203" s="1121"/>
      <c r="T203" s="1121"/>
      <c r="U203" s="1121"/>
      <c r="V203" s="1121"/>
      <c r="W203" s="1133"/>
      <c r="X203" s="1013"/>
      <c r="Y203" s="1130"/>
      <c r="Z203" s="1130"/>
      <c r="AA203" s="1130"/>
      <c r="AB203" s="1130"/>
    </row>
    <row r="204" spans="2:28" s="1112" customFormat="1" ht="12.75" customHeight="1">
      <c r="B204" s="1131" t="s">
        <v>777</v>
      </c>
      <c r="C204" s="1121"/>
      <c r="D204" s="1121"/>
      <c r="E204" s="1121"/>
      <c r="F204" s="1121"/>
      <c r="G204" s="1121"/>
      <c r="H204" s="1121"/>
      <c r="I204" s="1121"/>
      <c r="J204" s="1121"/>
      <c r="K204" s="1121"/>
      <c r="L204" s="1121"/>
      <c r="M204" s="1121"/>
      <c r="N204" s="1121"/>
      <c r="O204" s="1121"/>
      <c r="P204" s="1121"/>
      <c r="Q204" s="1121"/>
      <c r="R204" s="1121"/>
      <c r="S204" s="1121"/>
      <c r="T204" s="1121"/>
      <c r="U204" s="1121"/>
      <c r="V204" s="1121"/>
      <c r="W204" s="1133"/>
      <c r="X204" s="1013"/>
      <c r="Y204" s="1130"/>
      <c r="Z204" s="1130"/>
      <c r="AA204" s="1130"/>
      <c r="AB204" s="1130"/>
    </row>
    <row r="205" spans="2:28" s="1112" customFormat="1" ht="12.75" customHeight="1">
      <c r="B205" s="1109" t="s">
        <v>795</v>
      </c>
      <c r="C205" s="1121">
        <f t="shared" ref="C205:V205" si="215">IF(ISERROR(C$201*$C$151),0,(C$201*$C$151))</f>
        <v>0</v>
      </c>
      <c r="D205" s="1121">
        <f t="shared" si="215"/>
        <v>0</v>
      </c>
      <c r="E205" s="1121">
        <f t="shared" si="215"/>
        <v>0</v>
      </c>
      <c r="F205" s="1121">
        <f t="shared" si="215"/>
        <v>0</v>
      </c>
      <c r="G205" s="1121">
        <f t="shared" si="215"/>
        <v>0</v>
      </c>
      <c r="H205" s="1121">
        <f t="shared" si="215"/>
        <v>0</v>
      </c>
      <c r="I205" s="1121">
        <f t="shared" si="215"/>
        <v>0</v>
      </c>
      <c r="J205" s="1121">
        <f t="shared" si="215"/>
        <v>0</v>
      </c>
      <c r="K205" s="1121">
        <f t="shared" si="215"/>
        <v>0</v>
      </c>
      <c r="L205" s="1121">
        <f t="shared" si="215"/>
        <v>0</v>
      </c>
      <c r="M205" s="1121">
        <f t="shared" si="215"/>
        <v>0</v>
      </c>
      <c r="N205" s="1121">
        <f t="shared" si="215"/>
        <v>0</v>
      </c>
      <c r="O205" s="1121">
        <f t="shared" si="215"/>
        <v>0</v>
      </c>
      <c r="P205" s="1121">
        <f t="shared" si="215"/>
        <v>0</v>
      </c>
      <c r="Q205" s="1121">
        <f t="shared" si="215"/>
        <v>0</v>
      </c>
      <c r="R205" s="1121">
        <f t="shared" si="215"/>
        <v>0</v>
      </c>
      <c r="S205" s="1121">
        <f t="shared" si="215"/>
        <v>0</v>
      </c>
      <c r="T205" s="1121">
        <f t="shared" si="215"/>
        <v>0</v>
      </c>
      <c r="U205" s="1121">
        <f t="shared" si="215"/>
        <v>0</v>
      </c>
      <c r="V205" s="1121">
        <f t="shared" si="215"/>
        <v>0</v>
      </c>
      <c r="W205" s="1133"/>
      <c r="X205" s="1013"/>
      <c r="Y205" s="1130"/>
      <c r="Z205" s="1130"/>
      <c r="AA205" s="1130"/>
      <c r="AB205" s="1130"/>
    </row>
    <row r="206" spans="2:28" s="1112" customFormat="1" ht="12.75" customHeight="1">
      <c r="B206" s="1114"/>
      <c r="C206" s="1121"/>
      <c r="D206" s="1121"/>
      <c r="E206" s="1121"/>
      <c r="F206" s="1121"/>
      <c r="G206" s="1121"/>
      <c r="H206" s="1121"/>
      <c r="I206" s="1121"/>
      <c r="J206" s="1121"/>
      <c r="K206" s="1121"/>
      <c r="L206" s="1121"/>
      <c r="M206" s="1121"/>
      <c r="N206" s="1121"/>
      <c r="O206" s="1121"/>
      <c r="P206" s="1121"/>
      <c r="Q206" s="1121"/>
      <c r="R206" s="1121"/>
      <c r="S206" s="1121"/>
      <c r="T206" s="1121"/>
      <c r="U206" s="1121"/>
      <c r="V206" s="1121"/>
      <c r="W206" s="1133"/>
      <c r="X206" s="1013"/>
      <c r="Y206" s="1130"/>
      <c r="Z206" s="1130"/>
      <c r="AA206" s="1130"/>
      <c r="AB206" s="1130"/>
    </row>
    <row r="207" spans="2:28" s="1112" customFormat="1" ht="12.75" customHeight="1">
      <c r="B207" s="1134" t="s">
        <v>779</v>
      </c>
      <c r="C207" s="1121"/>
      <c r="D207" s="1121"/>
      <c r="E207" s="1121"/>
      <c r="F207" s="1121"/>
      <c r="G207" s="1121"/>
      <c r="H207" s="1121"/>
      <c r="I207" s="1121"/>
      <c r="J207" s="1121"/>
      <c r="K207" s="1121"/>
      <c r="L207" s="1121"/>
      <c r="M207" s="1121"/>
      <c r="N207" s="1121"/>
      <c r="O207" s="1121"/>
      <c r="P207" s="1121"/>
      <c r="Q207" s="1121"/>
      <c r="R207" s="1121"/>
      <c r="S207" s="1121"/>
      <c r="T207" s="1121"/>
      <c r="U207" s="1121"/>
      <c r="V207" s="1121"/>
      <c r="W207" s="1133"/>
      <c r="X207" s="1013"/>
      <c r="Y207" s="1130"/>
      <c r="Z207" s="1130"/>
      <c r="AA207" s="1130"/>
      <c r="AB207" s="1130"/>
    </row>
    <row r="208" spans="2:28" s="1112" customFormat="1" ht="12.75" customHeight="1">
      <c r="B208" s="1131" t="s">
        <v>796</v>
      </c>
      <c r="C208" s="1121">
        <f>(IF(C$98="E",IF($E$190 =0,0,IF(OR(ISERROR(0),0="NA"),0,0)),0)*$V$23)</f>
        <v>0</v>
      </c>
      <c r="D208" s="1121"/>
      <c r="E208" s="1121"/>
      <c r="F208" s="1121"/>
      <c r="G208" s="1121"/>
      <c r="H208" s="1121"/>
      <c r="I208" s="1121"/>
      <c r="J208" s="1121"/>
      <c r="K208" s="1121"/>
      <c r="L208" s="1121"/>
      <c r="M208" s="1121"/>
      <c r="N208" s="1121"/>
      <c r="O208" s="1121"/>
      <c r="P208" s="1121"/>
      <c r="Q208" s="1121"/>
      <c r="R208" s="1121"/>
      <c r="S208" s="1121"/>
      <c r="T208" s="1121"/>
      <c r="U208" s="1121"/>
      <c r="V208" s="1121"/>
      <c r="W208" s="1120"/>
      <c r="X208" s="1119"/>
    </row>
    <row r="209" spans="1:28" s="1112" customFormat="1" ht="12.75" customHeight="1">
      <c r="B209" s="1134" t="s">
        <v>793</v>
      </c>
      <c r="C209" s="1121">
        <f>IF(ISERROR((C$208)/(1+1/$C$150)),0,((C$208)/(1+1/$C$150)))</f>
        <v>0</v>
      </c>
      <c r="D209" s="1121"/>
      <c r="E209" s="1121"/>
      <c r="F209" s="1121"/>
      <c r="G209" s="1121"/>
      <c r="H209" s="1121"/>
      <c r="I209" s="1121"/>
      <c r="J209" s="1121"/>
      <c r="K209" s="1121"/>
      <c r="L209" s="1121"/>
      <c r="M209" s="1121"/>
      <c r="N209" s="1121"/>
      <c r="O209" s="1121"/>
      <c r="P209" s="1121"/>
      <c r="Q209" s="1121"/>
      <c r="R209" s="1121"/>
      <c r="S209" s="1121"/>
      <c r="T209" s="1121"/>
      <c r="U209" s="1121"/>
      <c r="V209" s="1121"/>
      <c r="W209" s="1120"/>
      <c r="X209" s="1119"/>
    </row>
    <row r="210" spans="1:28" s="1112" customFormat="1" ht="12.75" customHeight="1">
      <c r="B210" s="1131" t="s">
        <v>797</v>
      </c>
      <c r="C210" s="1121">
        <f>IF(ISERROR(C$208-C$209),0,(C$208-C$209))</f>
        <v>0</v>
      </c>
      <c r="D210" s="1121"/>
      <c r="E210" s="1121"/>
      <c r="F210" s="1121"/>
      <c r="G210" s="1121"/>
      <c r="H210" s="1121"/>
      <c r="I210" s="1121"/>
      <c r="J210" s="1121"/>
      <c r="K210" s="1121"/>
      <c r="L210" s="1121"/>
      <c r="M210" s="1121"/>
      <c r="N210" s="1121"/>
      <c r="O210" s="1121"/>
      <c r="P210" s="1121"/>
      <c r="Q210" s="1121"/>
      <c r="R210" s="1121"/>
      <c r="S210" s="1121"/>
      <c r="T210" s="1121"/>
      <c r="U210" s="1121"/>
      <c r="V210" s="1121"/>
      <c r="W210" s="1133"/>
      <c r="X210" s="1013"/>
      <c r="Y210" s="1130"/>
      <c r="Z210" s="1130"/>
      <c r="AA210" s="1130"/>
      <c r="AB210" s="1130"/>
    </row>
    <row r="211" spans="1:28" s="1112" customFormat="1" ht="12.75" customHeight="1">
      <c r="B211" s="1135"/>
      <c r="C211" s="1121"/>
      <c r="D211" s="1121"/>
      <c r="E211" s="1121"/>
      <c r="F211" s="1121"/>
      <c r="G211" s="1121"/>
      <c r="H211" s="1121"/>
      <c r="I211" s="1121"/>
      <c r="J211" s="1121"/>
      <c r="K211" s="1121"/>
      <c r="L211" s="1121"/>
      <c r="M211" s="1121"/>
      <c r="N211" s="1121"/>
      <c r="O211" s="1121"/>
      <c r="P211" s="1121"/>
      <c r="Q211" s="1121"/>
      <c r="R211" s="1121"/>
      <c r="S211" s="1121"/>
      <c r="T211" s="1121"/>
      <c r="U211" s="1121"/>
      <c r="V211" s="1121"/>
      <c r="W211" s="1133"/>
      <c r="X211" s="1013"/>
      <c r="Y211" s="1130"/>
      <c r="Z211" s="1130"/>
      <c r="AA211" s="1130"/>
      <c r="AB211" s="1130"/>
    </row>
    <row r="212" spans="1:28" s="1112" customFormat="1" ht="12.75" customHeight="1">
      <c r="B212" s="1127"/>
      <c r="C212" s="1121"/>
      <c r="D212" s="1121"/>
      <c r="E212" s="1121"/>
      <c r="F212" s="1121"/>
      <c r="G212" s="1121"/>
      <c r="H212" s="1121"/>
      <c r="I212" s="1121"/>
      <c r="J212" s="1121"/>
      <c r="K212" s="1121"/>
      <c r="L212" s="1121"/>
      <c r="M212" s="1121"/>
      <c r="N212" s="1121"/>
      <c r="O212" s="1121"/>
      <c r="P212" s="1121"/>
      <c r="Q212" s="1121"/>
      <c r="R212" s="1121"/>
      <c r="S212" s="1121"/>
      <c r="T212" s="1121"/>
      <c r="U212" s="1121"/>
      <c r="V212" s="1121"/>
      <c r="W212" s="1133"/>
      <c r="X212" s="1013"/>
      <c r="Y212" s="1130"/>
      <c r="Z212" s="1130"/>
      <c r="AA212" s="1130"/>
      <c r="AB212" s="1130"/>
    </row>
    <row r="213" spans="1:28" s="1112" customFormat="1" ht="12.75" customHeight="1">
      <c r="A213" s="1107" t="s">
        <v>798</v>
      </c>
      <c r="B213" s="1117" t="s">
        <v>799</v>
      </c>
      <c r="C213" s="1121"/>
      <c r="D213" s="1121"/>
      <c r="E213" s="1121"/>
      <c r="F213" s="1121"/>
      <c r="G213" s="1121"/>
      <c r="H213" s="1121"/>
      <c r="I213" s="1121"/>
      <c r="J213" s="1121"/>
      <c r="K213" s="1121"/>
      <c r="L213" s="1121"/>
      <c r="M213" s="1121"/>
      <c r="N213" s="1121"/>
      <c r="O213" s="1121"/>
      <c r="P213" s="1121"/>
      <c r="Q213" s="1121"/>
      <c r="R213" s="1121"/>
      <c r="S213" s="1121"/>
      <c r="T213" s="1121"/>
      <c r="U213" s="1121"/>
      <c r="V213" s="1121"/>
      <c r="W213" s="1133"/>
      <c r="X213" s="1013"/>
      <c r="Y213" s="1130"/>
      <c r="Z213" s="1130"/>
      <c r="AA213" s="1130"/>
      <c r="AB213" s="1130"/>
    </row>
    <row r="214" spans="1:28" s="1112" customFormat="1" ht="12.75" customHeight="1">
      <c r="B214" s="1114"/>
      <c r="C214" s="1121"/>
      <c r="D214" s="1121"/>
      <c r="E214" s="1121"/>
      <c r="F214" s="1121"/>
      <c r="G214" s="1121"/>
      <c r="H214" s="1121"/>
      <c r="I214" s="1121"/>
      <c r="J214" s="1121"/>
      <c r="K214" s="1121"/>
      <c r="L214" s="1121"/>
      <c r="M214" s="1121"/>
      <c r="N214" s="1121"/>
      <c r="O214" s="1121"/>
      <c r="P214" s="1121"/>
      <c r="Q214" s="1121"/>
      <c r="R214" s="1121"/>
      <c r="S214" s="1121"/>
      <c r="T214" s="1121"/>
      <c r="U214" s="1121"/>
      <c r="V214" s="1121"/>
      <c r="W214" s="1133"/>
      <c r="X214" s="1013"/>
      <c r="Y214" s="1130"/>
      <c r="Z214" s="1130"/>
      <c r="AA214" s="1130"/>
      <c r="AB214" s="1130"/>
    </row>
    <row r="215" spans="1:28" s="1112" customFormat="1" ht="12.75" customHeight="1">
      <c r="B215" s="1109" t="s">
        <v>800</v>
      </c>
      <c r="C215" s="1136"/>
      <c r="D215" s="1136"/>
      <c r="E215" s="1138">
        <f>(IF(OR(ISERROR(0),0="NA"),0,0)*$V$23)</f>
        <v>0</v>
      </c>
      <c r="F215" s="1136"/>
      <c r="G215" s="1136"/>
      <c r="H215" s="1136"/>
      <c r="I215" s="1136"/>
      <c r="J215" s="1136"/>
      <c r="K215" s="1136"/>
      <c r="L215" s="1136"/>
      <c r="M215" s="1130"/>
      <c r="N215" s="1130"/>
      <c r="O215" s="1130"/>
      <c r="P215" s="1130"/>
      <c r="Q215" s="1130"/>
      <c r="R215" s="1130"/>
      <c r="S215" s="1130"/>
      <c r="T215" s="1130"/>
      <c r="U215" s="1130"/>
      <c r="V215" s="1130"/>
      <c r="W215" s="1139" t="s">
        <v>801</v>
      </c>
      <c r="X215" s="1013"/>
      <c r="Y215" s="1130"/>
      <c r="Z215" s="1130"/>
      <c r="AA215" s="1130"/>
      <c r="AB215" s="1130"/>
    </row>
    <row r="216" spans="1:28" s="1112" customFormat="1" ht="12.75" customHeight="1">
      <c r="B216" s="1114"/>
      <c r="C216" s="1136"/>
      <c r="D216" s="1136"/>
      <c r="E216" s="1137"/>
      <c r="F216" s="1136"/>
      <c r="G216" s="1136"/>
      <c r="H216" s="1136"/>
      <c r="I216" s="1136"/>
      <c r="J216" s="1136"/>
      <c r="K216" s="1136"/>
      <c r="L216" s="1136"/>
      <c r="M216" s="1130"/>
      <c r="N216" s="1130"/>
      <c r="O216" s="1130"/>
      <c r="P216" s="1130"/>
      <c r="Q216" s="1130"/>
      <c r="R216" s="1130"/>
      <c r="S216" s="1130"/>
      <c r="T216" s="1130"/>
      <c r="U216" s="1130"/>
      <c r="V216" s="1130"/>
      <c r="W216" s="1133"/>
      <c r="X216" s="1013"/>
      <c r="Y216" s="1130"/>
      <c r="Z216" s="1130"/>
      <c r="AA216" s="1130"/>
      <c r="AB216" s="1130"/>
    </row>
    <row r="217" spans="1:28" s="1112" customFormat="1" ht="12.75" customHeight="1">
      <c r="B217" s="1109" t="s">
        <v>802</v>
      </c>
      <c r="C217" s="1121">
        <f t="shared" ref="C217:V217" si="216">(IF(C$98="E",IF($E$215=0,0,IF(C$218=0,C$219,C$218)),0))*$V$23</f>
        <v>0</v>
      </c>
      <c r="D217" s="1121">
        <f t="shared" si="216"/>
        <v>0</v>
      </c>
      <c r="E217" s="1121">
        <f t="shared" si="216"/>
        <v>0</v>
      </c>
      <c r="F217" s="1121">
        <f t="shared" si="216"/>
        <v>0</v>
      </c>
      <c r="G217" s="1121">
        <f t="shared" si="216"/>
        <v>0</v>
      </c>
      <c r="H217" s="1121">
        <f t="shared" si="216"/>
        <v>0</v>
      </c>
      <c r="I217" s="1121">
        <f t="shared" si="216"/>
        <v>0</v>
      </c>
      <c r="J217" s="1121">
        <f t="shared" si="216"/>
        <v>0</v>
      </c>
      <c r="K217" s="1121">
        <f t="shared" si="216"/>
        <v>0</v>
      </c>
      <c r="L217" s="1121">
        <f t="shared" si="216"/>
        <v>0</v>
      </c>
      <c r="M217" s="1121">
        <f t="shared" si="216"/>
        <v>0</v>
      </c>
      <c r="N217" s="1121">
        <f t="shared" si="216"/>
        <v>0</v>
      </c>
      <c r="O217" s="1121">
        <f t="shared" si="216"/>
        <v>0</v>
      </c>
      <c r="P217" s="1121">
        <f t="shared" si="216"/>
        <v>0</v>
      </c>
      <c r="Q217" s="1121">
        <f t="shared" si="216"/>
        <v>0</v>
      </c>
      <c r="R217" s="1121">
        <f t="shared" si="216"/>
        <v>0</v>
      </c>
      <c r="S217" s="1121">
        <f t="shared" si="216"/>
        <v>0</v>
      </c>
      <c r="T217" s="1121">
        <f t="shared" si="216"/>
        <v>0</v>
      </c>
      <c r="U217" s="1121">
        <f t="shared" si="216"/>
        <v>0</v>
      </c>
      <c r="V217" s="1121">
        <f t="shared" si="216"/>
        <v>0</v>
      </c>
      <c r="W217" s="1123"/>
      <c r="X217" s="1013"/>
      <c r="Y217" s="1130"/>
      <c r="Z217" s="1130"/>
      <c r="AA217" s="1130"/>
      <c r="AB217" s="1130"/>
    </row>
    <row r="218" spans="1:28" s="1112" customFormat="1" ht="12.75" hidden="1" customHeight="1">
      <c r="B218" s="1109"/>
      <c r="C218" s="1121">
        <f t="shared" ref="C218:V218" si="217">IF(OR(ISERROR(0),0="NA"),0,0)</f>
        <v>0</v>
      </c>
      <c r="D218" s="1121">
        <f t="shared" si="217"/>
        <v>0</v>
      </c>
      <c r="E218" s="1121">
        <f t="shared" si="217"/>
        <v>0</v>
      </c>
      <c r="F218" s="1121">
        <f t="shared" si="217"/>
        <v>0</v>
      </c>
      <c r="G218" s="1121">
        <f t="shared" si="217"/>
        <v>0</v>
      </c>
      <c r="H218" s="1121">
        <f t="shared" si="217"/>
        <v>0</v>
      </c>
      <c r="I218" s="1121">
        <f t="shared" si="217"/>
        <v>0</v>
      </c>
      <c r="J218" s="1121">
        <f t="shared" si="217"/>
        <v>0</v>
      </c>
      <c r="K218" s="1121">
        <f t="shared" si="217"/>
        <v>0</v>
      </c>
      <c r="L218" s="1121">
        <f t="shared" si="217"/>
        <v>0</v>
      </c>
      <c r="M218" s="1121">
        <f t="shared" si="217"/>
        <v>0</v>
      </c>
      <c r="N218" s="1121">
        <f t="shared" si="217"/>
        <v>0</v>
      </c>
      <c r="O218" s="1121">
        <f t="shared" si="217"/>
        <v>0</v>
      </c>
      <c r="P218" s="1121">
        <f t="shared" si="217"/>
        <v>0</v>
      </c>
      <c r="Q218" s="1121">
        <f t="shared" si="217"/>
        <v>0</v>
      </c>
      <c r="R218" s="1121">
        <f t="shared" si="217"/>
        <v>0</v>
      </c>
      <c r="S218" s="1121">
        <f t="shared" si="217"/>
        <v>0</v>
      </c>
      <c r="T218" s="1121">
        <f t="shared" si="217"/>
        <v>0</v>
      </c>
      <c r="U218" s="1121">
        <f t="shared" si="217"/>
        <v>0</v>
      </c>
      <c r="V218" s="1121">
        <f t="shared" si="217"/>
        <v>0</v>
      </c>
      <c r="W218" s="1123" t="s">
        <v>803</v>
      </c>
      <c r="X218" s="1013"/>
      <c r="Y218" s="1130"/>
      <c r="Z218" s="1130"/>
      <c r="AA218" s="1130"/>
      <c r="AB218" s="1130"/>
    </row>
    <row r="219" spans="1:28" s="1112" customFormat="1" ht="12.75" hidden="1" customHeight="1">
      <c r="B219" s="1109"/>
      <c r="C219" s="1121">
        <f t="shared" ref="C219:V219" si="218">SUM(C220:C221)</f>
        <v>0</v>
      </c>
      <c r="D219" s="1121">
        <f t="shared" si="218"/>
        <v>0</v>
      </c>
      <c r="E219" s="1121">
        <f t="shared" si="218"/>
        <v>0</v>
      </c>
      <c r="F219" s="1121">
        <f t="shared" si="218"/>
        <v>0</v>
      </c>
      <c r="G219" s="1121">
        <f t="shared" si="218"/>
        <v>0</v>
      </c>
      <c r="H219" s="1121">
        <f t="shared" si="218"/>
        <v>0</v>
      </c>
      <c r="I219" s="1121">
        <f t="shared" si="218"/>
        <v>0</v>
      </c>
      <c r="J219" s="1121">
        <f t="shared" si="218"/>
        <v>0</v>
      </c>
      <c r="K219" s="1121">
        <f t="shared" si="218"/>
        <v>0</v>
      </c>
      <c r="L219" s="1121">
        <f t="shared" si="218"/>
        <v>0</v>
      </c>
      <c r="M219" s="1121">
        <f t="shared" si="218"/>
        <v>0</v>
      </c>
      <c r="N219" s="1121">
        <f t="shared" si="218"/>
        <v>0</v>
      </c>
      <c r="O219" s="1121">
        <f t="shared" si="218"/>
        <v>0</v>
      </c>
      <c r="P219" s="1121">
        <f t="shared" si="218"/>
        <v>0</v>
      </c>
      <c r="Q219" s="1121">
        <f t="shared" si="218"/>
        <v>0</v>
      </c>
      <c r="R219" s="1121">
        <f t="shared" si="218"/>
        <v>0</v>
      </c>
      <c r="S219" s="1121">
        <f t="shared" si="218"/>
        <v>0</v>
      </c>
      <c r="T219" s="1121">
        <f t="shared" si="218"/>
        <v>0</v>
      </c>
      <c r="U219" s="1121">
        <f t="shared" si="218"/>
        <v>0</v>
      </c>
      <c r="V219" s="1121">
        <f t="shared" si="218"/>
        <v>0</v>
      </c>
      <c r="W219" s="1123"/>
      <c r="X219" s="1013"/>
      <c r="Y219" s="1130"/>
      <c r="Z219" s="1130"/>
      <c r="AA219" s="1130"/>
      <c r="AB219" s="1130"/>
    </row>
    <row r="220" spans="1:28" s="1112" customFormat="1" ht="12.75" hidden="1" customHeight="1">
      <c r="B220" s="1109"/>
      <c r="C220" s="1121">
        <f t="shared" ref="C220:L221" si="219">IF(OR(ISERROR(0),0="NA"),0,0)</f>
        <v>0</v>
      </c>
      <c r="D220" s="1121">
        <f t="shared" si="219"/>
        <v>0</v>
      </c>
      <c r="E220" s="1121">
        <f t="shared" si="219"/>
        <v>0</v>
      </c>
      <c r="F220" s="1121">
        <f t="shared" si="219"/>
        <v>0</v>
      </c>
      <c r="G220" s="1121">
        <f t="shared" si="219"/>
        <v>0</v>
      </c>
      <c r="H220" s="1121">
        <f t="shared" si="219"/>
        <v>0</v>
      </c>
      <c r="I220" s="1121">
        <f t="shared" si="219"/>
        <v>0</v>
      </c>
      <c r="J220" s="1121">
        <f t="shared" si="219"/>
        <v>0</v>
      </c>
      <c r="K220" s="1121">
        <f t="shared" si="219"/>
        <v>0</v>
      </c>
      <c r="L220" s="1121">
        <f t="shared" si="219"/>
        <v>0</v>
      </c>
      <c r="M220" s="1121">
        <f t="shared" ref="M220:V221" si="220">IF(OR(ISERROR(0),0="NA"),0,0)</f>
        <v>0</v>
      </c>
      <c r="N220" s="1121">
        <f t="shared" si="220"/>
        <v>0</v>
      </c>
      <c r="O220" s="1121">
        <f t="shared" si="220"/>
        <v>0</v>
      </c>
      <c r="P220" s="1121">
        <f t="shared" si="220"/>
        <v>0</v>
      </c>
      <c r="Q220" s="1121">
        <f t="shared" si="220"/>
        <v>0</v>
      </c>
      <c r="R220" s="1121">
        <f t="shared" si="220"/>
        <v>0</v>
      </c>
      <c r="S220" s="1121">
        <f t="shared" si="220"/>
        <v>0</v>
      </c>
      <c r="T220" s="1121">
        <f t="shared" si="220"/>
        <v>0</v>
      </c>
      <c r="U220" s="1121">
        <f t="shared" si="220"/>
        <v>0</v>
      </c>
      <c r="V220" s="1121">
        <f t="shared" si="220"/>
        <v>0</v>
      </c>
      <c r="W220" s="1123" t="s">
        <v>804</v>
      </c>
      <c r="X220" s="1013"/>
      <c r="Y220" s="1130"/>
      <c r="Z220" s="1130"/>
      <c r="AA220" s="1130"/>
      <c r="AB220" s="1130"/>
    </row>
    <row r="221" spans="1:28" s="1112" customFormat="1" ht="12.75" hidden="1" customHeight="1">
      <c r="B221" s="1114"/>
      <c r="C221" s="1121">
        <f t="shared" si="219"/>
        <v>0</v>
      </c>
      <c r="D221" s="1121">
        <f t="shared" si="219"/>
        <v>0</v>
      </c>
      <c r="E221" s="1121">
        <f t="shared" si="219"/>
        <v>0</v>
      </c>
      <c r="F221" s="1121">
        <f t="shared" si="219"/>
        <v>0</v>
      </c>
      <c r="G221" s="1121">
        <f t="shared" si="219"/>
        <v>0</v>
      </c>
      <c r="H221" s="1121">
        <f t="shared" si="219"/>
        <v>0</v>
      </c>
      <c r="I221" s="1121">
        <f t="shared" si="219"/>
        <v>0</v>
      </c>
      <c r="J221" s="1121">
        <f t="shared" si="219"/>
        <v>0</v>
      </c>
      <c r="K221" s="1121">
        <f t="shared" si="219"/>
        <v>0</v>
      </c>
      <c r="L221" s="1121">
        <f t="shared" si="219"/>
        <v>0</v>
      </c>
      <c r="M221" s="1121">
        <f t="shared" si="220"/>
        <v>0</v>
      </c>
      <c r="N221" s="1121">
        <f t="shared" si="220"/>
        <v>0</v>
      </c>
      <c r="O221" s="1121">
        <f t="shared" si="220"/>
        <v>0</v>
      </c>
      <c r="P221" s="1121">
        <f t="shared" si="220"/>
        <v>0</v>
      </c>
      <c r="Q221" s="1121">
        <f t="shared" si="220"/>
        <v>0</v>
      </c>
      <c r="R221" s="1121">
        <f t="shared" si="220"/>
        <v>0</v>
      </c>
      <c r="S221" s="1121">
        <f t="shared" si="220"/>
        <v>0</v>
      </c>
      <c r="T221" s="1121">
        <f t="shared" si="220"/>
        <v>0</v>
      </c>
      <c r="U221" s="1121">
        <f t="shared" si="220"/>
        <v>0</v>
      </c>
      <c r="V221" s="1121">
        <f t="shared" si="220"/>
        <v>0</v>
      </c>
      <c r="W221" s="1123" t="s">
        <v>805</v>
      </c>
      <c r="X221" s="1013"/>
      <c r="Y221" s="1130"/>
      <c r="Z221" s="1130"/>
      <c r="AA221" s="1130"/>
      <c r="AB221" s="1130"/>
    </row>
    <row r="222" spans="1:28" s="1112" customFormat="1" ht="12.75" customHeight="1">
      <c r="B222" s="1114"/>
      <c r="C222" s="1121"/>
      <c r="D222" s="1121"/>
      <c r="E222" s="1121"/>
      <c r="F222" s="1121"/>
      <c r="G222" s="1121"/>
      <c r="H222" s="1121"/>
      <c r="I222" s="1121"/>
      <c r="J222" s="1121"/>
      <c r="K222" s="1121"/>
      <c r="L222" s="1121"/>
      <c r="M222" s="1121"/>
      <c r="N222" s="1121"/>
      <c r="O222" s="1121"/>
      <c r="P222" s="1121"/>
      <c r="Q222" s="1121"/>
      <c r="R222" s="1121"/>
      <c r="S222" s="1121"/>
      <c r="T222" s="1121"/>
      <c r="U222" s="1121"/>
      <c r="V222" s="1121"/>
      <c r="W222" s="1123"/>
      <c r="X222" s="1013"/>
      <c r="Y222" s="1130"/>
      <c r="Z222" s="1130"/>
      <c r="AA222" s="1130"/>
      <c r="AB222" s="1130"/>
    </row>
    <row r="223" spans="1:28" s="1112" customFormat="1" ht="12.75" customHeight="1">
      <c r="B223" s="1109" t="s">
        <v>806</v>
      </c>
      <c r="C223" s="1121">
        <f t="shared" ref="C223:V223" si="221">IF($E$215=0,0,(C$224*(1-C$225))*$V$23)</f>
        <v>0</v>
      </c>
      <c r="D223" s="1121">
        <f t="shared" si="221"/>
        <v>0</v>
      </c>
      <c r="E223" s="1121">
        <f t="shared" si="221"/>
        <v>0</v>
      </c>
      <c r="F223" s="1121">
        <f t="shared" si="221"/>
        <v>0</v>
      </c>
      <c r="G223" s="1121">
        <f t="shared" si="221"/>
        <v>0</v>
      </c>
      <c r="H223" s="1121">
        <f t="shared" si="221"/>
        <v>0</v>
      </c>
      <c r="I223" s="1121">
        <f t="shared" si="221"/>
        <v>0</v>
      </c>
      <c r="J223" s="1121">
        <f t="shared" si="221"/>
        <v>0</v>
      </c>
      <c r="K223" s="1121">
        <f t="shared" si="221"/>
        <v>0</v>
      </c>
      <c r="L223" s="1121">
        <f t="shared" si="221"/>
        <v>0</v>
      </c>
      <c r="M223" s="1121">
        <f t="shared" si="221"/>
        <v>0</v>
      </c>
      <c r="N223" s="1121">
        <f t="shared" si="221"/>
        <v>0</v>
      </c>
      <c r="O223" s="1121">
        <f t="shared" si="221"/>
        <v>0</v>
      </c>
      <c r="P223" s="1121">
        <f t="shared" si="221"/>
        <v>0</v>
      </c>
      <c r="Q223" s="1121">
        <f t="shared" si="221"/>
        <v>0</v>
      </c>
      <c r="R223" s="1121">
        <f t="shared" si="221"/>
        <v>0</v>
      </c>
      <c r="S223" s="1121">
        <f t="shared" si="221"/>
        <v>0</v>
      </c>
      <c r="T223" s="1121">
        <f t="shared" si="221"/>
        <v>0</v>
      </c>
      <c r="U223" s="1121">
        <f t="shared" si="221"/>
        <v>0</v>
      </c>
      <c r="V223" s="1121">
        <f t="shared" si="221"/>
        <v>0</v>
      </c>
      <c r="W223" s="1133"/>
      <c r="X223" s="1013"/>
      <c r="Y223" s="1130"/>
      <c r="Z223" s="1130"/>
      <c r="AA223" s="1130"/>
      <c r="AB223" s="1130"/>
    </row>
    <row r="224" spans="1:28" s="1112" customFormat="1" ht="12.75" hidden="1" customHeight="1">
      <c r="B224" s="1109"/>
      <c r="C224" s="1121">
        <f t="shared" ref="C224:V224" si="222">IF(OR(ISERROR(0),0="NA"),0,0)</f>
        <v>0</v>
      </c>
      <c r="D224" s="1121">
        <f t="shared" si="222"/>
        <v>0</v>
      </c>
      <c r="E224" s="1121">
        <f t="shared" si="222"/>
        <v>0</v>
      </c>
      <c r="F224" s="1121">
        <f t="shared" si="222"/>
        <v>0</v>
      </c>
      <c r="G224" s="1121">
        <f t="shared" si="222"/>
        <v>0</v>
      </c>
      <c r="H224" s="1121">
        <f t="shared" si="222"/>
        <v>0</v>
      </c>
      <c r="I224" s="1121">
        <f t="shared" si="222"/>
        <v>0</v>
      </c>
      <c r="J224" s="1121">
        <f t="shared" si="222"/>
        <v>0</v>
      </c>
      <c r="K224" s="1121">
        <f t="shared" si="222"/>
        <v>0</v>
      </c>
      <c r="L224" s="1121">
        <f t="shared" si="222"/>
        <v>0</v>
      </c>
      <c r="M224" s="1121">
        <f t="shared" si="222"/>
        <v>0</v>
      </c>
      <c r="N224" s="1121">
        <f t="shared" si="222"/>
        <v>0</v>
      </c>
      <c r="O224" s="1121">
        <f t="shared" si="222"/>
        <v>0</v>
      </c>
      <c r="P224" s="1121">
        <f t="shared" si="222"/>
        <v>0</v>
      </c>
      <c r="Q224" s="1121">
        <f t="shared" si="222"/>
        <v>0</v>
      </c>
      <c r="R224" s="1121">
        <f t="shared" si="222"/>
        <v>0</v>
      </c>
      <c r="S224" s="1121">
        <f t="shared" si="222"/>
        <v>0</v>
      </c>
      <c r="T224" s="1121">
        <f t="shared" si="222"/>
        <v>0</v>
      </c>
      <c r="U224" s="1121">
        <f t="shared" si="222"/>
        <v>0</v>
      </c>
      <c r="V224" s="1121">
        <f t="shared" si="222"/>
        <v>0</v>
      </c>
      <c r="W224" s="1133" t="s">
        <v>807</v>
      </c>
      <c r="X224" s="1013"/>
      <c r="Y224" s="1130"/>
      <c r="Z224" s="1130"/>
      <c r="AA224" s="1130"/>
      <c r="AB224" s="1130"/>
    </row>
    <row r="225" spans="2:28" s="1112" customFormat="1" ht="12.75" hidden="1" customHeight="1">
      <c r="B225" s="1127"/>
      <c r="C225" s="1128">
        <f>IF(OR(ISERROR(sumry!BR83),sumry!BR83="NA"),0,sumry!BR83)</f>
        <v>0.39</v>
      </c>
      <c r="D225" s="1128">
        <f>IF(OR(ISERROR(sumry!BS83),sumry!BS83="NA"),0,sumry!BS83)</f>
        <v>0.39</v>
      </c>
      <c r="E225" s="1128">
        <f>IF(OR(ISERROR(sumry!BT83),sumry!BT83="NA"),0,sumry!BT83)</f>
        <v>0.39</v>
      </c>
      <c r="F225" s="1128">
        <f>IF(OR(ISERROR(sumry!BU83),sumry!BU83="NA"),0,sumry!BU83)</f>
        <v>0.39</v>
      </c>
      <c r="G225" s="1128">
        <f t="shared" ref="G225:V225" si="223">IF(OR(ISERROR(0),0="NA"),0,0)</f>
        <v>0</v>
      </c>
      <c r="H225" s="1128">
        <f t="shared" si="223"/>
        <v>0</v>
      </c>
      <c r="I225" s="1128">
        <f t="shared" si="223"/>
        <v>0</v>
      </c>
      <c r="J225" s="1128">
        <f t="shared" si="223"/>
        <v>0</v>
      </c>
      <c r="K225" s="1128">
        <f t="shared" si="223"/>
        <v>0</v>
      </c>
      <c r="L225" s="1128">
        <f t="shared" si="223"/>
        <v>0</v>
      </c>
      <c r="M225" s="1128">
        <f t="shared" si="223"/>
        <v>0</v>
      </c>
      <c r="N225" s="1128">
        <f t="shared" si="223"/>
        <v>0</v>
      </c>
      <c r="O225" s="1128">
        <f t="shared" si="223"/>
        <v>0</v>
      </c>
      <c r="P225" s="1128">
        <f t="shared" si="223"/>
        <v>0</v>
      </c>
      <c r="Q225" s="1128">
        <f t="shared" si="223"/>
        <v>0</v>
      </c>
      <c r="R225" s="1128">
        <f t="shared" si="223"/>
        <v>0</v>
      </c>
      <c r="S225" s="1128">
        <f t="shared" si="223"/>
        <v>0</v>
      </c>
      <c r="T225" s="1128">
        <f t="shared" si="223"/>
        <v>0</v>
      </c>
      <c r="U225" s="1128">
        <f t="shared" si="223"/>
        <v>0</v>
      </c>
      <c r="V225" s="1128">
        <f t="shared" si="223"/>
        <v>0</v>
      </c>
      <c r="W225" s="1129" t="s">
        <v>773</v>
      </c>
      <c r="X225" s="1013"/>
      <c r="Y225" s="1130"/>
      <c r="Z225" s="1130"/>
      <c r="AA225" s="1130"/>
      <c r="AB225" s="1130"/>
    </row>
    <row r="226" spans="2:28" s="1112" customFormat="1" ht="12.75" customHeight="1">
      <c r="B226" s="1127"/>
      <c r="C226" s="1128"/>
      <c r="D226" s="1128"/>
      <c r="E226" s="1128"/>
      <c r="F226" s="1128"/>
      <c r="G226" s="1128"/>
      <c r="H226" s="1128"/>
      <c r="I226" s="1128"/>
      <c r="J226" s="1128"/>
      <c r="K226" s="1128"/>
      <c r="L226" s="1128"/>
      <c r="M226" s="1128"/>
      <c r="N226" s="1128"/>
      <c r="O226" s="1128"/>
      <c r="P226" s="1128"/>
      <c r="Q226" s="1128"/>
      <c r="R226" s="1128"/>
      <c r="S226" s="1128"/>
      <c r="T226" s="1128"/>
      <c r="U226" s="1128"/>
      <c r="V226" s="1128"/>
      <c r="W226" s="1129"/>
      <c r="X226" s="1013"/>
      <c r="Y226" s="1130"/>
      <c r="Z226" s="1130"/>
      <c r="AA226" s="1130"/>
      <c r="AB226" s="1130"/>
    </row>
    <row r="227" spans="2:28" s="1112" customFormat="1" ht="12.75" customHeight="1">
      <c r="B227" s="1131" t="s">
        <v>808</v>
      </c>
      <c r="C227" s="1121"/>
      <c r="D227" s="1121"/>
      <c r="E227" s="1121"/>
      <c r="F227" s="1121"/>
      <c r="G227" s="1121"/>
      <c r="H227" s="1121"/>
      <c r="I227" s="1121"/>
      <c r="J227" s="1121"/>
      <c r="K227" s="1121"/>
      <c r="L227" s="1121"/>
      <c r="M227" s="1121"/>
      <c r="N227" s="1121"/>
      <c r="O227" s="1121"/>
      <c r="P227" s="1121"/>
      <c r="Q227" s="1121"/>
      <c r="R227" s="1121"/>
      <c r="S227" s="1121"/>
      <c r="T227" s="1121"/>
      <c r="U227" s="1121"/>
      <c r="V227" s="1121"/>
      <c r="W227" s="1133"/>
      <c r="X227" s="1013"/>
      <c r="Y227" s="1130"/>
      <c r="Z227" s="1130"/>
      <c r="AA227" s="1130"/>
      <c r="AB227" s="1130"/>
    </row>
    <row r="228" spans="2:28" s="1112" customFormat="1" ht="12.75" customHeight="1">
      <c r="B228" s="1134" t="s">
        <v>809</v>
      </c>
      <c r="C228" s="1121">
        <f t="shared" ref="C228:V228" si="224">IF(ISERROR((C$217)/(1+1/$C$150)),0,((C$217)/(1+1/$C$150)))</f>
        <v>0</v>
      </c>
      <c r="D228" s="1121">
        <f t="shared" si="224"/>
        <v>0</v>
      </c>
      <c r="E228" s="1121">
        <f t="shared" si="224"/>
        <v>0</v>
      </c>
      <c r="F228" s="1121">
        <f t="shared" si="224"/>
        <v>0</v>
      </c>
      <c r="G228" s="1121">
        <f t="shared" si="224"/>
        <v>0</v>
      </c>
      <c r="H228" s="1121">
        <f t="shared" si="224"/>
        <v>0</v>
      </c>
      <c r="I228" s="1121">
        <f t="shared" si="224"/>
        <v>0</v>
      </c>
      <c r="J228" s="1121">
        <f t="shared" si="224"/>
        <v>0</v>
      </c>
      <c r="K228" s="1121">
        <f t="shared" si="224"/>
        <v>0</v>
      </c>
      <c r="L228" s="1121">
        <f t="shared" si="224"/>
        <v>0</v>
      </c>
      <c r="M228" s="1121">
        <f t="shared" si="224"/>
        <v>0</v>
      </c>
      <c r="N228" s="1121">
        <f t="shared" si="224"/>
        <v>0</v>
      </c>
      <c r="O228" s="1121">
        <f t="shared" si="224"/>
        <v>0</v>
      </c>
      <c r="P228" s="1121">
        <f t="shared" si="224"/>
        <v>0</v>
      </c>
      <c r="Q228" s="1121">
        <f t="shared" si="224"/>
        <v>0</v>
      </c>
      <c r="R228" s="1121">
        <f t="shared" si="224"/>
        <v>0</v>
      </c>
      <c r="S228" s="1121">
        <f t="shared" si="224"/>
        <v>0</v>
      </c>
      <c r="T228" s="1121">
        <f t="shared" si="224"/>
        <v>0</v>
      </c>
      <c r="U228" s="1121">
        <f t="shared" si="224"/>
        <v>0</v>
      </c>
      <c r="V228" s="1121">
        <f t="shared" si="224"/>
        <v>0</v>
      </c>
      <c r="W228" s="1123"/>
      <c r="X228" s="1013"/>
      <c r="Y228" s="1130"/>
      <c r="Z228" s="1130"/>
      <c r="AA228" s="1130"/>
      <c r="AB228" s="1130"/>
    </row>
    <row r="229" spans="2:28" s="1112" customFormat="1" ht="12.75" customHeight="1">
      <c r="B229" s="1134" t="s">
        <v>810</v>
      </c>
      <c r="C229" s="1121">
        <f t="shared" ref="C229:V229" si="225">IF(ISERROR(C$217-C$228),0,(C$217-C$228))</f>
        <v>0</v>
      </c>
      <c r="D229" s="1121">
        <f t="shared" si="225"/>
        <v>0</v>
      </c>
      <c r="E229" s="1121">
        <f t="shared" si="225"/>
        <v>0</v>
      </c>
      <c r="F229" s="1121">
        <f t="shared" si="225"/>
        <v>0</v>
      </c>
      <c r="G229" s="1121">
        <f t="shared" si="225"/>
        <v>0</v>
      </c>
      <c r="H229" s="1121">
        <f t="shared" si="225"/>
        <v>0</v>
      </c>
      <c r="I229" s="1121">
        <f t="shared" si="225"/>
        <v>0</v>
      </c>
      <c r="J229" s="1121">
        <f t="shared" si="225"/>
        <v>0</v>
      </c>
      <c r="K229" s="1121">
        <f t="shared" si="225"/>
        <v>0</v>
      </c>
      <c r="L229" s="1121">
        <f t="shared" si="225"/>
        <v>0</v>
      </c>
      <c r="M229" s="1121">
        <f t="shared" si="225"/>
        <v>0</v>
      </c>
      <c r="N229" s="1121">
        <f t="shared" si="225"/>
        <v>0</v>
      </c>
      <c r="O229" s="1121">
        <f t="shared" si="225"/>
        <v>0</v>
      </c>
      <c r="P229" s="1121">
        <f t="shared" si="225"/>
        <v>0</v>
      </c>
      <c r="Q229" s="1121">
        <f t="shared" si="225"/>
        <v>0</v>
      </c>
      <c r="R229" s="1121">
        <f t="shared" si="225"/>
        <v>0</v>
      </c>
      <c r="S229" s="1121">
        <f t="shared" si="225"/>
        <v>0</v>
      </c>
      <c r="T229" s="1121">
        <f t="shared" si="225"/>
        <v>0</v>
      </c>
      <c r="U229" s="1121">
        <f t="shared" si="225"/>
        <v>0</v>
      </c>
      <c r="V229" s="1121">
        <f t="shared" si="225"/>
        <v>0</v>
      </c>
      <c r="W229" s="1123"/>
      <c r="X229" s="1013"/>
      <c r="Y229" s="1130"/>
      <c r="Z229" s="1130"/>
      <c r="AA229" s="1130"/>
      <c r="AB229" s="1130"/>
    </row>
    <row r="230" spans="2:28" s="1112" customFormat="1" ht="12.75" customHeight="1">
      <c r="B230" s="1127"/>
      <c r="C230" s="1121"/>
      <c r="D230" s="1121"/>
      <c r="E230" s="1121"/>
      <c r="F230" s="1121"/>
      <c r="G230" s="1121"/>
      <c r="H230" s="1121"/>
      <c r="I230" s="1121"/>
      <c r="J230" s="1121"/>
      <c r="K230" s="1121"/>
      <c r="L230" s="1121"/>
      <c r="M230" s="1121"/>
      <c r="N230" s="1121"/>
      <c r="O230" s="1121"/>
      <c r="P230" s="1121"/>
      <c r="Q230" s="1121"/>
      <c r="R230" s="1121"/>
      <c r="S230" s="1121"/>
      <c r="T230" s="1121"/>
      <c r="U230" s="1121"/>
      <c r="V230" s="1121"/>
      <c r="W230" s="1120"/>
      <c r="X230" s="1119"/>
    </row>
    <row r="231" spans="2:28" s="1112" customFormat="1" ht="12.75" customHeight="1">
      <c r="B231" s="1131" t="s">
        <v>777</v>
      </c>
      <c r="C231" s="1121"/>
      <c r="D231" s="1121"/>
      <c r="E231" s="1121"/>
      <c r="F231" s="1121"/>
      <c r="G231" s="1121"/>
      <c r="H231" s="1121"/>
      <c r="I231" s="1121"/>
      <c r="J231" s="1121"/>
      <c r="K231" s="1121"/>
      <c r="L231" s="1121"/>
      <c r="M231" s="1121"/>
      <c r="N231" s="1121"/>
      <c r="O231" s="1121"/>
      <c r="P231" s="1121"/>
      <c r="Q231" s="1121"/>
      <c r="R231" s="1121"/>
      <c r="S231" s="1121"/>
      <c r="T231" s="1121"/>
      <c r="U231" s="1121"/>
      <c r="V231" s="1121"/>
      <c r="W231" s="1120"/>
      <c r="X231" s="1119"/>
    </row>
    <row r="232" spans="2:28" s="1112" customFormat="1" ht="12.75" customHeight="1">
      <c r="B232" s="1109" t="s">
        <v>811</v>
      </c>
      <c r="C232" s="1121">
        <f t="shared" ref="C232:V232" si="226">IF(ISERROR(C$228*$C$151),0,(C$228*$C$151))</f>
        <v>0</v>
      </c>
      <c r="D232" s="1121">
        <f t="shared" si="226"/>
        <v>0</v>
      </c>
      <c r="E232" s="1121">
        <f t="shared" si="226"/>
        <v>0</v>
      </c>
      <c r="F232" s="1121">
        <f t="shared" si="226"/>
        <v>0</v>
      </c>
      <c r="G232" s="1121">
        <f t="shared" si="226"/>
        <v>0</v>
      </c>
      <c r="H232" s="1121">
        <f t="shared" si="226"/>
        <v>0</v>
      </c>
      <c r="I232" s="1121">
        <f t="shared" si="226"/>
        <v>0</v>
      </c>
      <c r="J232" s="1121">
        <f t="shared" si="226"/>
        <v>0</v>
      </c>
      <c r="K232" s="1121">
        <f t="shared" si="226"/>
        <v>0</v>
      </c>
      <c r="L232" s="1121">
        <f t="shared" si="226"/>
        <v>0</v>
      </c>
      <c r="M232" s="1121">
        <f t="shared" si="226"/>
        <v>0</v>
      </c>
      <c r="N232" s="1121">
        <f t="shared" si="226"/>
        <v>0</v>
      </c>
      <c r="O232" s="1121">
        <f t="shared" si="226"/>
        <v>0</v>
      </c>
      <c r="P232" s="1121">
        <f t="shared" si="226"/>
        <v>0</v>
      </c>
      <c r="Q232" s="1121">
        <f t="shared" si="226"/>
        <v>0</v>
      </c>
      <c r="R232" s="1121">
        <f t="shared" si="226"/>
        <v>0</v>
      </c>
      <c r="S232" s="1121">
        <f t="shared" si="226"/>
        <v>0</v>
      </c>
      <c r="T232" s="1121">
        <f t="shared" si="226"/>
        <v>0</v>
      </c>
      <c r="U232" s="1121">
        <f t="shared" si="226"/>
        <v>0</v>
      </c>
      <c r="V232" s="1121">
        <f t="shared" si="226"/>
        <v>0</v>
      </c>
      <c r="W232" s="1133"/>
      <c r="X232" s="1013"/>
      <c r="Y232" s="1130"/>
      <c r="Z232" s="1130"/>
      <c r="AA232" s="1130"/>
      <c r="AB232" s="1130"/>
    </row>
    <row r="233" spans="2:28" s="1112" customFormat="1" ht="12.75" customHeight="1">
      <c r="B233" s="1114"/>
      <c r="C233" s="1121"/>
      <c r="D233" s="1121"/>
      <c r="E233" s="1121"/>
      <c r="F233" s="1121"/>
      <c r="G233" s="1121"/>
      <c r="H233" s="1121"/>
      <c r="I233" s="1121"/>
      <c r="J233" s="1121"/>
      <c r="K233" s="1121"/>
      <c r="L233" s="1121"/>
      <c r="M233" s="1121"/>
      <c r="N233" s="1121"/>
      <c r="O233" s="1121"/>
      <c r="P233" s="1121"/>
      <c r="Q233" s="1121"/>
      <c r="R233" s="1121"/>
      <c r="S233" s="1121"/>
      <c r="T233" s="1121"/>
      <c r="U233" s="1121"/>
      <c r="V233" s="1121"/>
      <c r="W233" s="1133"/>
      <c r="X233" s="1013"/>
      <c r="Y233" s="1130"/>
      <c r="Z233" s="1130"/>
      <c r="AA233" s="1130"/>
      <c r="AB233" s="1130"/>
    </row>
    <row r="234" spans="2:28" s="1112" customFormat="1" ht="12.75" customHeight="1">
      <c r="B234" s="1134" t="s">
        <v>779</v>
      </c>
      <c r="C234" s="1121"/>
      <c r="D234" s="1121"/>
      <c r="E234" s="1121"/>
      <c r="F234" s="1121"/>
      <c r="G234" s="1121"/>
      <c r="H234" s="1121"/>
      <c r="I234" s="1121"/>
      <c r="J234" s="1121"/>
      <c r="K234" s="1121"/>
      <c r="L234" s="1121"/>
      <c r="M234" s="1121"/>
      <c r="N234" s="1121"/>
      <c r="O234" s="1121"/>
      <c r="P234" s="1121"/>
      <c r="Q234" s="1121"/>
      <c r="R234" s="1121"/>
      <c r="S234" s="1121"/>
      <c r="T234" s="1121"/>
      <c r="U234" s="1121"/>
      <c r="V234" s="1121"/>
      <c r="W234" s="1133"/>
      <c r="X234" s="1013"/>
      <c r="Y234" s="1130"/>
      <c r="Z234" s="1130"/>
      <c r="AA234" s="1130"/>
      <c r="AB234" s="1130"/>
    </row>
    <row r="235" spans="2:28" s="1112" customFormat="1" ht="12.75" customHeight="1">
      <c r="B235" s="1131" t="s">
        <v>812</v>
      </c>
      <c r="C235" s="1121">
        <f>(IF(C$98="E",IF($E$215=0,0,IF(C$236=0,C$237,C$236)),0))*$V$23</f>
        <v>0</v>
      </c>
      <c r="D235" s="1121"/>
      <c r="E235" s="1121"/>
      <c r="F235" s="1121"/>
      <c r="G235" s="1121"/>
      <c r="H235" s="1121"/>
      <c r="I235" s="1121"/>
      <c r="J235" s="1121"/>
      <c r="K235" s="1121"/>
      <c r="L235" s="1121"/>
      <c r="M235" s="1121"/>
      <c r="N235" s="1121"/>
      <c r="O235" s="1121"/>
      <c r="P235" s="1121"/>
      <c r="Q235" s="1121"/>
      <c r="R235" s="1121"/>
      <c r="S235" s="1121"/>
      <c r="T235" s="1121"/>
      <c r="U235" s="1121"/>
      <c r="V235" s="1121"/>
      <c r="W235" s="1133"/>
      <c r="X235" s="1013"/>
      <c r="Y235" s="1130"/>
      <c r="Z235" s="1130"/>
      <c r="AA235" s="1130"/>
      <c r="AB235" s="1130"/>
    </row>
    <row r="236" spans="2:28" s="1112" customFormat="1" ht="12.75" hidden="1" customHeight="1">
      <c r="B236" s="1131"/>
      <c r="C236" s="1121">
        <f>IF(OR(ISERROR(0),0="NA"),0,0)</f>
        <v>0</v>
      </c>
      <c r="D236" s="1121"/>
      <c r="E236" s="1121"/>
      <c r="F236" s="1121"/>
      <c r="G236" s="1121"/>
      <c r="H236" s="1121"/>
      <c r="I236" s="1121"/>
      <c r="J236" s="1121"/>
      <c r="K236" s="1121"/>
      <c r="L236" s="1121"/>
      <c r="M236" s="1121"/>
      <c r="N236" s="1121"/>
      <c r="O236" s="1121"/>
      <c r="P236" s="1121"/>
      <c r="Q236" s="1121"/>
      <c r="R236" s="1121"/>
      <c r="S236" s="1121"/>
      <c r="T236" s="1121"/>
      <c r="U236" s="1121"/>
      <c r="V236" s="1121"/>
      <c r="W236" s="1133"/>
      <c r="X236" s="1013"/>
      <c r="Y236" s="1130"/>
      <c r="Z236" s="1130"/>
      <c r="AA236" s="1130"/>
      <c r="AB236" s="1130"/>
    </row>
    <row r="237" spans="2:28" s="1112" customFormat="1" ht="12.75" hidden="1" customHeight="1">
      <c r="B237" s="1131"/>
      <c r="C237" s="1121">
        <f>SUM(C238:C239)</f>
        <v>0</v>
      </c>
      <c r="D237" s="1121"/>
      <c r="E237" s="1121"/>
      <c r="F237" s="1121"/>
      <c r="G237" s="1121"/>
      <c r="H237" s="1121"/>
      <c r="I237" s="1121"/>
      <c r="J237" s="1121"/>
      <c r="K237" s="1121"/>
      <c r="L237" s="1121"/>
      <c r="M237" s="1121"/>
      <c r="N237" s="1121"/>
      <c r="O237" s="1121"/>
      <c r="P237" s="1121"/>
      <c r="Q237" s="1121"/>
      <c r="R237" s="1121"/>
      <c r="S237" s="1121"/>
      <c r="T237" s="1121"/>
      <c r="U237" s="1121"/>
      <c r="V237" s="1121"/>
      <c r="W237" s="1133"/>
      <c r="X237" s="1013"/>
      <c r="Y237" s="1130"/>
      <c r="Z237" s="1130"/>
      <c r="AA237" s="1130"/>
      <c r="AB237" s="1130"/>
    </row>
    <row r="238" spans="2:28" s="1112" customFormat="1" ht="12.75" hidden="1" customHeight="1">
      <c r="B238" s="1131"/>
      <c r="C238" s="1121">
        <f>IF(OR(ISERROR(0),0="NA"),0,0)</f>
        <v>0</v>
      </c>
      <c r="D238" s="1121"/>
      <c r="E238" s="1121"/>
      <c r="F238" s="1121"/>
      <c r="G238" s="1121"/>
      <c r="H238" s="1121"/>
      <c r="I238" s="1121"/>
      <c r="J238" s="1121"/>
      <c r="K238" s="1121"/>
      <c r="L238" s="1121"/>
      <c r="M238" s="1121"/>
      <c r="N238" s="1121"/>
      <c r="O238" s="1121"/>
      <c r="P238" s="1121"/>
      <c r="Q238" s="1121"/>
      <c r="R238" s="1121"/>
      <c r="S238" s="1121"/>
      <c r="T238" s="1121"/>
      <c r="U238" s="1121"/>
      <c r="V238" s="1121"/>
      <c r="W238" s="1133"/>
      <c r="X238" s="1013"/>
      <c r="Y238" s="1130"/>
      <c r="Z238" s="1130"/>
      <c r="AA238" s="1130"/>
      <c r="AB238" s="1130"/>
    </row>
    <row r="239" spans="2:28" s="1112" customFormat="1" ht="12.75" hidden="1" customHeight="1">
      <c r="B239" s="1131"/>
      <c r="C239" s="1121">
        <f>IF(OR(ISERROR(0),0="NA"),0,0)</f>
        <v>0</v>
      </c>
      <c r="D239" s="1121"/>
      <c r="E239" s="1121"/>
      <c r="F239" s="1121"/>
      <c r="G239" s="1121"/>
      <c r="H239" s="1121"/>
      <c r="I239" s="1121"/>
      <c r="J239" s="1121"/>
      <c r="K239" s="1121"/>
      <c r="L239" s="1121"/>
      <c r="M239" s="1121"/>
      <c r="N239" s="1121"/>
      <c r="O239" s="1121"/>
      <c r="P239" s="1121"/>
      <c r="Q239" s="1121"/>
      <c r="R239" s="1121"/>
      <c r="S239" s="1121"/>
      <c r="T239" s="1121"/>
      <c r="U239" s="1121"/>
      <c r="V239" s="1121"/>
      <c r="W239" s="1133"/>
      <c r="X239" s="1013"/>
      <c r="Y239" s="1130"/>
      <c r="Z239" s="1130"/>
      <c r="AA239" s="1130"/>
      <c r="AB239" s="1130"/>
    </row>
    <row r="240" spans="2:28" s="1112" customFormat="1" ht="12.75" customHeight="1">
      <c r="B240" s="1134" t="s">
        <v>809</v>
      </c>
      <c r="C240" s="1121">
        <f>IF(ISERROR((C$235)/(1+1/$C$150)),0,((C$235)/(1+1/$C$150)))</f>
        <v>0</v>
      </c>
      <c r="D240" s="1121"/>
      <c r="E240" s="1121"/>
      <c r="F240" s="1121"/>
      <c r="G240" s="1121"/>
      <c r="H240" s="1121"/>
      <c r="I240" s="1121"/>
      <c r="J240" s="1121"/>
      <c r="K240" s="1121"/>
      <c r="L240" s="1121"/>
      <c r="M240" s="1121"/>
      <c r="N240" s="1121"/>
      <c r="O240" s="1121"/>
      <c r="P240" s="1121"/>
      <c r="Q240" s="1121"/>
      <c r="R240" s="1121"/>
      <c r="S240" s="1121"/>
      <c r="T240" s="1121"/>
      <c r="U240" s="1121"/>
      <c r="V240" s="1121"/>
      <c r="W240" s="1133"/>
      <c r="X240" s="1013"/>
      <c r="Y240" s="1130"/>
      <c r="Z240" s="1130"/>
      <c r="AA240" s="1130"/>
      <c r="AB240" s="1130"/>
    </row>
    <row r="241" spans="1:28" s="1112" customFormat="1" ht="12.75" customHeight="1">
      <c r="B241" s="1131" t="s">
        <v>813</v>
      </c>
      <c r="C241" s="1121">
        <f>IF(ISERROR(C$235-C$240),0,(C$235-C$240))</f>
        <v>0</v>
      </c>
      <c r="D241" s="1121"/>
      <c r="E241" s="1121"/>
      <c r="F241" s="1121"/>
      <c r="G241" s="1121"/>
      <c r="H241" s="1121"/>
      <c r="I241" s="1121"/>
      <c r="J241" s="1121"/>
      <c r="K241" s="1121"/>
      <c r="L241" s="1121"/>
      <c r="M241" s="1121"/>
      <c r="N241" s="1121"/>
      <c r="O241" s="1121"/>
      <c r="P241" s="1121"/>
      <c r="Q241" s="1121"/>
      <c r="R241" s="1121"/>
      <c r="S241" s="1121"/>
      <c r="T241" s="1121"/>
      <c r="U241" s="1121"/>
      <c r="V241" s="1121"/>
      <c r="W241" s="1133"/>
      <c r="X241" s="1013"/>
      <c r="Y241" s="1130"/>
      <c r="Z241" s="1130"/>
      <c r="AA241" s="1130"/>
      <c r="AB241" s="1130"/>
    </row>
    <row r="242" spans="1:28" s="1112" customFormat="1" ht="12.75" customHeight="1">
      <c r="B242" s="1127"/>
      <c r="C242" s="1121"/>
      <c r="D242" s="1121"/>
      <c r="E242" s="1121"/>
      <c r="F242" s="1121"/>
      <c r="G242" s="1121"/>
      <c r="H242" s="1121"/>
      <c r="I242" s="1121"/>
      <c r="J242" s="1121"/>
      <c r="K242" s="1121"/>
      <c r="L242" s="1121"/>
      <c r="M242" s="1121"/>
      <c r="N242" s="1121"/>
      <c r="O242" s="1121"/>
      <c r="P242" s="1121"/>
      <c r="Q242" s="1121"/>
      <c r="R242" s="1121"/>
      <c r="S242" s="1121"/>
      <c r="T242" s="1121"/>
      <c r="U242" s="1121"/>
      <c r="V242" s="1121"/>
      <c r="W242" s="1133"/>
      <c r="X242" s="1013"/>
      <c r="Y242" s="1130"/>
      <c r="Z242" s="1130"/>
      <c r="AA242" s="1130"/>
      <c r="AB242" s="1130"/>
    </row>
    <row r="243" spans="1:28" s="1112" customFormat="1" ht="12.75" customHeight="1">
      <c r="B243" s="1140" t="s">
        <v>814</v>
      </c>
      <c r="C243" s="1121">
        <f>IF(ISERROR($E$155+$E$190+$E$215),0,($E$155+$E$190+$E$215))</f>
        <v>0</v>
      </c>
      <c r="D243" s="1121"/>
      <c r="E243" s="1121"/>
      <c r="F243" s="1121"/>
      <c r="G243" s="1121"/>
      <c r="H243" s="1121"/>
      <c r="I243" s="1121"/>
      <c r="J243" s="1121"/>
      <c r="K243" s="1121"/>
      <c r="L243" s="1121"/>
      <c r="M243" s="1121"/>
      <c r="N243" s="1121"/>
      <c r="O243" s="1121"/>
      <c r="P243" s="1121"/>
      <c r="Q243" s="1121"/>
      <c r="R243" s="1121"/>
      <c r="S243" s="1121"/>
      <c r="T243" s="1121"/>
      <c r="U243" s="1121"/>
      <c r="V243" s="1121"/>
      <c r="W243" s="1133"/>
      <c r="X243" s="1013"/>
      <c r="Y243" s="1130"/>
      <c r="Z243" s="1130"/>
      <c r="AA243" s="1130"/>
      <c r="AB243" s="1130"/>
    </row>
    <row r="244" spans="1:28" s="1112" customFormat="1" ht="12.75" customHeight="1">
      <c r="B244" s="1141" t="s">
        <v>815</v>
      </c>
      <c r="C244" s="1121">
        <f>IF(ISERROR($C$184+$C$209+$C$240),0,($C$184+$C$209+$C$240))</f>
        <v>0</v>
      </c>
      <c r="D244" s="1121"/>
      <c r="E244" s="1121"/>
      <c r="F244" s="1121"/>
      <c r="G244" s="1121"/>
      <c r="H244" s="1121"/>
      <c r="I244" s="1121"/>
      <c r="J244" s="1121"/>
      <c r="K244" s="1121"/>
      <c r="L244" s="1121"/>
      <c r="M244" s="1121"/>
      <c r="N244" s="1121"/>
      <c r="O244" s="1121"/>
      <c r="P244" s="1121"/>
      <c r="Q244" s="1121"/>
      <c r="R244" s="1121"/>
      <c r="S244" s="1121"/>
      <c r="T244" s="1121"/>
      <c r="U244" s="1121"/>
      <c r="V244" s="1121"/>
      <c r="W244" s="1133"/>
      <c r="X244" s="1013"/>
      <c r="Y244" s="1130"/>
      <c r="Z244" s="1130"/>
      <c r="AA244" s="1130"/>
      <c r="AB244" s="1130"/>
    </row>
    <row r="245" spans="1:28" s="1112" customFormat="1" ht="12.75" customHeight="1">
      <c r="B245" s="1142" t="s">
        <v>816</v>
      </c>
      <c r="C245" s="1143">
        <f>IF(ISERROR($C$185+$C$210+$C$241),0,($C$185+$C$210+$C$241))</f>
        <v>0</v>
      </c>
      <c r="D245" s="1121"/>
      <c r="E245" s="1121"/>
      <c r="F245" s="1121"/>
      <c r="G245" s="1121"/>
      <c r="H245" s="1121"/>
      <c r="I245" s="1121"/>
      <c r="J245" s="1121"/>
      <c r="K245" s="1121"/>
      <c r="L245" s="1121"/>
      <c r="M245" s="1121"/>
      <c r="N245" s="1121"/>
      <c r="O245" s="1121"/>
      <c r="P245" s="1121"/>
      <c r="Q245" s="1121"/>
      <c r="R245" s="1121"/>
      <c r="S245" s="1121"/>
      <c r="T245" s="1121"/>
      <c r="U245" s="1121"/>
      <c r="V245" s="1121"/>
      <c r="W245" s="1133"/>
      <c r="X245" s="1013"/>
      <c r="Y245" s="1130"/>
      <c r="Z245" s="1130"/>
      <c r="AA245" s="1130"/>
      <c r="AB245" s="1130"/>
    </row>
    <row r="246" spans="1:28" s="1112" customFormat="1" ht="12.75" customHeight="1">
      <c r="D246" s="1136"/>
      <c r="E246" s="1137"/>
      <c r="F246" s="1136"/>
      <c r="G246" s="1136"/>
      <c r="H246" s="1136"/>
      <c r="I246" s="1136"/>
      <c r="J246" s="1136"/>
      <c r="K246" s="1136"/>
      <c r="L246" s="1136"/>
      <c r="M246" s="1130"/>
      <c r="N246" s="1130"/>
      <c r="O246" s="1130"/>
      <c r="P246" s="1130"/>
      <c r="Q246" s="1130"/>
      <c r="R246" s="1130"/>
      <c r="S246" s="1130"/>
      <c r="T246" s="1130"/>
      <c r="U246" s="1130"/>
      <c r="V246" s="1130"/>
      <c r="W246" s="1144"/>
      <c r="X246" s="1013"/>
      <c r="Y246" s="1130"/>
      <c r="Z246" s="1130"/>
      <c r="AA246" s="1130"/>
      <c r="AB246" s="1130"/>
    </row>
    <row r="247" spans="1:28" s="1112" customFormat="1" ht="12.75" customHeight="1">
      <c r="A247" s="1107" t="s">
        <v>817</v>
      </c>
      <c r="B247" s="1145" t="s">
        <v>818</v>
      </c>
      <c r="C247" s="1146"/>
      <c r="D247" s="1136"/>
      <c r="E247" s="1137"/>
      <c r="F247" s="1136"/>
      <c r="G247" s="1136"/>
      <c r="H247" s="1136"/>
      <c r="I247" s="1136"/>
      <c r="J247" s="1136"/>
      <c r="K247" s="1136"/>
      <c r="L247" s="1136"/>
      <c r="M247" s="1130"/>
      <c r="N247" s="1130"/>
      <c r="O247" s="1130"/>
      <c r="P247" s="1130"/>
      <c r="Q247" s="1130"/>
      <c r="R247" s="1130"/>
      <c r="S247" s="1130"/>
      <c r="T247" s="1130"/>
      <c r="U247" s="1130"/>
      <c r="V247" s="1130"/>
      <c r="W247" s="1144"/>
      <c r="X247" s="1013"/>
      <c r="Y247" s="1130"/>
      <c r="Z247" s="1130"/>
      <c r="AA247" s="1130"/>
      <c r="AB247" s="1130"/>
    </row>
    <row r="248" spans="1:28" s="1112" customFormat="1">
      <c r="B248" s="1147"/>
      <c r="C248" s="1146"/>
      <c r="D248" s="1136"/>
      <c r="E248" s="1137"/>
      <c r="F248" s="1136"/>
      <c r="G248" s="1136"/>
      <c r="H248" s="1136"/>
      <c r="I248" s="1136"/>
      <c r="J248" s="1136"/>
      <c r="K248" s="1136"/>
      <c r="L248" s="1136"/>
      <c r="M248" s="1130"/>
      <c r="N248" s="1130"/>
      <c r="O248" s="1130"/>
      <c r="P248" s="1130"/>
      <c r="Q248" s="1130"/>
      <c r="R248" s="1130"/>
      <c r="S248" s="1130"/>
      <c r="T248" s="1130"/>
      <c r="U248" s="1130"/>
      <c r="V248" s="1130"/>
      <c r="W248" s="1144"/>
      <c r="X248" s="1013"/>
      <c r="Y248" s="1130"/>
      <c r="Z248" s="1130"/>
      <c r="AA248" s="1130"/>
      <c r="AB248" s="1130"/>
    </row>
    <row r="249" spans="1:28" s="1112" customFormat="1">
      <c r="B249" s="1148" t="s">
        <v>819</v>
      </c>
      <c r="C249" s="1149"/>
      <c r="D249" s="1136"/>
      <c r="E249" s="1137"/>
      <c r="F249" s="1136"/>
      <c r="G249" s="1136"/>
      <c r="H249" s="1136"/>
      <c r="I249" s="1136"/>
      <c r="J249" s="1136"/>
      <c r="K249" s="1136"/>
      <c r="L249" s="1136"/>
      <c r="M249" s="1130"/>
      <c r="N249" s="1130"/>
      <c r="O249" s="1130"/>
      <c r="P249" s="1130"/>
      <c r="Q249" s="1130"/>
      <c r="R249" s="1130"/>
      <c r="S249" s="1130"/>
      <c r="T249" s="1130"/>
      <c r="U249" s="1130"/>
      <c r="V249" s="1130"/>
      <c r="W249" s="1144"/>
      <c r="X249" s="1013"/>
      <c r="Y249" s="1130"/>
      <c r="Z249" s="1130"/>
      <c r="AA249" s="1130"/>
      <c r="AB249" s="1130"/>
    </row>
    <row r="250" spans="1:28">
      <c r="B250" s="1150" t="s">
        <v>820</v>
      </c>
      <c r="C250" s="1151"/>
    </row>
    <row r="251" spans="1:28">
      <c r="B251" s="1148" t="s">
        <v>821</v>
      </c>
      <c r="C251" s="1152">
        <f>C249*C250</f>
        <v>0</v>
      </c>
    </row>
    <row r="252" spans="1:28">
      <c r="B252" s="845" t="s">
        <v>822</v>
      </c>
      <c r="C252" s="1149">
        <f>C249</f>
        <v>0</v>
      </c>
    </row>
    <row r="272" spans="2:24" s="1156" customFormat="1" ht="22.5" customHeight="1">
      <c r="B272" s="1153" t="s">
        <v>823</v>
      </c>
      <c r="C272" s="1154" t="str">
        <f>IF(C98="E",$C$339,IF(C98="T",$C$340,$C$341))</f>
        <v>Explicit
 Period</v>
      </c>
      <c r="D272" s="1154" t="str">
        <f>IF(C272=$C$340,$C$341,IF(ISNUMBER(MATCH(IF(D98="E",$C$339,$C$340),$C272:C272,FALSE)),"",IF(D98="E",$C$339,$C$340)))</f>
        <v/>
      </c>
      <c r="E272" s="1154" t="str">
        <f>IF(D272=$C$340,$C$341,IF(ISNUMBER(MATCH(IF(E98="E",$C$339,$C$340),$C272:D272,FALSE)),"",IF(E98="E",$C$339,$C$340)))</f>
        <v/>
      </c>
      <c r="F272" s="1154" t="str">
        <f>IF(E272=$C$340,$C$341,IF(ISNUMBER(MATCH(IF(F98="E",$C$339,$C$340),$C272:E272,FALSE)),"",IF(F98="E",$C$339,$C$340)))</f>
        <v/>
      </c>
      <c r="G272" s="1154" t="str">
        <f>IF(F272=$C$340,$C$341,IF(ISNUMBER(MATCH(IF(G98="E",$C$339,$C$340),$C272:F272,FALSE)),"",IF(G98="E",$C$339,$C$340)))</f>
        <v>Transition
 Period</v>
      </c>
      <c r="H272" s="1154" t="str">
        <f>IF(G272=$C$340,$C$341,IF(ISNUMBER(MATCH(IF(H98="E",$C$339,$C$340),$C272:G272,FALSE)),"",IF(H98="E",$C$339,$C$340)))</f>
        <v>Steady 
State</v>
      </c>
      <c r="I272" s="1154" t="str">
        <f>IF(H272=$C$340,$C$341,IF(ISNUMBER(MATCH(IF(I98="E",$C$339,$C$340),$C272:H272,FALSE)),"",IF(I98="E",$C$339,$C$340)))</f>
        <v/>
      </c>
      <c r="J272" s="1154" t="str">
        <f>IF(I272=$C$340,$C$341,IF(ISNUMBER(MATCH(IF(J98="E",$C$339,$C$340),$C272:I272,FALSE)),"",IF(J98="E",$C$339,$C$340)))</f>
        <v/>
      </c>
      <c r="K272" s="1154" t="str">
        <f>IF(J272=$C$340,$C$341,IF(ISNUMBER(MATCH(IF(K98="E",$C$339,$C$340),$C272:J272,FALSE)),"",IF(K98="E",$C$339,$C$340)))</f>
        <v/>
      </c>
      <c r="L272" s="1154" t="str">
        <f>IF(K272=$C$340,$C$341,IF(ISNUMBER(MATCH(IF(L98="E",$C$339,$C$340),$C272:K272,FALSE)),"",IF(L98="E",$C$339,$C$340)))</f>
        <v/>
      </c>
      <c r="M272" s="1154" t="str">
        <f>IF(L272=$C$340,$C$341,IF(ISNUMBER(MATCH(IF(M98="E",$C$339,$C$340),$C272:L272,FALSE)),"",IF(M98="E",$C$339,$C$340)))</f>
        <v/>
      </c>
      <c r="N272" s="1154" t="str">
        <f>IF(M272=$C$340,$C$341,IF(ISNUMBER(MATCH(IF(N98="E",$C$339,$C$340),$C272:M272,FALSE)),"",IF(N98="E",$C$339,$C$340)))</f>
        <v/>
      </c>
      <c r="O272" s="1154" t="str">
        <f>IF(N272=$C$340,$C$341,IF(ISNUMBER(MATCH(IF(O98="E",$C$339,$C$340),$C272:N272,FALSE)),"",IF(O98="E",$C$339,$C$340)))</f>
        <v/>
      </c>
      <c r="P272" s="1154" t="str">
        <f>IF(O272=$C$340,$C$341,IF(ISNUMBER(MATCH(IF(P98="E",$C$339,$C$340),$C272:O272,FALSE)),"",IF(P98="E",$C$339,$C$340)))</f>
        <v/>
      </c>
      <c r="Q272" s="1154" t="str">
        <f>IF(P272=$C$340,$C$341,IF(ISNUMBER(MATCH(IF(Q98="E",$C$339,$C$340),$C272:P272,FALSE)),"",IF(Q98="E",$C$339,$C$340)))</f>
        <v/>
      </c>
      <c r="R272" s="1154" t="str">
        <f>IF(Q272=$C$340,$C$341,IF(ISNUMBER(MATCH(IF(R98="E",$C$339,$C$340),$C272:Q272,FALSE)),"",IF(R98="E",$C$339,$C$340)))</f>
        <v/>
      </c>
      <c r="S272" s="1154" t="str">
        <f>IF(R272=$C$340,$C$341,IF(ISNUMBER(MATCH(IF(S98="E",$C$339,$C$340),$C272:R272,FALSE)),"",IF(S98="E",$C$339,$C$340)))</f>
        <v/>
      </c>
      <c r="T272" s="1154" t="str">
        <f>IF(S272=$C$340,$C$341,IF(ISNUMBER(MATCH(IF(T98="E",$C$339,$C$340),$C272:S272,FALSE)),"",IF(T98="E",$C$339,$C$340)))</f>
        <v/>
      </c>
      <c r="U272" s="1154" t="str">
        <f>IF(T272=$C$340,$C$341,IF(ISNUMBER(MATCH(IF(U98="E",$C$339,$C$340),$C272:T272,FALSE)),"",IF(U98="E",$C$339,$C$340)))</f>
        <v/>
      </c>
      <c r="V272" s="1154" t="str">
        <f>IF(U272=$C$340,$C$341,IF(ISNUMBER(MATCH(IF(V98="E",$C$339,$C$340),$C272:U272,FALSE)),"",IF(V98="E",$C$339,$C$340)))</f>
        <v/>
      </c>
      <c r="W272" s="1155"/>
      <c r="X272" s="856"/>
    </row>
    <row r="273" spans="2:252" s="835" customFormat="1" ht="12" thickBot="1">
      <c r="C273" s="1157" t="str">
        <f>IF(C98="E","E",IF(C98="T","T","S"))</f>
        <v>E</v>
      </c>
      <c r="D273" s="1157" t="str">
        <f>IF(D98="E","E",IF(C273="T","S",IF(ISNUMBER(MATCH(IF(D98="E","E","T"),$C273:C273,FALSE)),"",IF(D98="E","E","T"))))</f>
        <v>E</v>
      </c>
      <c r="E273" s="1157" t="str">
        <f>IF(E98="E","E",IF(D273="T","S",IF(ISNUMBER(MATCH(IF(E98="E","E","T"),$C273:D273,FALSE)),"",IF(E98="E","E","T"))))</f>
        <v>E</v>
      </c>
      <c r="F273" s="1157" t="str">
        <f>IF(F98="E","E",IF(E273="T","S",IF(ISNUMBER(MATCH(IF(F98="E","E","T"),$C273:E273,FALSE)),"",IF(F98="E","E","T"))))</f>
        <v>E</v>
      </c>
      <c r="G273" s="1157" t="str">
        <f>IF(G98="E","E",IF(F273="T","S",IF(ISNUMBER(MATCH(IF(G98="E","E","T"),$C273:F273,FALSE)),"",IF(G98="E","E","T"))))</f>
        <v>T</v>
      </c>
      <c r="H273" s="1157" t="str">
        <f>IF(H98="E","E",IF(G273="T","S",IF(ISNUMBER(MATCH(IF(H98="E","E","T"),$C273:G273,FALSE)),"",IF(H98="E","E","T"))))</f>
        <v>S</v>
      </c>
      <c r="I273" s="1157" t="str">
        <f>IF(I98="E","E",IF(H273="T","S",IF(ISNUMBER(MATCH(IF(I98="E","E","T"),$C273:H273,FALSE)),"",IF(I98="E","E","T"))))</f>
        <v/>
      </c>
      <c r="J273" s="1157" t="str">
        <f>IF(J98="E","E",IF(I273="T","S",IF(ISNUMBER(MATCH(IF(J98="E","E","T"),$C273:I273,FALSE)),"",IF(J98="E","E","T"))))</f>
        <v/>
      </c>
      <c r="K273" s="1157" t="str">
        <f>IF(K98="E","E",IF(J273="T","S",IF(ISNUMBER(MATCH(IF(K98="E","E","T"),$C273:J273,FALSE)),"",IF(K98="E","E","T"))))</f>
        <v/>
      </c>
      <c r="L273" s="1157" t="str">
        <f>IF(L98="E","E",IF(K273="T","S",IF(ISNUMBER(MATCH(IF(L98="E","E","T"),$C273:K273,FALSE)),"",IF(L98="E","E","T"))))</f>
        <v/>
      </c>
      <c r="M273" s="1157" t="str">
        <f>IF(M98="E","E",IF(L273="T","S",IF(ISNUMBER(MATCH(IF(M98="E","E","T"),$C273:L273,FALSE)),"",IF(M98="E","E","T"))))</f>
        <v/>
      </c>
      <c r="N273" s="1157" t="str">
        <f>IF(N98="E","E",IF(M273="T","S",IF(ISNUMBER(MATCH(IF(N98="E","E","T"),$C273:M273,FALSE)),"",IF(N98="E","E","T"))))</f>
        <v/>
      </c>
      <c r="O273" s="1157" t="str">
        <f>IF(O98="E","E",IF(N273="T","S",IF(ISNUMBER(MATCH(IF(O98="E","E","T"),$C273:N273,FALSE)),"",IF(O98="E","E","T"))))</f>
        <v/>
      </c>
      <c r="P273" s="1157" t="str">
        <f>IF(P98="E","E",IF(O273="T","S",IF(ISNUMBER(MATCH(IF(P98="E","E","T"),$C273:O273,FALSE)),"",IF(P98="E","E","T"))))</f>
        <v/>
      </c>
      <c r="Q273" s="1157" t="str">
        <f>IF(Q98="E","E",IF(P273="T","S",IF(ISNUMBER(MATCH(IF(Q98="E","E","T"),$C273:P273,FALSE)),"",IF(Q98="E","E","T"))))</f>
        <v/>
      </c>
      <c r="R273" s="1157" t="str">
        <f>IF(R98="E","E",IF(Q273="T","S",IF(ISNUMBER(MATCH(IF(R98="E","E","T"),$C273:Q273,FALSE)),"",IF(R98="E","E","T"))))</f>
        <v/>
      </c>
      <c r="S273" s="1157" t="str">
        <f>IF(S98="E","E",IF(R273="T","S",IF(ISNUMBER(MATCH(IF(S98="E","E","T"),$C273:R273,FALSE)),"",IF(S98="E","E","T"))))</f>
        <v/>
      </c>
      <c r="T273" s="1157" t="str">
        <f>IF(T98="E","E",IF(S273="T","S",IF(ISNUMBER(MATCH(IF(T98="E","E","T"),$C273:S273,FALSE)),"",IF(T98="E","E","T"))))</f>
        <v/>
      </c>
      <c r="U273" s="1157" t="str">
        <f>IF(U98="E","E",IF(T273="T","S",IF(ISNUMBER(MATCH(IF(U98="E","E","T"),$C273:T273,FALSE)),"",IF(U98="E","E","T"))))</f>
        <v/>
      </c>
      <c r="V273" s="1157" t="str">
        <f>IF(V98="E","E",IF(U273="T","S",IF(ISNUMBER(MATCH(IF(V98="E","E","T"),$C273:U273,FALSE)),"",IF(V98="E","E","T"))))</f>
        <v/>
      </c>
      <c r="X273" s="858"/>
    </row>
    <row r="274" spans="2:252" s="1013" customFormat="1" ht="35.1" customHeight="1" collapsed="1" thickBot="1">
      <c r="B274" s="1014"/>
      <c r="C274" s="1158" t="str">
        <f t="shared" ref="C274:V274" ca="1" si="227">IF(C273="","",IF(C98="E",C40,IF(AND(C98="T",LEN(B274)&lt;=6),C40&amp;" to 
"&amp;OFFSET($B$40,0,MATCH("S",98:98,FALSE)-3),OFFSET($B$40,0,MATCH("S",98:98,FALSE)-2)&amp;"
 and onwards")))</f>
        <v>F2015e</v>
      </c>
      <c r="D274" s="1158" t="str">
        <f t="shared" ca="1" si="227"/>
        <v>F2016e</v>
      </c>
      <c r="E274" s="1158" t="str">
        <f t="shared" ca="1" si="227"/>
        <v>F2017e</v>
      </c>
      <c r="F274" s="1158" t="str">
        <f t="shared" ca="1" si="227"/>
        <v>F2018e</v>
      </c>
      <c r="G274" s="1158" t="str">
        <f t="shared" ca="1" si="227"/>
        <v>F2019e to 
F2034e</v>
      </c>
      <c r="H274" s="1158" t="str">
        <f t="shared" ca="1" si="227"/>
        <v>F2035e
 and onwards</v>
      </c>
      <c r="I274" s="1158" t="str">
        <f t="shared" ca="1" si="227"/>
        <v/>
      </c>
      <c r="J274" s="1158" t="str">
        <f t="shared" ca="1" si="227"/>
        <v/>
      </c>
      <c r="K274" s="1158" t="str">
        <f t="shared" ca="1" si="227"/>
        <v/>
      </c>
      <c r="L274" s="1158" t="str">
        <f t="shared" ca="1" si="227"/>
        <v/>
      </c>
      <c r="M274" s="1158" t="str">
        <f t="shared" ca="1" si="227"/>
        <v/>
      </c>
      <c r="N274" s="1158" t="str">
        <f t="shared" ca="1" si="227"/>
        <v/>
      </c>
      <c r="O274" s="1158" t="str">
        <f t="shared" ca="1" si="227"/>
        <v/>
      </c>
      <c r="P274" s="1158" t="str">
        <f t="shared" ca="1" si="227"/>
        <v/>
      </c>
      <c r="Q274" s="1158" t="str">
        <f t="shared" ca="1" si="227"/>
        <v/>
      </c>
      <c r="R274" s="1158" t="str">
        <f t="shared" ca="1" si="227"/>
        <v/>
      </c>
      <c r="S274" s="1158" t="str">
        <f t="shared" ca="1" si="227"/>
        <v/>
      </c>
      <c r="T274" s="1158" t="str">
        <f t="shared" ca="1" si="227"/>
        <v/>
      </c>
      <c r="U274" s="1158" t="str">
        <f t="shared" ca="1" si="227"/>
        <v/>
      </c>
      <c r="V274" s="1158" t="str">
        <f t="shared" ca="1" si="227"/>
        <v/>
      </c>
      <c r="W274" s="1015"/>
      <c r="X274" s="1015"/>
      <c r="Y274" s="1015"/>
      <c r="Z274" s="1015"/>
      <c r="AA274" s="1015"/>
      <c r="AB274" s="1015"/>
      <c r="AC274" s="1015"/>
      <c r="AD274" s="1015"/>
      <c r="AE274" s="1015"/>
      <c r="AF274" s="1015"/>
      <c r="AG274" s="1015"/>
      <c r="AH274" s="1015"/>
      <c r="AI274" s="1015"/>
      <c r="AJ274" s="1015"/>
      <c r="AK274" s="1015"/>
      <c r="AL274" s="1015"/>
      <c r="AM274" s="1015"/>
      <c r="AN274" s="1015"/>
      <c r="AO274" s="1015"/>
      <c r="AP274" s="1015"/>
      <c r="AQ274" s="1015"/>
      <c r="AR274" s="1015"/>
      <c r="AS274" s="1015"/>
      <c r="AT274" s="1015"/>
      <c r="AU274" s="1015"/>
      <c r="AV274" s="1015"/>
      <c r="AW274" s="1015"/>
      <c r="AX274" s="1015"/>
      <c r="AY274" s="1015"/>
      <c r="AZ274" s="1015"/>
      <c r="BA274" s="1015"/>
      <c r="BB274" s="1015"/>
      <c r="BC274" s="1015"/>
      <c r="BD274" s="1015"/>
      <c r="BE274" s="1015"/>
      <c r="BF274" s="1015"/>
      <c r="BG274" s="1015"/>
      <c r="BH274" s="1015"/>
      <c r="BI274" s="1015"/>
      <c r="BJ274" s="1015"/>
      <c r="BK274" s="1015"/>
      <c r="BL274" s="1015"/>
      <c r="BM274" s="1015"/>
      <c r="BN274" s="1015"/>
      <c r="BO274" s="1015"/>
      <c r="BP274" s="1015"/>
      <c r="BQ274" s="1015"/>
      <c r="BR274" s="1015"/>
      <c r="BS274" s="1015"/>
      <c r="BT274" s="1015"/>
      <c r="BU274" s="1015"/>
      <c r="BV274" s="1015"/>
      <c r="BW274" s="1015"/>
      <c r="BX274" s="1016"/>
      <c r="BY274" s="1015"/>
      <c r="BZ274" s="1015"/>
      <c r="CA274" s="1015"/>
      <c r="CB274" s="1015"/>
      <c r="CC274" s="1015"/>
      <c r="CD274" s="1015"/>
      <c r="CE274" s="1015"/>
      <c r="CF274" s="1015"/>
      <c r="CG274" s="1015"/>
      <c r="CH274" s="1015"/>
      <c r="CI274" s="1015"/>
      <c r="CJ274" s="1015"/>
      <c r="CK274" s="1015"/>
      <c r="CL274" s="1015"/>
      <c r="CM274" s="1015"/>
      <c r="CN274" s="1015"/>
      <c r="CO274" s="1015"/>
      <c r="CP274" s="1015"/>
      <c r="CQ274" s="1015"/>
      <c r="CR274" s="1015"/>
      <c r="CS274" s="1015"/>
      <c r="CT274" s="1015"/>
      <c r="CU274" s="1015"/>
      <c r="CV274" s="1015"/>
      <c r="CW274" s="1015"/>
      <c r="CX274" s="1015"/>
      <c r="CY274" s="1015"/>
      <c r="CZ274" s="1015"/>
      <c r="DA274" s="1015"/>
      <c r="DB274" s="1015"/>
      <c r="DC274" s="1015"/>
      <c r="DD274" s="1015"/>
      <c r="DE274" s="1015"/>
      <c r="DF274" s="1015"/>
      <c r="DG274" s="1015"/>
      <c r="DH274" s="1015"/>
      <c r="DI274" s="1015"/>
      <c r="DJ274" s="1015"/>
      <c r="DK274" s="1015"/>
      <c r="DL274" s="1015"/>
      <c r="DM274" s="1015"/>
      <c r="DN274" s="1015"/>
      <c r="DO274" s="1015"/>
      <c r="DP274" s="1015"/>
      <c r="DQ274" s="1015"/>
      <c r="DR274" s="1015"/>
      <c r="DS274" s="1015"/>
      <c r="DT274" s="1015"/>
      <c r="DU274" s="1015"/>
      <c r="DV274" s="1015"/>
      <c r="DW274" s="1015"/>
      <c r="DX274" s="1015"/>
      <c r="DY274" s="1015"/>
      <c r="DZ274" s="1015"/>
      <c r="EA274" s="1015"/>
      <c r="EB274" s="1015"/>
      <c r="EC274" s="1015"/>
      <c r="ED274" s="1015"/>
      <c r="EE274" s="1015"/>
      <c r="EF274" s="1015"/>
      <c r="EG274" s="1015"/>
      <c r="EH274" s="1015"/>
      <c r="EI274" s="1015"/>
      <c r="EJ274" s="1015"/>
      <c r="EK274" s="1015"/>
      <c r="EL274" s="1015"/>
      <c r="EM274" s="1015"/>
      <c r="EN274" s="1015"/>
      <c r="EO274" s="1015"/>
      <c r="EP274" s="1015"/>
      <c r="EQ274" s="1015"/>
      <c r="ER274" s="1015"/>
      <c r="ES274" s="1015"/>
      <c r="ET274" s="1015"/>
      <c r="EU274" s="1015"/>
      <c r="EV274" s="1015"/>
      <c r="EW274" s="1015"/>
      <c r="EX274" s="1015"/>
      <c r="EY274" s="1015"/>
      <c r="EZ274" s="1015"/>
      <c r="FA274" s="1015"/>
      <c r="FB274" s="1015"/>
      <c r="FC274" s="1015"/>
      <c r="FD274" s="1015"/>
      <c r="FE274" s="1015"/>
      <c r="FF274" s="1015"/>
      <c r="FG274" s="1015"/>
      <c r="FH274" s="1015"/>
      <c r="FI274" s="1015"/>
      <c r="FJ274" s="1015"/>
      <c r="FK274" s="1015"/>
      <c r="FL274" s="1015"/>
      <c r="FM274" s="1015"/>
      <c r="FN274" s="1015"/>
      <c r="FO274" s="1015"/>
      <c r="FP274" s="1015"/>
      <c r="FQ274" s="1015"/>
      <c r="FR274" s="1015"/>
      <c r="FS274" s="1015"/>
      <c r="FT274" s="1015"/>
      <c r="FU274" s="1015"/>
      <c r="FV274" s="1015"/>
      <c r="FW274" s="1015"/>
      <c r="FX274" s="1015"/>
      <c r="FY274" s="1015"/>
      <c r="FZ274" s="1015"/>
      <c r="GA274" s="1015"/>
      <c r="GB274" s="1015"/>
      <c r="GC274" s="1015"/>
      <c r="GD274" s="1015"/>
      <c r="GE274" s="1015"/>
      <c r="GF274" s="1015"/>
      <c r="GG274" s="1015"/>
      <c r="GH274" s="1015"/>
      <c r="GI274" s="1015"/>
      <c r="GJ274" s="1015"/>
      <c r="GK274" s="1015"/>
      <c r="GL274" s="1015"/>
      <c r="GM274" s="1015"/>
      <c r="GN274" s="1015"/>
      <c r="GO274" s="1015"/>
      <c r="GP274" s="1015"/>
      <c r="GQ274" s="1015"/>
      <c r="GR274" s="1015"/>
      <c r="GS274" s="1015"/>
      <c r="GT274" s="1015"/>
      <c r="GU274" s="1015"/>
      <c r="GV274" s="1015"/>
      <c r="GW274" s="1015"/>
      <c r="GX274" s="1015"/>
      <c r="GY274" s="1015"/>
      <c r="GZ274" s="1015"/>
      <c r="HA274" s="1015"/>
      <c r="HB274" s="1015"/>
      <c r="HC274" s="1015"/>
      <c r="HD274" s="1015"/>
      <c r="HE274" s="1015"/>
      <c r="HF274" s="1015"/>
      <c r="HG274" s="1015"/>
      <c r="HH274" s="1015"/>
      <c r="HI274" s="1015"/>
      <c r="HJ274" s="1015"/>
      <c r="HK274" s="1015"/>
      <c r="HL274" s="1015"/>
      <c r="HM274" s="1015"/>
      <c r="HN274" s="1015"/>
      <c r="HO274" s="1015"/>
      <c r="HP274" s="1015"/>
      <c r="HQ274" s="1015"/>
      <c r="HR274" s="1015"/>
      <c r="HS274" s="1015"/>
      <c r="HT274" s="1015"/>
      <c r="HU274" s="1015"/>
      <c r="HV274" s="1015"/>
      <c r="HW274" s="1015"/>
      <c r="HX274" s="1015"/>
      <c r="HY274" s="1015"/>
      <c r="HZ274" s="1015"/>
      <c r="IA274" s="1015"/>
      <c r="IB274" s="1015"/>
      <c r="IC274" s="1015"/>
      <c r="ID274" s="1015"/>
      <c r="IE274" s="1015"/>
      <c r="IF274" s="1015"/>
      <c r="IG274" s="1015"/>
      <c r="IH274" s="1015"/>
      <c r="II274" s="1015"/>
      <c r="IJ274" s="1015"/>
      <c r="IK274" s="1015"/>
      <c r="IL274" s="1015"/>
      <c r="IM274" s="1015"/>
      <c r="IN274" s="1015"/>
      <c r="IO274" s="1015"/>
      <c r="IP274" s="1015"/>
      <c r="IQ274" s="1015"/>
      <c r="IR274" s="1015"/>
    </row>
    <row r="275" spans="2:252" ht="15">
      <c r="B275" s="1017" t="str">
        <f t="shared" ref="B275:B286" si="228">B60</f>
        <v>Operating Level</v>
      </c>
      <c r="C275" s="1159"/>
      <c r="D275" s="1160"/>
      <c r="E275" s="1161"/>
      <c r="F275" s="1160"/>
      <c r="G275" s="1160"/>
      <c r="H275" s="1160"/>
      <c r="I275" s="1160"/>
      <c r="J275" s="1160"/>
      <c r="K275" s="1160"/>
      <c r="L275" s="1160"/>
      <c r="M275" s="1160"/>
      <c r="N275" s="1160"/>
      <c r="O275" s="1160"/>
      <c r="P275" s="1160"/>
      <c r="Q275" s="1160"/>
      <c r="R275" s="1160"/>
      <c r="S275" s="1160"/>
      <c r="T275" s="1160"/>
      <c r="U275" s="1160"/>
      <c r="V275" s="1160"/>
    </row>
    <row r="276" spans="2:252" ht="12.75">
      <c r="B276" s="888" t="str">
        <f t="shared" si="228"/>
        <v>Operating revenue</v>
      </c>
      <c r="C276" s="1162">
        <f t="shared" ref="C276:V276" si="229">IF(C$273="E",C61,"")</f>
        <v>5098.9319999999998</v>
      </c>
      <c r="D276" s="1162">
        <f t="shared" si="229"/>
        <v>5566.0379999999996</v>
      </c>
      <c r="E276" s="1162">
        <f t="shared" si="229"/>
        <v>6084.7659999999996</v>
      </c>
      <c r="F276" s="1162">
        <f t="shared" si="229"/>
        <v>6587.3821933692661</v>
      </c>
      <c r="G276" s="1162" t="str">
        <f t="shared" si="229"/>
        <v/>
      </c>
      <c r="H276" s="1162" t="str">
        <f t="shared" si="229"/>
        <v/>
      </c>
      <c r="I276" s="1162" t="str">
        <f t="shared" si="229"/>
        <v/>
      </c>
      <c r="J276" s="1162" t="str">
        <f t="shared" si="229"/>
        <v/>
      </c>
      <c r="K276" s="1162" t="str">
        <f t="shared" si="229"/>
        <v/>
      </c>
      <c r="L276" s="1162" t="str">
        <f t="shared" si="229"/>
        <v/>
      </c>
      <c r="M276" s="1162" t="str">
        <f t="shared" si="229"/>
        <v/>
      </c>
      <c r="N276" s="1162" t="str">
        <f t="shared" si="229"/>
        <v/>
      </c>
      <c r="O276" s="1162" t="str">
        <f t="shared" si="229"/>
        <v/>
      </c>
      <c r="P276" s="1162" t="str">
        <f t="shared" si="229"/>
        <v/>
      </c>
      <c r="Q276" s="1162" t="str">
        <f t="shared" si="229"/>
        <v/>
      </c>
      <c r="R276" s="1162" t="str">
        <f t="shared" si="229"/>
        <v/>
      </c>
      <c r="S276" s="1162" t="str">
        <f t="shared" si="229"/>
        <v/>
      </c>
      <c r="T276" s="1162" t="str">
        <f t="shared" si="229"/>
        <v/>
      </c>
      <c r="U276" s="1162" t="str">
        <f t="shared" si="229"/>
        <v/>
      </c>
      <c r="V276" s="1162" t="str">
        <f t="shared" si="229"/>
        <v/>
      </c>
    </row>
    <row r="277" spans="2:252" ht="12.75">
      <c r="B277" s="1025" t="str">
        <f t="shared" si="228"/>
        <v>Operating revenue growth</v>
      </c>
      <c r="C277" s="1163">
        <f t="shared" ref="C277:V278" ca="1" si="230">IF(C$273="","",IF(C$273="E",C62,IF(C$273="T",AVERAGE(INDIRECT(ADDRESS(ROW(C62),MATCH("T",$98:$98,FALSE))&amp;":"&amp;ADDRESS(ROW(C62),MATCH("S",$98:$98,FALSE)-1))),AVERAGE(INDIRECT(ADDRESS(ROW(C62),MATCH("S",$98:$98,FALSE))&amp;":"&amp;ADDRESS(ROW(C62),256))))))</f>
        <v>0</v>
      </c>
      <c r="D277" s="1163">
        <f t="shared" ca="1" si="230"/>
        <v>9.1608595682389993E-2</v>
      </c>
      <c r="E277" s="1163">
        <f t="shared" ca="1" si="230"/>
        <v>9.3195195577177259E-2</v>
      </c>
      <c r="F277" s="1163">
        <f t="shared" ca="1" si="230"/>
        <v>8.2602386578097819E-2</v>
      </c>
      <c r="G277" s="1163">
        <f t="shared" ca="1" si="230"/>
        <v>5.9969868708483379E-2</v>
      </c>
      <c r="H277" s="1163">
        <f t="shared" ca="1" si="230"/>
        <v>3.9999999999999911E-2</v>
      </c>
      <c r="I277" s="1163" t="str">
        <f t="shared" ca="1" si="230"/>
        <v/>
      </c>
      <c r="J277" s="1163" t="str">
        <f t="shared" ca="1" si="230"/>
        <v/>
      </c>
      <c r="K277" s="1163" t="str">
        <f t="shared" ca="1" si="230"/>
        <v/>
      </c>
      <c r="L277" s="1163" t="str">
        <f t="shared" ca="1" si="230"/>
        <v/>
      </c>
      <c r="M277" s="1163" t="str">
        <f t="shared" ca="1" si="230"/>
        <v/>
      </c>
      <c r="N277" s="1163" t="str">
        <f t="shared" ca="1" si="230"/>
        <v/>
      </c>
      <c r="O277" s="1163" t="str">
        <f t="shared" ca="1" si="230"/>
        <v/>
      </c>
      <c r="P277" s="1163" t="str">
        <f t="shared" ca="1" si="230"/>
        <v/>
      </c>
      <c r="Q277" s="1163" t="str">
        <f t="shared" ca="1" si="230"/>
        <v/>
      </c>
      <c r="R277" s="1163" t="str">
        <f t="shared" ca="1" si="230"/>
        <v/>
      </c>
      <c r="S277" s="1163" t="str">
        <f t="shared" ca="1" si="230"/>
        <v/>
      </c>
      <c r="T277" s="1163" t="str">
        <f t="shared" ca="1" si="230"/>
        <v/>
      </c>
      <c r="U277" s="1163" t="str">
        <f t="shared" ca="1" si="230"/>
        <v/>
      </c>
      <c r="V277" s="1163" t="str">
        <f t="shared" ca="1" si="230"/>
        <v/>
      </c>
    </row>
    <row r="278" spans="2:252" s="1164" customFormat="1" ht="12.75">
      <c r="B278" s="1046" t="str">
        <f t="shared" si="228"/>
        <v>Operating asset turnover</v>
      </c>
      <c r="C278" s="1047">
        <f t="shared" ca="1" si="230"/>
        <v>1.9236617613177962</v>
      </c>
      <c r="D278" s="1047">
        <f t="shared" ca="1" si="230"/>
        <v>2.0993484237823354</v>
      </c>
      <c r="E278" s="1047">
        <f t="shared" ca="1" si="230"/>
        <v>2.482551519512473</v>
      </c>
      <c r="F278" s="1047">
        <f t="shared" ca="1" si="230"/>
        <v>2.6347812665157702</v>
      </c>
      <c r="G278" s="1047">
        <f t="shared" ca="1" si="230"/>
        <v>2.5806294929156737</v>
      </c>
      <c r="H278" s="1047">
        <f t="shared" ca="1" si="230"/>
        <v>2.2680232301271848</v>
      </c>
      <c r="I278" s="1047" t="str">
        <f t="shared" ca="1" si="230"/>
        <v/>
      </c>
      <c r="J278" s="1047" t="str">
        <f t="shared" ca="1" si="230"/>
        <v/>
      </c>
      <c r="K278" s="1047" t="str">
        <f t="shared" ca="1" si="230"/>
        <v/>
      </c>
      <c r="L278" s="1047" t="str">
        <f t="shared" ca="1" si="230"/>
        <v/>
      </c>
      <c r="M278" s="1047" t="str">
        <f t="shared" ca="1" si="230"/>
        <v/>
      </c>
      <c r="N278" s="1047" t="str">
        <f t="shared" ca="1" si="230"/>
        <v/>
      </c>
      <c r="O278" s="1047" t="str">
        <f t="shared" ca="1" si="230"/>
        <v/>
      </c>
      <c r="P278" s="1047" t="str">
        <f t="shared" ca="1" si="230"/>
        <v/>
      </c>
      <c r="Q278" s="1047" t="str">
        <f t="shared" ca="1" si="230"/>
        <v/>
      </c>
      <c r="R278" s="1047" t="str">
        <f t="shared" ca="1" si="230"/>
        <v/>
      </c>
      <c r="S278" s="1047" t="str">
        <f t="shared" ca="1" si="230"/>
        <v/>
      </c>
      <c r="T278" s="1047" t="str">
        <f t="shared" ca="1" si="230"/>
        <v/>
      </c>
      <c r="U278" s="1047" t="str">
        <f t="shared" ca="1" si="230"/>
        <v/>
      </c>
      <c r="V278" s="1047" t="str">
        <f t="shared" ca="1" si="230"/>
        <v/>
      </c>
      <c r="X278" s="838"/>
    </row>
    <row r="279" spans="2:252" s="1164" customFormat="1" ht="12.75">
      <c r="B279" s="958" t="str">
        <f t="shared" si="228"/>
        <v>NOPAT</v>
      </c>
      <c r="C279" s="1165">
        <f t="shared" ref="C279:V279" si="231">IF(C$273="E",C64,"")</f>
        <v>186.35308511674481</v>
      </c>
      <c r="D279" s="1165">
        <f t="shared" si="231"/>
        <v>200.50919170103498</v>
      </c>
      <c r="E279" s="1165">
        <f t="shared" si="231"/>
        <v>212.31543849901047</v>
      </c>
      <c r="F279" s="1165">
        <f t="shared" si="231"/>
        <v>237.39349997072182</v>
      </c>
      <c r="G279" s="1165" t="str">
        <f t="shared" si="231"/>
        <v/>
      </c>
      <c r="H279" s="1165" t="str">
        <f t="shared" si="231"/>
        <v/>
      </c>
      <c r="I279" s="1165" t="str">
        <f t="shared" si="231"/>
        <v/>
      </c>
      <c r="J279" s="1165" t="str">
        <f t="shared" si="231"/>
        <v/>
      </c>
      <c r="K279" s="1165" t="str">
        <f t="shared" si="231"/>
        <v/>
      </c>
      <c r="L279" s="1165" t="str">
        <f t="shared" si="231"/>
        <v/>
      </c>
      <c r="M279" s="1165" t="str">
        <f t="shared" si="231"/>
        <v/>
      </c>
      <c r="N279" s="1165" t="str">
        <f t="shared" si="231"/>
        <v/>
      </c>
      <c r="O279" s="1165" t="str">
        <f t="shared" si="231"/>
        <v/>
      </c>
      <c r="P279" s="1165" t="str">
        <f t="shared" si="231"/>
        <v/>
      </c>
      <c r="Q279" s="1165" t="str">
        <f t="shared" si="231"/>
        <v/>
      </c>
      <c r="R279" s="1165" t="str">
        <f t="shared" si="231"/>
        <v/>
      </c>
      <c r="S279" s="1165" t="str">
        <f t="shared" si="231"/>
        <v/>
      </c>
      <c r="T279" s="1165" t="str">
        <f t="shared" si="231"/>
        <v/>
      </c>
      <c r="U279" s="1165" t="str">
        <f t="shared" si="231"/>
        <v/>
      </c>
      <c r="V279" s="1165" t="str">
        <f t="shared" si="231"/>
        <v/>
      </c>
      <c r="X279" s="838"/>
    </row>
    <row r="280" spans="2:252" s="1164" customFormat="1" ht="12.75">
      <c r="B280" s="1025" t="str">
        <f t="shared" si="228"/>
        <v>NOPAT margin</v>
      </c>
      <c r="C280" s="1163">
        <f t="shared" ref="C280:V280" ca="1" si="232">IF(C$273="","",IF(C$273="E",C65,IF(C$273="T",AVERAGE(INDIRECT(ADDRESS(ROW(C65),MATCH("T",$98:$98,FALSE))&amp;":"&amp;ADDRESS(ROW(C65),MATCH("S",$98:$98,FALSE)-1))),AVERAGE(INDIRECT(ADDRESS(ROW(C65),MATCH("S",$98:$98,FALSE))&amp;":"&amp;ADDRESS(ROW(C65),256))))))</f>
        <v>3.6547474082169525E-2</v>
      </c>
      <c r="D280" s="1163">
        <f t="shared" ca="1" si="232"/>
        <v>3.602368357906198E-2</v>
      </c>
      <c r="E280" s="1163">
        <f t="shared" ca="1" si="232"/>
        <v>3.4892950443617794E-2</v>
      </c>
      <c r="F280" s="1163">
        <f t="shared" ca="1" si="232"/>
        <v>3.6037608415931538E-2</v>
      </c>
      <c r="G280" s="1163">
        <f t="shared" ca="1" si="232"/>
        <v>3.4832213713547812E-2</v>
      </c>
      <c r="H280" s="1163">
        <f t="shared" ca="1" si="232"/>
        <v>3.147619678577436E-2</v>
      </c>
      <c r="I280" s="1163" t="str">
        <f t="shared" ca="1" si="232"/>
        <v/>
      </c>
      <c r="J280" s="1163" t="str">
        <f t="shared" ca="1" si="232"/>
        <v/>
      </c>
      <c r="K280" s="1163" t="str">
        <f t="shared" ca="1" si="232"/>
        <v/>
      </c>
      <c r="L280" s="1163" t="str">
        <f t="shared" ca="1" si="232"/>
        <v/>
      </c>
      <c r="M280" s="1163" t="str">
        <f t="shared" ca="1" si="232"/>
        <v/>
      </c>
      <c r="N280" s="1163" t="str">
        <f t="shared" ca="1" si="232"/>
        <v/>
      </c>
      <c r="O280" s="1163" t="str">
        <f t="shared" ca="1" si="232"/>
        <v/>
      </c>
      <c r="P280" s="1163" t="str">
        <f t="shared" ca="1" si="232"/>
        <v/>
      </c>
      <c r="Q280" s="1163" t="str">
        <f t="shared" ca="1" si="232"/>
        <v/>
      </c>
      <c r="R280" s="1163" t="str">
        <f t="shared" ca="1" si="232"/>
        <v/>
      </c>
      <c r="S280" s="1163" t="str">
        <f t="shared" ca="1" si="232"/>
        <v/>
      </c>
      <c r="T280" s="1163" t="str">
        <f t="shared" ca="1" si="232"/>
        <v/>
      </c>
      <c r="U280" s="1163" t="str">
        <f t="shared" ca="1" si="232"/>
        <v/>
      </c>
      <c r="V280" s="1163" t="str">
        <f t="shared" ca="1" si="232"/>
        <v/>
      </c>
      <c r="X280" s="838"/>
    </row>
    <row r="281" spans="2:252" s="1164" customFormat="1" ht="12.75">
      <c r="B281" s="958" t="str">
        <f t="shared" si="228"/>
        <v>Net operating assets</v>
      </c>
      <c r="C281" s="1165">
        <f t="shared" ref="C281:V281" si="233">IF(C$273="E",C66,"")</f>
        <v>2651.3169214531003</v>
      </c>
      <c r="D281" s="1165">
        <f t="shared" si="233"/>
        <v>2451.0129808685442</v>
      </c>
      <c r="E281" s="1165">
        <f t="shared" si="233"/>
        <v>2500.1628321429534</v>
      </c>
      <c r="F281" s="1165">
        <f t="shared" si="233"/>
        <v>2431.7804672226002</v>
      </c>
      <c r="G281" s="1165" t="str">
        <f t="shared" si="233"/>
        <v/>
      </c>
      <c r="H281" s="1165" t="str">
        <f t="shared" si="233"/>
        <v/>
      </c>
      <c r="I281" s="1165" t="str">
        <f t="shared" si="233"/>
        <v/>
      </c>
      <c r="J281" s="1165" t="str">
        <f t="shared" si="233"/>
        <v/>
      </c>
      <c r="K281" s="1165" t="str">
        <f t="shared" si="233"/>
        <v/>
      </c>
      <c r="L281" s="1165" t="str">
        <f t="shared" si="233"/>
        <v/>
      </c>
      <c r="M281" s="1165" t="str">
        <f t="shared" si="233"/>
        <v/>
      </c>
      <c r="N281" s="1165" t="str">
        <f t="shared" si="233"/>
        <v/>
      </c>
      <c r="O281" s="1165" t="str">
        <f t="shared" si="233"/>
        <v/>
      </c>
      <c r="P281" s="1165" t="str">
        <f t="shared" si="233"/>
        <v/>
      </c>
      <c r="Q281" s="1165" t="str">
        <f t="shared" si="233"/>
        <v/>
      </c>
      <c r="R281" s="1165" t="str">
        <f t="shared" si="233"/>
        <v/>
      </c>
      <c r="S281" s="1165" t="str">
        <f t="shared" si="233"/>
        <v/>
      </c>
      <c r="T281" s="1165" t="str">
        <f t="shared" si="233"/>
        <v/>
      </c>
      <c r="U281" s="1165" t="str">
        <f t="shared" si="233"/>
        <v/>
      </c>
      <c r="V281" s="1165" t="str">
        <f t="shared" si="233"/>
        <v/>
      </c>
      <c r="X281" s="838"/>
    </row>
    <row r="282" spans="2:252" s="1164" customFormat="1" ht="12.75">
      <c r="B282" s="1025" t="str">
        <f t="shared" si="228"/>
        <v>RNOA</v>
      </c>
      <c r="C282" s="1052">
        <f t="shared" ref="C282:V282" ca="1" si="234">IF(C$273="","",IF(C$273="E",C67,IF(C$273="T",AVERAGE(INDIRECT(ADDRESS(ROW(C67),MATCH("T",$98:$98,FALSE))&amp;":"&amp;ADDRESS(ROW(C67),MATCH("S",$98:$98,FALSE)-1))),AVERAGE(INDIRECT(ADDRESS(ROW(C67),MATCH("S",$98:$98,FALSE))&amp;":"&amp;ADDRESS(ROW(C67),256))))))</f>
        <v>7.0304978364622739E-2</v>
      </c>
      <c r="D282" s="1052">
        <f t="shared" ca="1" si="234"/>
        <v>7.5626263340537361E-2</v>
      </c>
      <c r="E282" s="1052">
        <f t="shared" ca="1" si="234"/>
        <v>8.6623547144076773E-2</v>
      </c>
      <c r="F282" s="1052">
        <f t="shared" ca="1" si="234"/>
        <v>9.4951215544327477E-2</v>
      </c>
      <c r="G282" s="1052">
        <f t="shared" ca="1" si="234"/>
        <v>8.9845680136267869E-2</v>
      </c>
      <c r="H282" s="1052">
        <f t="shared" ca="1" si="234"/>
        <v>7.173544743960715E-2</v>
      </c>
      <c r="I282" s="1052" t="str">
        <f t="shared" ca="1" si="234"/>
        <v/>
      </c>
      <c r="J282" s="1052" t="str">
        <f t="shared" ca="1" si="234"/>
        <v/>
      </c>
      <c r="K282" s="1052" t="str">
        <f t="shared" ca="1" si="234"/>
        <v/>
      </c>
      <c r="L282" s="1052" t="str">
        <f t="shared" ca="1" si="234"/>
        <v/>
      </c>
      <c r="M282" s="1052" t="str">
        <f t="shared" ca="1" si="234"/>
        <v/>
      </c>
      <c r="N282" s="1052" t="str">
        <f t="shared" ca="1" si="234"/>
        <v/>
      </c>
      <c r="O282" s="1052" t="str">
        <f t="shared" ca="1" si="234"/>
        <v/>
      </c>
      <c r="P282" s="1052" t="str">
        <f t="shared" ca="1" si="234"/>
        <v/>
      </c>
      <c r="Q282" s="1052" t="str">
        <f t="shared" ca="1" si="234"/>
        <v/>
      </c>
      <c r="R282" s="1052" t="str">
        <f t="shared" ca="1" si="234"/>
        <v/>
      </c>
      <c r="S282" s="1052" t="str">
        <f t="shared" ca="1" si="234"/>
        <v/>
      </c>
      <c r="T282" s="1052" t="str">
        <f t="shared" ca="1" si="234"/>
        <v/>
      </c>
      <c r="U282" s="1052" t="str">
        <f t="shared" ca="1" si="234"/>
        <v/>
      </c>
      <c r="V282" s="1052" t="str">
        <f t="shared" ca="1" si="234"/>
        <v/>
      </c>
      <c r="X282" s="838"/>
    </row>
    <row r="283" spans="2:252" s="1164" customFormat="1" ht="12.75">
      <c r="B283" s="958" t="str">
        <f t="shared" si="228"/>
        <v>FCFO</v>
      </c>
      <c r="C283" s="1165">
        <f t="shared" ref="C283:V283" si="235">IF(C$98="E",C68,"")</f>
        <v>185.67470237795447</v>
      </c>
      <c r="D283" s="1165">
        <f t="shared" si="235"/>
        <v>400.81313228559111</v>
      </c>
      <c r="E283" s="1165">
        <f t="shared" si="235"/>
        <v>163.16558722460124</v>
      </c>
      <c r="F283" s="1165">
        <f t="shared" si="235"/>
        <v>305.775864891075</v>
      </c>
      <c r="G283" s="1165" t="str">
        <f t="shared" si="235"/>
        <v/>
      </c>
      <c r="H283" s="1165" t="str">
        <f t="shared" si="235"/>
        <v/>
      </c>
      <c r="I283" s="1165" t="str">
        <f t="shared" si="235"/>
        <v/>
      </c>
      <c r="J283" s="1165" t="str">
        <f t="shared" si="235"/>
        <v/>
      </c>
      <c r="K283" s="1165" t="str">
        <f t="shared" si="235"/>
        <v/>
      </c>
      <c r="L283" s="1165" t="str">
        <f t="shared" si="235"/>
        <v/>
      </c>
      <c r="M283" s="1165" t="str">
        <f t="shared" si="235"/>
        <v/>
      </c>
      <c r="N283" s="1165" t="str">
        <f t="shared" si="235"/>
        <v/>
      </c>
      <c r="O283" s="1165" t="str">
        <f t="shared" si="235"/>
        <v/>
      </c>
      <c r="P283" s="1165" t="str">
        <f t="shared" si="235"/>
        <v/>
      </c>
      <c r="Q283" s="1165" t="str">
        <f t="shared" si="235"/>
        <v/>
      </c>
      <c r="R283" s="1165" t="str">
        <f t="shared" si="235"/>
        <v/>
      </c>
      <c r="S283" s="1165" t="str">
        <f t="shared" si="235"/>
        <v/>
      </c>
      <c r="T283" s="1165" t="str">
        <f t="shared" si="235"/>
        <v/>
      </c>
      <c r="U283" s="1165" t="str">
        <f t="shared" si="235"/>
        <v/>
      </c>
      <c r="V283" s="1165" t="str">
        <f t="shared" si="235"/>
        <v/>
      </c>
      <c r="X283" s="838"/>
    </row>
    <row r="284" spans="2:252" s="1164" customFormat="1" ht="12.75">
      <c r="B284" s="958" t="str">
        <f t="shared" si="228"/>
        <v>PVFCFO</v>
      </c>
      <c r="C284" s="1165">
        <f t="shared" ref="C284:V284" ca="1" si="236">IF(C$273="","",IF(C$273="E",C69,IF(C$273="T",SUM(INDIRECT(ADDRESS(ROW(C69),MATCH("T",$98:$98,FALSE))&amp;":"&amp;ADDRESS(ROW(C69),MATCH("S",$98:$98,FALSE)-1))),SUM(INDIRECT(ADDRESS(ROW(C69),MATCH("S",$98:$98,FALSE))&amp;":"&amp;ADDRESS(ROW(C69),256))))))</f>
        <v>176.9982542437298</v>
      </c>
      <c r="D284" s="1165">
        <f t="shared" ca="1" si="236"/>
        <v>364.2289276774373</v>
      </c>
      <c r="E284" s="1165">
        <f t="shared" ca="1" si="236"/>
        <v>141.34397722508498</v>
      </c>
      <c r="F284" s="1165">
        <f t="shared" ca="1" si="236"/>
        <v>252.50395736702569</v>
      </c>
      <c r="G284" s="1165">
        <f t="shared" ca="1" si="236"/>
        <v>947.3667770960069</v>
      </c>
      <c r="H284" s="1165">
        <f t="shared" ca="1" si="236"/>
        <v>9381.1523978866335</v>
      </c>
      <c r="I284" s="1165" t="str">
        <f t="shared" ca="1" si="236"/>
        <v/>
      </c>
      <c r="J284" s="1165" t="str">
        <f t="shared" ca="1" si="236"/>
        <v/>
      </c>
      <c r="K284" s="1165" t="str">
        <f t="shared" ca="1" si="236"/>
        <v/>
      </c>
      <c r="L284" s="1165" t="str">
        <f t="shared" ca="1" si="236"/>
        <v/>
      </c>
      <c r="M284" s="1165" t="str">
        <f t="shared" ca="1" si="236"/>
        <v/>
      </c>
      <c r="N284" s="1165" t="str">
        <f t="shared" ca="1" si="236"/>
        <v/>
      </c>
      <c r="O284" s="1165" t="str">
        <f t="shared" ca="1" si="236"/>
        <v/>
      </c>
      <c r="P284" s="1165" t="str">
        <f t="shared" ca="1" si="236"/>
        <v/>
      </c>
      <c r="Q284" s="1165" t="str">
        <f t="shared" ca="1" si="236"/>
        <v/>
      </c>
      <c r="R284" s="1165" t="str">
        <f t="shared" ca="1" si="236"/>
        <v/>
      </c>
      <c r="S284" s="1165" t="str">
        <f t="shared" ca="1" si="236"/>
        <v/>
      </c>
      <c r="T284" s="1165" t="str">
        <f t="shared" ca="1" si="236"/>
        <v/>
      </c>
      <c r="U284" s="1165" t="str">
        <f t="shared" ca="1" si="236"/>
        <v/>
      </c>
      <c r="V284" s="1165" t="str">
        <f t="shared" ca="1" si="236"/>
        <v/>
      </c>
      <c r="X284" s="838"/>
    </row>
    <row r="285" spans="2:252" s="1164" customFormat="1" ht="12.75">
      <c r="B285" s="958" t="str">
        <f t="shared" si="228"/>
        <v>Residual income (operating)</v>
      </c>
      <c r="C285" s="1166">
        <f t="shared" ref="C285:V285" ca="1" si="237">IF(C$273="E",C70,"")</f>
        <v>56.41887812697999</v>
      </c>
      <c r="D285" s="1166">
        <f t="shared" ca="1" si="237"/>
        <v>70.541730413517797</v>
      </c>
      <c r="E285" s="1166">
        <f t="shared" ca="1" si="237"/>
        <v>92.166869262087005</v>
      </c>
      <c r="F285" s="1166">
        <f t="shared" ca="1" si="237"/>
        <v>114.83560677063629</v>
      </c>
      <c r="G285" s="1166" t="str">
        <f t="shared" si="237"/>
        <v/>
      </c>
      <c r="H285" s="1166" t="str">
        <f t="shared" si="237"/>
        <v/>
      </c>
      <c r="I285" s="1166" t="str">
        <f t="shared" si="237"/>
        <v/>
      </c>
      <c r="J285" s="1166" t="str">
        <f t="shared" si="237"/>
        <v/>
      </c>
      <c r="K285" s="1166" t="str">
        <f t="shared" si="237"/>
        <v/>
      </c>
      <c r="L285" s="1166" t="str">
        <f t="shared" si="237"/>
        <v/>
      </c>
      <c r="M285" s="1166" t="str">
        <f t="shared" si="237"/>
        <v/>
      </c>
      <c r="N285" s="1166" t="str">
        <f t="shared" si="237"/>
        <v/>
      </c>
      <c r="O285" s="1166" t="str">
        <f t="shared" si="237"/>
        <v/>
      </c>
      <c r="P285" s="1166" t="str">
        <f t="shared" si="237"/>
        <v/>
      </c>
      <c r="Q285" s="1166" t="str">
        <f t="shared" si="237"/>
        <v/>
      </c>
      <c r="R285" s="1166" t="str">
        <f t="shared" si="237"/>
        <v/>
      </c>
      <c r="S285" s="1166" t="str">
        <f t="shared" si="237"/>
        <v/>
      </c>
      <c r="T285" s="1166" t="str">
        <f t="shared" si="237"/>
        <v/>
      </c>
      <c r="U285" s="1166" t="str">
        <f t="shared" si="237"/>
        <v/>
      </c>
      <c r="V285" s="1166" t="str">
        <f t="shared" si="237"/>
        <v/>
      </c>
      <c r="X285" s="838"/>
    </row>
    <row r="286" spans="2:252" s="1164" customFormat="1" ht="12.75">
      <c r="B286" s="958" t="str">
        <f t="shared" si="228"/>
        <v>PVRI (operating)</v>
      </c>
      <c r="C286" s="1165">
        <f t="shared" ref="C286:V286" ca="1" si="238">IF(C$273="","",IF(C$273="E",C71,IF(C$273="T",SUM(INDIRECT(ADDRESS(ROW(C71),MATCH("T",$98:$98,FALSE))&amp;":"&amp;ADDRESS(ROW(C71),MATCH("S",$98:$98,FALSE)-1))),SUM(INDIRECT(ADDRESS(ROW(C71),MATCH("S",$98:$98,FALSE))&amp;":"&amp;ADDRESS(ROW(C71),256))))))</f>
        <v>53.782463668841046</v>
      </c>
      <c r="D286" s="1165">
        <f t="shared" ca="1" si="238"/>
        <v>64.103036441229165</v>
      </c>
      <c r="E286" s="1165">
        <f t="shared" ca="1" si="238"/>
        <v>79.840560080573383</v>
      </c>
      <c r="F286" s="1165">
        <f t="shared" ca="1" si="238"/>
        <v>94.829083932306204</v>
      </c>
      <c r="G286" s="1165">
        <f t="shared" ca="1" si="238"/>
        <v>1584.9505734041986</v>
      </c>
      <c r="H286" s="1165">
        <f t="shared" ca="1" si="238"/>
        <v>6735.4500352544446</v>
      </c>
      <c r="I286" s="1165" t="str">
        <f t="shared" ca="1" si="238"/>
        <v/>
      </c>
      <c r="J286" s="1165" t="str">
        <f t="shared" ca="1" si="238"/>
        <v/>
      </c>
      <c r="K286" s="1165" t="str">
        <f t="shared" ca="1" si="238"/>
        <v/>
      </c>
      <c r="L286" s="1165" t="str">
        <f t="shared" ca="1" si="238"/>
        <v/>
      </c>
      <c r="M286" s="1165" t="str">
        <f t="shared" ca="1" si="238"/>
        <v/>
      </c>
      <c r="N286" s="1165" t="str">
        <f t="shared" ca="1" si="238"/>
        <v/>
      </c>
      <c r="O286" s="1165" t="str">
        <f t="shared" ca="1" si="238"/>
        <v/>
      </c>
      <c r="P286" s="1165" t="str">
        <f t="shared" ca="1" si="238"/>
        <v/>
      </c>
      <c r="Q286" s="1165" t="str">
        <f t="shared" ca="1" si="238"/>
        <v/>
      </c>
      <c r="R286" s="1165" t="str">
        <f t="shared" ca="1" si="238"/>
        <v/>
      </c>
      <c r="S286" s="1165" t="str">
        <f t="shared" ca="1" si="238"/>
        <v/>
      </c>
      <c r="T286" s="1165" t="str">
        <f t="shared" ca="1" si="238"/>
        <v/>
      </c>
      <c r="U286" s="1165" t="str">
        <f t="shared" ca="1" si="238"/>
        <v/>
      </c>
      <c r="V286" s="1165" t="str">
        <f t="shared" ca="1" si="238"/>
        <v/>
      </c>
      <c r="X286" s="838"/>
    </row>
    <row r="287" spans="2:252" s="1164" customFormat="1" ht="12.75">
      <c r="B287" s="958"/>
      <c r="C287" s="1165"/>
      <c r="D287" s="1165"/>
      <c r="E287" s="1165"/>
      <c r="F287" s="1165"/>
      <c r="G287" s="1165"/>
      <c r="H287" s="1165"/>
      <c r="I287" s="1165"/>
      <c r="J287" s="1165"/>
      <c r="K287" s="1165"/>
      <c r="L287" s="1165"/>
      <c r="M287" s="1165"/>
      <c r="N287" s="1165"/>
      <c r="O287" s="1165"/>
      <c r="P287" s="1165"/>
      <c r="Q287" s="1165"/>
      <c r="R287" s="1165"/>
      <c r="S287" s="1165"/>
      <c r="T287" s="1165"/>
      <c r="U287" s="1165"/>
      <c r="V287" s="1165"/>
      <c r="X287" s="838"/>
    </row>
    <row r="288" spans="2:252" s="1164" customFormat="1" ht="15">
      <c r="B288" s="1054" t="str">
        <f t="shared" ref="B288:B293" si="239">B73</f>
        <v>Financing and Other</v>
      </c>
      <c r="C288" s="1165"/>
      <c r="D288" s="1165"/>
      <c r="E288" s="1165"/>
      <c r="F288" s="1165"/>
      <c r="G288" s="1165"/>
      <c r="H288" s="1165"/>
      <c r="I288" s="1165"/>
      <c r="J288" s="1165"/>
      <c r="K288" s="1165"/>
      <c r="L288" s="1165"/>
      <c r="M288" s="1165"/>
      <c r="N288" s="1165"/>
      <c r="O288" s="1165"/>
      <c r="P288" s="1165"/>
      <c r="Q288" s="1165"/>
      <c r="R288" s="1165"/>
      <c r="S288" s="1165"/>
      <c r="T288" s="1165"/>
      <c r="U288" s="1165"/>
      <c r="V288" s="1165"/>
      <c r="X288" s="838"/>
    </row>
    <row r="289" spans="2:24" s="1164" customFormat="1" ht="12.75">
      <c r="B289" s="1021" t="str">
        <f t="shared" si="239"/>
        <v>Net financial expense (income)</v>
      </c>
      <c r="C289" s="1165">
        <f t="shared" ref="C289:V292" si="240">IF(C$273="E",C74,"")</f>
        <v>108.56715376418965</v>
      </c>
      <c r="D289" s="1165">
        <f t="shared" si="240"/>
        <v>102.62650998353591</v>
      </c>
      <c r="E289" s="1165">
        <f t="shared" si="240"/>
        <v>99.654102495731024</v>
      </c>
      <c r="F289" s="1165">
        <f t="shared" si="240"/>
        <v>95.66711413079571</v>
      </c>
      <c r="G289" s="1165" t="str">
        <f t="shared" si="240"/>
        <v/>
      </c>
      <c r="H289" s="1165" t="str">
        <f t="shared" si="240"/>
        <v/>
      </c>
      <c r="I289" s="1165" t="str">
        <f t="shared" si="240"/>
        <v/>
      </c>
      <c r="J289" s="1165" t="str">
        <f t="shared" si="240"/>
        <v/>
      </c>
      <c r="K289" s="1165" t="str">
        <f t="shared" si="240"/>
        <v/>
      </c>
      <c r="L289" s="1165" t="str">
        <f t="shared" si="240"/>
        <v/>
      </c>
      <c r="M289" s="1165" t="str">
        <f t="shared" si="240"/>
        <v/>
      </c>
      <c r="N289" s="1165" t="str">
        <f t="shared" si="240"/>
        <v/>
      </c>
      <c r="O289" s="1165" t="str">
        <f t="shared" si="240"/>
        <v/>
      </c>
      <c r="P289" s="1165" t="str">
        <f t="shared" si="240"/>
        <v/>
      </c>
      <c r="Q289" s="1165" t="str">
        <f t="shared" si="240"/>
        <v/>
      </c>
      <c r="R289" s="1165" t="str">
        <f t="shared" si="240"/>
        <v/>
      </c>
      <c r="S289" s="1165" t="str">
        <f t="shared" si="240"/>
        <v/>
      </c>
      <c r="T289" s="1165" t="str">
        <f t="shared" si="240"/>
        <v/>
      </c>
      <c r="U289" s="1165" t="str">
        <f t="shared" si="240"/>
        <v/>
      </c>
      <c r="V289" s="1165" t="str">
        <f t="shared" si="240"/>
        <v/>
      </c>
      <c r="X289" s="838"/>
    </row>
    <row r="290" spans="2:24" s="1164" customFormat="1" ht="12.75">
      <c r="B290" s="1021" t="str">
        <f t="shared" si="239"/>
        <v>Other nonoperating expense (income)</v>
      </c>
      <c r="C290" s="1165">
        <f t="shared" si="240"/>
        <v>-24.830345757199993</v>
      </c>
      <c r="D290" s="1165">
        <f t="shared" si="240"/>
        <v>-27.069507715539444</v>
      </c>
      <c r="E290" s="1165">
        <f t="shared" si="240"/>
        <v>-29.619041611513545</v>
      </c>
      <c r="F290" s="1165">
        <f t="shared" si="240"/>
        <v>-31.635997197332507</v>
      </c>
      <c r="G290" s="1165" t="str">
        <f t="shared" si="240"/>
        <v/>
      </c>
      <c r="H290" s="1165" t="str">
        <f t="shared" si="240"/>
        <v/>
      </c>
      <c r="I290" s="1165" t="str">
        <f t="shared" si="240"/>
        <v/>
      </c>
      <c r="J290" s="1165" t="str">
        <f t="shared" si="240"/>
        <v/>
      </c>
      <c r="K290" s="1165" t="str">
        <f t="shared" si="240"/>
        <v/>
      </c>
      <c r="L290" s="1165" t="str">
        <f t="shared" si="240"/>
        <v/>
      </c>
      <c r="M290" s="1165" t="str">
        <f t="shared" si="240"/>
        <v/>
      </c>
      <c r="N290" s="1165" t="str">
        <f t="shared" si="240"/>
        <v/>
      </c>
      <c r="O290" s="1165" t="str">
        <f t="shared" si="240"/>
        <v/>
      </c>
      <c r="P290" s="1165" t="str">
        <f t="shared" si="240"/>
        <v/>
      </c>
      <c r="Q290" s="1165" t="str">
        <f t="shared" si="240"/>
        <v/>
      </c>
      <c r="R290" s="1165" t="str">
        <f t="shared" si="240"/>
        <v/>
      </c>
      <c r="S290" s="1165" t="str">
        <f t="shared" si="240"/>
        <v/>
      </c>
      <c r="T290" s="1165" t="str">
        <f t="shared" si="240"/>
        <v/>
      </c>
      <c r="U290" s="1165" t="str">
        <f t="shared" si="240"/>
        <v/>
      </c>
      <c r="V290" s="1165" t="str">
        <f t="shared" si="240"/>
        <v/>
      </c>
      <c r="X290" s="838"/>
    </row>
    <row r="291" spans="2:24" s="1164" customFormat="1" ht="12.75">
      <c r="B291" s="1021" t="str">
        <f t="shared" si="239"/>
        <v>Net debt (cash)</v>
      </c>
      <c r="C291" s="1165">
        <f t="shared" si="240"/>
        <v>2886.603068371543</v>
      </c>
      <c r="D291" s="1165">
        <f t="shared" si="240"/>
        <v>2708.6624957184877</v>
      </c>
      <c r="E291" s="1165">
        <f t="shared" si="240"/>
        <v>2693.8402717960171</v>
      </c>
      <c r="F291" s="1165">
        <f t="shared" si="240"/>
        <v>2519.5494122223931</v>
      </c>
      <c r="G291" s="1165" t="str">
        <f t="shared" si="240"/>
        <v/>
      </c>
      <c r="H291" s="1165" t="str">
        <f t="shared" si="240"/>
        <v/>
      </c>
      <c r="I291" s="1165" t="str">
        <f t="shared" si="240"/>
        <v/>
      </c>
      <c r="J291" s="1165" t="str">
        <f t="shared" si="240"/>
        <v/>
      </c>
      <c r="K291" s="1165" t="str">
        <f t="shared" si="240"/>
        <v/>
      </c>
      <c r="L291" s="1165" t="str">
        <f t="shared" si="240"/>
        <v/>
      </c>
      <c r="M291" s="1165" t="str">
        <f t="shared" si="240"/>
        <v/>
      </c>
      <c r="N291" s="1165" t="str">
        <f t="shared" si="240"/>
        <v/>
      </c>
      <c r="O291" s="1165" t="str">
        <f t="shared" si="240"/>
        <v/>
      </c>
      <c r="P291" s="1165" t="str">
        <f t="shared" si="240"/>
        <v/>
      </c>
      <c r="Q291" s="1165" t="str">
        <f t="shared" si="240"/>
        <v/>
      </c>
      <c r="R291" s="1165" t="str">
        <f t="shared" si="240"/>
        <v/>
      </c>
      <c r="S291" s="1165" t="str">
        <f t="shared" si="240"/>
        <v/>
      </c>
      <c r="T291" s="1165" t="str">
        <f t="shared" si="240"/>
        <v/>
      </c>
      <c r="U291" s="1165" t="str">
        <f t="shared" si="240"/>
        <v/>
      </c>
      <c r="V291" s="1165" t="str">
        <f t="shared" si="240"/>
        <v/>
      </c>
      <c r="X291" s="838"/>
    </row>
    <row r="292" spans="2:24" s="1164" customFormat="1" ht="12.75">
      <c r="B292" s="1021" t="str">
        <f t="shared" si="239"/>
        <v>Other nonoperating liabilities (assets) (ONOLA)</v>
      </c>
      <c r="C292" s="1165">
        <f t="shared" si="240"/>
        <v>0</v>
      </c>
      <c r="D292" s="1165">
        <f t="shared" si="240"/>
        <v>0</v>
      </c>
      <c r="E292" s="1165">
        <f t="shared" si="240"/>
        <v>0</v>
      </c>
      <c r="F292" s="1165">
        <f t="shared" si="240"/>
        <v>0</v>
      </c>
      <c r="G292" s="1165" t="str">
        <f t="shared" si="240"/>
        <v/>
      </c>
      <c r="H292" s="1165" t="str">
        <f t="shared" si="240"/>
        <v/>
      </c>
      <c r="I292" s="1165" t="str">
        <f t="shared" si="240"/>
        <v/>
      </c>
      <c r="J292" s="1165" t="str">
        <f t="shared" si="240"/>
        <v/>
      </c>
      <c r="K292" s="1165" t="str">
        <f t="shared" si="240"/>
        <v/>
      </c>
      <c r="L292" s="1165" t="str">
        <f t="shared" si="240"/>
        <v/>
      </c>
      <c r="M292" s="1165" t="str">
        <f t="shared" si="240"/>
        <v/>
      </c>
      <c r="N292" s="1165" t="str">
        <f t="shared" si="240"/>
        <v/>
      </c>
      <c r="O292" s="1165" t="str">
        <f t="shared" si="240"/>
        <v/>
      </c>
      <c r="P292" s="1165" t="str">
        <f t="shared" si="240"/>
        <v/>
      </c>
      <c r="Q292" s="1165" t="str">
        <f t="shared" si="240"/>
        <v/>
      </c>
      <c r="R292" s="1165" t="str">
        <f t="shared" si="240"/>
        <v/>
      </c>
      <c r="S292" s="1165" t="str">
        <f t="shared" si="240"/>
        <v/>
      </c>
      <c r="T292" s="1165" t="str">
        <f t="shared" si="240"/>
        <v/>
      </c>
      <c r="U292" s="1165" t="str">
        <f t="shared" si="240"/>
        <v/>
      </c>
      <c r="V292" s="1165" t="str">
        <f t="shared" si="240"/>
        <v/>
      </c>
      <c r="X292" s="838"/>
    </row>
    <row r="293" spans="2:24" s="1164" customFormat="1" ht="12.75">
      <c r="B293" s="958" t="str">
        <f t="shared" si="239"/>
        <v>Leverage EOP (net debt/equity)</v>
      </c>
      <c r="C293" s="1058">
        <f t="shared" ref="C293:V293" ca="1" si="241">IF(C$273="","",IF(C$273="E",C78,IF(C$273="T",AVERAGE(INDIRECT(ADDRESS(ROW(C78),MATCH("T",$98:$98,FALSE))&amp;":"&amp;ADDRESS(ROW(C78),MATCH("S",$98:$98,FALSE)-1))),AVERAGE(INDIRECT(ADDRESS(ROW(C78),MATCH("S",$98:$98,FALSE))&amp;":"&amp;ADDRESS(ROW(C78),256))))))</f>
        <v>-113.83336005014678</v>
      </c>
      <c r="D293" s="1058">
        <f t="shared" ca="1" si="241"/>
        <v>17.653659454254296</v>
      </c>
      <c r="E293" s="1058">
        <f t="shared" ca="1" si="241"/>
        <v>5.3220957157425923</v>
      </c>
      <c r="F293" s="1058">
        <f t="shared" ca="1" si="241"/>
        <v>4.1164378226808678</v>
      </c>
      <c r="G293" s="1058">
        <f t="shared" ca="1" si="241"/>
        <v>2.1952052293816577</v>
      </c>
      <c r="H293" s="1058">
        <f t="shared" ca="1" si="241"/>
        <v>0.5</v>
      </c>
      <c r="I293" s="1058" t="str">
        <f t="shared" ca="1" si="241"/>
        <v/>
      </c>
      <c r="J293" s="1058" t="str">
        <f t="shared" ca="1" si="241"/>
        <v/>
      </c>
      <c r="K293" s="1058" t="str">
        <f t="shared" ca="1" si="241"/>
        <v/>
      </c>
      <c r="L293" s="1058" t="str">
        <f t="shared" ca="1" si="241"/>
        <v/>
      </c>
      <c r="M293" s="1058" t="str">
        <f t="shared" ca="1" si="241"/>
        <v/>
      </c>
      <c r="N293" s="1058" t="str">
        <f t="shared" ca="1" si="241"/>
        <v/>
      </c>
      <c r="O293" s="1058" t="str">
        <f t="shared" ca="1" si="241"/>
        <v/>
      </c>
      <c r="P293" s="1058" t="str">
        <f t="shared" ca="1" si="241"/>
        <v/>
      </c>
      <c r="Q293" s="1058" t="str">
        <f t="shared" ca="1" si="241"/>
        <v/>
      </c>
      <c r="R293" s="1058" t="str">
        <f t="shared" ca="1" si="241"/>
        <v/>
      </c>
      <c r="S293" s="1058" t="str">
        <f t="shared" ca="1" si="241"/>
        <v/>
      </c>
      <c r="T293" s="1058" t="str">
        <f t="shared" ca="1" si="241"/>
        <v/>
      </c>
      <c r="U293" s="1058" t="str">
        <f t="shared" ca="1" si="241"/>
        <v/>
      </c>
      <c r="V293" s="1058" t="str">
        <f t="shared" ca="1" si="241"/>
        <v/>
      </c>
      <c r="X293" s="838"/>
    </row>
    <row r="294" spans="2:24" s="1164" customFormat="1" ht="12.75">
      <c r="B294" s="958"/>
      <c r="C294" s="1058"/>
      <c r="D294" s="1058"/>
      <c r="E294" s="1058"/>
      <c r="F294" s="1058"/>
      <c r="G294" s="1058"/>
      <c r="H294" s="1058"/>
      <c r="I294" s="1058"/>
      <c r="J294" s="1058"/>
      <c r="K294" s="1058"/>
      <c r="L294" s="1058"/>
      <c r="M294" s="1058"/>
      <c r="N294" s="1058"/>
      <c r="O294" s="1058"/>
      <c r="P294" s="1058"/>
      <c r="Q294" s="1058"/>
      <c r="R294" s="1058"/>
      <c r="S294" s="1058"/>
      <c r="T294" s="1058"/>
      <c r="U294" s="1058"/>
      <c r="V294" s="1058"/>
      <c r="X294" s="838"/>
    </row>
    <row r="295" spans="2:24" s="1164" customFormat="1" ht="15">
      <c r="B295" s="1054" t="str">
        <f t="shared" ref="B295:B302" si="242">B80</f>
        <v>Equity Level</v>
      </c>
      <c r="C295" s="1165"/>
      <c r="D295" s="1165"/>
      <c r="E295" s="1165"/>
      <c r="F295" s="1165"/>
      <c r="G295" s="1165"/>
      <c r="H295" s="1165"/>
      <c r="I295" s="1165"/>
      <c r="J295" s="1165"/>
      <c r="K295" s="1165"/>
      <c r="L295" s="1165"/>
      <c r="M295" s="1165"/>
      <c r="N295" s="1165"/>
      <c r="O295" s="1165"/>
      <c r="P295" s="1165"/>
      <c r="Q295" s="1165"/>
      <c r="R295" s="1165"/>
      <c r="S295" s="1165"/>
      <c r="T295" s="1165"/>
      <c r="U295" s="1165"/>
      <c r="V295" s="1165"/>
      <c r="X295" s="838"/>
    </row>
    <row r="296" spans="2:24" s="1164" customFormat="1" ht="12.75">
      <c r="B296" s="1024" t="str">
        <f t="shared" si="242"/>
        <v>Net income</v>
      </c>
      <c r="C296" s="1062">
        <f t="shared" ref="C296:V297" si="243">IF(C$273="E",C81,"")</f>
        <v>102.61627710975515</v>
      </c>
      <c r="D296" s="1062">
        <f t="shared" si="243"/>
        <v>124.95218943303851</v>
      </c>
      <c r="E296" s="1062">
        <f t="shared" si="243"/>
        <v>142.280377614793</v>
      </c>
      <c r="F296" s="1062">
        <f t="shared" si="243"/>
        <v>173.36238303725861</v>
      </c>
      <c r="G296" s="1062" t="str">
        <f t="shared" si="243"/>
        <v/>
      </c>
      <c r="H296" s="1062" t="str">
        <f t="shared" si="243"/>
        <v/>
      </c>
      <c r="I296" s="1062" t="str">
        <f t="shared" si="243"/>
        <v/>
      </c>
      <c r="J296" s="1062" t="str">
        <f t="shared" si="243"/>
        <v/>
      </c>
      <c r="K296" s="1062" t="str">
        <f t="shared" si="243"/>
        <v/>
      </c>
      <c r="L296" s="1062" t="str">
        <f t="shared" si="243"/>
        <v/>
      </c>
      <c r="M296" s="1062" t="str">
        <f t="shared" si="243"/>
        <v/>
      </c>
      <c r="N296" s="1062" t="str">
        <f t="shared" si="243"/>
        <v/>
      </c>
      <c r="O296" s="1062" t="str">
        <f t="shared" si="243"/>
        <v/>
      </c>
      <c r="P296" s="1062" t="str">
        <f t="shared" si="243"/>
        <v/>
      </c>
      <c r="Q296" s="1062" t="str">
        <f t="shared" si="243"/>
        <v/>
      </c>
      <c r="R296" s="1062" t="str">
        <f t="shared" si="243"/>
        <v/>
      </c>
      <c r="S296" s="1062" t="str">
        <f t="shared" si="243"/>
        <v/>
      </c>
      <c r="T296" s="1062" t="str">
        <f t="shared" si="243"/>
        <v/>
      </c>
      <c r="U296" s="1062" t="str">
        <f t="shared" si="243"/>
        <v/>
      </c>
      <c r="V296" s="1062" t="str">
        <f t="shared" si="243"/>
        <v/>
      </c>
      <c r="X296" s="838"/>
    </row>
    <row r="297" spans="2:24" s="1164" customFormat="1" ht="12.75">
      <c r="B297" s="1024" t="str">
        <f t="shared" si="242"/>
        <v>Equity</v>
      </c>
      <c r="C297" s="1165">
        <f t="shared" si="243"/>
        <v>-25.358146918442131</v>
      </c>
      <c r="D297" s="1165">
        <f t="shared" si="243"/>
        <v>153.43348515005687</v>
      </c>
      <c r="E297" s="1165">
        <f t="shared" si="243"/>
        <v>506.16156034693665</v>
      </c>
      <c r="F297" s="1165">
        <f t="shared" si="243"/>
        <v>612.07031923089119</v>
      </c>
      <c r="G297" s="1165" t="str">
        <f t="shared" si="243"/>
        <v/>
      </c>
      <c r="H297" s="1165" t="str">
        <f t="shared" si="243"/>
        <v/>
      </c>
      <c r="I297" s="1165" t="str">
        <f t="shared" si="243"/>
        <v/>
      </c>
      <c r="J297" s="1165" t="str">
        <f t="shared" si="243"/>
        <v/>
      </c>
      <c r="K297" s="1165" t="str">
        <f t="shared" si="243"/>
        <v/>
      </c>
      <c r="L297" s="1165" t="str">
        <f t="shared" si="243"/>
        <v/>
      </c>
      <c r="M297" s="1165" t="str">
        <f t="shared" si="243"/>
        <v/>
      </c>
      <c r="N297" s="1165" t="str">
        <f t="shared" si="243"/>
        <v/>
      </c>
      <c r="O297" s="1165" t="str">
        <f t="shared" si="243"/>
        <v/>
      </c>
      <c r="P297" s="1165" t="str">
        <f t="shared" si="243"/>
        <v/>
      </c>
      <c r="Q297" s="1165" t="str">
        <f t="shared" si="243"/>
        <v/>
      </c>
      <c r="R297" s="1165" t="str">
        <f t="shared" si="243"/>
        <v/>
      </c>
      <c r="S297" s="1165" t="str">
        <f t="shared" si="243"/>
        <v/>
      </c>
      <c r="T297" s="1165" t="str">
        <f t="shared" si="243"/>
        <v/>
      </c>
      <c r="U297" s="1165" t="str">
        <f t="shared" si="243"/>
        <v/>
      </c>
      <c r="V297" s="1165" t="str">
        <f t="shared" si="243"/>
        <v/>
      </c>
      <c r="X297" s="838"/>
    </row>
    <row r="298" spans="2:24" s="1164" customFormat="1" ht="12.75">
      <c r="B298" s="1025" t="str">
        <f t="shared" si="242"/>
        <v>ROE</v>
      </c>
      <c r="C298" s="1052">
        <f t="shared" ref="C298:V298" ca="1" si="244">IF(C$273="","",IF(C$273="E",C83,IF(C$273="T",AVERAGE(INDIRECT(ADDRESS(ROW(C83),MATCH("T",$98:$98,FALSE))&amp;":"&amp;ADDRESS(ROW(C83),MATCH("S",$98:$98,FALSE)-1))),AVERAGE(INDIRECT(ADDRESS(ROW(C83),MATCH("S",$98:$98,FALSE))&amp;":"&amp;ADDRESS(ROW(C83),256))))))</f>
        <v>-0.72556810993078891</v>
      </c>
      <c r="D298" s="1052">
        <f t="shared" ca="1" si="244"/>
        <v>-4.9274968646137536</v>
      </c>
      <c r="E298" s="1052">
        <f t="shared" ca="1" si="244"/>
        <v>0.92730982077115554</v>
      </c>
      <c r="F298" s="1052">
        <f t="shared" ca="1" si="244"/>
        <v>0.34250404736075057</v>
      </c>
      <c r="G298" s="1052">
        <f t="shared" ca="1" si="244"/>
        <v>0.19195091501887102</v>
      </c>
      <c r="H298" s="1052">
        <f t="shared" ca="1" si="244"/>
        <v>8.3187560124123788E-2</v>
      </c>
      <c r="I298" s="1052" t="str">
        <f t="shared" ca="1" si="244"/>
        <v/>
      </c>
      <c r="J298" s="1052" t="str">
        <f t="shared" ca="1" si="244"/>
        <v/>
      </c>
      <c r="K298" s="1052" t="str">
        <f t="shared" ca="1" si="244"/>
        <v/>
      </c>
      <c r="L298" s="1052" t="str">
        <f t="shared" ca="1" si="244"/>
        <v/>
      </c>
      <c r="M298" s="1052" t="str">
        <f t="shared" ca="1" si="244"/>
        <v/>
      </c>
      <c r="N298" s="1052" t="str">
        <f t="shared" ca="1" si="244"/>
        <v/>
      </c>
      <c r="O298" s="1052" t="str">
        <f t="shared" ca="1" si="244"/>
        <v/>
      </c>
      <c r="P298" s="1052" t="str">
        <f t="shared" ca="1" si="244"/>
        <v/>
      </c>
      <c r="Q298" s="1052" t="str">
        <f t="shared" ca="1" si="244"/>
        <v/>
      </c>
      <c r="R298" s="1052" t="str">
        <f t="shared" ca="1" si="244"/>
        <v/>
      </c>
      <c r="S298" s="1052" t="str">
        <f t="shared" ca="1" si="244"/>
        <v/>
      </c>
      <c r="T298" s="1052" t="str">
        <f t="shared" ca="1" si="244"/>
        <v/>
      </c>
      <c r="U298" s="1052" t="str">
        <f t="shared" ca="1" si="244"/>
        <v/>
      </c>
      <c r="V298" s="1052" t="str">
        <f t="shared" ca="1" si="244"/>
        <v/>
      </c>
      <c r="X298" s="838"/>
    </row>
    <row r="299" spans="2:24" s="1164" customFormat="1" ht="12.75">
      <c r="B299" s="958" t="str">
        <f t="shared" si="242"/>
        <v>Dividends and net rep</v>
      </c>
      <c r="C299" s="1165">
        <f t="shared" ref="C299:V299" si="245">IF(C$273="E",C84,"")</f>
        <v>0</v>
      </c>
      <c r="D299" s="1165">
        <f t="shared" si="245"/>
        <v>0</v>
      </c>
      <c r="E299" s="1165">
        <f t="shared" si="245"/>
        <v>0</v>
      </c>
      <c r="F299" s="1165">
        <f t="shared" si="245"/>
        <v>0</v>
      </c>
      <c r="G299" s="1165" t="str">
        <f t="shared" si="245"/>
        <v/>
      </c>
      <c r="H299" s="1165" t="str">
        <f t="shared" si="245"/>
        <v/>
      </c>
      <c r="I299" s="1165" t="str">
        <f t="shared" si="245"/>
        <v/>
      </c>
      <c r="J299" s="1165" t="str">
        <f t="shared" si="245"/>
        <v/>
      </c>
      <c r="K299" s="1165" t="str">
        <f t="shared" si="245"/>
        <v/>
      </c>
      <c r="L299" s="1165" t="str">
        <f t="shared" si="245"/>
        <v/>
      </c>
      <c r="M299" s="1165" t="str">
        <f t="shared" si="245"/>
        <v/>
      </c>
      <c r="N299" s="1165" t="str">
        <f t="shared" si="245"/>
        <v/>
      </c>
      <c r="O299" s="1165" t="str">
        <f t="shared" si="245"/>
        <v/>
      </c>
      <c r="P299" s="1165" t="str">
        <f t="shared" si="245"/>
        <v/>
      </c>
      <c r="Q299" s="1165" t="str">
        <f t="shared" si="245"/>
        <v/>
      </c>
      <c r="R299" s="1165" t="str">
        <f t="shared" si="245"/>
        <v/>
      </c>
      <c r="S299" s="1165" t="str">
        <f t="shared" si="245"/>
        <v/>
      </c>
      <c r="T299" s="1165" t="str">
        <f t="shared" si="245"/>
        <v/>
      </c>
      <c r="U299" s="1165" t="str">
        <f t="shared" si="245"/>
        <v/>
      </c>
      <c r="V299" s="1165" t="str">
        <f t="shared" si="245"/>
        <v/>
      </c>
      <c r="X299" s="838"/>
    </row>
    <row r="300" spans="2:24" s="1164" customFormat="1" ht="12.75">
      <c r="B300" s="958" t="str">
        <f t="shared" si="242"/>
        <v>PV div and net rep</v>
      </c>
      <c r="C300" s="1165">
        <f t="shared" ref="C300:V300" ca="1" si="246">IF(C$273="","",IF(C$273="E",C85,IF(C$273="T",SUM(INDIRECT(ADDRESS(ROW(C85),MATCH("T",$98:$98,FALSE))&amp;":"&amp;ADDRESS(ROW(C85),MATCH("S",$98:$98,FALSE)-1))),SUM(INDIRECT(ADDRESS(ROW(C85),MATCH("S",$98:$98,FALSE))&amp;":"&amp;ADDRESS(ROW(C85),256))))))</f>
        <v>0</v>
      </c>
      <c r="D300" s="1165">
        <f t="shared" ca="1" si="246"/>
        <v>0</v>
      </c>
      <c r="E300" s="1165">
        <f t="shared" ca="1" si="246"/>
        <v>0</v>
      </c>
      <c r="F300" s="1165">
        <f t="shared" ca="1" si="246"/>
        <v>0</v>
      </c>
      <c r="G300" s="1165">
        <f t="shared" ca="1" si="246"/>
        <v>504.24253302101198</v>
      </c>
      <c r="H300" s="1165">
        <f t="shared" ca="1" si="246"/>
        <v>7959.026350846013</v>
      </c>
      <c r="I300" s="1165" t="str">
        <f t="shared" ca="1" si="246"/>
        <v/>
      </c>
      <c r="J300" s="1165" t="str">
        <f t="shared" ca="1" si="246"/>
        <v/>
      </c>
      <c r="K300" s="1165" t="str">
        <f t="shared" ca="1" si="246"/>
        <v/>
      </c>
      <c r="L300" s="1165" t="str">
        <f t="shared" ca="1" si="246"/>
        <v/>
      </c>
      <c r="M300" s="1165" t="str">
        <f t="shared" ca="1" si="246"/>
        <v/>
      </c>
      <c r="N300" s="1165" t="str">
        <f t="shared" ca="1" si="246"/>
        <v/>
      </c>
      <c r="O300" s="1165" t="str">
        <f t="shared" ca="1" si="246"/>
        <v/>
      </c>
      <c r="P300" s="1165" t="str">
        <f t="shared" ca="1" si="246"/>
        <v/>
      </c>
      <c r="Q300" s="1165" t="str">
        <f t="shared" ca="1" si="246"/>
        <v/>
      </c>
      <c r="R300" s="1165" t="str">
        <f t="shared" ca="1" si="246"/>
        <v/>
      </c>
      <c r="S300" s="1165" t="str">
        <f t="shared" ca="1" si="246"/>
        <v/>
      </c>
      <c r="T300" s="1165" t="str">
        <f t="shared" ca="1" si="246"/>
        <v/>
      </c>
      <c r="U300" s="1165" t="str">
        <f t="shared" ca="1" si="246"/>
        <v/>
      </c>
      <c r="V300" s="1165" t="str">
        <f t="shared" ca="1" si="246"/>
        <v/>
      </c>
      <c r="X300" s="838"/>
    </row>
    <row r="301" spans="2:24" s="1164" customFormat="1" ht="12.75">
      <c r="B301" s="958" t="str">
        <f t="shared" si="242"/>
        <v>Residual income</v>
      </c>
      <c r="C301" s="1166">
        <f t="shared" ref="C301:V301" si="247">IF(C$273="E",C86,"")</f>
        <v>123.14216544440521</v>
      </c>
      <c r="D301" s="1166">
        <f t="shared" si="247"/>
        <v>180.0595394144211</v>
      </c>
      <c r="E301" s="1166">
        <f t="shared" si="247"/>
        <v>345.05640093937694</v>
      </c>
      <c r="F301" s="1166">
        <f t="shared" si="247"/>
        <v>80.600680866607703</v>
      </c>
      <c r="G301" s="1166" t="str">
        <f t="shared" si="247"/>
        <v/>
      </c>
      <c r="H301" s="1166" t="str">
        <f t="shared" si="247"/>
        <v/>
      </c>
      <c r="I301" s="1166" t="str">
        <f t="shared" si="247"/>
        <v/>
      </c>
      <c r="J301" s="1166" t="str">
        <f t="shared" si="247"/>
        <v/>
      </c>
      <c r="K301" s="1166" t="str">
        <f t="shared" si="247"/>
        <v/>
      </c>
      <c r="L301" s="1166" t="str">
        <f t="shared" si="247"/>
        <v/>
      </c>
      <c r="M301" s="1166" t="str">
        <f t="shared" si="247"/>
        <v/>
      </c>
      <c r="N301" s="1166" t="str">
        <f t="shared" si="247"/>
        <v/>
      </c>
      <c r="O301" s="1166" t="str">
        <f t="shared" si="247"/>
        <v/>
      </c>
      <c r="P301" s="1166" t="str">
        <f t="shared" si="247"/>
        <v/>
      </c>
      <c r="Q301" s="1166" t="str">
        <f t="shared" si="247"/>
        <v/>
      </c>
      <c r="R301" s="1166" t="str">
        <f t="shared" si="247"/>
        <v/>
      </c>
      <c r="S301" s="1166" t="str">
        <f t="shared" si="247"/>
        <v/>
      </c>
      <c r="T301" s="1166" t="str">
        <f t="shared" si="247"/>
        <v/>
      </c>
      <c r="U301" s="1166" t="str">
        <f t="shared" si="247"/>
        <v/>
      </c>
      <c r="V301" s="1166" t="str">
        <f t="shared" si="247"/>
        <v/>
      </c>
      <c r="X301" s="838"/>
    </row>
    <row r="302" spans="2:24" s="1164" customFormat="1" ht="12.75">
      <c r="B302" s="958" t="str">
        <f t="shared" si="242"/>
        <v>PVRI</v>
      </c>
      <c r="C302" s="1165">
        <f t="shared" ref="C302:V302" ca="1" si="248">IF(C$273="","",IF(C$273="E",C87,IF(C$273="T",SUM(INDIRECT(ADDRESS(ROW(C87),MATCH("T",$98:$98,FALSE))&amp;":"&amp;ADDRESS(ROW(C87),MATCH("S",$98:$98,FALSE)-1))),SUM(INDIRECT(ADDRESS(ROW(C87),MATCH("S",$98:$98,FALSE))&amp;":"&amp;ADDRESS(ROW(C87),256))))))</f>
        <v>117.27825280419543</v>
      </c>
      <c r="D302" s="1165">
        <f t="shared" ca="1" si="248"/>
        <v>163.31931012645904</v>
      </c>
      <c r="E302" s="1165">
        <f t="shared" ca="1" si="248"/>
        <v>298.0726927453855</v>
      </c>
      <c r="F302" s="1165">
        <f t="shared" ca="1" si="248"/>
        <v>66.310379618868851</v>
      </c>
      <c r="G302" s="1165">
        <f t="shared" ca="1" si="248"/>
        <v>1783.4090670212645</v>
      </c>
      <c r="H302" s="1165">
        <f t="shared" ca="1" si="248"/>
        <v>6176.3080504678555</v>
      </c>
      <c r="I302" s="1165" t="str">
        <f t="shared" ca="1" si="248"/>
        <v/>
      </c>
      <c r="J302" s="1165" t="str">
        <f t="shared" ca="1" si="248"/>
        <v/>
      </c>
      <c r="K302" s="1165" t="str">
        <f t="shared" ca="1" si="248"/>
        <v/>
      </c>
      <c r="L302" s="1165" t="str">
        <f t="shared" ca="1" si="248"/>
        <v/>
      </c>
      <c r="M302" s="1165" t="str">
        <f t="shared" ca="1" si="248"/>
        <v/>
      </c>
      <c r="N302" s="1165" t="str">
        <f t="shared" ca="1" si="248"/>
        <v/>
      </c>
      <c r="O302" s="1165" t="str">
        <f t="shared" ca="1" si="248"/>
        <v/>
      </c>
      <c r="P302" s="1165" t="str">
        <f t="shared" ca="1" si="248"/>
        <v/>
      </c>
      <c r="Q302" s="1165" t="str">
        <f t="shared" ca="1" si="248"/>
        <v/>
      </c>
      <c r="R302" s="1165" t="str">
        <f t="shared" ca="1" si="248"/>
        <v/>
      </c>
      <c r="S302" s="1165" t="str">
        <f t="shared" ca="1" si="248"/>
        <v/>
      </c>
      <c r="T302" s="1165" t="str">
        <f t="shared" ca="1" si="248"/>
        <v/>
      </c>
      <c r="U302" s="1165" t="str">
        <f t="shared" ca="1" si="248"/>
        <v/>
      </c>
      <c r="V302" s="1165" t="str">
        <f t="shared" ca="1" si="248"/>
        <v/>
      </c>
      <c r="X302" s="838"/>
    </row>
    <row r="303" spans="2:24" s="1164" customFormat="1" ht="12.75">
      <c r="B303" s="845"/>
      <c r="E303" s="1167"/>
      <c r="X303" s="838"/>
    </row>
    <row r="304" spans="2:24">
      <c r="B304" s="1168" t="s">
        <v>824</v>
      </c>
    </row>
    <row r="309" spans="1:256" s="1170" customFormat="1">
      <c r="A309" s="873"/>
      <c r="B309" s="1169" t="s">
        <v>825</v>
      </c>
      <c r="C309" s="1169">
        <f>(((((-(--sumry!BR21))--'MWA Lease'!Q15)-((((-(--sumry!BR21))--'MWA Lease'!Q15))*sumry!BR83)))*$V$23)</f>
        <v>-108.56715376418965</v>
      </c>
      <c r="D309" s="1169">
        <f>(((((-(--sumry!BS21))--'MWA Lease'!R15)-((((-(--sumry!BS21))--'MWA Lease'!R15))*sumry!BS83)))*$V$23)</f>
        <v>-102.62650998353591</v>
      </c>
      <c r="E309" s="1169">
        <f>(((((-(--sumry!BT21))--'MWA Lease'!S15)-((((-(--sumry!BT21))--'MWA Lease'!S15))*sumry!BT83)))*$V$23)</f>
        <v>-99.654102495731024</v>
      </c>
      <c r="F309" s="1169">
        <f>(((((-(--sumry!BU21))--'MWA Lease'!T15)-((((-(--sumry!BU21))--'MWA Lease'!T15))*sumry!BU83)))*$V$23)</f>
        <v>-95.66711413079571</v>
      </c>
      <c r="G309" s="1169">
        <f t="shared" ref="G309:P310" si="249">((0)*$V$23)</f>
        <v>0</v>
      </c>
      <c r="H309" s="1169">
        <f t="shared" si="249"/>
        <v>0</v>
      </c>
      <c r="I309" s="1169">
        <f t="shared" si="249"/>
        <v>0</v>
      </c>
      <c r="J309" s="1169">
        <f t="shared" si="249"/>
        <v>0</v>
      </c>
      <c r="K309" s="1169">
        <f t="shared" si="249"/>
        <v>0</v>
      </c>
      <c r="L309" s="1169">
        <f t="shared" si="249"/>
        <v>0</v>
      </c>
      <c r="M309" s="1169">
        <f t="shared" si="249"/>
        <v>0</v>
      </c>
      <c r="N309" s="1169">
        <f t="shared" si="249"/>
        <v>0</v>
      </c>
      <c r="O309" s="1169">
        <f t="shared" si="249"/>
        <v>0</v>
      </c>
      <c r="P309" s="1169">
        <f t="shared" si="249"/>
        <v>0</v>
      </c>
      <c r="Q309" s="1169">
        <f t="shared" ref="Q309:AB310" si="250">((0)*$V$23)</f>
        <v>0</v>
      </c>
      <c r="R309" s="1169">
        <f t="shared" si="250"/>
        <v>0</v>
      </c>
      <c r="S309" s="1169">
        <f t="shared" si="250"/>
        <v>0</v>
      </c>
      <c r="T309" s="1169">
        <f t="shared" si="250"/>
        <v>0</v>
      </c>
      <c r="U309" s="1169">
        <f t="shared" si="250"/>
        <v>0</v>
      </c>
      <c r="V309" s="1169">
        <f t="shared" si="250"/>
        <v>0</v>
      </c>
      <c r="W309" s="1169">
        <f t="shared" si="250"/>
        <v>0</v>
      </c>
      <c r="X309" s="1169">
        <f t="shared" si="250"/>
        <v>0</v>
      </c>
      <c r="Y309" s="1169">
        <f t="shared" si="250"/>
        <v>0</v>
      </c>
      <c r="Z309" s="1169">
        <f t="shared" si="250"/>
        <v>0</v>
      </c>
      <c r="AA309" s="1169">
        <f t="shared" si="250"/>
        <v>0</v>
      </c>
      <c r="AB309" s="1169">
        <f t="shared" si="250"/>
        <v>0</v>
      </c>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IS309" s="872"/>
      <c r="IT309" s="872"/>
      <c r="IU309" s="872"/>
      <c r="IV309" s="872"/>
    </row>
    <row r="310" spans="1:256" s="872" customFormat="1">
      <c r="A310" s="883"/>
      <c r="B310" s="964" t="s">
        <v>698</v>
      </c>
      <c r="C310" s="1171">
        <f>((((-sumry!BR16)-((-((((sumry!BR10)-(sumry!BR12+sumry!BR15+sumry!BR17+sumry!BR18+(-'MWA Lease'!Q12-'MWA Lease'!Q11))))*sumry!BR83))-((((-(--sumry!BR21))--'MWA Lease'!Q15))*sumry!BR83)+((--'MWA Lease'!Q12+'MWA Lease'!Q11--'MWA Lease'!Q15)*sumry!BR83)+sumry!BR24)))*$V$23)</f>
        <v>24.830345757199993</v>
      </c>
      <c r="D310" s="1171">
        <f>((((-sumry!BS16)-((-((((sumry!BS10)-(sumry!BS12+sumry!BS15+sumry!BS17+sumry!BS18+(-'MWA Lease'!R12-'MWA Lease'!R11))))*sumry!BS83))-((((-(--sumry!BS21))--'MWA Lease'!R15))*sumry!BS83)+((--'MWA Lease'!R12+'MWA Lease'!R11--'MWA Lease'!R15)*sumry!BS83)+sumry!BS24)))*$V$23)</f>
        <v>27.069507715539444</v>
      </c>
      <c r="E310" s="1171">
        <f>((((-sumry!BT16)-((-((((sumry!BT10)-(sumry!BT12+sumry!BT15+sumry!BT17+sumry!BT18+(-'MWA Lease'!S12-'MWA Lease'!S11))))*sumry!BT83))-((((-(--sumry!BT21))--'MWA Lease'!S15))*sumry!BT83)+((--'MWA Lease'!S12+'MWA Lease'!S11--'MWA Lease'!S15)*sumry!BT83)+sumry!BT24)))*$V$23)</f>
        <v>29.619041611513545</v>
      </c>
      <c r="F310" s="1171">
        <f>((((-sumry!BU16)-((-((((sumry!BU10)-(sumry!BU12+sumry!BU15+sumry!BU17+sumry!BU18+(-'MWA Lease'!T12-'MWA Lease'!T11))))*sumry!BU83))-((((-(--sumry!BU21))--'MWA Lease'!T15))*sumry!BU83)+((--'MWA Lease'!T12+'MWA Lease'!T11--'MWA Lease'!T15)*sumry!BU83)+sumry!BU24)))*$V$23)</f>
        <v>31.635997197332507</v>
      </c>
      <c r="G310" s="1171">
        <f t="shared" si="249"/>
        <v>0</v>
      </c>
      <c r="H310" s="1171">
        <f t="shared" si="249"/>
        <v>0</v>
      </c>
      <c r="I310" s="1171">
        <f t="shared" si="249"/>
        <v>0</v>
      </c>
      <c r="J310" s="1171">
        <f t="shared" si="249"/>
        <v>0</v>
      </c>
      <c r="K310" s="1171">
        <f t="shared" si="249"/>
        <v>0</v>
      </c>
      <c r="L310" s="1171">
        <f t="shared" si="249"/>
        <v>0</v>
      </c>
      <c r="M310" s="1171">
        <f t="shared" si="249"/>
        <v>0</v>
      </c>
      <c r="N310" s="1171">
        <f t="shared" si="249"/>
        <v>0</v>
      </c>
      <c r="O310" s="1171">
        <f t="shared" si="249"/>
        <v>0</v>
      </c>
      <c r="P310" s="1171">
        <f t="shared" si="249"/>
        <v>0</v>
      </c>
      <c r="Q310" s="1171">
        <f t="shared" si="250"/>
        <v>0</v>
      </c>
      <c r="R310" s="1171">
        <f t="shared" si="250"/>
        <v>0</v>
      </c>
      <c r="S310" s="1171">
        <f t="shared" si="250"/>
        <v>0</v>
      </c>
      <c r="T310" s="1171">
        <f t="shared" si="250"/>
        <v>0</v>
      </c>
      <c r="U310" s="1171">
        <f t="shared" si="250"/>
        <v>0</v>
      </c>
      <c r="V310" s="1171">
        <f t="shared" si="250"/>
        <v>0</v>
      </c>
      <c r="W310" s="1171">
        <f t="shared" si="250"/>
        <v>0</v>
      </c>
      <c r="X310" s="1171">
        <f t="shared" si="250"/>
        <v>0</v>
      </c>
      <c r="Y310" s="1171">
        <f t="shared" si="250"/>
        <v>0</v>
      </c>
      <c r="Z310" s="1171">
        <f t="shared" si="250"/>
        <v>0</v>
      </c>
      <c r="AA310" s="1171">
        <f t="shared" si="250"/>
        <v>0</v>
      </c>
      <c r="AB310" s="1171">
        <f t="shared" si="250"/>
        <v>0</v>
      </c>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row>
    <row r="311" spans="1:256" s="872" customFormat="1">
      <c r="A311" s="883"/>
      <c r="B311" s="1171" t="s">
        <v>700</v>
      </c>
      <c r="C311" s="1171">
        <f>((((+bal!AI12+0)+(+bal!AI15+0+0)+bal!AI13+bal!AI18+bal!AI20+(+bal!AI14+0+0)+(+bal!AI10+bal!AI22+0)+'MWA Lease'!Q24)-((+bal!AI26+0)+(+bal!AI27+bal!AI33+0)+(+bal!AI29+bal!AI34+0)+(('MWA Lease'!Q24-'MWA Lease'!Q33)*sumry!BR83)))*$V$23)</f>
        <v>2651.3169214531003</v>
      </c>
      <c r="D311" s="1171">
        <f>((((+bal!AK12+0)+(+bal!AK15+0+0)+bal!AK13+bal!AK18+bal!AK20+(+bal!AK14+0+0)+(+bal!AK10+bal!AK22+0)+'MWA Lease'!R24)-((+bal!AK26+0)+(+bal!AK27+bal!AK33+0)+(+bal!AK29+bal!AK34+0)+(('MWA Lease'!R24-'MWA Lease'!R33)*sumry!BS83)))*$V$23)</f>
        <v>2451.0129808685442</v>
      </c>
      <c r="E311" s="1171">
        <f>((((+bal!AM12+0)+(+bal!AM15+0+0)+bal!AM13+bal!AM18+bal!AM20+(+bal!AM14+0+0)+(+bal!AM10+bal!AM22+0)+'MWA Lease'!S24)-((+bal!AM26+0)+(+bal!AM27+bal!AM33+0)+(+bal!AM29+bal!AM34+0)+(('MWA Lease'!S24-'MWA Lease'!S33)*sumry!BT83)))*$V$23)</f>
        <v>2500.1628321429534</v>
      </c>
      <c r="F311" s="1171">
        <f>((((+bal!AO12+0)+(+bal!AO15+0+0)+bal!AO13+bal!AO18+bal!AO20+(+bal!AO14+0+0)+(+bal!AO10+bal!AO22+0)+'MWA Lease'!T24)-((+bal!AO26+0)+(+bal!AO27+bal!AO33+0)+(+bal!AO29+bal!AO34+0)+(('MWA Lease'!T24-'MWA Lease'!T33)*sumry!BU83)))*$V$23)</f>
        <v>2431.7804672226002</v>
      </c>
      <c r="G311" s="1171">
        <f t="shared" ref="G311:AB311" si="251">(0*$V$23)</f>
        <v>0</v>
      </c>
      <c r="H311" s="1171">
        <f t="shared" si="251"/>
        <v>0</v>
      </c>
      <c r="I311" s="1171">
        <f t="shared" si="251"/>
        <v>0</v>
      </c>
      <c r="J311" s="1171">
        <f t="shared" si="251"/>
        <v>0</v>
      </c>
      <c r="K311" s="1171">
        <f t="shared" si="251"/>
        <v>0</v>
      </c>
      <c r="L311" s="1171">
        <f t="shared" si="251"/>
        <v>0</v>
      </c>
      <c r="M311" s="1171">
        <f t="shared" si="251"/>
        <v>0</v>
      </c>
      <c r="N311" s="1171">
        <f t="shared" si="251"/>
        <v>0</v>
      </c>
      <c r="O311" s="1171">
        <f t="shared" si="251"/>
        <v>0</v>
      </c>
      <c r="P311" s="1171">
        <f t="shared" si="251"/>
        <v>0</v>
      </c>
      <c r="Q311" s="1171">
        <f t="shared" si="251"/>
        <v>0</v>
      </c>
      <c r="R311" s="1171">
        <f t="shared" si="251"/>
        <v>0</v>
      </c>
      <c r="S311" s="1171">
        <f t="shared" si="251"/>
        <v>0</v>
      </c>
      <c r="T311" s="1171">
        <f t="shared" si="251"/>
        <v>0</v>
      </c>
      <c r="U311" s="1171">
        <f t="shared" si="251"/>
        <v>0</v>
      </c>
      <c r="V311" s="1171">
        <f t="shared" si="251"/>
        <v>0</v>
      </c>
      <c r="W311" s="1171">
        <f t="shared" si="251"/>
        <v>0</v>
      </c>
      <c r="X311" s="1171">
        <f t="shared" si="251"/>
        <v>0</v>
      </c>
      <c r="Y311" s="1171">
        <f t="shared" si="251"/>
        <v>0</v>
      </c>
      <c r="Z311" s="1171">
        <f t="shared" si="251"/>
        <v>0</v>
      </c>
      <c r="AA311" s="1171">
        <f t="shared" si="251"/>
        <v>0</v>
      </c>
      <c r="AB311" s="1171">
        <f t="shared" si="251"/>
        <v>0</v>
      </c>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row>
    <row r="312" spans="1:256" s="872" customFormat="1">
      <c r="A312" s="883"/>
      <c r="B312" s="964" t="s">
        <v>701</v>
      </c>
      <c r="C312" s="1171">
        <f>-((((-((bal!AI28+bal!AI32)-bal!AI9+'MWA Lease'!Q33))))*$V$23)</f>
        <v>2886.603068371543</v>
      </c>
      <c r="D312" s="1171">
        <f>-((((-((bal!AK28+bal!AK32)-bal!AK9+'MWA Lease'!R33))))*$V$23)</f>
        <v>2708.6624957184877</v>
      </c>
      <c r="E312" s="1171">
        <f>-((((-((bal!AM28+bal!AM32)-bal!AM9+'MWA Lease'!S33))))*$V$23)</f>
        <v>2693.8402717960171</v>
      </c>
      <c r="F312" s="1171">
        <f>-((((-((bal!AO28+bal!AO32)-bal!AO9+'MWA Lease'!T33))))*$V$23)</f>
        <v>2519.5494122223931</v>
      </c>
      <c r="G312" s="1171">
        <f t="shared" ref="G312:P313" si="252">-((0)*$V$23)</f>
        <v>0</v>
      </c>
      <c r="H312" s="1171">
        <f t="shared" si="252"/>
        <v>0</v>
      </c>
      <c r="I312" s="1171">
        <f t="shared" si="252"/>
        <v>0</v>
      </c>
      <c r="J312" s="1171">
        <f t="shared" si="252"/>
        <v>0</v>
      </c>
      <c r="K312" s="1171">
        <f t="shared" si="252"/>
        <v>0</v>
      </c>
      <c r="L312" s="1171">
        <f t="shared" si="252"/>
        <v>0</v>
      </c>
      <c r="M312" s="1171">
        <f t="shared" si="252"/>
        <v>0</v>
      </c>
      <c r="N312" s="1171">
        <f t="shared" si="252"/>
        <v>0</v>
      </c>
      <c r="O312" s="1171">
        <f t="shared" si="252"/>
        <v>0</v>
      </c>
      <c r="P312" s="1171">
        <f t="shared" si="252"/>
        <v>0</v>
      </c>
      <c r="Q312" s="1171">
        <f t="shared" ref="Q312:AB313" si="253">-((0)*$V$23)</f>
        <v>0</v>
      </c>
      <c r="R312" s="1171">
        <f t="shared" si="253"/>
        <v>0</v>
      </c>
      <c r="S312" s="1171">
        <f t="shared" si="253"/>
        <v>0</v>
      </c>
      <c r="T312" s="1171">
        <f t="shared" si="253"/>
        <v>0</v>
      </c>
      <c r="U312" s="1171">
        <f t="shared" si="253"/>
        <v>0</v>
      </c>
      <c r="V312" s="1171">
        <f t="shared" si="253"/>
        <v>0</v>
      </c>
      <c r="W312" s="1171">
        <f t="shared" si="253"/>
        <v>0</v>
      </c>
      <c r="X312" s="1171">
        <f t="shared" si="253"/>
        <v>0</v>
      </c>
      <c r="Y312" s="1171">
        <f t="shared" si="253"/>
        <v>0</v>
      </c>
      <c r="Z312" s="1171">
        <f t="shared" si="253"/>
        <v>0</v>
      </c>
      <c r="AA312" s="1171">
        <f t="shared" si="253"/>
        <v>0</v>
      </c>
      <c r="AB312" s="1171">
        <f t="shared" si="253"/>
        <v>0</v>
      </c>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row>
    <row r="313" spans="1:256" s="872" customFormat="1">
      <c r="A313" s="883"/>
      <c r="B313" s="964" t="s">
        <v>702</v>
      </c>
      <c r="C313" s="1171">
        <f>-((0)*$V$23)</f>
        <v>0</v>
      </c>
      <c r="D313" s="1171">
        <f>-((0)*$V$23)</f>
        <v>0</v>
      </c>
      <c r="E313" s="1171">
        <f>-((0)*$V$23)</f>
        <v>0</v>
      </c>
      <c r="F313" s="1171">
        <f>-((0)*$V$23)</f>
        <v>0</v>
      </c>
      <c r="G313" s="1171">
        <f t="shared" si="252"/>
        <v>0</v>
      </c>
      <c r="H313" s="1171">
        <f t="shared" si="252"/>
        <v>0</v>
      </c>
      <c r="I313" s="1171">
        <f t="shared" si="252"/>
        <v>0</v>
      </c>
      <c r="J313" s="1171">
        <f t="shared" si="252"/>
        <v>0</v>
      </c>
      <c r="K313" s="1171">
        <f t="shared" si="252"/>
        <v>0</v>
      </c>
      <c r="L313" s="1171">
        <f t="shared" si="252"/>
        <v>0</v>
      </c>
      <c r="M313" s="1171">
        <f t="shared" si="252"/>
        <v>0</v>
      </c>
      <c r="N313" s="1171">
        <f t="shared" si="252"/>
        <v>0</v>
      </c>
      <c r="O313" s="1171">
        <f t="shared" si="252"/>
        <v>0</v>
      </c>
      <c r="P313" s="1171">
        <f t="shared" si="252"/>
        <v>0</v>
      </c>
      <c r="Q313" s="1171">
        <f t="shared" si="253"/>
        <v>0</v>
      </c>
      <c r="R313" s="1171">
        <f t="shared" si="253"/>
        <v>0</v>
      </c>
      <c r="S313" s="1171">
        <f t="shared" si="253"/>
        <v>0</v>
      </c>
      <c r="T313" s="1171">
        <f t="shared" si="253"/>
        <v>0</v>
      </c>
      <c r="U313" s="1171">
        <f t="shared" si="253"/>
        <v>0</v>
      </c>
      <c r="V313" s="1171">
        <f t="shared" si="253"/>
        <v>0</v>
      </c>
      <c r="W313" s="1171">
        <f t="shared" si="253"/>
        <v>0</v>
      </c>
      <c r="X313" s="1171">
        <f t="shared" si="253"/>
        <v>0</v>
      </c>
      <c r="Y313" s="1171">
        <f t="shared" si="253"/>
        <v>0</v>
      </c>
      <c r="Z313" s="1171">
        <f t="shared" si="253"/>
        <v>0</v>
      </c>
      <c r="AA313" s="1171">
        <f t="shared" si="253"/>
        <v>0</v>
      </c>
      <c r="AB313" s="1171">
        <f t="shared" si="253"/>
        <v>0</v>
      </c>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row>
    <row r="314" spans="1:256" s="1175" customFormat="1">
      <c r="A314" s="1172"/>
      <c r="B314" s="1173" t="s">
        <v>703</v>
      </c>
      <c r="C314" s="1174">
        <f>((((+(+bal!AI40+bal!AI41))+0+bal!AI42+bal!AI44-0+0+0)+('MWA Lease'!Q24-'MWA Lease'!Q33)-((('MWA Lease'!Q24-'MWA Lease'!Q33)*sumry!BR83)))*$V$23)</f>
        <v>-25.358146918442131</v>
      </c>
      <c r="D314" s="1174">
        <f>((((+(+bal!AK40+bal!AK41))+0+bal!AK42+bal!AK44-0+0+0)+('MWA Lease'!R24-'MWA Lease'!R33)-((('MWA Lease'!R24-'MWA Lease'!R33)*sumry!BS83)))*$V$23)</f>
        <v>153.43348515005687</v>
      </c>
      <c r="E314" s="1174">
        <f>((((+(+bal!AM40+bal!AM41))+0+bal!AM42+bal!AM44-0+0+0)+('MWA Lease'!S24-'MWA Lease'!S33)-((('MWA Lease'!S24-'MWA Lease'!S33)*sumry!BT83)))*$V$23)</f>
        <v>506.16156034693665</v>
      </c>
      <c r="F314" s="1174">
        <f>((((+(+bal!AO40+bal!AO41))+0+bal!AO42+bal!AO44-0+0+0)+('MWA Lease'!T24-'MWA Lease'!T33)-((('MWA Lease'!T24-'MWA Lease'!T33)*sumry!BU83)))*$V$23)</f>
        <v>612.07031923089119</v>
      </c>
      <c r="G314" s="1174">
        <f t="shared" ref="G314:AB314" si="254">(0*$V$23)</f>
        <v>0</v>
      </c>
      <c r="H314" s="1174">
        <f t="shared" si="254"/>
        <v>0</v>
      </c>
      <c r="I314" s="1174">
        <f t="shared" si="254"/>
        <v>0</v>
      </c>
      <c r="J314" s="1174">
        <f t="shared" si="254"/>
        <v>0</v>
      </c>
      <c r="K314" s="1174">
        <f t="shared" si="254"/>
        <v>0</v>
      </c>
      <c r="L314" s="1174">
        <f t="shared" si="254"/>
        <v>0</v>
      </c>
      <c r="M314" s="1174">
        <f t="shared" si="254"/>
        <v>0</v>
      </c>
      <c r="N314" s="1174">
        <f t="shared" si="254"/>
        <v>0</v>
      </c>
      <c r="O314" s="1174">
        <f t="shared" si="254"/>
        <v>0</v>
      </c>
      <c r="P314" s="1174">
        <f t="shared" si="254"/>
        <v>0</v>
      </c>
      <c r="Q314" s="1174">
        <f t="shared" si="254"/>
        <v>0</v>
      </c>
      <c r="R314" s="1174">
        <f t="shared" si="254"/>
        <v>0</v>
      </c>
      <c r="S314" s="1174">
        <f t="shared" si="254"/>
        <v>0</v>
      </c>
      <c r="T314" s="1174">
        <f t="shared" si="254"/>
        <v>0</v>
      </c>
      <c r="U314" s="1174">
        <f t="shared" si="254"/>
        <v>0</v>
      </c>
      <c r="V314" s="1174">
        <f t="shared" si="254"/>
        <v>0</v>
      </c>
      <c r="W314" s="1174">
        <f t="shared" si="254"/>
        <v>0</v>
      </c>
      <c r="X314" s="1174">
        <f t="shared" si="254"/>
        <v>0</v>
      </c>
      <c r="Y314" s="1174">
        <f t="shared" si="254"/>
        <v>0</v>
      </c>
      <c r="Z314" s="1174">
        <f t="shared" si="254"/>
        <v>0</v>
      </c>
      <c r="AA314" s="1174">
        <f t="shared" si="254"/>
        <v>0</v>
      </c>
      <c r="AB314" s="1174">
        <f t="shared" si="254"/>
        <v>0</v>
      </c>
      <c r="AC314" s="1174"/>
      <c r="AD314" s="1174"/>
      <c r="AE314" s="1174"/>
      <c r="AF314" s="1174"/>
      <c r="AG314" s="1174"/>
      <c r="AH314" s="1174"/>
      <c r="AI314" s="1174"/>
      <c r="AJ314" s="1174"/>
      <c r="AK314" s="1174"/>
      <c r="AL314" s="1174"/>
      <c r="AM314" s="1174"/>
      <c r="AN314" s="1174"/>
      <c r="AO314" s="1174"/>
      <c r="AP314" s="1174"/>
      <c r="AQ314" s="1174"/>
      <c r="AR314" s="1174"/>
      <c r="AS314" s="1174"/>
      <c r="AT314" s="1174"/>
      <c r="AU314" s="1174"/>
      <c r="AV314" s="1174"/>
      <c r="AW314" s="1174"/>
      <c r="AX314" s="1174"/>
      <c r="AY314" s="1174"/>
      <c r="AZ314" s="1174"/>
      <c r="IS314" s="872"/>
      <c r="IT314" s="872"/>
      <c r="IU314" s="872"/>
      <c r="IV314" s="872"/>
    </row>
    <row r="315" spans="1:256" s="1164" customFormat="1" ht="12.75">
      <c r="E315" s="1167"/>
      <c r="X315" s="838"/>
    </row>
    <row r="316" spans="1:256" s="1164" customFormat="1" ht="12.75">
      <c r="E316" s="1167"/>
      <c r="X316" s="838"/>
    </row>
    <row r="317" spans="1:256" s="1164" customFormat="1" ht="12.75">
      <c r="E317" s="1167"/>
      <c r="X317" s="838"/>
    </row>
    <row r="318" spans="1:256" s="1164" customFormat="1" ht="12.75">
      <c r="E318" s="1167"/>
      <c r="X318" s="838"/>
    </row>
    <row r="319" spans="1:256" s="1164" customFormat="1" ht="12.75">
      <c r="E319" s="1167"/>
      <c r="X319" s="838"/>
    </row>
    <row r="320" spans="1:256" s="1164" customFormat="1" ht="12.75">
      <c r="E320" s="1167"/>
      <c r="X320" s="838"/>
    </row>
    <row r="321" spans="2:252" s="1164" customFormat="1" ht="12.75">
      <c r="E321" s="1167"/>
      <c r="X321" s="838"/>
    </row>
    <row r="322" spans="2:252" s="1164" customFormat="1" ht="12.75">
      <c r="E322" s="1167"/>
      <c r="X322" s="838"/>
    </row>
    <row r="323" spans="2:252" s="1164" customFormat="1" ht="12.75">
      <c r="E323" s="1167"/>
      <c r="X323" s="838"/>
    </row>
    <row r="324" spans="2:252" s="1164" customFormat="1" ht="12.75">
      <c r="E324" s="1167"/>
      <c r="X324" s="838"/>
    </row>
    <row r="325" spans="2:252" s="1164" customFormat="1" ht="12.75">
      <c r="E325" s="1167"/>
      <c r="X325" s="838"/>
    </row>
    <row r="326" spans="2:252" s="1164" customFormat="1" ht="12.75">
      <c r="E326" s="1167"/>
      <c r="X326" s="838"/>
    </row>
    <row r="327" spans="2:252" s="1164" customFormat="1" ht="12.75">
      <c r="E327" s="1167"/>
      <c r="X327" s="838"/>
    </row>
    <row r="328" spans="2:252" s="1164" customFormat="1" ht="12.75">
      <c r="E328" s="1167"/>
      <c r="X328" s="838"/>
    </row>
    <row r="329" spans="2:252" s="1164" customFormat="1" ht="12.75">
      <c r="E329" s="1167"/>
      <c r="X329" s="838"/>
    </row>
    <row r="330" spans="2:252" s="1164" customFormat="1" ht="12.75">
      <c r="E330" s="1167"/>
      <c r="X330" s="838"/>
    </row>
    <row r="331" spans="2:252" s="1164" customFormat="1" ht="12.75">
      <c r="E331" s="1167"/>
      <c r="X331" s="838"/>
    </row>
    <row r="332" spans="2:252" s="1164" customFormat="1" ht="12.75">
      <c r="E332" s="1167"/>
      <c r="X332" s="838"/>
    </row>
    <row r="333" spans="2:252" s="1179" customFormat="1">
      <c r="B333" s="1176" t="s">
        <v>826</v>
      </c>
      <c r="C333" s="1177">
        <v>2015</v>
      </c>
      <c r="D333" s="1177">
        <f t="shared" ref="D333:BO333" si="255">C$333+1</f>
        <v>2016</v>
      </c>
      <c r="E333" s="1177">
        <f t="shared" si="255"/>
        <v>2017</v>
      </c>
      <c r="F333" s="1177">
        <f t="shared" si="255"/>
        <v>2018</v>
      </c>
      <c r="G333" s="1177">
        <f t="shared" si="255"/>
        <v>2019</v>
      </c>
      <c r="H333" s="1177">
        <f t="shared" si="255"/>
        <v>2020</v>
      </c>
      <c r="I333" s="1177">
        <f t="shared" si="255"/>
        <v>2021</v>
      </c>
      <c r="J333" s="1177">
        <f t="shared" si="255"/>
        <v>2022</v>
      </c>
      <c r="K333" s="1177">
        <f t="shared" si="255"/>
        <v>2023</v>
      </c>
      <c r="L333" s="1177">
        <f t="shared" si="255"/>
        <v>2024</v>
      </c>
      <c r="M333" s="1177">
        <f t="shared" si="255"/>
        <v>2025</v>
      </c>
      <c r="N333" s="1177">
        <f t="shared" si="255"/>
        <v>2026</v>
      </c>
      <c r="O333" s="1177">
        <f t="shared" si="255"/>
        <v>2027</v>
      </c>
      <c r="P333" s="1177">
        <f t="shared" si="255"/>
        <v>2028</v>
      </c>
      <c r="Q333" s="1177">
        <f t="shared" si="255"/>
        <v>2029</v>
      </c>
      <c r="R333" s="1177">
        <f t="shared" si="255"/>
        <v>2030</v>
      </c>
      <c r="S333" s="1177">
        <f t="shared" si="255"/>
        <v>2031</v>
      </c>
      <c r="T333" s="1177">
        <f t="shared" si="255"/>
        <v>2032</v>
      </c>
      <c r="U333" s="1177">
        <f t="shared" si="255"/>
        <v>2033</v>
      </c>
      <c r="V333" s="1177">
        <f t="shared" si="255"/>
        <v>2034</v>
      </c>
      <c r="W333" s="1178">
        <f t="shared" si="255"/>
        <v>2035</v>
      </c>
      <c r="X333" s="1177">
        <f t="shared" si="255"/>
        <v>2036</v>
      </c>
      <c r="Y333" s="1177">
        <f t="shared" si="255"/>
        <v>2037</v>
      </c>
      <c r="Z333" s="1177">
        <f t="shared" si="255"/>
        <v>2038</v>
      </c>
      <c r="AA333" s="1177">
        <f t="shared" si="255"/>
        <v>2039</v>
      </c>
      <c r="AB333" s="1177">
        <f t="shared" si="255"/>
        <v>2040</v>
      </c>
      <c r="AC333" s="1177">
        <f t="shared" si="255"/>
        <v>2041</v>
      </c>
      <c r="AD333" s="1177">
        <f t="shared" si="255"/>
        <v>2042</v>
      </c>
      <c r="AE333" s="1177">
        <f t="shared" si="255"/>
        <v>2043</v>
      </c>
      <c r="AF333" s="1177">
        <f t="shared" si="255"/>
        <v>2044</v>
      </c>
      <c r="AG333" s="1177">
        <f t="shared" si="255"/>
        <v>2045</v>
      </c>
      <c r="AH333" s="1177">
        <f t="shared" si="255"/>
        <v>2046</v>
      </c>
      <c r="AI333" s="1177">
        <f t="shared" si="255"/>
        <v>2047</v>
      </c>
      <c r="AJ333" s="1177">
        <f t="shared" si="255"/>
        <v>2048</v>
      </c>
      <c r="AK333" s="1177">
        <f t="shared" si="255"/>
        <v>2049</v>
      </c>
      <c r="AL333" s="1177">
        <f t="shared" si="255"/>
        <v>2050</v>
      </c>
      <c r="AM333" s="1177">
        <f t="shared" si="255"/>
        <v>2051</v>
      </c>
      <c r="AN333" s="1177">
        <f t="shared" si="255"/>
        <v>2052</v>
      </c>
      <c r="AO333" s="1177">
        <f t="shared" si="255"/>
        <v>2053</v>
      </c>
      <c r="AP333" s="1177">
        <f t="shared" si="255"/>
        <v>2054</v>
      </c>
      <c r="AQ333" s="1177">
        <f t="shared" si="255"/>
        <v>2055</v>
      </c>
      <c r="AR333" s="1177">
        <f t="shared" si="255"/>
        <v>2056</v>
      </c>
      <c r="AS333" s="1177">
        <f t="shared" si="255"/>
        <v>2057</v>
      </c>
      <c r="AT333" s="1177">
        <f t="shared" si="255"/>
        <v>2058</v>
      </c>
      <c r="AU333" s="1177">
        <f t="shared" si="255"/>
        <v>2059</v>
      </c>
      <c r="AV333" s="1177">
        <f t="shared" si="255"/>
        <v>2060</v>
      </c>
      <c r="AW333" s="1177">
        <f t="shared" si="255"/>
        <v>2061</v>
      </c>
      <c r="AX333" s="1177">
        <f t="shared" si="255"/>
        <v>2062</v>
      </c>
      <c r="AY333" s="1177">
        <f t="shared" si="255"/>
        <v>2063</v>
      </c>
      <c r="AZ333" s="1177">
        <f t="shared" si="255"/>
        <v>2064</v>
      </c>
      <c r="BA333" s="1177">
        <f t="shared" si="255"/>
        <v>2065</v>
      </c>
      <c r="BB333" s="1177">
        <f t="shared" si="255"/>
        <v>2066</v>
      </c>
      <c r="BC333" s="1177">
        <f t="shared" si="255"/>
        <v>2067</v>
      </c>
      <c r="BD333" s="1177">
        <f t="shared" si="255"/>
        <v>2068</v>
      </c>
      <c r="BE333" s="1177">
        <f t="shared" si="255"/>
        <v>2069</v>
      </c>
      <c r="BF333" s="1177">
        <f t="shared" si="255"/>
        <v>2070</v>
      </c>
      <c r="BG333" s="1177">
        <f t="shared" si="255"/>
        <v>2071</v>
      </c>
      <c r="BH333" s="1177">
        <f t="shared" si="255"/>
        <v>2072</v>
      </c>
      <c r="BI333" s="1177">
        <f t="shared" si="255"/>
        <v>2073</v>
      </c>
      <c r="BJ333" s="1177">
        <f t="shared" si="255"/>
        <v>2074</v>
      </c>
      <c r="BK333" s="1177">
        <f t="shared" si="255"/>
        <v>2075</v>
      </c>
      <c r="BL333" s="1177">
        <f t="shared" si="255"/>
        <v>2076</v>
      </c>
      <c r="BM333" s="1177">
        <f t="shared" si="255"/>
        <v>2077</v>
      </c>
      <c r="BN333" s="1177">
        <f t="shared" si="255"/>
        <v>2078</v>
      </c>
      <c r="BO333" s="1177">
        <f t="shared" si="255"/>
        <v>2079</v>
      </c>
      <c r="BP333" s="1177">
        <f t="shared" ref="BP333:EA333" si="256">BO$333+1</f>
        <v>2080</v>
      </c>
      <c r="BQ333" s="1177">
        <f t="shared" si="256"/>
        <v>2081</v>
      </c>
      <c r="BR333" s="1177">
        <f t="shared" si="256"/>
        <v>2082</v>
      </c>
      <c r="BS333" s="1177">
        <f t="shared" si="256"/>
        <v>2083</v>
      </c>
      <c r="BT333" s="1177">
        <f t="shared" si="256"/>
        <v>2084</v>
      </c>
      <c r="BU333" s="1177">
        <f t="shared" si="256"/>
        <v>2085</v>
      </c>
      <c r="BV333" s="1177">
        <f t="shared" si="256"/>
        <v>2086</v>
      </c>
      <c r="BW333" s="1177">
        <f t="shared" si="256"/>
        <v>2087</v>
      </c>
      <c r="BX333" s="1177">
        <f t="shared" si="256"/>
        <v>2088</v>
      </c>
      <c r="BY333" s="1177">
        <f t="shared" si="256"/>
        <v>2089</v>
      </c>
      <c r="BZ333" s="1177">
        <f t="shared" si="256"/>
        <v>2090</v>
      </c>
      <c r="CA333" s="1177">
        <f t="shared" si="256"/>
        <v>2091</v>
      </c>
      <c r="CB333" s="1177">
        <f t="shared" si="256"/>
        <v>2092</v>
      </c>
      <c r="CC333" s="1177">
        <f t="shared" si="256"/>
        <v>2093</v>
      </c>
      <c r="CD333" s="1177">
        <f t="shared" si="256"/>
        <v>2094</v>
      </c>
      <c r="CE333" s="1177">
        <f t="shared" si="256"/>
        <v>2095</v>
      </c>
      <c r="CF333" s="1177">
        <f t="shared" si="256"/>
        <v>2096</v>
      </c>
      <c r="CG333" s="1177">
        <f t="shared" si="256"/>
        <v>2097</v>
      </c>
      <c r="CH333" s="1177">
        <f t="shared" si="256"/>
        <v>2098</v>
      </c>
      <c r="CI333" s="1177">
        <f t="shared" si="256"/>
        <v>2099</v>
      </c>
      <c r="CJ333" s="1177">
        <f t="shared" si="256"/>
        <v>2100</v>
      </c>
      <c r="CK333" s="1177">
        <f t="shared" si="256"/>
        <v>2101</v>
      </c>
      <c r="CL333" s="1177">
        <f t="shared" si="256"/>
        <v>2102</v>
      </c>
      <c r="CM333" s="1177">
        <f t="shared" si="256"/>
        <v>2103</v>
      </c>
      <c r="CN333" s="1177">
        <f t="shared" si="256"/>
        <v>2104</v>
      </c>
      <c r="CO333" s="1177">
        <f t="shared" si="256"/>
        <v>2105</v>
      </c>
      <c r="CP333" s="1177">
        <f t="shared" si="256"/>
        <v>2106</v>
      </c>
      <c r="CQ333" s="1177">
        <f t="shared" si="256"/>
        <v>2107</v>
      </c>
      <c r="CR333" s="1177">
        <f t="shared" si="256"/>
        <v>2108</v>
      </c>
      <c r="CS333" s="1177">
        <f t="shared" si="256"/>
        <v>2109</v>
      </c>
      <c r="CT333" s="1177">
        <f t="shared" si="256"/>
        <v>2110</v>
      </c>
      <c r="CU333" s="1177">
        <f t="shared" si="256"/>
        <v>2111</v>
      </c>
      <c r="CV333" s="1177">
        <f t="shared" si="256"/>
        <v>2112</v>
      </c>
      <c r="CW333" s="1177">
        <f t="shared" si="256"/>
        <v>2113</v>
      </c>
      <c r="CX333" s="1177">
        <f t="shared" si="256"/>
        <v>2114</v>
      </c>
      <c r="CY333" s="1177">
        <f t="shared" si="256"/>
        <v>2115</v>
      </c>
      <c r="CZ333" s="1177">
        <f t="shared" si="256"/>
        <v>2116</v>
      </c>
      <c r="DA333" s="1177">
        <f t="shared" si="256"/>
        <v>2117</v>
      </c>
      <c r="DB333" s="1177">
        <f t="shared" si="256"/>
        <v>2118</v>
      </c>
      <c r="DC333" s="1177">
        <f t="shared" si="256"/>
        <v>2119</v>
      </c>
      <c r="DD333" s="1177">
        <f t="shared" si="256"/>
        <v>2120</v>
      </c>
      <c r="DE333" s="1177">
        <f t="shared" si="256"/>
        <v>2121</v>
      </c>
      <c r="DF333" s="1177">
        <f t="shared" si="256"/>
        <v>2122</v>
      </c>
      <c r="DG333" s="1177">
        <f t="shared" si="256"/>
        <v>2123</v>
      </c>
      <c r="DH333" s="1177">
        <f t="shared" si="256"/>
        <v>2124</v>
      </c>
      <c r="DI333" s="1177">
        <f t="shared" si="256"/>
        <v>2125</v>
      </c>
      <c r="DJ333" s="1177">
        <f t="shared" si="256"/>
        <v>2126</v>
      </c>
      <c r="DK333" s="1177">
        <f t="shared" si="256"/>
        <v>2127</v>
      </c>
      <c r="DL333" s="1177">
        <f t="shared" si="256"/>
        <v>2128</v>
      </c>
      <c r="DM333" s="1177">
        <f t="shared" si="256"/>
        <v>2129</v>
      </c>
      <c r="DN333" s="1177">
        <f t="shared" si="256"/>
        <v>2130</v>
      </c>
      <c r="DO333" s="1177">
        <f t="shared" si="256"/>
        <v>2131</v>
      </c>
      <c r="DP333" s="1177">
        <f t="shared" si="256"/>
        <v>2132</v>
      </c>
      <c r="DQ333" s="1177">
        <f t="shared" si="256"/>
        <v>2133</v>
      </c>
      <c r="DR333" s="1177">
        <f t="shared" si="256"/>
        <v>2134</v>
      </c>
      <c r="DS333" s="1177">
        <f t="shared" si="256"/>
        <v>2135</v>
      </c>
      <c r="DT333" s="1177">
        <f t="shared" si="256"/>
        <v>2136</v>
      </c>
      <c r="DU333" s="1177">
        <f t="shared" si="256"/>
        <v>2137</v>
      </c>
      <c r="DV333" s="1177">
        <f t="shared" si="256"/>
        <v>2138</v>
      </c>
      <c r="DW333" s="1177">
        <f t="shared" si="256"/>
        <v>2139</v>
      </c>
      <c r="DX333" s="1177">
        <f t="shared" si="256"/>
        <v>2140</v>
      </c>
      <c r="DY333" s="1177">
        <f t="shared" si="256"/>
        <v>2141</v>
      </c>
      <c r="DZ333" s="1177">
        <f t="shared" si="256"/>
        <v>2142</v>
      </c>
      <c r="EA333" s="1177">
        <f t="shared" si="256"/>
        <v>2143</v>
      </c>
      <c r="EB333" s="1177">
        <f t="shared" ref="EB333:GM333" si="257">EA$333+1</f>
        <v>2144</v>
      </c>
      <c r="EC333" s="1177">
        <f t="shared" si="257"/>
        <v>2145</v>
      </c>
      <c r="ED333" s="1177">
        <f t="shared" si="257"/>
        <v>2146</v>
      </c>
      <c r="EE333" s="1177">
        <f t="shared" si="257"/>
        <v>2147</v>
      </c>
      <c r="EF333" s="1177">
        <f t="shared" si="257"/>
        <v>2148</v>
      </c>
      <c r="EG333" s="1177">
        <f t="shared" si="257"/>
        <v>2149</v>
      </c>
      <c r="EH333" s="1177">
        <f t="shared" si="257"/>
        <v>2150</v>
      </c>
      <c r="EI333" s="1177">
        <f t="shared" si="257"/>
        <v>2151</v>
      </c>
      <c r="EJ333" s="1177">
        <f t="shared" si="257"/>
        <v>2152</v>
      </c>
      <c r="EK333" s="1177">
        <f t="shared" si="257"/>
        <v>2153</v>
      </c>
      <c r="EL333" s="1177">
        <f t="shared" si="257"/>
        <v>2154</v>
      </c>
      <c r="EM333" s="1177">
        <f t="shared" si="257"/>
        <v>2155</v>
      </c>
      <c r="EN333" s="1177">
        <f t="shared" si="257"/>
        <v>2156</v>
      </c>
      <c r="EO333" s="1177">
        <f t="shared" si="257"/>
        <v>2157</v>
      </c>
      <c r="EP333" s="1177">
        <f t="shared" si="257"/>
        <v>2158</v>
      </c>
      <c r="EQ333" s="1177">
        <f t="shared" si="257"/>
        <v>2159</v>
      </c>
      <c r="ER333" s="1177">
        <f t="shared" si="257"/>
        <v>2160</v>
      </c>
      <c r="ES333" s="1177">
        <f t="shared" si="257"/>
        <v>2161</v>
      </c>
      <c r="ET333" s="1177">
        <f t="shared" si="257"/>
        <v>2162</v>
      </c>
      <c r="EU333" s="1177">
        <f t="shared" si="257"/>
        <v>2163</v>
      </c>
      <c r="EV333" s="1177">
        <f t="shared" si="257"/>
        <v>2164</v>
      </c>
      <c r="EW333" s="1177">
        <f t="shared" si="257"/>
        <v>2165</v>
      </c>
      <c r="EX333" s="1177">
        <f t="shared" si="257"/>
        <v>2166</v>
      </c>
      <c r="EY333" s="1177">
        <f t="shared" si="257"/>
        <v>2167</v>
      </c>
      <c r="EZ333" s="1177">
        <f t="shared" si="257"/>
        <v>2168</v>
      </c>
      <c r="FA333" s="1177">
        <f t="shared" si="257"/>
        <v>2169</v>
      </c>
      <c r="FB333" s="1177">
        <f t="shared" si="257"/>
        <v>2170</v>
      </c>
      <c r="FC333" s="1177">
        <f t="shared" si="257"/>
        <v>2171</v>
      </c>
      <c r="FD333" s="1177">
        <f t="shared" si="257"/>
        <v>2172</v>
      </c>
      <c r="FE333" s="1177">
        <f t="shared" si="257"/>
        <v>2173</v>
      </c>
      <c r="FF333" s="1177">
        <f t="shared" si="257"/>
        <v>2174</v>
      </c>
      <c r="FG333" s="1177">
        <f t="shared" si="257"/>
        <v>2175</v>
      </c>
      <c r="FH333" s="1177">
        <f t="shared" si="257"/>
        <v>2176</v>
      </c>
      <c r="FI333" s="1177">
        <f t="shared" si="257"/>
        <v>2177</v>
      </c>
      <c r="FJ333" s="1177">
        <f t="shared" si="257"/>
        <v>2178</v>
      </c>
      <c r="FK333" s="1177">
        <f t="shared" si="257"/>
        <v>2179</v>
      </c>
      <c r="FL333" s="1177">
        <f t="shared" si="257"/>
        <v>2180</v>
      </c>
      <c r="FM333" s="1177">
        <f t="shared" si="257"/>
        <v>2181</v>
      </c>
      <c r="FN333" s="1177">
        <f t="shared" si="257"/>
        <v>2182</v>
      </c>
      <c r="FO333" s="1177">
        <f t="shared" si="257"/>
        <v>2183</v>
      </c>
      <c r="FP333" s="1177">
        <f t="shared" si="257"/>
        <v>2184</v>
      </c>
      <c r="FQ333" s="1177">
        <f t="shared" si="257"/>
        <v>2185</v>
      </c>
      <c r="FR333" s="1177">
        <f t="shared" si="257"/>
        <v>2186</v>
      </c>
      <c r="FS333" s="1177">
        <f t="shared" si="257"/>
        <v>2187</v>
      </c>
      <c r="FT333" s="1177">
        <f t="shared" si="257"/>
        <v>2188</v>
      </c>
      <c r="FU333" s="1177">
        <f t="shared" si="257"/>
        <v>2189</v>
      </c>
      <c r="FV333" s="1177">
        <f t="shared" si="257"/>
        <v>2190</v>
      </c>
      <c r="FW333" s="1177">
        <f t="shared" si="257"/>
        <v>2191</v>
      </c>
      <c r="FX333" s="1177">
        <f t="shared" si="257"/>
        <v>2192</v>
      </c>
      <c r="FY333" s="1177">
        <f t="shared" si="257"/>
        <v>2193</v>
      </c>
      <c r="FZ333" s="1177">
        <f t="shared" si="257"/>
        <v>2194</v>
      </c>
      <c r="GA333" s="1177">
        <f t="shared" si="257"/>
        <v>2195</v>
      </c>
      <c r="GB333" s="1177">
        <f t="shared" si="257"/>
        <v>2196</v>
      </c>
      <c r="GC333" s="1177">
        <f t="shared" si="257"/>
        <v>2197</v>
      </c>
      <c r="GD333" s="1177">
        <f t="shared" si="257"/>
        <v>2198</v>
      </c>
      <c r="GE333" s="1177">
        <f t="shared" si="257"/>
        <v>2199</v>
      </c>
      <c r="GF333" s="1177">
        <f t="shared" si="257"/>
        <v>2200</v>
      </c>
      <c r="GG333" s="1177">
        <f t="shared" si="257"/>
        <v>2201</v>
      </c>
      <c r="GH333" s="1177">
        <f t="shared" si="257"/>
        <v>2202</v>
      </c>
      <c r="GI333" s="1177">
        <f t="shared" si="257"/>
        <v>2203</v>
      </c>
      <c r="GJ333" s="1177">
        <f t="shared" si="257"/>
        <v>2204</v>
      </c>
      <c r="GK333" s="1177">
        <f t="shared" si="257"/>
        <v>2205</v>
      </c>
      <c r="GL333" s="1177">
        <f t="shared" si="257"/>
        <v>2206</v>
      </c>
      <c r="GM333" s="1177">
        <f t="shared" si="257"/>
        <v>2207</v>
      </c>
      <c r="GN333" s="1177">
        <f t="shared" ref="GN333:IR333" si="258">GM$333+1</f>
        <v>2208</v>
      </c>
      <c r="GO333" s="1177">
        <f t="shared" si="258"/>
        <v>2209</v>
      </c>
      <c r="GP333" s="1177">
        <f t="shared" si="258"/>
        <v>2210</v>
      </c>
      <c r="GQ333" s="1177">
        <f t="shared" si="258"/>
        <v>2211</v>
      </c>
      <c r="GR333" s="1177">
        <f t="shared" si="258"/>
        <v>2212</v>
      </c>
      <c r="GS333" s="1177">
        <f t="shared" si="258"/>
        <v>2213</v>
      </c>
      <c r="GT333" s="1177">
        <f t="shared" si="258"/>
        <v>2214</v>
      </c>
      <c r="GU333" s="1177">
        <f t="shared" si="258"/>
        <v>2215</v>
      </c>
      <c r="GV333" s="1177">
        <f t="shared" si="258"/>
        <v>2216</v>
      </c>
      <c r="GW333" s="1177">
        <f t="shared" si="258"/>
        <v>2217</v>
      </c>
      <c r="GX333" s="1177">
        <f t="shared" si="258"/>
        <v>2218</v>
      </c>
      <c r="GY333" s="1177">
        <f t="shared" si="258"/>
        <v>2219</v>
      </c>
      <c r="GZ333" s="1177">
        <f t="shared" si="258"/>
        <v>2220</v>
      </c>
      <c r="HA333" s="1177">
        <f t="shared" si="258"/>
        <v>2221</v>
      </c>
      <c r="HB333" s="1177">
        <f t="shared" si="258"/>
        <v>2222</v>
      </c>
      <c r="HC333" s="1177">
        <f t="shared" si="258"/>
        <v>2223</v>
      </c>
      <c r="HD333" s="1177">
        <f t="shared" si="258"/>
        <v>2224</v>
      </c>
      <c r="HE333" s="1177">
        <f t="shared" si="258"/>
        <v>2225</v>
      </c>
      <c r="HF333" s="1177">
        <f t="shared" si="258"/>
        <v>2226</v>
      </c>
      <c r="HG333" s="1177">
        <f t="shared" si="258"/>
        <v>2227</v>
      </c>
      <c r="HH333" s="1177">
        <f t="shared" si="258"/>
        <v>2228</v>
      </c>
      <c r="HI333" s="1177">
        <f t="shared" si="258"/>
        <v>2229</v>
      </c>
      <c r="HJ333" s="1177">
        <f t="shared" si="258"/>
        <v>2230</v>
      </c>
      <c r="HK333" s="1177">
        <f t="shared" si="258"/>
        <v>2231</v>
      </c>
      <c r="HL333" s="1177">
        <f t="shared" si="258"/>
        <v>2232</v>
      </c>
      <c r="HM333" s="1177">
        <f t="shared" si="258"/>
        <v>2233</v>
      </c>
      <c r="HN333" s="1177">
        <f t="shared" si="258"/>
        <v>2234</v>
      </c>
      <c r="HO333" s="1177">
        <f t="shared" si="258"/>
        <v>2235</v>
      </c>
      <c r="HP333" s="1177">
        <f t="shared" si="258"/>
        <v>2236</v>
      </c>
      <c r="HQ333" s="1177">
        <f t="shared" si="258"/>
        <v>2237</v>
      </c>
      <c r="HR333" s="1177">
        <f t="shared" si="258"/>
        <v>2238</v>
      </c>
      <c r="HS333" s="1177">
        <f t="shared" si="258"/>
        <v>2239</v>
      </c>
      <c r="HT333" s="1177">
        <f t="shared" si="258"/>
        <v>2240</v>
      </c>
      <c r="HU333" s="1177">
        <f t="shared" si="258"/>
        <v>2241</v>
      </c>
      <c r="HV333" s="1177">
        <f t="shared" si="258"/>
        <v>2242</v>
      </c>
      <c r="HW333" s="1177">
        <f t="shared" si="258"/>
        <v>2243</v>
      </c>
      <c r="HX333" s="1177">
        <f t="shared" si="258"/>
        <v>2244</v>
      </c>
      <c r="HY333" s="1177">
        <f t="shared" si="258"/>
        <v>2245</v>
      </c>
      <c r="HZ333" s="1177">
        <f t="shared" si="258"/>
        <v>2246</v>
      </c>
      <c r="IA333" s="1177">
        <f t="shared" si="258"/>
        <v>2247</v>
      </c>
      <c r="IB333" s="1177">
        <f t="shared" si="258"/>
        <v>2248</v>
      </c>
      <c r="IC333" s="1177">
        <f t="shared" si="258"/>
        <v>2249</v>
      </c>
      <c r="ID333" s="1177">
        <f t="shared" si="258"/>
        <v>2250</v>
      </c>
      <c r="IE333" s="1177">
        <f t="shared" si="258"/>
        <v>2251</v>
      </c>
      <c r="IF333" s="1177">
        <f t="shared" si="258"/>
        <v>2252</v>
      </c>
      <c r="IG333" s="1177">
        <f t="shared" si="258"/>
        <v>2253</v>
      </c>
      <c r="IH333" s="1177">
        <f t="shared" si="258"/>
        <v>2254</v>
      </c>
      <c r="II333" s="1177">
        <f t="shared" si="258"/>
        <v>2255</v>
      </c>
      <c r="IJ333" s="1177">
        <f t="shared" si="258"/>
        <v>2256</v>
      </c>
      <c r="IK333" s="1177">
        <f t="shared" si="258"/>
        <v>2257</v>
      </c>
      <c r="IL333" s="1177">
        <f t="shared" si="258"/>
        <v>2258</v>
      </c>
      <c r="IM333" s="1177">
        <f t="shared" si="258"/>
        <v>2259</v>
      </c>
      <c r="IN333" s="1177">
        <f t="shared" si="258"/>
        <v>2260</v>
      </c>
      <c r="IO333" s="1177">
        <f t="shared" si="258"/>
        <v>2261</v>
      </c>
      <c r="IP333" s="1177">
        <f t="shared" si="258"/>
        <v>2262</v>
      </c>
      <c r="IQ333" s="1177">
        <f t="shared" si="258"/>
        <v>2263</v>
      </c>
      <c r="IR333" s="1177">
        <f t="shared" si="258"/>
        <v>2264</v>
      </c>
    </row>
    <row r="334" spans="2:252" s="1176" customFormat="1">
      <c r="B334" s="1176">
        <v>12</v>
      </c>
      <c r="C334" s="1176" t="str">
        <f t="shared" ref="C334:BN334" si="259">"F"&amp;C$337&amp;"/"&amp;MID(C$333,3,2)</f>
        <v>F1/15</v>
      </c>
      <c r="D334" s="1176" t="str">
        <f t="shared" si="259"/>
        <v>F1/16</v>
      </c>
      <c r="E334" s="1176" t="str">
        <f t="shared" si="259"/>
        <v>F1/17</v>
      </c>
      <c r="F334" s="1176" t="str">
        <f t="shared" si="259"/>
        <v>F1/18</v>
      </c>
      <c r="G334" s="1176" t="str">
        <f t="shared" si="259"/>
        <v>F1/19</v>
      </c>
      <c r="H334" s="1176" t="str">
        <f t="shared" si="259"/>
        <v>F1/20</v>
      </c>
      <c r="I334" s="1176" t="str">
        <f t="shared" si="259"/>
        <v>F1/21</v>
      </c>
      <c r="J334" s="1176" t="str">
        <f t="shared" si="259"/>
        <v>F1/22</v>
      </c>
      <c r="K334" s="1176" t="str">
        <f t="shared" si="259"/>
        <v>F1/23</v>
      </c>
      <c r="L334" s="1176" t="str">
        <f t="shared" si="259"/>
        <v>F1/24</v>
      </c>
      <c r="M334" s="1176" t="str">
        <f t="shared" si="259"/>
        <v>F1/25</v>
      </c>
      <c r="N334" s="1176" t="str">
        <f t="shared" si="259"/>
        <v>F1/26</v>
      </c>
      <c r="O334" s="1176" t="str">
        <f t="shared" si="259"/>
        <v>F1/27</v>
      </c>
      <c r="P334" s="1176" t="str">
        <f t="shared" si="259"/>
        <v>F1/28</v>
      </c>
      <c r="Q334" s="1176" t="str">
        <f t="shared" si="259"/>
        <v>F1/29</v>
      </c>
      <c r="R334" s="1176" t="str">
        <f t="shared" si="259"/>
        <v>F1/30</v>
      </c>
      <c r="S334" s="1176" t="str">
        <f t="shared" si="259"/>
        <v>F1/31</v>
      </c>
      <c r="T334" s="1176" t="str">
        <f t="shared" si="259"/>
        <v>F1/32</v>
      </c>
      <c r="U334" s="1176" t="str">
        <f t="shared" si="259"/>
        <v>F1/33</v>
      </c>
      <c r="V334" s="1176" t="str">
        <f t="shared" si="259"/>
        <v>F1/34</v>
      </c>
      <c r="W334" s="1180" t="str">
        <f t="shared" si="259"/>
        <v>F1/35</v>
      </c>
      <c r="X334" s="1176" t="str">
        <f t="shared" si="259"/>
        <v>F1/36</v>
      </c>
      <c r="Y334" s="1176" t="str">
        <f t="shared" si="259"/>
        <v>F1/37</v>
      </c>
      <c r="Z334" s="1176" t="str">
        <f t="shared" si="259"/>
        <v>F1/38</v>
      </c>
      <c r="AA334" s="1176" t="str">
        <f t="shared" si="259"/>
        <v>F1/39</v>
      </c>
      <c r="AB334" s="1176" t="str">
        <f t="shared" si="259"/>
        <v>F1/40</v>
      </c>
      <c r="AC334" s="1176" t="str">
        <f t="shared" si="259"/>
        <v>F1/41</v>
      </c>
      <c r="AD334" s="1176" t="str">
        <f t="shared" si="259"/>
        <v>F1/42</v>
      </c>
      <c r="AE334" s="1176" t="str">
        <f t="shared" si="259"/>
        <v>F1/43</v>
      </c>
      <c r="AF334" s="1176" t="str">
        <f t="shared" si="259"/>
        <v>F1/44</v>
      </c>
      <c r="AG334" s="1176" t="str">
        <f t="shared" si="259"/>
        <v>F1/45</v>
      </c>
      <c r="AH334" s="1176" t="str">
        <f t="shared" si="259"/>
        <v>F1/46</v>
      </c>
      <c r="AI334" s="1176" t="str">
        <f t="shared" si="259"/>
        <v>F1/47</v>
      </c>
      <c r="AJ334" s="1176" t="str">
        <f t="shared" si="259"/>
        <v>F1/48</v>
      </c>
      <c r="AK334" s="1176" t="str">
        <f t="shared" si="259"/>
        <v>F1/49</v>
      </c>
      <c r="AL334" s="1176" t="str">
        <f t="shared" si="259"/>
        <v>F1/50</v>
      </c>
      <c r="AM334" s="1176" t="str">
        <f t="shared" si="259"/>
        <v>F1/51</v>
      </c>
      <c r="AN334" s="1176" t="str">
        <f t="shared" si="259"/>
        <v>F1/52</v>
      </c>
      <c r="AO334" s="1176" t="str">
        <f t="shared" si="259"/>
        <v>F1/53</v>
      </c>
      <c r="AP334" s="1176" t="str">
        <f t="shared" si="259"/>
        <v>F1/54</v>
      </c>
      <c r="AQ334" s="1176" t="str">
        <f t="shared" si="259"/>
        <v>F1/55</v>
      </c>
      <c r="AR334" s="1176" t="str">
        <f t="shared" si="259"/>
        <v>F1/56</v>
      </c>
      <c r="AS334" s="1176" t="str">
        <f t="shared" si="259"/>
        <v>F1/57</v>
      </c>
      <c r="AT334" s="1176" t="str">
        <f t="shared" si="259"/>
        <v>F1/58</v>
      </c>
      <c r="AU334" s="1176" t="str">
        <f t="shared" si="259"/>
        <v>F1/59</v>
      </c>
      <c r="AV334" s="1176" t="str">
        <f t="shared" si="259"/>
        <v>F1/60</v>
      </c>
      <c r="AW334" s="1176" t="str">
        <f t="shared" si="259"/>
        <v>F1/61</v>
      </c>
      <c r="AX334" s="1176" t="str">
        <f t="shared" si="259"/>
        <v>F1/62</v>
      </c>
      <c r="AY334" s="1176" t="str">
        <f t="shared" si="259"/>
        <v>F1/63</v>
      </c>
      <c r="AZ334" s="1176" t="str">
        <f t="shared" si="259"/>
        <v>F1/64</v>
      </c>
      <c r="BA334" s="1176" t="str">
        <f t="shared" si="259"/>
        <v>F1/65</v>
      </c>
      <c r="BB334" s="1176" t="str">
        <f t="shared" si="259"/>
        <v>F1/66</v>
      </c>
      <c r="BC334" s="1176" t="str">
        <f t="shared" si="259"/>
        <v>F1/67</v>
      </c>
      <c r="BD334" s="1176" t="str">
        <f t="shared" si="259"/>
        <v>F1/68</v>
      </c>
      <c r="BE334" s="1176" t="str">
        <f t="shared" si="259"/>
        <v>F1/69</v>
      </c>
      <c r="BF334" s="1176" t="str">
        <f t="shared" si="259"/>
        <v>F1/70</v>
      </c>
      <c r="BG334" s="1176" t="str">
        <f t="shared" si="259"/>
        <v>F1/71</v>
      </c>
      <c r="BH334" s="1176" t="str">
        <f t="shared" si="259"/>
        <v>F1/72</v>
      </c>
      <c r="BI334" s="1176" t="str">
        <f t="shared" si="259"/>
        <v>F1/73</v>
      </c>
      <c r="BJ334" s="1176" t="str">
        <f t="shared" si="259"/>
        <v>F1/74</v>
      </c>
      <c r="BK334" s="1176" t="str">
        <f t="shared" si="259"/>
        <v>F1/75</v>
      </c>
      <c r="BL334" s="1176" t="str">
        <f t="shared" si="259"/>
        <v>F1/76</v>
      </c>
      <c r="BM334" s="1176" t="str">
        <f t="shared" si="259"/>
        <v>F1/77</v>
      </c>
      <c r="BN334" s="1176" t="str">
        <f t="shared" si="259"/>
        <v>F1/78</v>
      </c>
      <c r="BO334" s="1176" t="str">
        <f t="shared" ref="BO334:DZ334" si="260">"F"&amp;BO$337&amp;"/"&amp;MID(BO$333,3,2)</f>
        <v>F1/79</v>
      </c>
      <c r="BP334" s="1176" t="str">
        <f t="shared" si="260"/>
        <v>F1/80</v>
      </c>
      <c r="BQ334" s="1176" t="str">
        <f t="shared" si="260"/>
        <v>F1/81</v>
      </c>
      <c r="BR334" s="1176" t="str">
        <f t="shared" si="260"/>
        <v>F1/82</v>
      </c>
      <c r="BS334" s="1176" t="str">
        <f t="shared" si="260"/>
        <v>F1/83</v>
      </c>
      <c r="BT334" s="1176" t="str">
        <f t="shared" si="260"/>
        <v>F1/84</v>
      </c>
      <c r="BU334" s="1176" t="str">
        <f t="shared" si="260"/>
        <v>F1/85</v>
      </c>
      <c r="BV334" s="1176" t="str">
        <f t="shared" si="260"/>
        <v>F1/86</v>
      </c>
      <c r="BW334" s="1176" t="str">
        <f t="shared" si="260"/>
        <v>F1/87</v>
      </c>
      <c r="BX334" s="1176" t="str">
        <f t="shared" si="260"/>
        <v>F1/88</v>
      </c>
      <c r="BY334" s="1176" t="str">
        <f t="shared" si="260"/>
        <v>F1/89</v>
      </c>
      <c r="BZ334" s="1176" t="str">
        <f t="shared" si="260"/>
        <v>F1/90</v>
      </c>
      <c r="CA334" s="1176" t="str">
        <f t="shared" si="260"/>
        <v>F1/91</v>
      </c>
      <c r="CB334" s="1176" t="str">
        <f t="shared" si="260"/>
        <v>F1/92</v>
      </c>
      <c r="CC334" s="1176" t="str">
        <f t="shared" si="260"/>
        <v>F1/93</v>
      </c>
      <c r="CD334" s="1176" t="str">
        <f t="shared" si="260"/>
        <v>F1/94</v>
      </c>
      <c r="CE334" s="1176" t="str">
        <f t="shared" si="260"/>
        <v>F1/95</v>
      </c>
      <c r="CF334" s="1176" t="str">
        <f t="shared" si="260"/>
        <v>F1/96</v>
      </c>
      <c r="CG334" s="1176" t="str">
        <f t="shared" si="260"/>
        <v>F1/97</v>
      </c>
      <c r="CH334" s="1176" t="str">
        <f t="shared" si="260"/>
        <v>F1/98</v>
      </c>
      <c r="CI334" s="1176" t="str">
        <f t="shared" si="260"/>
        <v>F1/99</v>
      </c>
      <c r="CJ334" s="1176" t="str">
        <f t="shared" si="260"/>
        <v>F1/00</v>
      </c>
      <c r="CK334" s="1176" t="str">
        <f t="shared" si="260"/>
        <v>F1/01</v>
      </c>
      <c r="CL334" s="1176" t="str">
        <f t="shared" si="260"/>
        <v>F1/02</v>
      </c>
      <c r="CM334" s="1176" t="str">
        <f t="shared" si="260"/>
        <v>F1/03</v>
      </c>
      <c r="CN334" s="1176" t="str">
        <f t="shared" si="260"/>
        <v>F1/04</v>
      </c>
      <c r="CO334" s="1176" t="str">
        <f t="shared" si="260"/>
        <v>F1/05</v>
      </c>
      <c r="CP334" s="1176" t="str">
        <f t="shared" si="260"/>
        <v>F1/06</v>
      </c>
      <c r="CQ334" s="1176" t="str">
        <f t="shared" si="260"/>
        <v>F1/07</v>
      </c>
      <c r="CR334" s="1176" t="str">
        <f t="shared" si="260"/>
        <v>F1/08</v>
      </c>
      <c r="CS334" s="1176" t="str">
        <f t="shared" si="260"/>
        <v>F1/09</v>
      </c>
      <c r="CT334" s="1176" t="str">
        <f t="shared" si="260"/>
        <v>F1/10</v>
      </c>
      <c r="CU334" s="1176" t="str">
        <f t="shared" si="260"/>
        <v>F1/11</v>
      </c>
      <c r="CV334" s="1176" t="str">
        <f t="shared" si="260"/>
        <v>F1/12</v>
      </c>
      <c r="CW334" s="1176" t="str">
        <f t="shared" si="260"/>
        <v>F1/13</v>
      </c>
      <c r="CX334" s="1176" t="str">
        <f t="shared" si="260"/>
        <v>F1/14</v>
      </c>
      <c r="CY334" s="1176" t="str">
        <f t="shared" si="260"/>
        <v>F1/15</v>
      </c>
      <c r="CZ334" s="1176" t="str">
        <f t="shared" si="260"/>
        <v>F1/16</v>
      </c>
      <c r="DA334" s="1176" t="str">
        <f t="shared" si="260"/>
        <v>F1/17</v>
      </c>
      <c r="DB334" s="1176" t="str">
        <f t="shared" si="260"/>
        <v>F1/18</v>
      </c>
      <c r="DC334" s="1176" t="str">
        <f t="shared" si="260"/>
        <v>F1/19</v>
      </c>
      <c r="DD334" s="1176" t="str">
        <f t="shared" si="260"/>
        <v>F1/20</v>
      </c>
      <c r="DE334" s="1176" t="str">
        <f t="shared" si="260"/>
        <v>F1/21</v>
      </c>
      <c r="DF334" s="1176" t="str">
        <f t="shared" si="260"/>
        <v>F1/22</v>
      </c>
      <c r="DG334" s="1176" t="str">
        <f t="shared" si="260"/>
        <v>F1/23</v>
      </c>
      <c r="DH334" s="1176" t="str">
        <f t="shared" si="260"/>
        <v>F1/24</v>
      </c>
      <c r="DI334" s="1176" t="str">
        <f t="shared" si="260"/>
        <v>F1/25</v>
      </c>
      <c r="DJ334" s="1176" t="str">
        <f t="shared" si="260"/>
        <v>F1/26</v>
      </c>
      <c r="DK334" s="1176" t="str">
        <f t="shared" si="260"/>
        <v>F1/27</v>
      </c>
      <c r="DL334" s="1176" t="str">
        <f t="shared" si="260"/>
        <v>F1/28</v>
      </c>
      <c r="DM334" s="1176" t="str">
        <f t="shared" si="260"/>
        <v>F1/29</v>
      </c>
      <c r="DN334" s="1176" t="str">
        <f t="shared" si="260"/>
        <v>F1/30</v>
      </c>
      <c r="DO334" s="1176" t="str">
        <f t="shared" si="260"/>
        <v>F1/31</v>
      </c>
      <c r="DP334" s="1176" t="str">
        <f t="shared" si="260"/>
        <v>F1/32</v>
      </c>
      <c r="DQ334" s="1176" t="str">
        <f t="shared" si="260"/>
        <v>F1/33</v>
      </c>
      <c r="DR334" s="1176" t="str">
        <f t="shared" si="260"/>
        <v>F1/34</v>
      </c>
      <c r="DS334" s="1176" t="str">
        <f t="shared" si="260"/>
        <v>F1/35</v>
      </c>
      <c r="DT334" s="1176" t="str">
        <f t="shared" si="260"/>
        <v>F1/36</v>
      </c>
      <c r="DU334" s="1176" t="str">
        <f t="shared" si="260"/>
        <v>F1/37</v>
      </c>
      <c r="DV334" s="1176" t="str">
        <f t="shared" si="260"/>
        <v>F1/38</v>
      </c>
      <c r="DW334" s="1176" t="str">
        <f t="shared" si="260"/>
        <v>F1/39</v>
      </c>
      <c r="DX334" s="1176" t="str">
        <f t="shared" si="260"/>
        <v>F1/40</v>
      </c>
      <c r="DY334" s="1176" t="str">
        <f t="shared" si="260"/>
        <v>F1/41</v>
      </c>
      <c r="DZ334" s="1176" t="str">
        <f t="shared" si="260"/>
        <v>F1/42</v>
      </c>
      <c r="EA334" s="1176" t="str">
        <f t="shared" ref="EA334:GL334" si="261">"F"&amp;EA$337&amp;"/"&amp;MID(EA$333,3,2)</f>
        <v>F1/43</v>
      </c>
      <c r="EB334" s="1176" t="str">
        <f t="shared" si="261"/>
        <v>F1/44</v>
      </c>
      <c r="EC334" s="1176" t="str">
        <f t="shared" si="261"/>
        <v>F1/45</v>
      </c>
      <c r="ED334" s="1176" t="str">
        <f t="shared" si="261"/>
        <v>F1/46</v>
      </c>
      <c r="EE334" s="1176" t="str">
        <f t="shared" si="261"/>
        <v>F1/47</v>
      </c>
      <c r="EF334" s="1176" t="str">
        <f t="shared" si="261"/>
        <v>F1/48</v>
      </c>
      <c r="EG334" s="1176" t="str">
        <f t="shared" si="261"/>
        <v>F1/49</v>
      </c>
      <c r="EH334" s="1176" t="str">
        <f t="shared" si="261"/>
        <v>F1/50</v>
      </c>
      <c r="EI334" s="1176" t="str">
        <f t="shared" si="261"/>
        <v>F1/51</v>
      </c>
      <c r="EJ334" s="1176" t="str">
        <f t="shared" si="261"/>
        <v>F1/52</v>
      </c>
      <c r="EK334" s="1176" t="str">
        <f t="shared" si="261"/>
        <v>F1/53</v>
      </c>
      <c r="EL334" s="1176" t="str">
        <f t="shared" si="261"/>
        <v>F1/54</v>
      </c>
      <c r="EM334" s="1176" t="str">
        <f t="shared" si="261"/>
        <v>F1/55</v>
      </c>
      <c r="EN334" s="1176" t="str">
        <f t="shared" si="261"/>
        <v>F1/56</v>
      </c>
      <c r="EO334" s="1176" t="str">
        <f t="shared" si="261"/>
        <v>F1/57</v>
      </c>
      <c r="EP334" s="1176" t="str">
        <f t="shared" si="261"/>
        <v>F1/58</v>
      </c>
      <c r="EQ334" s="1176" t="str">
        <f t="shared" si="261"/>
        <v>F1/59</v>
      </c>
      <c r="ER334" s="1176" t="str">
        <f t="shared" si="261"/>
        <v>F1/60</v>
      </c>
      <c r="ES334" s="1176" t="str">
        <f t="shared" si="261"/>
        <v>F1/61</v>
      </c>
      <c r="ET334" s="1176" t="str">
        <f t="shared" si="261"/>
        <v>F1/62</v>
      </c>
      <c r="EU334" s="1176" t="str">
        <f t="shared" si="261"/>
        <v>F1/63</v>
      </c>
      <c r="EV334" s="1176" t="str">
        <f t="shared" si="261"/>
        <v>F1/64</v>
      </c>
      <c r="EW334" s="1176" t="str">
        <f t="shared" si="261"/>
        <v>F1/65</v>
      </c>
      <c r="EX334" s="1176" t="str">
        <f t="shared" si="261"/>
        <v>F1/66</v>
      </c>
      <c r="EY334" s="1176" t="str">
        <f t="shared" si="261"/>
        <v>F1/67</v>
      </c>
      <c r="EZ334" s="1176" t="str">
        <f t="shared" si="261"/>
        <v>F1/68</v>
      </c>
      <c r="FA334" s="1176" t="str">
        <f t="shared" si="261"/>
        <v>F1/69</v>
      </c>
      <c r="FB334" s="1176" t="str">
        <f t="shared" si="261"/>
        <v>F1/70</v>
      </c>
      <c r="FC334" s="1176" t="str">
        <f t="shared" si="261"/>
        <v>F1/71</v>
      </c>
      <c r="FD334" s="1176" t="str">
        <f t="shared" si="261"/>
        <v>F1/72</v>
      </c>
      <c r="FE334" s="1176" t="str">
        <f t="shared" si="261"/>
        <v>F1/73</v>
      </c>
      <c r="FF334" s="1176" t="str">
        <f t="shared" si="261"/>
        <v>F1/74</v>
      </c>
      <c r="FG334" s="1176" t="str">
        <f t="shared" si="261"/>
        <v>F1/75</v>
      </c>
      <c r="FH334" s="1176" t="str">
        <f t="shared" si="261"/>
        <v>F1/76</v>
      </c>
      <c r="FI334" s="1176" t="str">
        <f t="shared" si="261"/>
        <v>F1/77</v>
      </c>
      <c r="FJ334" s="1176" t="str">
        <f t="shared" si="261"/>
        <v>F1/78</v>
      </c>
      <c r="FK334" s="1176" t="str">
        <f t="shared" si="261"/>
        <v>F1/79</v>
      </c>
      <c r="FL334" s="1176" t="str">
        <f t="shared" si="261"/>
        <v>F1/80</v>
      </c>
      <c r="FM334" s="1176" t="str">
        <f t="shared" si="261"/>
        <v>F1/81</v>
      </c>
      <c r="FN334" s="1176" t="str">
        <f t="shared" si="261"/>
        <v>F1/82</v>
      </c>
      <c r="FO334" s="1176" t="str">
        <f t="shared" si="261"/>
        <v>F1/83</v>
      </c>
      <c r="FP334" s="1176" t="str">
        <f t="shared" si="261"/>
        <v>F1/84</v>
      </c>
      <c r="FQ334" s="1176" t="str">
        <f t="shared" si="261"/>
        <v>F1/85</v>
      </c>
      <c r="FR334" s="1176" t="str">
        <f t="shared" si="261"/>
        <v>F1/86</v>
      </c>
      <c r="FS334" s="1176" t="str">
        <f t="shared" si="261"/>
        <v>F1/87</v>
      </c>
      <c r="FT334" s="1176" t="str">
        <f t="shared" si="261"/>
        <v>F1/88</v>
      </c>
      <c r="FU334" s="1176" t="str">
        <f t="shared" si="261"/>
        <v>F1/89</v>
      </c>
      <c r="FV334" s="1176" t="str">
        <f t="shared" si="261"/>
        <v>F1/90</v>
      </c>
      <c r="FW334" s="1176" t="str">
        <f t="shared" si="261"/>
        <v>F1/91</v>
      </c>
      <c r="FX334" s="1176" t="str">
        <f t="shared" si="261"/>
        <v>F1/92</v>
      </c>
      <c r="FY334" s="1176" t="str">
        <f t="shared" si="261"/>
        <v>F1/93</v>
      </c>
      <c r="FZ334" s="1176" t="str">
        <f t="shared" si="261"/>
        <v>F1/94</v>
      </c>
      <c r="GA334" s="1176" t="str">
        <f t="shared" si="261"/>
        <v>F1/95</v>
      </c>
      <c r="GB334" s="1176" t="str">
        <f t="shared" si="261"/>
        <v>F1/96</v>
      </c>
      <c r="GC334" s="1176" t="str">
        <f t="shared" si="261"/>
        <v>F1/97</v>
      </c>
      <c r="GD334" s="1176" t="str">
        <f t="shared" si="261"/>
        <v>F1/98</v>
      </c>
      <c r="GE334" s="1176" t="str">
        <f t="shared" si="261"/>
        <v>F1/99</v>
      </c>
      <c r="GF334" s="1176" t="str">
        <f t="shared" si="261"/>
        <v>F1/00</v>
      </c>
      <c r="GG334" s="1176" t="str">
        <f t="shared" si="261"/>
        <v>F1/01</v>
      </c>
      <c r="GH334" s="1176" t="str">
        <f t="shared" si="261"/>
        <v>F1/02</v>
      </c>
      <c r="GI334" s="1176" t="str">
        <f t="shared" si="261"/>
        <v>F1/03</v>
      </c>
      <c r="GJ334" s="1176" t="str">
        <f t="shared" si="261"/>
        <v>F1/04</v>
      </c>
      <c r="GK334" s="1176" t="str">
        <f t="shared" si="261"/>
        <v>F1/05</v>
      </c>
      <c r="GL334" s="1176" t="str">
        <f t="shared" si="261"/>
        <v>F1/06</v>
      </c>
      <c r="GM334" s="1176" t="str">
        <f t="shared" ref="GM334:IR334" si="262">"F"&amp;GM$337&amp;"/"&amp;MID(GM$333,3,2)</f>
        <v>F1/07</v>
      </c>
      <c r="GN334" s="1176" t="str">
        <f t="shared" si="262"/>
        <v>F1/08</v>
      </c>
      <c r="GO334" s="1176" t="str">
        <f t="shared" si="262"/>
        <v>F1/09</v>
      </c>
      <c r="GP334" s="1176" t="str">
        <f t="shared" si="262"/>
        <v>F1/10</v>
      </c>
      <c r="GQ334" s="1176" t="str">
        <f t="shared" si="262"/>
        <v>F1/11</v>
      </c>
      <c r="GR334" s="1176" t="str">
        <f t="shared" si="262"/>
        <v>F1/12</v>
      </c>
      <c r="GS334" s="1176" t="str">
        <f t="shared" si="262"/>
        <v>F1/13</v>
      </c>
      <c r="GT334" s="1176" t="str">
        <f t="shared" si="262"/>
        <v>F1/14</v>
      </c>
      <c r="GU334" s="1176" t="str">
        <f t="shared" si="262"/>
        <v>F1/15</v>
      </c>
      <c r="GV334" s="1176" t="str">
        <f t="shared" si="262"/>
        <v>F1/16</v>
      </c>
      <c r="GW334" s="1176" t="str">
        <f t="shared" si="262"/>
        <v>F1/17</v>
      </c>
      <c r="GX334" s="1176" t="str">
        <f t="shared" si="262"/>
        <v>F1/18</v>
      </c>
      <c r="GY334" s="1176" t="str">
        <f t="shared" si="262"/>
        <v>F1/19</v>
      </c>
      <c r="GZ334" s="1176" t="str">
        <f t="shared" si="262"/>
        <v>F1/20</v>
      </c>
      <c r="HA334" s="1176" t="str">
        <f t="shared" si="262"/>
        <v>F1/21</v>
      </c>
      <c r="HB334" s="1176" t="str">
        <f t="shared" si="262"/>
        <v>F1/22</v>
      </c>
      <c r="HC334" s="1176" t="str">
        <f t="shared" si="262"/>
        <v>F1/23</v>
      </c>
      <c r="HD334" s="1176" t="str">
        <f t="shared" si="262"/>
        <v>F1/24</v>
      </c>
      <c r="HE334" s="1176" t="str">
        <f t="shared" si="262"/>
        <v>F1/25</v>
      </c>
      <c r="HF334" s="1176" t="str">
        <f t="shared" si="262"/>
        <v>F1/26</v>
      </c>
      <c r="HG334" s="1176" t="str">
        <f t="shared" si="262"/>
        <v>F1/27</v>
      </c>
      <c r="HH334" s="1176" t="str">
        <f t="shared" si="262"/>
        <v>F1/28</v>
      </c>
      <c r="HI334" s="1176" t="str">
        <f t="shared" si="262"/>
        <v>F1/29</v>
      </c>
      <c r="HJ334" s="1176" t="str">
        <f t="shared" si="262"/>
        <v>F1/30</v>
      </c>
      <c r="HK334" s="1176" t="str">
        <f t="shared" si="262"/>
        <v>F1/31</v>
      </c>
      <c r="HL334" s="1176" t="str">
        <f t="shared" si="262"/>
        <v>F1/32</v>
      </c>
      <c r="HM334" s="1176" t="str">
        <f t="shared" si="262"/>
        <v>F1/33</v>
      </c>
      <c r="HN334" s="1176" t="str">
        <f t="shared" si="262"/>
        <v>F1/34</v>
      </c>
      <c r="HO334" s="1176" t="str">
        <f t="shared" si="262"/>
        <v>F1/35</v>
      </c>
      <c r="HP334" s="1176" t="str">
        <f t="shared" si="262"/>
        <v>F1/36</v>
      </c>
      <c r="HQ334" s="1176" t="str">
        <f t="shared" si="262"/>
        <v>F1/37</v>
      </c>
      <c r="HR334" s="1176" t="str">
        <f t="shared" si="262"/>
        <v>F1/38</v>
      </c>
      <c r="HS334" s="1176" t="str">
        <f t="shared" si="262"/>
        <v>F1/39</v>
      </c>
      <c r="HT334" s="1176" t="str">
        <f t="shared" si="262"/>
        <v>F1/40</v>
      </c>
      <c r="HU334" s="1176" t="str">
        <f t="shared" si="262"/>
        <v>F1/41</v>
      </c>
      <c r="HV334" s="1176" t="str">
        <f t="shared" si="262"/>
        <v>F1/42</v>
      </c>
      <c r="HW334" s="1176" t="str">
        <f t="shared" si="262"/>
        <v>F1/43</v>
      </c>
      <c r="HX334" s="1176" t="str">
        <f t="shared" si="262"/>
        <v>F1/44</v>
      </c>
      <c r="HY334" s="1176" t="str">
        <f t="shared" si="262"/>
        <v>F1/45</v>
      </c>
      <c r="HZ334" s="1176" t="str">
        <f t="shared" si="262"/>
        <v>F1/46</v>
      </c>
      <c r="IA334" s="1176" t="str">
        <f t="shared" si="262"/>
        <v>F1/47</v>
      </c>
      <c r="IB334" s="1176" t="str">
        <f t="shared" si="262"/>
        <v>F1/48</v>
      </c>
      <c r="IC334" s="1176" t="str">
        <f t="shared" si="262"/>
        <v>F1/49</v>
      </c>
      <c r="ID334" s="1176" t="str">
        <f t="shared" si="262"/>
        <v>F1/50</v>
      </c>
      <c r="IE334" s="1176" t="str">
        <f t="shared" si="262"/>
        <v>F1/51</v>
      </c>
      <c r="IF334" s="1176" t="str">
        <f t="shared" si="262"/>
        <v>F1/52</v>
      </c>
      <c r="IG334" s="1176" t="str">
        <f t="shared" si="262"/>
        <v>F1/53</v>
      </c>
      <c r="IH334" s="1176" t="str">
        <f t="shared" si="262"/>
        <v>F1/54</v>
      </c>
      <c r="II334" s="1176" t="str">
        <f t="shared" si="262"/>
        <v>F1/55</v>
      </c>
      <c r="IJ334" s="1176" t="str">
        <f t="shared" si="262"/>
        <v>F1/56</v>
      </c>
      <c r="IK334" s="1176" t="str">
        <f t="shared" si="262"/>
        <v>F1/57</v>
      </c>
      <c r="IL334" s="1176" t="str">
        <f t="shared" si="262"/>
        <v>F1/58</v>
      </c>
      <c r="IM334" s="1176" t="str">
        <f t="shared" si="262"/>
        <v>F1/59</v>
      </c>
      <c r="IN334" s="1176" t="str">
        <f t="shared" si="262"/>
        <v>F1/60</v>
      </c>
      <c r="IO334" s="1176" t="str">
        <f t="shared" si="262"/>
        <v>F1/61</v>
      </c>
      <c r="IP334" s="1176" t="str">
        <f t="shared" si="262"/>
        <v>F1/62</v>
      </c>
      <c r="IQ334" s="1176" t="str">
        <f t="shared" si="262"/>
        <v>F1/63</v>
      </c>
      <c r="IR334" s="1176" t="str">
        <f t="shared" si="262"/>
        <v>F1/64</v>
      </c>
    </row>
    <row r="335" spans="2:252" s="1179" customFormat="1">
      <c r="B335" s="1181" t="s">
        <v>474</v>
      </c>
      <c r="C335" s="1176" t="str">
        <f t="shared" ref="C335:BN335" si="263">"F"&amp;MID(C$333,3,2)&amp;"/"&amp;C$337</f>
        <v>F15/1</v>
      </c>
      <c r="D335" s="1176" t="str">
        <f t="shared" si="263"/>
        <v>F16/1</v>
      </c>
      <c r="E335" s="1176" t="str">
        <f t="shared" si="263"/>
        <v>F17/1</v>
      </c>
      <c r="F335" s="1176" t="str">
        <f t="shared" si="263"/>
        <v>F18/1</v>
      </c>
      <c r="G335" s="1176" t="str">
        <f t="shared" si="263"/>
        <v>F19/1</v>
      </c>
      <c r="H335" s="1176" t="str">
        <f t="shared" si="263"/>
        <v>F20/1</v>
      </c>
      <c r="I335" s="1176" t="str">
        <f t="shared" si="263"/>
        <v>F21/1</v>
      </c>
      <c r="J335" s="1176" t="str">
        <f t="shared" si="263"/>
        <v>F22/1</v>
      </c>
      <c r="K335" s="1176" t="str">
        <f t="shared" si="263"/>
        <v>F23/1</v>
      </c>
      <c r="L335" s="1176" t="str">
        <f t="shared" si="263"/>
        <v>F24/1</v>
      </c>
      <c r="M335" s="1176" t="str">
        <f t="shared" si="263"/>
        <v>F25/1</v>
      </c>
      <c r="N335" s="1176" t="str">
        <f t="shared" si="263"/>
        <v>F26/1</v>
      </c>
      <c r="O335" s="1176" t="str">
        <f t="shared" si="263"/>
        <v>F27/1</v>
      </c>
      <c r="P335" s="1176" t="str">
        <f t="shared" si="263"/>
        <v>F28/1</v>
      </c>
      <c r="Q335" s="1176" t="str">
        <f t="shared" si="263"/>
        <v>F29/1</v>
      </c>
      <c r="R335" s="1176" t="str">
        <f t="shared" si="263"/>
        <v>F30/1</v>
      </c>
      <c r="S335" s="1176" t="str">
        <f t="shared" si="263"/>
        <v>F31/1</v>
      </c>
      <c r="T335" s="1176" t="str">
        <f t="shared" si="263"/>
        <v>F32/1</v>
      </c>
      <c r="U335" s="1176" t="str">
        <f t="shared" si="263"/>
        <v>F33/1</v>
      </c>
      <c r="V335" s="1176" t="str">
        <f t="shared" si="263"/>
        <v>F34/1</v>
      </c>
      <c r="W335" s="1180" t="str">
        <f t="shared" si="263"/>
        <v>F35/1</v>
      </c>
      <c r="X335" s="1176" t="str">
        <f t="shared" si="263"/>
        <v>F36/1</v>
      </c>
      <c r="Y335" s="1176" t="str">
        <f t="shared" si="263"/>
        <v>F37/1</v>
      </c>
      <c r="Z335" s="1176" t="str">
        <f t="shared" si="263"/>
        <v>F38/1</v>
      </c>
      <c r="AA335" s="1176" t="str">
        <f t="shared" si="263"/>
        <v>F39/1</v>
      </c>
      <c r="AB335" s="1176" t="str">
        <f t="shared" si="263"/>
        <v>F40/1</v>
      </c>
      <c r="AC335" s="1176" t="str">
        <f t="shared" si="263"/>
        <v>F41/1</v>
      </c>
      <c r="AD335" s="1176" t="str">
        <f t="shared" si="263"/>
        <v>F42/1</v>
      </c>
      <c r="AE335" s="1176" t="str">
        <f t="shared" si="263"/>
        <v>F43/1</v>
      </c>
      <c r="AF335" s="1176" t="str">
        <f t="shared" si="263"/>
        <v>F44/1</v>
      </c>
      <c r="AG335" s="1176" t="str">
        <f t="shared" si="263"/>
        <v>F45/1</v>
      </c>
      <c r="AH335" s="1176" t="str">
        <f t="shared" si="263"/>
        <v>F46/1</v>
      </c>
      <c r="AI335" s="1176" t="str">
        <f t="shared" si="263"/>
        <v>F47/1</v>
      </c>
      <c r="AJ335" s="1176" t="str">
        <f t="shared" si="263"/>
        <v>F48/1</v>
      </c>
      <c r="AK335" s="1176" t="str">
        <f t="shared" si="263"/>
        <v>F49/1</v>
      </c>
      <c r="AL335" s="1176" t="str">
        <f t="shared" si="263"/>
        <v>F50/1</v>
      </c>
      <c r="AM335" s="1176" t="str">
        <f t="shared" si="263"/>
        <v>F51/1</v>
      </c>
      <c r="AN335" s="1176" t="str">
        <f t="shared" si="263"/>
        <v>F52/1</v>
      </c>
      <c r="AO335" s="1176" t="str">
        <f t="shared" si="263"/>
        <v>F53/1</v>
      </c>
      <c r="AP335" s="1176" t="str">
        <f t="shared" si="263"/>
        <v>F54/1</v>
      </c>
      <c r="AQ335" s="1176" t="str">
        <f t="shared" si="263"/>
        <v>F55/1</v>
      </c>
      <c r="AR335" s="1176" t="str">
        <f t="shared" si="263"/>
        <v>F56/1</v>
      </c>
      <c r="AS335" s="1176" t="str">
        <f t="shared" si="263"/>
        <v>F57/1</v>
      </c>
      <c r="AT335" s="1176" t="str">
        <f t="shared" si="263"/>
        <v>F58/1</v>
      </c>
      <c r="AU335" s="1176" t="str">
        <f t="shared" si="263"/>
        <v>F59/1</v>
      </c>
      <c r="AV335" s="1176" t="str">
        <f t="shared" si="263"/>
        <v>F60/1</v>
      </c>
      <c r="AW335" s="1176" t="str">
        <f t="shared" si="263"/>
        <v>F61/1</v>
      </c>
      <c r="AX335" s="1176" t="str">
        <f t="shared" si="263"/>
        <v>F62/1</v>
      </c>
      <c r="AY335" s="1176" t="str">
        <f t="shared" si="263"/>
        <v>F63/1</v>
      </c>
      <c r="AZ335" s="1176" t="str">
        <f t="shared" si="263"/>
        <v>F64/1</v>
      </c>
      <c r="BA335" s="1176" t="str">
        <f t="shared" si="263"/>
        <v>F65/1</v>
      </c>
      <c r="BB335" s="1176" t="str">
        <f t="shared" si="263"/>
        <v>F66/1</v>
      </c>
      <c r="BC335" s="1176" t="str">
        <f t="shared" si="263"/>
        <v>F67/1</v>
      </c>
      <c r="BD335" s="1176" t="str">
        <f t="shared" si="263"/>
        <v>F68/1</v>
      </c>
      <c r="BE335" s="1176" t="str">
        <f t="shared" si="263"/>
        <v>F69/1</v>
      </c>
      <c r="BF335" s="1176" t="str">
        <f t="shared" si="263"/>
        <v>F70/1</v>
      </c>
      <c r="BG335" s="1176" t="str">
        <f t="shared" si="263"/>
        <v>F71/1</v>
      </c>
      <c r="BH335" s="1176" t="str">
        <f t="shared" si="263"/>
        <v>F72/1</v>
      </c>
      <c r="BI335" s="1176" t="str">
        <f t="shared" si="263"/>
        <v>F73/1</v>
      </c>
      <c r="BJ335" s="1176" t="str">
        <f t="shared" si="263"/>
        <v>F74/1</v>
      </c>
      <c r="BK335" s="1176" t="str">
        <f t="shared" si="263"/>
        <v>F75/1</v>
      </c>
      <c r="BL335" s="1176" t="str">
        <f t="shared" si="263"/>
        <v>F76/1</v>
      </c>
      <c r="BM335" s="1176" t="str">
        <f t="shared" si="263"/>
        <v>F77/1</v>
      </c>
      <c r="BN335" s="1176" t="str">
        <f t="shared" si="263"/>
        <v>F78/1</v>
      </c>
      <c r="BO335" s="1176" t="str">
        <f t="shared" ref="BO335:DZ335" si="264">"F"&amp;MID(BO$333,3,2)&amp;"/"&amp;BO$337</f>
        <v>F79/1</v>
      </c>
      <c r="BP335" s="1176" t="str">
        <f t="shared" si="264"/>
        <v>F80/1</v>
      </c>
      <c r="BQ335" s="1176" t="str">
        <f t="shared" si="264"/>
        <v>F81/1</v>
      </c>
      <c r="BR335" s="1176" t="str">
        <f t="shared" si="264"/>
        <v>F82/1</v>
      </c>
      <c r="BS335" s="1176" t="str">
        <f t="shared" si="264"/>
        <v>F83/1</v>
      </c>
      <c r="BT335" s="1176" t="str">
        <f t="shared" si="264"/>
        <v>F84/1</v>
      </c>
      <c r="BU335" s="1176" t="str">
        <f t="shared" si="264"/>
        <v>F85/1</v>
      </c>
      <c r="BV335" s="1176" t="str">
        <f t="shared" si="264"/>
        <v>F86/1</v>
      </c>
      <c r="BW335" s="1176" t="str">
        <f t="shared" si="264"/>
        <v>F87/1</v>
      </c>
      <c r="BX335" s="1176" t="str">
        <f t="shared" si="264"/>
        <v>F88/1</v>
      </c>
      <c r="BY335" s="1176" t="str">
        <f t="shared" si="264"/>
        <v>F89/1</v>
      </c>
      <c r="BZ335" s="1176" t="str">
        <f t="shared" si="264"/>
        <v>F90/1</v>
      </c>
      <c r="CA335" s="1176" t="str">
        <f t="shared" si="264"/>
        <v>F91/1</v>
      </c>
      <c r="CB335" s="1176" t="str">
        <f t="shared" si="264"/>
        <v>F92/1</v>
      </c>
      <c r="CC335" s="1176" t="str">
        <f t="shared" si="264"/>
        <v>F93/1</v>
      </c>
      <c r="CD335" s="1176" t="str">
        <f t="shared" si="264"/>
        <v>F94/1</v>
      </c>
      <c r="CE335" s="1176" t="str">
        <f t="shared" si="264"/>
        <v>F95/1</v>
      </c>
      <c r="CF335" s="1176" t="str">
        <f t="shared" si="264"/>
        <v>F96/1</v>
      </c>
      <c r="CG335" s="1176" t="str">
        <f t="shared" si="264"/>
        <v>F97/1</v>
      </c>
      <c r="CH335" s="1176" t="str">
        <f t="shared" si="264"/>
        <v>F98/1</v>
      </c>
      <c r="CI335" s="1176" t="str">
        <f t="shared" si="264"/>
        <v>F99/1</v>
      </c>
      <c r="CJ335" s="1176" t="str">
        <f t="shared" si="264"/>
        <v>F00/1</v>
      </c>
      <c r="CK335" s="1176" t="str">
        <f t="shared" si="264"/>
        <v>F01/1</v>
      </c>
      <c r="CL335" s="1176" t="str">
        <f t="shared" si="264"/>
        <v>F02/1</v>
      </c>
      <c r="CM335" s="1176" t="str">
        <f t="shared" si="264"/>
        <v>F03/1</v>
      </c>
      <c r="CN335" s="1176" t="str">
        <f t="shared" si="264"/>
        <v>F04/1</v>
      </c>
      <c r="CO335" s="1176" t="str">
        <f t="shared" si="264"/>
        <v>F05/1</v>
      </c>
      <c r="CP335" s="1176" t="str">
        <f t="shared" si="264"/>
        <v>F06/1</v>
      </c>
      <c r="CQ335" s="1176" t="str">
        <f t="shared" si="264"/>
        <v>F07/1</v>
      </c>
      <c r="CR335" s="1176" t="str">
        <f t="shared" si="264"/>
        <v>F08/1</v>
      </c>
      <c r="CS335" s="1176" t="str">
        <f t="shared" si="264"/>
        <v>F09/1</v>
      </c>
      <c r="CT335" s="1176" t="str">
        <f t="shared" si="264"/>
        <v>F10/1</v>
      </c>
      <c r="CU335" s="1176" t="str">
        <f t="shared" si="264"/>
        <v>F11/1</v>
      </c>
      <c r="CV335" s="1176" t="str">
        <f t="shared" si="264"/>
        <v>F12/1</v>
      </c>
      <c r="CW335" s="1176" t="str">
        <f t="shared" si="264"/>
        <v>F13/1</v>
      </c>
      <c r="CX335" s="1176" t="str">
        <f t="shared" si="264"/>
        <v>F14/1</v>
      </c>
      <c r="CY335" s="1176" t="str">
        <f t="shared" si="264"/>
        <v>F15/1</v>
      </c>
      <c r="CZ335" s="1176" t="str">
        <f t="shared" si="264"/>
        <v>F16/1</v>
      </c>
      <c r="DA335" s="1176" t="str">
        <f t="shared" si="264"/>
        <v>F17/1</v>
      </c>
      <c r="DB335" s="1176" t="str">
        <f t="shared" si="264"/>
        <v>F18/1</v>
      </c>
      <c r="DC335" s="1176" t="str">
        <f t="shared" si="264"/>
        <v>F19/1</v>
      </c>
      <c r="DD335" s="1176" t="str">
        <f t="shared" si="264"/>
        <v>F20/1</v>
      </c>
      <c r="DE335" s="1176" t="str">
        <f t="shared" si="264"/>
        <v>F21/1</v>
      </c>
      <c r="DF335" s="1176" t="str">
        <f t="shared" si="264"/>
        <v>F22/1</v>
      </c>
      <c r="DG335" s="1176" t="str">
        <f t="shared" si="264"/>
        <v>F23/1</v>
      </c>
      <c r="DH335" s="1176" t="str">
        <f t="shared" si="264"/>
        <v>F24/1</v>
      </c>
      <c r="DI335" s="1176" t="str">
        <f t="shared" si="264"/>
        <v>F25/1</v>
      </c>
      <c r="DJ335" s="1176" t="str">
        <f t="shared" si="264"/>
        <v>F26/1</v>
      </c>
      <c r="DK335" s="1176" t="str">
        <f t="shared" si="264"/>
        <v>F27/1</v>
      </c>
      <c r="DL335" s="1176" t="str">
        <f t="shared" si="264"/>
        <v>F28/1</v>
      </c>
      <c r="DM335" s="1176" t="str">
        <f t="shared" si="264"/>
        <v>F29/1</v>
      </c>
      <c r="DN335" s="1176" t="str">
        <f t="shared" si="264"/>
        <v>F30/1</v>
      </c>
      <c r="DO335" s="1176" t="str">
        <f t="shared" si="264"/>
        <v>F31/1</v>
      </c>
      <c r="DP335" s="1176" t="str">
        <f t="shared" si="264"/>
        <v>F32/1</v>
      </c>
      <c r="DQ335" s="1176" t="str">
        <f t="shared" si="264"/>
        <v>F33/1</v>
      </c>
      <c r="DR335" s="1176" t="str">
        <f t="shared" si="264"/>
        <v>F34/1</v>
      </c>
      <c r="DS335" s="1176" t="str">
        <f t="shared" si="264"/>
        <v>F35/1</v>
      </c>
      <c r="DT335" s="1176" t="str">
        <f t="shared" si="264"/>
        <v>F36/1</v>
      </c>
      <c r="DU335" s="1176" t="str">
        <f t="shared" si="264"/>
        <v>F37/1</v>
      </c>
      <c r="DV335" s="1176" t="str">
        <f t="shared" si="264"/>
        <v>F38/1</v>
      </c>
      <c r="DW335" s="1176" t="str">
        <f t="shared" si="264"/>
        <v>F39/1</v>
      </c>
      <c r="DX335" s="1176" t="str">
        <f t="shared" si="264"/>
        <v>F40/1</v>
      </c>
      <c r="DY335" s="1176" t="str">
        <f t="shared" si="264"/>
        <v>F41/1</v>
      </c>
      <c r="DZ335" s="1176" t="str">
        <f t="shared" si="264"/>
        <v>F42/1</v>
      </c>
      <c r="EA335" s="1176" t="str">
        <f t="shared" ref="EA335:GL335" si="265">"F"&amp;MID(EA$333,3,2)&amp;"/"&amp;EA$337</f>
        <v>F43/1</v>
      </c>
      <c r="EB335" s="1176" t="str">
        <f t="shared" si="265"/>
        <v>F44/1</v>
      </c>
      <c r="EC335" s="1176" t="str">
        <f t="shared" si="265"/>
        <v>F45/1</v>
      </c>
      <c r="ED335" s="1176" t="str">
        <f t="shared" si="265"/>
        <v>F46/1</v>
      </c>
      <c r="EE335" s="1176" t="str">
        <f t="shared" si="265"/>
        <v>F47/1</v>
      </c>
      <c r="EF335" s="1176" t="str">
        <f t="shared" si="265"/>
        <v>F48/1</v>
      </c>
      <c r="EG335" s="1176" t="str">
        <f t="shared" si="265"/>
        <v>F49/1</v>
      </c>
      <c r="EH335" s="1176" t="str">
        <f t="shared" si="265"/>
        <v>F50/1</v>
      </c>
      <c r="EI335" s="1176" t="str">
        <f t="shared" si="265"/>
        <v>F51/1</v>
      </c>
      <c r="EJ335" s="1176" t="str">
        <f t="shared" si="265"/>
        <v>F52/1</v>
      </c>
      <c r="EK335" s="1176" t="str">
        <f t="shared" si="265"/>
        <v>F53/1</v>
      </c>
      <c r="EL335" s="1176" t="str">
        <f t="shared" si="265"/>
        <v>F54/1</v>
      </c>
      <c r="EM335" s="1176" t="str">
        <f t="shared" si="265"/>
        <v>F55/1</v>
      </c>
      <c r="EN335" s="1176" t="str">
        <f t="shared" si="265"/>
        <v>F56/1</v>
      </c>
      <c r="EO335" s="1176" t="str">
        <f t="shared" si="265"/>
        <v>F57/1</v>
      </c>
      <c r="EP335" s="1176" t="str">
        <f t="shared" si="265"/>
        <v>F58/1</v>
      </c>
      <c r="EQ335" s="1176" t="str">
        <f t="shared" si="265"/>
        <v>F59/1</v>
      </c>
      <c r="ER335" s="1176" t="str">
        <f t="shared" si="265"/>
        <v>F60/1</v>
      </c>
      <c r="ES335" s="1176" t="str">
        <f t="shared" si="265"/>
        <v>F61/1</v>
      </c>
      <c r="ET335" s="1176" t="str">
        <f t="shared" si="265"/>
        <v>F62/1</v>
      </c>
      <c r="EU335" s="1176" t="str">
        <f t="shared" si="265"/>
        <v>F63/1</v>
      </c>
      <c r="EV335" s="1176" t="str">
        <f t="shared" si="265"/>
        <v>F64/1</v>
      </c>
      <c r="EW335" s="1176" t="str">
        <f t="shared" si="265"/>
        <v>F65/1</v>
      </c>
      <c r="EX335" s="1176" t="str">
        <f t="shared" si="265"/>
        <v>F66/1</v>
      </c>
      <c r="EY335" s="1176" t="str">
        <f t="shared" si="265"/>
        <v>F67/1</v>
      </c>
      <c r="EZ335" s="1176" t="str">
        <f t="shared" si="265"/>
        <v>F68/1</v>
      </c>
      <c r="FA335" s="1176" t="str">
        <f t="shared" si="265"/>
        <v>F69/1</v>
      </c>
      <c r="FB335" s="1176" t="str">
        <f t="shared" si="265"/>
        <v>F70/1</v>
      </c>
      <c r="FC335" s="1176" t="str">
        <f t="shared" si="265"/>
        <v>F71/1</v>
      </c>
      <c r="FD335" s="1176" t="str">
        <f t="shared" si="265"/>
        <v>F72/1</v>
      </c>
      <c r="FE335" s="1176" t="str">
        <f t="shared" si="265"/>
        <v>F73/1</v>
      </c>
      <c r="FF335" s="1176" t="str">
        <f t="shared" si="265"/>
        <v>F74/1</v>
      </c>
      <c r="FG335" s="1176" t="str">
        <f t="shared" si="265"/>
        <v>F75/1</v>
      </c>
      <c r="FH335" s="1176" t="str">
        <f t="shared" si="265"/>
        <v>F76/1</v>
      </c>
      <c r="FI335" s="1176" t="str">
        <f t="shared" si="265"/>
        <v>F77/1</v>
      </c>
      <c r="FJ335" s="1176" t="str">
        <f t="shared" si="265"/>
        <v>F78/1</v>
      </c>
      <c r="FK335" s="1176" t="str">
        <f t="shared" si="265"/>
        <v>F79/1</v>
      </c>
      <c r="FL335" s="1176" t="str">
        <f t="shared" si="265"/>
        <v>F80/1</v>
      </c>
      <c r="FM335" s="1176" t="str">
        <f t="shared" si="265"/>
        <v>F81/1</v>
      </c>
      <c r="FN335" s="1176" t="str">
        <f t="shared" si="265"/>
        <v>F82/1</v>
      </c>
      <c r="FO335" s="1176" t="str">
        <f t="shared" si="265"/>
        <v>F83/1</v>
      </c>
      <c r="FP335" s="1176" t="str">
        <f t="shared" si="265"/>
        <v>F84/1</v>
      </c>
      <c r="FQ335" s="1176" t="str">
        <f t="shared" si="265"/>
        <v>F85/1</v>
      </c>
      <c r="FR335" s="1176" t="str">
        <f t="shared" si="265"/>
        <v>F86/1</v>
      </c>
      <c r="FS335" s="1176" t="str">
        <f t="shared" si="265"/>
        <v>F87/1</v>
      </c>
      <c r="FT335" s="1176" t="str">
        <f t="shared" si="265"/>
        <v>F88/1</v>
      </c>
      <c r="FU335" s="1176" t="str">
        <f t="shared" si="265"/>
        <v>F89/1</v>
      </c>
      <c r="FV335" s="1176" t="str">
        <f t="shared" si="265"/>
        <v>F90/1</v>
      </c>
      <c r="FW335" s="1176" t="str">
        <f t="shared" si="265"/>
        <v>F91/1</v>
      </c>
      <c r="FX335" s="1176" t="str">
        <f t="shared" si="265"/>
        <v>F92/1</v>
      </c>
      <c r="FY335" s="1176" t="str">
        <f t="shared" si="265"/>
        <v>F93/1</v>
      </c>
      <c r="FZ335" s="1176" t="str">
        <f t="shared" si="265"/>
        <v>F94/1</v>
      </c>
      <c r="GA335" s="1176" t="str">
        <f t="shared" si="265"/>
        <v>F95/1</v>
      </c>
      <c r="GB335" s="1176" t="str">
        <f t="shared" si="265"/>
        <v>F96/1</v>
      </c>
      <c r="GC335" s="1176" t="str">
        <f t="shared" si="265"/>
        <v>F97/1</v>
      </c>
      <c r="GD335" s="1176" t="str">
        <f t="shared" si="265"/>
        <v>F98/1</v>
      </c>
      <c r="GE335" s="1176" t="str">
        <f t="shared" si="265"/>
        <v>F99/1</v>
      </c>
      <c r="GF335" s="1176" t="str">
        <f t="shared" si="265"/>
        <v>F00/1</v>
      </c>
      <c r="GG335" s="1176" t="str">
        <f t="shared" si="265"/>
        <v>F01/1</v>
      </c>
      <c r="GH335" s="1176" t="str">
        <f t="shared" si="265"/>
        <v>F02/1</v>
      </c>
      <c r="GI335" s="1176" t="str">
        <f t="shared" si="265"/>
        <v>F03/1</v>
      </c>
      <c r="GJ335" s="1176" t="str">
        <f t="shared" si="265"/>
        <v>F04/1</v>
      </c>
      <c r="GK335" s="1176" t="str">
        <f t="shared" si="265"/>
        <v>F05/1</v>
      </c>
      <c r="GL335" s="1176" t="str">
        <f t="shared" si="265"/>
        <v>F06/1</v>
      </c>
      <c r="GM335" s="1176" t="str">
        <f t="shared" ref="GM335:IR335" si="266">"F"&amp;MID(GM$333,3,2)&amp;"/"&amp;GM$337</f>
        <v>F07/1</v>
      </c>
      <c r="GN335" s="1176" t="str">
        <f t="shared" si="266"/>
        <v>F08/1</v>
      </c>
      <c r="GO335" s="1176" t="str">
        <f t="shared" si="266"/>
        <v>F09/1</v>
      </c>
      <c r="GP335" s="1176" t="str">
        <f t="shared" si="266"/>
        <v>F10/1</v>
      </c>
      <c r="GQ335" s="1176" t="str">
        <f t="shared" si="266"/>
        <v>F11/1</v>
      </c>
      <c r="GR335" s="1176" t="str">
        <f t="shared" si="266"/>
        <v>F12/1</v>
      </c>
      <c r="GS335" s="1176" t="str">
        <f t="shared" si="266"/>
        <v>F13/1</v>
      </c>
      <c r="GT335" s="1176" t="str">
        <f t="shared" si="266"/>
        <v>F14/1</v>
      </c>
      <c r="GU335" s="1176" t="str">
        <f t="shared" si="266"/>
        <v>F15/1</v>
      </c>
      <c r="GV335" s="1176" t="str">
        <f t="shared" si="266"/>
        <v>F16/1</v>
      </c>
      <c r="GW335" s="1176" t="str">
        <f t="shared" si="266"/>
        <v>F17/1</v>
      </c>
      <c r="GX335" s="1176" t="str">
        <f t="shared" si="266"/>
        <v>F18/1</v>
      </c>
      <c r="GY335" s="1176" t="str">
        <f t="shared" si="266"/>
        <v>F19/1</v>
      </c>
      <c r="GZ335" s="1176" t="str">
        <f t="shared" si="266"/>
        <v>F20/1</v>
      </c>
      <c r="HA335" s="1176" t="str">
        <f t="shared" si="266"/>
        <v>F21/1</v>
      </c>
      <c r="HB335" s="1176" t="str">
        <f t="shared" si="266"/>
        <v>F22/1</v>
      </c>
      <c r="HC335" s="1176" t="str">
        <f t="shared" si="266"/>
        <v>F23/1</v>
      </c>
      <c r="HD335" s="1176" t="str">
        <f t="shared" si="266"/>
        <v>F24/1</v>
      </c>
      <c r="HE335" s="1176" t="str">
        <f t="shared" si="266"/>
        <v>F25/1</v>
      </c>
      <c r="HF335" s="1176" t="str">
        <f t="shared" si="266"/>
        <v>F26/1</v>
      </c>
      <c r="HG335" s="1176" t="str">
        <f t="shared" si="266"/>
        <v>F27/1</v>
      </c>
      <c r="HH335" s="1176" t="str">
        <f t="shared" si="266"/>
        <v>F28/1</v>
      </c>
      <c r="HI335" s="1176" t="str">
        <f t="shared" si="266"/>
        <v>F29/1</v>
      </c>
      <c r="HJ335" s="1176" t="str">
        <f t="shared" si="266"/>
        <v>F30/1</v>
      </c>
      <c r="HK335" s="1176" t="str">
        <f t="shared" si="266"/>
        <v>F31/1</v>
      </c>
      <c r="HL335" s="1176" t="str">
        <f t="shared" si="266"/>
        <v>F32/1</v>
      </c>
      <c r="HM335" s="1176" t="str">
        <f t="shared" si="266"/>
        <v>F33/1</v>
      </c>
      <c r="HN335" s="1176" t="str">
        <f t="shared" si="266"/>
        <v>F34/1</v>
      </c>
      <c r="HO335" s="1176" t="str">
        <f t="shared" si="266"/>
        <v>F35/1</v>
      </c>
      <c r="HP335" s="1176" t="str">
        <f t="shared" si="266"/>
        <v>F36/1</v>
      </c>
      <c r="HQ335" s="1176" t="str">
        <f t="shared" si="266"/>
        <v>F37/1</v>
      </c>
      <c r="HR335" s="1176" t="str">
        <f t="shared" si="266"/>
        <v>F38/1</v>
      </c>
      <c r="HS335" s="1176" t="str">
        <f t="shared" si="266"/>
        <v>F39/1</v>
      </c>
      <c r="HT335" s="1176" t="str">
        <f t="shared" si="266"/>
        <v>F40/1</v>
      </c>
      <c r="HU335" s="1176" t="str">
        <f t="shared" si="266"/>
        <v>F41/1</v>
      </c>
      <c r="HV335" s="1176" t="str">
        <f t="shared" si="266"/>
        <v>F42/1</v>
      </c>
      <c r="HW335" s="1176" t="str">
        <f t="shared" si="266"/>
        <v>F43/1</v>
      </c>
      <c r="HX335" s="1176" t="str">
        <f t="shared" si="266"/>
        <v>F44/1</v>
      </c>
      <c r="HY335" s="1176" t="str">
        <f t="shared" si="266"/>
        <v>F45/1</v>
      </c>
      <c r="HZ335" s="1176" t="str">
        <f t="shared" si="266"/>
        <v>F46/1</v>
      </c>
      <c r="IA335" s="1176" t="str">
        <f t="shared" si="266"/>
        <v>F47/1</v>
      </c>
      <c r="IB335" s="1176" t="str">
        <f t="shared" si="266"/>
        <v>F48/1</v>
      </c>
      <c r="IC335" s="1176" t="str">
        <f t="shared" si="266"/>
        <v>F49/1</v>
      </c>
      <c r="ID335" s="1176" t="str">
        <f t="shared" si="266"/>
        <v>F50/1</v>
      </c>
      <c r="IE335" s="1176" t="str">
        <f t="shared" si="266"/>
        <v>F51/1</v>
      </c>
      <c r="IF335" s="1176" t="str">
        <f t="shared" si="266"/>
        <v>F52/1</v>
      </c>
      <c r="IG335" s="1176" t="str">
        <f t="shared" si="266"/>
        <v>F53/1</v>
      </c>
      <c r="IH335" s="1176" t="str">
        <f t="shared" si="266"/>
        <v>F54/1</v>
      </c>
      <c r="II335" s="1176" t="str">
        <f t="shared" si="266"/>
        <v>F55/1</v>
      </c>
      <c r="IJ335" s="1176" t="str">
        <f t="shared" si="266"/>
        <v>F56/1</v>
      </c>
      <c r="IK335" s="1176" t="str">
        <f t="shared" si="266"/>
        <v>F57/1</v>
      </c>
      <c r="IL335" s="1176" t="str">
        <f t="shared" si="266"/>
        <v>F58/1</v>
      </c>
      <c r="IM335" s="1176" t="str">
        <f t="shared" si="266"/>
        <v>F59/1</v>
      </c>
      <c r="IN335" s="1176" t="str">
        <f t="shared" si="266"/>
        <v>F60/1</v>
      </c>
      <c r="IO335" s="1176" t="str">
        <f t="shared" si="266"/>
        <v>F61/1</v>
      </c>
      <c r="IP335" s="1176" t="str">
        <f t="shared" si="266"/>
        <v>F62/1</v>
      </c>
      <c r="IQ335" s="1176" t="str">
        <f t="shared" si="266"/>
        <v>F63/1</v>
      </c>
      <c r="IR335" s="1176" t="str">
        <f t="shared" si="266"/>
        <v>F64/1</v>
      </c>
    </row>
    <row r="336" spans="2:252" s="1179" customFormat="1">
      <c r="B336" s="1176" t="s">
        <v>827</v>
      </c>
      <c r="W336" s="1180"/>
      <c r="X336" s="1176"/>
    </row>
    <row r="337" spans="2:252" s="1179" customFormat="1" ht="12.75">
      <c r="B337" s="1182" t="s">
        <v>471</v>
      </c>
      <c r="C337" s="1179">
        <v>1</v>
      </c>
      <c r="D337" s="1179">
        <v>1</v>
      </c>
      <c r="E337" s="1179">
        <v>1</v>
      </c>
      <c r="F337" s="1179">
        <v>1</v>
      </c>
      <c r="G337" s="1179">
        <f t="shared" ref="G337:BO337" si="267">IF(F$337&lt;&gt;"",F$337,"")</f>
        <v>1</v>
      </c>
      <c r="H337" s="1179">
        <f t="shared" si="267"/>
        <v>1</v>
      </c>
      <c r="I337" s="1179">
        <f t="shared" si="267"/>
        <v>1</v>
      </c>
      <c r="J337" s="1179">
        <f t="shared" si="267"/>
        <v>1</v>
      </c>
      <c r="K337" s="1179">
        <f t="shared" si="267"/>
        <v>1</v>
      </c>
      <c r="L337" s="1179">
        <f t="shared" si="267"/>
        <v>1</v>
      </c>
      <c r="M337" s="1179">
        <f t="shared" si="267"/>
        <v>1</v>
      </c>
      <c r="N337" s="1179">
        <f t="shared" si="267"/>
        <v>1</v>
      </c>
      <c r="O337" s="1179">
        <f t="shared" si="267"/>
        <v>1</v>
      </c>
      <c r="P337" s="1179">
        <f t="shared" si="267"/>
        <v>1</v>
      </c>
      <c r="Q337" s="1179">
        <f t="shared" si="267"/>
        <v>1</v>
      </c>
      <c r="R337" s="1179">
        <f t="shared" si="267"/>
        <v>1</v>
      </c>
      <c r="S337" s="1179">
        <f t="shared" si="267"/>
        <v>1</v>
      </c>
      <c r="T337" s="1179">
        <f t="shared" si="267"/>
        <v>1</v>
      </c>
      <c r="U337" s="1179">
        <f t="shared" si="267"/>
        <v>1</v>
      </c>
      <c r="V337" s="1179">
        <f t="shared" si="267"/>
        <v>1</v>
      </c>
      <c r="W337" s="1180">
        <f t="shared" si="267"/>
        <v>1</v>
      </c>
      <c r="X337" s="1176">
        <f t="shared" si="267"/>
        <v>1</v>
      </c>
      <c r="Y337" s="1179">
        <f t="shared" si="267"/>
        <v>1</v>
      </c>
      <c r="Z337" s="1179">
        <f t="shared" si="267"/>
        <v>1</v>
      </c>
      <c r="AA337" s="1179">
        <f t="shared" si="267"/>
        <v>1</v>
      </c>
      <c r="AB337" s="1179">
        <f t="shared" si="267"/>
        <v>1</v>
      </c>
      <c r="AC337" s="1179">
        <f t="shared" si="267"/>
        <v>1</v>
      </c>
      <c r="AD337" s="1179">
        <f t="shared" si="267"/>
        <v>1</v>
      </c>
      <c r="AE337" s="1179">
        <f t="shared" si="267"/>
        <v>1</v>
      </c>
      <c r="AF337" s="1179">
        <f t="shared" si="267"/>
        <v>1</v>
      </c>
      <c r="AG337" s="1179">
        <f t="shared" si="267"/>
        <v>1</v>
      </c>
      <c r="AH337" s="1179">
        <f t="shared" si="267"/>
        <v>1</v>
      </c>
      <c r="AI337" s="1179">
        <f t="shared" si="267"/>
        <v>1</v>
      </c>
      <c r="AJ337" s="1179">
        <f t="shared" si="267"/>
        <v>1</v>
      </c>
      <c r="AK337" s="1179">
        <f t="shared" si="267"/>
        <v>1</v>
      </c>
      <c r="AL337" s="1179">
        <f t="shared" si="267"/>
        <v>1</v>
      </c>
      <c r="AM337" s="1179">
        <f t="shared" si="267"/>
        <v>1</v>
      </c>
      <c r="AN337" s="1179">
        <f t="shared" si="267"/>
        <v>1</v>
      </c>
      <c r="AO337" s="1179">
        <f t="shared" si="267"/>
        <v>1</v>
      </c>
      <c r="AP337" s="1179">
        <f t="shared" si="267"/>
        <v>1</v>
      </c>
      <c r="AQ337" s="1179">
        <f t="shared" si="267"/>
        <v>1</v>
      </c>
      <c r="AR337" s="1179">
        <f t="shared" si="267"/>
        <v>1</v>
      </c>
      <c r="AS337" s="1179">
        <f t="shared" si="267"/>
        <v>1</v>
      </c>
      <c r="AT337" s="1179">
        <f t="shared" si="267"/>
        <v>1</v>
      </c>
      <c r="AU337" s="1179">
        <f t="shared" si="267"/>
        <v>1</v>
      </c>
      <c r="AV337" s="1179">
        <f t="shared" si="267"/>
        <v>1</v>
      </c>
      <c r="AW337" s="1179">
        <f t="shared" si="267"/>
        <v>1</v>
      </c>
      <c r="AX337" s="1179">
        <f t="shared" si="267"/>
        <v>1</v>
      </c>
      <c r="AY337" s="1179">
        <f t="shared" si="267"/>
        <v>1</v>
      </c>
      <c r="AZ337" s="1179">
        <f t="shared" si="267"/>
        <v>1</v>
      </c>
      <c r="BA337" s="1179">
        <f t="shared" si="267"/>
        <v>1</v>
      </c>
      <c r="BB337" s="1179">
        <f t="shared" si="267"/>
        <v>1</v>
      </c>
      <c r="BC337" s="1179">
        <f t="shared" si="267"/>
        <v>1</v>
      </c>
      <c r="BD337" s="1179">
        <f t="shared" si="267"/>
        <v>1</v>
      </c>
      <c r="BE337" s="1179">
        <f t="shared" si="267"/>
        <v>1</v>
      </c>
      <c r="BF337" s="1179">
        <f t="shared" si="267"/>
        <v>1</v>
      </c>
      <c r="BG337" s="1179">
        <f t="shared" si="267"/>
        <v>1</v>
      </c>
      <c r="BH337" s="1179">
        <f t="shared" si="267"/>
        <v>1</v>
      </c>
      <c r="BI337" s="1179">
        <f t="shared" si="267"/>
        <v>1</v>
      </c>
      <c r="BJ337" s="1179">
        <f t="shared" si="267"/>
        <v>1</v>
      </c>
      <c r="BK337" s="1179">
        <f t="shared" si="267"/>
        <v>1</v>
      </c>
      <c r="BL337" s="1179">
        <f t="shared" si="267"/>
        <v>1</v>
      </c>
      <c r="BM337" s="1179">
        <f t="shared" si="267"/>
        <v>1</v>
      </c>
      <c r="BN337" s="1179">
        <f t="shared" si="267"/>
        <v>1</v>
      </c>
      <c r="BO337" s="1179">
        <f t="shared" si="267"/>
        <v>1</v>
      </c>
      <c r="BP337" s="1179">
        <f t="shared" ref="BP337:EA337" si="268">IF(BO$337&lt;&gt;"",BO$337,"")</f>
        <v>1</v>
      </c>
      <c r="BQ337" s="1179">
        <f t="shared" si="268"/>
        <v>1</v>
      </c>
      <c r="BR337" s="1179">
        <f t="shared" si="268"/>
        <v>1</v>
      </c>
      <c r="BS337" s="1179">
        <f t="shared" si="268"/>
        <v>1</v>
      </c>
      <c r="BT337" s="1179">
        <f t="shared" si="268"/>
        <v>1</v>
      </c>
      <c r="BU337" s="1179">
        <f t="shared" si="268"/>
        <v>1</v>
      </c>
      <c r="BV337" s="1179">
        <f t="shared" si="268"/>
        <v>1</v>
      </c>
      <c r="BW337" s="1179">
        <f t="shared" si="268"/>
        <v>1</v>
      </c>
      <c r="BX337" s="1179">
        <f t="shared" si="268"/>
        <v>1</v>
      </c>
      <c r="BY337" s="1179">
        <f t="shared" si="268"/>
        <v>1</v>
      </c>
      <c r="BZ337" s="1179">
        <f t="shared" si="268"/>
        <v>1</v>
      </c>
      <c r="CA337" s="1179">
        <f t="shared" si="268"/>
        <v>1</v>
      </c>
      <c r="CB337" s="1179">
        <f t="shared" si="268"/>
        <v>1</v>
      </c>
      <c r="CC337" s="1179">
        <f t="shared" si="268"/>
        <v>1</v>
      </c>
      <c r="CD337" s="1179">
        <f t="shared" si="268"/>
        <v>1</v>
      </c>
      <c r="CE337" s="1179">
        <f t="shared" si="268"/>
        <v>1</v>
      </c>
      <c r="CF337" s="1179">
        <f t="shared" si="268"/>
        <v>1</v>
      </c>
      <c r="CG337" s="1179">
        <f t="shared" si="268"/>
        <v>1</v>
      </c>
      <c r="CH337" s="1179">
        <f t="shared" si="268"/>
        <v>1</v>
      </c>
      <c r="CI337" s="1179">
        <f t="shared" si="268"/>
        <v>1</v>
      </c>
      <c r="CJ337" s="1179">
        <f t="shared" si="268"/>
        <v>1</v>
      </c>
      <c r="CK337" s="1179">
        <f t="shared" si="268"/>
        <v>1</v>
      </c>
      <c r="CL337" s="1179">
        <f t="shared" si="268"/>
        <v>1</v>
      </c>
      <c r="CM337" s="1179">
        <f t="shared" si="268"/>
        <v>1</v>
      </c>
      <c r="CN337" s="1179">
        <f t="shared" si="268"/>
        <v>1</v>
      </c>
      <c r="CO337" s="1179">
        <f t="shared" si="268"/>
        <v>1</v>
      </c>
      <c r="CP337" s="1179">
        <f t="shared" si="268"/>
        <v>1</v>
      </c>
      <c r="CQ337" s="1179">
        <f t="shared" si="268"/>
        <v>1</v>
      </c>
      <c r="CR337" s="1179">
        <f t="shared" si="268"/>
        <v>1</v>
      </c>
      <c r="CS337" s="1179">
        <f t="shared" si="268"/>
        <v>1</v>
      </c>
      <c r="CT337" s="1179">
        <f t="shared" si="268"/>
        <v>1</v>
      </c>
      <c r="CU337" s="1179">
        <f t="shared" si="268"/>
        <v>1</v>
      </c>
      <c r="CV337" s="1179">
        <f t="shared" si="268"/>
        <v>1</v>
      </c>
      <c r="CW337" s="1179">
        <f t="shared" si="268"/>
        <v>1</v>
      </c>
      <c r="CX337" s="1179">
        <f t="shared" si="268"/>
        <v>1</v>
      </c>
      <c r="CY337" s="1179">
        <f t="shared" si="268"/>
        <v>1</v>
      </c>
      <c r="CZ337" s="1179">
        <f t="shared" si="268"/>
        <v>1</v>
      </c>
      <c r="DA337" s="1179">
        <f t="shared" si="268"/>
        <v>1</v>
      </c>
      <c r="DB337" s="1179">
        <f t="shared" si="268"/>
        <v>1</v>
      </c>
      <c r="DC337" s="1179">
        <f t="shared" si="268"/>
        <v>1</v>
      </c>
      <c r="DD337" s="1179">
        <f t="shared" si="268"/>
        <v>1</v>
      </c>
      <c r="DE337" s="1179">
        <f t="shared" si="268"/>
        <v>1</v>
      </c>
      <c r="DF337" s="1179">
        <f t="shared" si="268"/>
        <v>1</v>
      </c>
      <c r="DG337" s="1179">
        <f t="shared" si="268"/>
        <v>1</v>
      </c>
      <c r="DH337" s="1179">
        <f t="shared" si="268"/>
        <v>1</v>
      </c>
      <c r="DI337" s="1179">
        <f t="shared" si="268"/>
        <v>1</v>
      </c>
      <c r="DJ337" s="1179">
        <f t="shared" si="268"/>
        <v>1</v>
      </c>
      <c r="DK337" s="1179">
        <f t="shared" si="268"/>
        <v>1</v>
      </c>
      <c r="DL337" s="1179">
        <f t="shared" si="268"/>
        <v>1</v>
      </c>
      <c r="DM337" s="1179">
        <f t="shared" si="268"/>
        <v>1</v>
      </c>
      <c r="DN337" s="1179">
        <f t="shared" si="268"/>
        <v>1</v>
      </c>
      <c r="DO337" s="1179">
        <f t="shared" si="268"/>
        <v>1</v>
      </c>
      <c r="DP337" s="1179">
        <f t="shared" si="268"/>
        <v>1</v>
      </c>
      <c r="DQ337" s="1179">
        <f t="shared" si="268"/>
        <v>1</v>
      </c>
      <c r="DR337" s="1179">
        <f t="shared" si="268"/>
        <v>1</v>
      </c>
      <c r="DS337" s="1179">
        <f t="shared" si="268"/>
        <v>1</v>
      </c>
      <c r="DT337" s="1179">
        <f t="shared" si="268"/>
        <v>1</v>
      </c>
      <c r="DU337" s="1179">
        <f t="shared" si="268"/>
        <v>1</v>
      </c>
      <c r="DV337" s="1179">
        <f t="shared" si="268"/>
        <v>1</v>
      </c>
      <c r="DW337" s="1179">
        <f t="shared" si="268"/>
        <v>1</v>
      </c>
      <c r="DX337" s="1179">
        <f t="shared" si="268"/>
        <v>1</v>
      </c>
      <c r="DY337" s="1179">
        <f t="shared" si="268"/>
        <v>1</v>
      </c>
      <c r="DZ337" s="1179">
        <f t="shared" si="268"/>
        <v>1</v>
      </c>
      <c r="EA337" s="1179">
        <f t="shared" si="268"/>
        <v>1</v>
      </c>
      <c r="EB337" s="1179">
        <f t="shared" ref="EB337:GM337" si="269">IF(EA$337&lt;&gt;"",EA$337,"")</f>
        <v>1</v>
      </c>
      <c r="EC337" s="1179">
        <f t="shared" si="269"/>
        <v>1</v>
      </c>
      <c r="ED337" s="1179">
        <f t="shared" si="269"/>
        <v>1</v>
      </c>
      <c r="EE337" s="1179">
        <f t="shared" si="269"/>
        <v>1</v>
      </c>
      <c r="EF337" s="1179">
        <f t="shared" si="269"/>
        <v>1</v>
      </c>
      <c r="EG337" s="1179">
        <f t="shared" si="269"/>
        <v>1</v>
      </c>
      <c r="EH337" s="1179">
        <f t="shared" si="269"/>
        <v>1</v>
      </c>
      <c r="EI337" s="1179">
        <f t="shared" si="269"/>
        <v>1</v>
      </c>
      <c r="EJ337" s="1179">
        <f t="shared" si="269"/>
        <v>1</v>
      </c>
      <c r="EK337" s="1179">
        <f t="shared" si="269"/>
        <v>1</v>
      </c>
      <c r="EL337" s="1179">
        <f t="shared" si="269"/>
        <v>1</v>
      </c>
      <c r="EM337" s="1179">
        <f t="shared" si="269"/>
        <v>1</v>
      </c>
      <c r="EN337" s="1179">
        <f t="shared" si="269"/>
        <v>1</v>
      </c>
      <c r="EO337" s="1179">
        <f t="shared" si="269"/>
        <v>1</v>
      </c>
      <c r="EP337" s="1179">
        <f t="shared" si="269"/>
        <v>1</v>
      </c>
      <c r="EQ337" s="1179">
        <f t="shared" si="269"/>
        <v>1</v>
      </c>
      <c r="ER337" s="1179">
        <f t="shared" si="269"/>
        <v>1</v>
      </c>
      <c r="ES337" s="1179">
        <f t="shared" si="269"/>
        <v>1</v>
      </c>
      <c r="ET337" s="1179">
        <f t="shared" si="269"/>
        <v>1</v>
      </c>
      <c r="EU337" s="1179">
        <f t="shared" si="269"/>
        <v>1</v>
      </c>
      <c r="EV337" s="1179">
        <f t="shared" si="269"/>
        <v>1</v>
      </c>
      <c r="EW337" s="1179">
        <f t="shared" si="269"/>
        <v>1</v>
      </c>
      <c r="EX337" s="1179">
        <f t="shared" si="269"/>
        <v>1</v>
      </c>
      <c r="EY337" s="1179">
        <f t="shared" si="269"/>
        <v>1</v>
      </c>
      <c r="EZ337" s="1179">
        <f t="shared" si="269"/>
        <v>1</v>
      </c>
      <c r="FA337" s="1179">
        <f t="shared" si="269"/>
        <v>1</v>
      </c>
      <c r="FB337" s="1179">
        <f t="shared" si="269"/>
        <v>1</v>
      </c>
      <c r="FC337" s="1179">
        <f t="shared" si="269"/>
        <v>1</v>
      </c>
      <c r="FD337" s="1179">
        <f t="shared" si="269"/>
        <v>1</v>
      </c>
      <c r="FE337" s="1179">
        <f t="shared" si="269"/>
        <v>1</v>
      </c>
      <c r="FF337" s="1179">
        <f t="shared" si="269"/>
        <v>1</v>
      </c>
      <c r="FG337" s="1179">
        <f t="shared" si="269"/>
        <v>1</v>
      </c>
      <c r="FH337" s="1179">
        <f t="shared" si="269"/>
        <v>1</v>
      </c>
      <c r="FI337" s="1179">
        <f t="shared" si="269"/>
        <v>1</v>
      </c>
      <c r="FJ337" s="1179">
        <f t="shared" si="269"/>
        <v>1</v>
      </c>
      <c r="FK337" s="1179">
        <f t="shared" si="269"/>
        <v>1</v>
      </c>
      <c r="FL337" s="1179">
        <f t="shared" si="269"/>
        <v>1</v>
      </c>
      <c r="FM337" s="1179">
        <f t="shared" si="269"/>
        <v>1</v>
      </c>
      <c r="FN337" s="1179">
        <f t="shared" si="269"/>
        <v>1</v>
      </c>
      <c r="FO337" s="1179">
        <f t="shared" si="269"/>
        <v>1</v>
      </c>
      <c r="FP337" s="1179">
        <f t="shared" si="269"/>
        <v>1</v>
      </c>
      <c r="FQ337" s="1179">
        <f t="shared" si="269"/>
        <v>1</v>
      </c>
      <c r="FR337" s="1179">
        <f t="shared" si="269"/>
        <v>1</v>
      </c>
      <c r="FS337" s="1179">
        <f t="shared" si="269"/>
        <v>1</v>
      </c>
      <c r="FT337" s="1179">
        <f t="shared" si="269"/>
        <v>1</v>
      </c>
      <c r="FU337" s="1179">
        <f t="shared" si="269"/>
        <v>1</v>
      </c>
      <c r="FV337" s="1179">
        <f t="shared" si="269"/>
        <v>1</v>
      </c>
      <c r="FW337" s="1179">
        <f t="shared" si="269"/>
        <v>1</v>
      </c>
      <c r="FX337" s="1179">
        <f t="shared" si="269"/>
        <v>1</v>
      </c>
      <c r="FY337" s="1179">
        <f t="shared" si="269"/>
        <v>1</v>
      </c>
      <c r="FZ337" s="1179">
        <f t="shared" si="269"/>
        <v>1</v>
      </c>
      <c r="GA337" s="1179">
        <f t="shared" si="269"/>
        <v>1</v>
      </c>
      <c r="GB337" s="1179">
        <f t="shared" si="269"/>
        <v>1</v>
      </c>
      <c r="GC337" s="1179">
        <f t="shared" si="269"/>
        <v>1</v>
      </c>
      <c r="GD337" s="1179">
        <f t="shared" si="269"/>
        <v>1</v>
      </c>
      <c r="GE337" s="1179">
        <f t="shared" si="269"/>
        <v>1</v>
      </c>
      <c r="GF337" s="1179">
        <f t="shared" si="269"/>
        <v>1</v>
      </c>
      <c r="GG337" s="1179">
        <f t="shared" si="269"/>
        <v>1</v>
      </c>
      <c r="GH337" s="1179">
        <f t="shared" si="269"/>
        <v>1</v>
      </c>
      <c r="GI337" s="1179">
        <f t="shared" si="269"/>
        <v>1</v>
      </c>
      <c r="GJ337" s="1179">
        <f t="shared" si="269"/>
        <v>1</v>
      </c>
      <c r="GK337" s="1179">
        <f t="shared" si="269"/>
        <v>1</v>
      </c>
      <c r="GL337" s="1179">
        <f t="shared" si="269"/>
        <v>1</v>
      </c>
      <c r="GM337" s="1179">
        <f t="shared" si="269"/>
        <v>1</v>
      </c>
      <c r="GN337" s="1179">
        <f t="shared" ref="GN337:IR337" si="270">IF(GM$337&lt;&gt;"",GM$337,"")</f>
        <v>1</v>
      </c>
      <c r="GO337" s="1179">
        <f t="shared" si="270"/>
        <v>1</v>
      </c>
      <c r="GP337" s="1179">
        <f t="shared" si="270"/>
        <v>1</v>
      </c>
      <c r="GQ337" s="1179">
        <f t="shared" si="270"/>
        <v>1</v>
      </c>
      <c r="GR337" s="1179">
        <f t="shared" si="270"/>
        <v>1</v>
      </c>
      <c r="GS337" s="1179">
        <f t="shared" si="270"/>
        <v>1</v>
      </c>
      <c r="GT337" s="1179">
        <f t="shared" si="270"/>
        <v>1</v>
      </c>
      <c r="GU337" s="1179">
        <f t="shared" si="270"/>
        <v>1</v>
      </c>
      <c r="GV337" s="1179">
        <f t="shared" si="270"/>
        <v>1</v>
      </c>
      <c r="GW337" s="1179">
        <f t="shared" si="270"/>
        <v>1</v>
      </c>
      <c r="GX337" s="1179">
        <f t="shared" si="270"/>
        <v>1</v>
      </c>
      <c r="GY337" s="1179">
        <f t="shared" si="270"/>
        <v>1</v>
      </c>
      <c r="GZ337" s="1179">
        <f t="shared" si="270"/>
        <v>1</v>
      </c>
      <c r="HA337" s="1179">
        <f t="shared" si="270"/>
        <v>1</v>
      </c>
      <c r="HB337" s="1179">
        <f t="shared" si="270"/>
        <v>1</v>
      </c>
      <c r="HC337" s="1179">
        <f t="shared" si="270"/>
        <v>1</v>
      </c>
      <c r="HD337" s="1179">
        <f t="shared" si="270"/>
        <v>1</v>
      </c>
      <c r="HE337" s="1179">
        <f t="shared" si="270"/>
        <v>1</v>
      </c>
      <c r="HF337" s="1179">
        <f t="shared" si="270"/>
        <v>1</v>
      </c>
      <c r="HG337" s="1179">
        <f t="shared" si="270"/>
        <v>1</v>
      </c>
      <c r="HH337" s="1179">
        <f t="shared" si="270"/>
        <v>1</v>
      </c>
      <c r="HI337" s="1179">
        <f t="shared" si="270"/>
        <v>1</v>
      </c>
      <c r="HJ337" s="1179">
        <f t="shared" si="270"/>
        <v>1</v>
      </c>
      <c r="HK337" s="1179">
        <f t="shared" si="270"/>
        <v>1</v>
      </c>
      <c r="HL337" s="1179">
        <f t="shared" si="270"/>
        <v>1</v>
      </c>
      <c r="HM337" s="1179">
        <f t="shared" si="270"/>
        <v>1</v>
      </c>
      <c r="HN337" s="1179">
        <f t="shared" si="270"/>
        <v>1</v>
      </c>
      <c r="HO337" s="1179">
        <f t="shared" si="270"/>
        <v>1</v>
      </c>
      <c r="HP337" s="1179">
        <f t="shared" si="270"/>
        <v>1</v>
      </c>
      <c r="HQ337" s="1179">
        <f t="shared" si="270"/>
        <v>1</v>
      </c>
      <c r="HR337" s="1179">
        <f t="shared" si="270"/>
        <v>1</v>
      </c>
      <c r="HS337" s="1179">
        <f t="shared" si="270"/>
        <v>1</v>
      </c>
      <c r="HT337" s="1179">
        <f t="shared" si="270"/>
        <v>1</v>
      </c>
      <c r="HU337" s="1179">
        <f t="shared" si="270"/>
        <v>1</v>
      </c>
      <c r="HV337" s="1179">
        <f t="shared" si="270"/>
        <v>1</v>
      </c>
      <c r="HW337" s="1179">
        <f t="shared" si="270"/>
        <v>1</v>
      </c>
      <c r="HX337" s="1179">
        <f t="shared" si="270"/>
        <v>1</v>
      </c>
      <c r="HY337" s="1179">
        <f t="shared" si="270"/>
        <v>1</v>
      </c>
      <c r="HZ337" s="1179">
        <f t="shared" si="270"/>
        <v>1</v>
      </c>
      <c r="IA337" s="1179">
        <f t="shared" si="270"/>
        <v>1</v>
      </c>
      <c r="IB337" s="1179">
        <f t="shared" si="270"/>
        <v>1</v>
      </c>
      <c r="IC337" s="1179">
        <f t="shared" si="270"/>
        <v>1</v>
      </c>
      <c r="ID337" s="1179">
        <f t="shared" si="270"/>
        <v>1</v>
      </c>
      <c r="IE337" s="1179">
        <f t="shared" si="270"/>
        <v>1</v>
      </c>
      <c r="IF337" s="1179">
        <f t="shared" si="270"/>
        <v>1</v>
      </c>
      <c r="IG337" s="1179">
        <f t="shared" si="270"/>
        <v>1</v>
      </c>
      <c r="IH337" s="1179">
        <f t="shared" si="270"/>
        <v>1</v>
      </c>
      <c r="II337" s="1179">
        <f t="shared" si="270"/>
        <v>1</v>
      </c>
      <c r="IJ337" s="1179">
        <f t="shared" si="270"/>
        <v>1</v>
      </c>
      <c r="IK337" s="1179">
        <f t="shared" si="270"/>
        <v>1</v>
      </c>
      <c r="IL337" s="1179">
        <f t="shared" si="270"/>
        <v>1</v>
      </c>
      <c r="IM337" s="1179">
        <f t="shared" si="270"/>
        <v>1</v>
      </c>
      <c r="IN337" s="1179">
        <f t="shared" si="270"/>
        <v>1</v>
      </c>
      <c r="IO337" s="1179">
        <f t="shared" si="270"/>
        <v>1</v>
      </c>
      <c r="IP337" s="1179">
        <f t="shared" si="270"/>
        <v>1</v>
      </c>
      <c r="IQ337" s="1179">
        <f t="shared" si="270"/>
        <v>1</v>
      </c>
      <c r="IR337" s="1179">
        <f t="shared" si="270"/>
        <v>1</v>
      </c>
    </row>
    <row r="338" spans="2:252" s="1179" customFormat="1" ht="12.75">
      <c r="B338" s="1183" t="s">
        <v>474</v>
      </c>
      <c r="E338" s="1184"/>
      <c r="W338" s="1180"/>
      <c r="X338" s="1176"/>
    </row>
    <row r="339" spans="2:252" s="1179" customFormat="1" ht="22.5">
      <c r="B339" s="1185" t="s">
        <v>473</v>
      </c>
      <c r="C339" s="1186" t="s">
        <v>828</v>
      </c>
      <c r="D339" s="1176"/>
      <c r="E339" s="1187"/>
      <c r="F339" s="1176"/>
      <c r="G339" s="1176"/>
      <c r="W339" s="1180"/>
      <c r="X339" s="1176"/>
    </row>
    <row r="340" spans="2:252" s="1179" customFormat="1" ht="22.5">
      <c r="B340" s="1176" t="s">
        <v>829</v>
      </c>
      <c r="C340" s="1186" t="s">
        <v>830</v>
      </c>
      <c r="D340" s="1176"/>
      <c r="E340" s="1187"/>
      <c r="F340" s="1176"/>
      <c r="G340" s="1176"/>
      <c r="W340" s="1180"/>
      <c r="X340" s="1176"/>
    </row>
    <row r="341" spans="2:252" s="1179" customFormat="1" ht="22.5">
      <c r="B341" s="1176" t="s">
        <v>831</v>
      </c>
      <c r="C341" s="1186" t="s">
        <v>832</v>
      </c>
      <c r="D341" s="1176"/>
      <c r="E341" s="1187"/>
      <c r="F341" s="1176"/>
      <c r="G341" s="1176"/>
      <c r="W341" s="1180"/>
      <c r="X341" s="1176"/>
    </row>
    <row r="342" spans="2:252" s="1179" customFormat="1">
      <c r="C342" s="1176"/>
      <c r="D342" s="1176"/>
      <c r="E342" s="1187"/>
      <c r="F342" s="1176"/>
      <c r="G342" s="1176"/>
      <c r="W342" s="1180"/>
      <c r="X342" s="1176"/>
    </row>
    <row r="343" spans="2:252" s="1179" customFormat="1">
      <c r="E343" s="1184"/>
      <c r="W343" s="1180"/>
      <c r="X343" s="1176"/>
    </row>
    <row r="344" spans="2:252" s="1176" customFormat="1">
      <c r="B344" s="1176" t="str">
        <f>C333-1&amp;"FY"</f>
        <v>2014FY</v>
      </c>
      <c r="C344" s="1188" t="str">
        <f t="shared" ref="C344:BN344" si="271">C333&amp;"FY"</f>
        <v>2015FY</v>
      </c>
      <c r="D344" s="1188" t="str">
        <f t="shared" si="271"/>
        <v>2016FY</v>
      </c>
      <c r="E344" s="1188" t="str">
        <f t="shared" si="271"/>
        <v>2017FY</v>
      </c>
      <c r="F344" s="1188" t="str">
        <f t="shared" si="271"/>
        <v>2018FY</v>
      </c>
      <c r="G344" s="1188" t="str">
        <f t="shared" si="271"/>
        <v>2019FY</v>
      </c>
      <c r="H344" s="1188" t="str">
        <f t="shared" si="271"/>
        <v>2020FY</v>
      </c>
      <c r="I344" s="1188" t="str">
        <f t="shared" si="271"/>
        <v>2021FY</v>
      </c>
      <c r="J344" s="1188" t="str">
        <f t="shared" si="271"/>
        <v>2022FY</v>
      </c>
      <c r="K344" s="1188" t="str">
        <f t="shared" si="271"/>
        <v>2023FY</v>
      </c>
      <c r="L344" s="1188" t="str">
        <f t="shared" si="271"/>
        <v>2024FY</v>
      </c>
      <c r="M344" s="1188" t="str">
        <f t="shared" si="271"/>
        <v>2025FY</v>
      </c>
      <c r="N344" s="1188" t="str">
        <f t="shared" si="271"/>
        <v>2026FY</v>
      </c>
      <c r="O344" s="1188" t="str">
        <f t="shared" si="271"/>
        <v>2027FY</v>
      </c>
      <c r="P344" s="1188" t="str">
        <f t="shared" si="271"/>
        <v>2028FY</v>
      </c>
      <c r="Q344" s="1188" t="str">
        <f t="shared" si="271"/>
        <v>2029FY</v>
      </c>
      <c r="R344" s="1188" t="str">
        <f t="shared" si="271"/>
        <v>2030FY</v>
      </c>
      <c r="S344" s="1188" t="str">
        <f t="shared" si="271"/>
        <v>2031FY</v>
      </c>
      <c r="T344" s="1188" t="str">
        <f t="shared" si="271"/>
        <v>2032FY</v>
      </c>
      <c r="U344" s="1188" t="str">
        <f t="shared" si="271"/>
        <v>2033FY</v>
      </c>
      <c r="V344" s="1188" t="str">
        <f t="shared" si="271"/>
        <v>2034FY</v>
      </c>
      <c r="W344" s="1188" t="str">
        <f t="shared" si="271"/>
        <v>2035FY</v>
      </c>
      <c r="X344" s="1188" t="str">
        <f t="shared" si="271"/>
        <v>2036FY</v>
      </c>
      <c r="Y344" s="1188" t="str">
        <f t="shared" si="271"/>
        <v>2037FY</v>
      </c>
      <c r="Z344" s="1188" t="str">
        <f t="shared" si="271"/>
        <v>2038FY</v>
      </c>
      <c r="AA344" s="1188" t="str">
        <f t="shared" si="271"/>
        <v>2039FY</v>
      </c>
      <c r="AB344" s="1188" t="str">
        <f t="shared" si="271"/>
        <v>2040FY</v>
      </c>
      <c r="AC344" s="1188" t="str">
        <f t="shared" si="271"/>
        <v>2041FY</v>
      </c>
      <c r="AD344" s="1188" t="str">
        <f t="shared" si="271"/>
        <v>2042FY</v>
      </c>
      <c r="AE344" s="1188" t="str">
        <f t="shared" si="271"/>
        <v>2043FY</v>
      </c>
      <c r="AF344" s="1188" t="str">
        <f t="shared" si="271"/>
        <v>2044FY</v>
      </c>
      <c r="AG344" s="1188" t="str">
        <f t="shared" si="271"/>
        <v>2045FY</v>
      </c>
      <c r="AH344" s="1188" t="str">
        <f t="shared" si="271"/>
        <v>2046FY</v>
      </c>
      <c r="AI344" s="1188" t="str">
        <f t="shared" si="271"/>
        <v>2047FY</v>
      </c>
      <c r="AJ344" s="1188" t="str">
        <f t="shared" si="271"/>
        <v>2048FY</v>
      </c>
      <c r="AK344" s="1188" t="str">
        <f t="shared" si="271"/>
        <v>2049FY</v>
      </c>
      <c r="AL344" s="1188" t="str">
        <f t="shared" si="271"/>
        <v>2050FY</v>
      </c>
      <c r="AM344" s="1188" t="str">
        <f t="shared" si="271"/>
        <v>2051FY</v>
      </c>
      <c r="AN344" s="1188" t="str">
        <f t="shared" si="271"/>
        <v>2052FY</v>
      </c>
      <c r="AO344" s="1188" t="str">
        <f t="shared" si="271"/>
        <v>2053FY</v>
      </c>
      <c r="AP344" s="1188" t="str">
        <f t="shared" si="271"/>
        <v>2054FY</v>
      </c>
      <c r="AQ344" s="1188" t="str">
        <f t="shared" si="271"/>
        <v>2055FY</v>
      </c>
      <c r="AR344" s="1188" t="str">
        <f t="shared" si="271"/>
        <v>2056FY</v>
      </c>
      <c r="AS344" s="1188" t="str">
        <f t="shared" si="271"/>
        <v>2057FY</v>
      </c>
      <c r="AT344" s="1188" t="str">
        <f t="shared" si="271"/>
        <v>2058FY</v>
      </c>
      <c r="AU344" s="1188" t="str">
        <f t="shared" si="271"/>
        <v>2059FY</v>
      </c>
      <c r="AV344" s="1188" t="str">
        <f t="shared" si="271"/>
        <v>2060FY</v>
      </c>
      <c r="AW344" s="1188" t="str">
        <f t="shared" si="271"/>
        <v>2061FY</v>
      </c>
      <c r="AX344" s="1188" t="str">
        <f t="shared" si="271"/>
        <v>2062FY</v>
      </c>
      <c r="AY344" s="1188" t="str">
        <f t="shared" si="271"/>
        <v>2063FY</v>
      </c>
      <c r="AZ344" s="1188" t="str">
        <f t="shared" si="271"/>
        <v>2064FY</v>
      </c>
      <c r="BA344" s="1188" t="str">
        <f t="shared" si="271"/>
        <v>2065FY</v>
      </c>
      <c r="BB344" s="1188" t="str">
        <f t="shared" si="271"/>
        <v>2066FY</v>
      </c>
      <c r="BC344" s="1188" t="str">
        <f t="shared" si="271"/>
        <v>2067FY</v>
      </c>
      <c r="BD344" s="1188" t="str">
        <f t="shared" si="271"/>
        <v>2068FY</v>
      </c>
      <c r="BE344" s="1188" t="str">
        <f t="shared" si="271"/>
        <v>2069FY</v>
      </c>
      <c r="BF344" s="1188" t="str">
        <f t="shared" si="271"/>
        <v>2070FY</v>
      </c>
      <c r="BG344" s="1188" t="str">
        <f t="shared" si="271"/>
        <v>2071FY</v>
      </c>
      <c r="BH344" s="1188" t="str">
        <f t="shared" si="271"/>
        <v>2072FY</v>
      </c>
      <c r="BI344" s="1188" t="str">
        <f t="shared" si="271"/>
        <v>2073FY</v>
      </c>
      <c r="BJ344" s="1188" t="str">
        <f t="shared" si="271"/>
        <v>2074FY</v>
      </c>
      <c r="BK344" s="1188" t="str">
        <f t="shared" si="271"/>
        <v>2075FY</v>
      </c>
      <c r="BL344" s="1188" t="str">
        <f t="shared" si="271"/>
        <v>2076FY</v>
      </c>
      <c r="BM344" s="1188" t="str">
        <f t="shared" si="271"/>
        <v>2077FY</v>
      </c>
      <c r="BN344" s="1188" t="str">
        <f t="shared" si="271"/>
        <v>2078FY</v>
      </c>
      <c r="BO344" s="1188" t="str">
        <f t="shared" ref="BO344:DZ344" si="272">BO333&amp;"FY"</f>
        <v>2079FY</v>
      </c>
      <c r="BP344" s="1188" t="str">
        <f t="shared" si="272"/>
        <v>2080FY</v>
      </c>
      <c r="BQ344" s="1188" t="str">
        <f t="shared" si="272"/>
        <v>2081FY</v>
      </c>
      <c r="BR344" s="1188" t="str">
        <f t="shared" si="272"/>
        <v>2082FY</v>
      </c>
      <c r="BS344" s="1188" t="str">
        <f t="shared" si="272"/>
        <v>2083FY</v>
      </c>
      <c r="BT344" s="1188" t="str">
        <f t="shared" si="272"/>
        <v>2084FY</v>
      </c>
      <c r="BU344" s="1188" t="str">
        <f t="shared" si="272"/>
        <v>2085FY</v>
      </c>
      <c r="BV344" s="1188" t="str">
        <f t="shared" si="272"/>
        <v>2086FY</v>
      </c>
      <c r="BW344" s="1188" t="str">
        <f t="shared" si="272"/>
        <v>2087FY</v>
      </c>
      <c r="BX344" s="1188" t="str">
        <f t="shared" si="272"/>
        <v>2088FY</v>
      </c>
      <c r="BY344" s="1188" t="str">
        <f t="shared" si="272"/>
        <v>2089FY</v>
      </c>
      <c r="BZ344" s="1188" t="str">
        <f t="shared" si="272"/>
        <v>2090FY</v>
      </c>
      <c r="CA344" s="1188" t="str">
        <f t="shared" si="272"/>
        <v>2091FY</v>
      </c>
      <c r="CB344" s="1188" t="str">
        <f t="shared" si="272"/>
        <v>2092FY</v>
      </c>
      <c r="CC344" s="1188" t="str">
        <f t="shared" si="272"/>
        <v>2093FY</v>
      </c>
      <c r="CD344" s="1188" t="str">
        <f t="shared" si="272"/>
        <v>2094FY</v>
      </c>
      <c r="CE344" s="1188" t="str">
        <f t="shared" si="272"/>
        <v>2095FY</v>
      </c>
      <c r="CF344" s="1188" t="str">
        <f t="shared" si="272"/>
        <v>2096FY</v>
      </c>
      <c r="CG344" s="1188" t="str">
        <f t="shared" si="272"/>
        <v>2097FY</v>
      </c>
      <c r="CH344" s="1188" t="str">
        <f t="shared" si="272"/>
        <v>2098FY</v>
      </c>
      <c r="CI344" s="1188" t="str">
        <f t="shared" si="272"/>
        <v>2099FY</v>
      </c>
      <c r="CJ344" s="1188" t="str">
        <f t="shared" si="272"/>
        <v>2100FY</v>
      </c>
      <c r="CK344" s="1188" t="str">
        <f t="shared" si="272"/>
        <v>2101FY</v>
      </c>
      <c r="CL344" s="1188" t="str">
        <f t="shared" si="272"/>
        <v>2102FY</v>
      </c>
      <c r="CM344" s="1188" t="str">
        <f t="shared" si="272"/>
        <v>2103FY</v>
      </c>
      <c r="CN344" s="1188" t="str">
        <f t="shared" si="272"/>
        <v>2104FY</v>
      </c>
      <c r="CO344" s="1188" t="str">
        <f t="shared" si="272"/>
        <v>2105FY</v>
      </c>
      <c r="CP344" s="1188" t="str">
        <f t="shared" si="272"/>
        <v>2106FY</v>
      </c>
      <c r="CQ344" s="1188" t="str">
        <f t="shared" si="272"/>
        <v>2107FY</v>
      </c>
      <c r="CR344" s="1188" t="str">
        <f t="shared" si="272"/>
        <v>2108FY</v>
      </c>
      <c r="CS344" s="1188" t="str">
        <f t="shared" si="272"/>
        <v>2109FY</v>
      </c>
      <c r="CT344" s="1188" t="str">
        <f t="shared" si="272"/>
        <v>2110FY</v>
      </c>
      <c r="CU344" s="1188" t="str">
        <f t="shared" si="272"/>
        <v>2111FY</v>
      </c>
      <c r="CV344" s="1188" t="str">
        <f t="shared" si="272"/>
        <v>2112FY</v>
      </c>
      <c r="CW344" s="1188" t="str">
        <f t="shared" si="272"/>
        <v>2113FY</v>
      </c>
      <c r="CX344" s="1188" t="str">
        <f t="shared" si="272"/>
        <v>2114FY</v>
      </c>
      <c r="CY344" s="1188" t="str">
        <f t="shared" si="272"/>
        <v>2115FY</v>
      </c>
      <c r="CZ344" s="1188" t="str">
        <f t="shared" si="272"/>
        <v>2116FY</v>
      </c>
      <c r="DA344" s="1188" t="str">
        <f t="shared" si="272"/>
        <v>2117FY</v>
      </c>
      <c r="DB344" s="1188" t="str">
        <f t="shared" si="272"/>
        <v>2118FY</v>
      </c>
      <c r="DC344" s="1188" t="str">
        <f t="shared" si="272"/>
        <v>2119FY</v>
      </c>
      <c r="DD344" s="1188" t="str">
        <f t="shared" si="272"/>
        <v>2120FY</v>
      </c>
      <c r="DE344" s="1188" t="str">
        <f t="shared" si="272"/>
        <v>2121FY</v>
      </c>
      <c r="DF344" s="1188" t="str">
        <f t="shared" si="272"/>
        <v>2122FY</v>
      </c>
      <c r="DG344" s="1188" t="str">
        <f t="shared" si="272"/>
        <v>2123FY</v>
      </c>
      <c r="DH344" s="1188" t="str">
        <f t="shared" si="272"/>
        <v>2124FY</v>
      </c>
      <c r="DI344" s="1188" t="str">
        <f t="shared" si="272"/>
        <v>2125FY</v>
      </c>
      <c r="DJ344" s="1188" t="str">
        <f t="shared" si="272"/>
        <v>2126FY</v>
      </c>
      <c r="DK344" s="1188" t="str">
        <f t="shared" si="272"/>
        <v>2127FY</v>
      </c>
      <c r="DL344" s="1188" t="str">
        <f t="shared" si="272"/>
        <v>2128FY</v>
      </c>
      <c r="DM344" s="1188" t="str">
        <f t="shared" si="272"/>
        <v>2129FY</v>
      </c>
      <c r="DN344" s="1188" t="str">
        <f t="shared" si="272"/>
        <v>2130FY</v>
      </c>
      <c r="DO344" s="1188" t="str">
        <f t="shared" si="272"/>
        <v>2131FY</v>
      </c>
      <c r="DP344" s="1188" t="str">
        <f t="shared" si="272"/>
        <v>2132FY</v>
      </c>
      <c r="DQ344" s="1188" t="str">
        <f t="shared" si="272"/>
        <v>2133FY</v>
      </c>
      <c r="DR344" s="1188" t="str">
        <f t="shared" si="272"/>
        <v>2134FY</v>
      </c>
      <c r="DS344" s="1188" t="str">
        <f t="shared" si="272"/>
        <v>2135FY</v>
      </c>
      <c r="DT344" s="1188" t="str">
        <f t="shared" si="272"/>
        <v>2136FY</v>
      </c>
      <c r="DU344" s="1188" t="str">
        <f t="shared" si="272"/>
        <v>2137FY</v>
      </c>
      <c r="DV344" s="1188" t="str">
        <f t="shared" si="272"/>
        <v>2138FY</v>
      </c>
      <c r="DW344" s="1188" t="str">
        <f t="shared" si="272"/>
        <v>2139FY</v>
      </c>
      <c r="DX344" s="1188" t="str">
        <f t="shared" si="272"/>
        <v>2140FY</v>
      </c>
      <c r="DY344" s="1188" t="str">
        <f t="shared" si="272"/>
        <v>2141FY</v>
      </c>
      <c r="DZ344" s="1188" t="str">
        <f t="shared" si="272"/>
        <v>2142FY</v>
      </c>
      <c r="EA344" s="1188" t="str">
        <f t="shared" ref="EA344:GL344" si="273">EA333&amp;"FY"</f>
        <v>2143FY</v>
      </c>
      <c r="EB344" s="1188" t="str">
        <f t="shared" si="273"/>
        <v>2144FY</v>
      </c>
      <c r="EC344" s="1188" t="str">
        <f t="shared" si="273"/>
        <v>2145FY</v>
      </c>
      <c r="ED344" s="1188" t="str">
        <f t="shared" si="273"/>
        <v>2146FY</v>
      </c>
      <c r="EE344" s="1188" t="str">
        <f t="shared" si="273"/>
        <v>2147FY</v>
      </c>
      <c r="EF344" s="1188" t="str">
        <f t="shared" si="273"/>
        <v>2148FY</v>
      </c>
      <c r="EG344" s="1188" t="str">
        <f t="shared" si="273"/>
        <v>2149FY</v>
      </c>
      <c r="EH344" s="1188" t="str">
        <f t="shared" si="273"/>
        <v>2150FY</v>
      </c>
      <c r="EI344" s="1188" t="str">
        <f t="shared" si="273"/>
        <v>2151FY</v>
      </c>
      <c r="EJ344" s="1188" t="str">
        <f t="shared" si="273"/>
        <v>2152FY</v>
      </c>
      <c r="EK344" s="1188" t="str">
        <f t="shared" si="273"/>
        <v>2153FY</v>
      </c>
      <c r="EL344" s="1188" t="str">
        <f t="shared" si="273"/>
        <v>2154FY</v>
      </c>
      <c r="EM344" s="1188" t="str">
        <f t="shared" si="273"/>
        <v>2155FY</v>
      </c>
      <c r="EN344" s="1188" t="str">
        <f t="shared" si="273"/>
        <v>2156FY</v>
      </c>
      <c r="EO344" s="1188" t="str">
        <f t="shared" si="273"/>
        <v>2157FY</v>
      </c>
      <c r="EP344" s="1188" t="str">
        <f t="shared" si="273"/>
        <v>2158FY</v>
      </c>
      <c r="EQ344" s="1188" t="str">
        <f t="shared" si="273"/>
        <v>2159FY</v>
      </c>
      <c r="ER344" s="1188" t="str">
        <f t="shared" si="273"/>
        <v>2160FY</v>
      </c>
      <c r="ES344" s="1188" t="str">
        <f t="shared" si="273"/>
        <v>2161FY</v>
      </c>
      <c r="ET344" s="1188" t="str">
        <f t="shared" si="273"/>
        <v>2162FY</v>
      </c>
      <c r="EU344" s="1188" t="str">
        <f t="shared" si="273"/>
        <v>2163FY</v>
      </c>
      <c r="EV344" s="1188" t="str">
        <f t="shared" si="273"/>
        <v>2164FY</v>
      </c>
      <c r="EW344" s="1188" t="str">
        <f t="shared" si="273"/>
        <v>2165FY</v>
      </c>
      <c r="EX344" s="1188" t="str">
        <f t="shared" si="273"/>
        <v>2166FY</v>
      </c>
      <c r="EY344" s="1188" t="str">
        <f t="shared" si="273"/>
        <v>2167FY</v>
      </c>
      <c r="EZ344" s="1188" t="str">
        <f t="shared" si="273"/>
        <v>2168FY</v>
      </c>
      <c r="FA344" s="1188" t="str">
        <f t="shared" si="273"/>
        <v>2169FY</v>
      </c>
      <c r="FB344" s="1188" t="str">
        <f t="shared" si="273"/>
        <v>2170FY</v>
      </c>
      <c r="FC344" s="1188" t="str">
        <f t="shared" si="273"/>
        <v>2171FY</v>
      </c>
      <c r="FD344" s="1188" t="str">
        <f t="shared" si="273"/>
        <v>2172FY</v>
      </c>
      <c r="FE344" s="1188" t="str">
        <f t="shared" si="273"/>
        <v>2173FY</v>
      </c>
      <c r="FF344" s="1188" t="str">
        <f t="shared" si="273"/>
        <v>2174FY</v>
      </c>
      <c r="FG344" s="1188" t="str">
        <f t="shared" si="273"/>
        <v>2175FY</v>
      </c>
      <c r="FH344" s="1188" t="str">
        <f t="shared" si="273"/>
        <v>2176FY</v>
      </c>
      <c r="FI344" s="1188" t="str">
        <f t="shared" si="273"/>
        <v>2177FY</v>
      </c>
      <c r="FJ344" s="1188" t="str">
        <f t="shared" si="273"/>
        <v>2178FY</v>
      </c>
      <c r="FK344" s="1188" t="str">
        <f t="shared" si="273"/>
        <v>2179FY</v>
      </c>
      <c r="FL344" s="1188" t="str">
        <f t="shared" si="273"/>
        <v>2180FY</v>
      </c>
      <c r="FM344" s="1188" t="str">
        <f t="shared" si="273"/>
        <v>2181FY</v>
      </c>
      <c r="FN344" s="1188" t="str">
        <f t="shared" si="273"/>
        <v>2182FY</v>
      </c>
      <c r="FO344" s="1188" t="str">
        <f t="shared" si="273"/>
        <v>2183FY</v>
      </c>
      <c r="FP344" s="1188" t="str">
        <f t="shared" si="273"/>
        <v>2184FY</v>
      </c>
      <c r="FQ344" s="1188" t="str">
        <f t="shared" si="273"/>
        <v>2185FY</v>
      </c>
      <c r="FR344" s="1188" t="str">
        <f t="shared" si="273"/>
        <v>2186FY</v>
      </c>
      <c r="FS344" s="1188" t="str">
        <f t="shared" si="273"/>
        <v>2187FY</v>
      </c>
      <c r="FT344" s="1188" t="str">
        <f t="shared" si="273"/>
        <v>2188FY</v>
      </c>
      <c r="FU344" s="1188" t="str">
        <f t="shared" si="273"/>
        <v>2189FY</v>
      </c>
      <c r="FV344" s="1188" t="str">
        <f t="shared" si="273"/>
        <v>2190FY</v>
      </c>
      <c r="FW344" s="1188" t="str">
        <f t="shared" si="273"/>
        <v>2191FY</v>
      </c>
      <c r="FX344" s="1188" t="str">
        <f t="shared" si="273"/>
        <v>2192FY</v>
      </c>
      <c r="FY344" s="1188" t="str">
        <f t="shared" si="273"/>
        <v>2193FY</v>
      </c>
      <c r="FZ344" s="1188" t="str">
        <f t="shared" si="273"/>
        <v>2194FY</v>
      </c>
      <c r="GA344" s="1188" t="str">
        <f t="shared" si="273"/>
        <v>2195FY</v>
      </c>
      <c r="GB344" s="1188" t="str">
        <f t="shared" si="273"/>
        <v>2196FY</v>
      </c>
      <c r="GC344" s="1188" t="str">
        <f t="shared" si="273"/>
        <v>2197FY</v>
      </c>
      <c r="GD344" s="1188" t="str">
        <f t="shared" si="273"/>
        <v>2198FY</v>
      </c>
      <c r="GE344" s="1188" t="str">
        <f t="shared" si="273"/>
        <v>2199FY</v>
      </c>
      <c r="GF344" s="1188" t="str">
        <f t="shared" si="273"/>
        <v>2200FY</v>
      </c>
      <c r="GG344" s="1188" t="str">
        <f t="shared" si="273"/>
        <v>2201FY</v>
      </c>
      <c r="GH344" s="1188" t="str">
        <f t="shared" si="273"/>
        <v>2202FY</v>
      </c>
      <c r="GI344" s="1188" t="str">
        <f t="shared" si="273"/>
        <v>2203FY</v>
      </c>
      <c r="GJ344" s="1188" t="str">
        <f t="shared" si="273"/>
        <v>2204FY</v>
      </c>
      <c r="GK344" s="1188" t="str">
        <f t="shared" si="273"/>
        <v>2205FY</v>
      </c>
      <c r="GL344" s="1188" t="str">
        <f t="shared" si="273"/>
        <v>2206FY</v>
      </c>
      <c r="GM344" s="1188" t="str">
        <f t="shared" ref="GM344:IR344" si="274">GM333&amp;"FY"</f>
        <v>2207FY</v>
      </c>
      <c r="GN344" s="1188" t="str">
        <f t="shared" si="274"/>
        <v>2208FY</v>
      </c>
      <c r="GO344" s="1188" t="str">
        <f t="shared" si="274"/>
        <v>2209FY</v>
      </c>
      <c r="GP344" s="1188" t="str">
        <f t="shared" si="274"/>
        <v>2210FY</v>
      </c>
      <c r="GQ344" s="1188" t="str">
        <f t="shared" si="274"/>
        <v>2211FY</v>
      </c>
      <c r="GR344" s="1188" t="str">
        <f t="shared" si="274"/>
        <v>2212FY</v>
      </c>
      <c r="GS344" s="1188" t="str">
        <f t="shared" si="274"/>
        <v>2213FY</v>
      </c>
      <c r="GT344" s="1188" t="str">
        <f t="shared" si="274"/>
        <v>2214FY</v>
      </c>
      <c r="GU344" s="1188" t="str">
        <f t="shared" si="274"/>
        <v>2215FY</v>
      </c>
      <c r="GV344" s="1188" t="str">
        <f t="shared" si="274"/>
        <v>2216FY</v>
      </c>
      <c r="GW344" s="1188" t="str">
        <f t="shared" si="274"/>
        <v>2217FY</v>
      </c>
      <c r="GX344" s="1188" t="str">
        <f t="shared" si="274"/>
        <v>2218FY</v>
      </c>
      <c r="GY344" s="1188" t="str">
        <f t="shared" si="274"/>
        <v>2219FY</v>
      </c>
      <c r="GZ344" s="1188" t="str">
        <f t="shared" si="274"/>
        <v>2220FY</v>
      </c>
      <c r="HA344" s="1188" t="str">
        <f t="shared" si="274"/>
        <v>2221FY</v>
      </c>
      <c r="HB344" s="1188" t="str">
        <f t="shared" si="274"/>
        <v>2222FY</v>
      </c>
      <c r="HC344" s="1188" t="str">
        <f t="shared" si="274"/>
        <v>2223FY</v>
      </c>
      <c r="HD344" s="1188" t="str">
        <f t="shared" si="274"/>
        <v>2224FY</v>
      </c>
      <c r="HE344" s="1188" t="str">
        <f t="shared" si="274"/>
        <v>2225FY</v>
      </c>
      <c r="HF344" s="1188" t="str">
        <f t="shared" si="274"/>
        <v>2226FY</v>
      </c>
      <c r="HG344" s="1188" t="str">
        <f t="shared" si="274"/>
        <v>2227FY</v>
      </c>
      <c r="HH344" s="1188" t="str">
        <f t="shared" si="274"/>
        <v>2228FY</v>
      </c>
      <c r="HI344" s="1188" t="str">
        <f t="shared" si="274"/>
        <v>2229FY</v>
      </c>
      <c r="HJ344" s="1188" t="str">
        <f t="shared" si="274"/>
        <v>2230FY</v>
      </c>
      <c r="HK344" s="1188" t="str">
        <f t="shared" si="274"/>
        <v>2231FY</v>
      </c>
      <c r="HL344" s="1188" t="str">
        <f t="shared" si="274"/>
        <v>2232FY</v>
      </c>
      <c r="HM344" s="1188" t="str">
        <f t="shared" si="274"/>
        <v>2233FY</v>
      </c>
      <c r="HN344" s="1188" t="str">
        <f t="shared" si="274"/>
        <v>2234FY</v>
      </c>
      <c r="HO344" s="1188" t="str">
        <f t="shared" si="274"/>
        <v>2235FY</v>
      </c>
      <c r="HP344" s="1188" t="str">
        <f t="shared" si="274"/>
        <v>2236FY</v>
      </c>
      <c r="HQ344" s="1188" t="str">
        <f t="shared" si="274"/>
        <v>2237FY</v>
      </c>
      <c r="HR344" s="1188" t="str">
        <f t="shared" si="274"/>
        <v>2238FY</v>
      </c>
      <c r="HS344" s="1188" t="str">
        <f t="shared" si="274"/>
        <v>2239FY</v>
      </c>
      <c r="HT344" s="1188" t="str">
        <f t="shared" si="274"/>
        <v>2240FY</v>
      </c>
      <c r="HU344" s="1188" t="str">
        <f t="shared" si="274"/>
        <v>2241FY</v>
      </c>
      <c r="HV344" s="1188" t="str">
        <f t="shared" si="274"/>
        <v>2242FY</v>
      </c>
      <c r="HW344" s="1188" t="str">
        <f t="shared" si="274"/>
        <v>2243FY</v>
      </c>
      <c r="HX344" s="1188" t="str">
        <f t="shared" si="274"/>
        <v>2244FY</v>
      </c>
      <c r="HY344" s="1188" t="str">
        <f t="shared" si="274"/>
        <v>2245FY</v>
      </c>
      <c r="HZ344" s="1188" t="str">
        <f t="shared" si="274"/>
        <v>2246FY</v>
      </c>
      <c r="IA344" s="1188" t="str">
        <f t="shared" si="274"/>
        <v>2247FY</v>
      </c>
      <c r="IB344" s="1188" t="str">
        <f t="shared" si="274"/>
        <v>2248FY</v>
      </c>
      <c r="IC344" s="1188" t="str">
        <f t="shared" si="274"/>
        <v>2249FY</v>
      </c>
      <c r="ID344" s="1188" t="str">
        <f t="shared" si="274"/>
        <v>2250FY</v>
      </c>
      <c r="IE344" s="1188" t="str">
        <f t="shared" si="274"/>
        <v>2251FY</v>
      </c>
      <c r="IF344" s="1188" t="str">
        <f t="shared" si="274"/>
        <v>2252FY</v>
      </c>
      <c r="IG344" s="1188" t="str">
        <f t="shared" si="274"/>
        <v>2253FY</v>
      </c>
      <c r="IH344" s="1188" t="str">
        <f t="shared" si="274"/>
        <v>2254FY</v>
      </c>
      <c r="II344" s="1188" t="str">
        <f t="shared" si="274"/>
        <v>2255FY</v>
      </c>
      <c r="IJ344" s="1188" t="str">
        <f t="shared" si="274"/>
        <v>2256FY</v>
      </c>
      <c r="IK344" s="1188" t="str">
        <f t="shared" si="274"/>
        <v>2257FY</v>
      </c>
      <c r="IL344" s="1188" t="str">
        <f t="shared" si="274"/>
        <v>2258FY</v>
      </c>
      <c r="IM344" s="1188" t="str">
        <f t="shared" si="274"/>
        <v>2259FY</v>
      </c>
      <c r="IN344" s="1188" t="str">
        <f t="shared" si="274"/>
        <v>2260FY</v>
      </c>
      <c r="IO344" s="1188" t="str">
        <f t="shared" si="274"/>
        <v>2261FY</v>
      </c>
      <c r="IP344" s="1188" t="str">
        <f t="shared" si="274"/>
        <v>2262FY</v>
      </c>
      <c r="IQ344" s="1188" t="str">
        <f t="shared" si="274"/>
        <v>2263FY</v>
      </c>
      <c r="IR344" s="1188" t="str">
        <f t="shared" si="274"/>
        <v>2264FY</v>
      </c>
    </row>
    <row r="345" spans="2:252" s="1112" customFormat="1">
      <c r="E345" s="1189"/>
      <c r="W345" s="1114"/>
      <c r="X345" s="1110"/>
    </row>
    <row r="346" spans="2:252" s="1112" customFormat="1">
      <c r="E346" s="1189"/>
      <c r="W346" s="1114"/>
      <c r="X346" s="1110"/>
    </row>
    <row r="347" spans="2:252" s="1112" customFormat="1">
      <c r="E347" s="1189"/>
      <c r="W347" s="1114"/>
      <c r="X347" s="1110"/>
    </row>
    <row r="348" spans="2:252" s="1112" customFormat="1">
      <c r="E348" s="1189"/>
      <c r="W348" s="1114"/>
      <c r="X348" s="1110"/>
    </row>
    <row r="349" spans="2:252" s="1112" customFormat="1">
      <c r="E349" s="1189"/>
      <c r="W349" s="1114"/>
      <c r="X349" s="1110"/>
    </row>
    <row r="350" spans="2:252" s="1112" customFormat="1">
      <c r="E350" s="1189"/>
      <c r="W350" s="1114"/>
      <c r="X350" s="1110"/>
    </row>
    <row r="351" spans="2:252" s="1112" customFormat="1">
      <c r="E351" s="1189"/>
      <c r="W351" s="1114"/>
      <c r="X351" s="1110"/>
    </row>
    <row r="352" spans="2:252" s="1112" customFormat="1">
      <c r="E352" s="1189"/>
      <c r="W352" s="1114"/>
      <c r="X352" s="1110"/>
    </row>
    <row r="353" spans="5:24" s="1112" customFormat="1">
      <c r="E353" s="1189"/>
      <c r="W353" s="1114"/>
      <c r="X353" s="1110"/>
    </row>
    <row r="354" spans="5:24" s="1112" customFormat="1">
      <c r="E354" s="1189"/>
      <c r="W354" s="1114"/>
      <c r="X354" s="1110"/>
    </row>
    <row r="355" spans="5:24" s="1112" customFormat="1">
      <c r="E355" s="1189"/>
      <c r="W355" s="1114"/>
      <c r="X355" s="1110"/>
    </row>
    <row r="356" spans="5:24" s="1112" customFormat="1">
      <c r="E356" s="1189"/>
      <c r="W356" s="1114"/>
      <c r="X356" s="1110"/>
    </row>
    <row r="357" spans="5:24" s="1112" customFormat="1">
      <c r="E357" s="1189"/>
      <c r="W357" s="1114"/>
      <c r="X357" s="1110"/>
    </row>
    <row r="358" spans="5:24" s="1112" customFormat="1">
      <c r="E358" s="1189"/>
      <c r="W358" s="1114"/>
      <c r="X358" s="1110"/>
    </row>
    <row r="359" spans="5:24" s="1112" customFormat="1">
      <c r="E359" s="1189"/>
      <c r="W359" s="1114"/>
      <c r="X359" s="1110"/>
    </row>
    <row r="360" spans="5:24" s="1112" customFormat="1">
      <c r="E360" s="1189"/>
      <c r="W360" s="1114"/>
      <c r="X360" s="1110"/>
    </row>
    <row r="361" spans="5:24" s="1112" customFormat="1">
      <c r="E361" s="1189"/>
      <c r="W361" s="1114"/>
      <c r="X361" s="1110"/>
    </row>
    <row r="362" spans="5:24" s="1112" customFormat="1">
      <c r="E362" s="1189"/>
      <c r="W362" s="1114"/>
      <c r="X362" s="1110"/>
    </row>
    <row r="363" spans="5:24" s="1112" customFormat="1">
      <c r="E363" s="1189"/>
      <c r="W363" s="1114"/>
      <c r="X363" s="1110"/>
    </row>
    <row r="364" spans="5:24" s="1112" customFormat="1">
      <c r="E364" s="1189"/>
      <c r="W364" s="1114"/>
      <c r="X364" s="1110"/>
    </row>
    <row r="365" spans="5:24" s="1112" customFormat="1">
      <c r="E365" s="1189"/>
      <c r="W365" s="1114"/>
      <c r="X365" s="1110"/>
    </row>
    <row r="366" spans="5:24" s="1112" customFormat="1">
      <c r="E366" s="1189"/>
      <c r="W366" s="1114"/>
      <c r="X366" s="1110"/>
    </row>
    <row r="367" spans="5:24" s="1112" customFormat="1">
      <c r="E367" s="1189"/>
      <c r="W367" s="1114"/>
      <c r="X367" s="1110"/>
    </row>
  </sheetData>
  <protectedRanges>
    <protectedRange sqref="T25:U32 C141:D141 C315:IR332 B340:B65536 C22 IR129:IR138 W160:W162 F129:IQ129 B107:B108 W191 W156 B315:B336 C334:IR65536 W170:W189 W139:W154 E141:O156 D129:E131 D146:D156 W200:W214 W216:W224 D157:V249 F130:P131 B140:B141 B103:B105 D102:IV119 W227:W249 B110:B126 Q130:IQ138 Q139:V156 P140:P156 C103:C130 D120:IR128 X139:IR249 IS120:IV249 B309:IV314 C303:V303 B146:C244 W278:IV303 IS315:IV65536" name="Disclaimers"/>
    <protectedRange sqref="L28" name="BeginningNNOAL"/>
    <protectedRange sqref="L26" name="BeginningNOA"/>
    <protectedRange sqref="L31" name="Beginningequity"/>
    <protectedRange sqref="C41 C333 B40:IR40" name="Year1"/>
    <protectedRange sqref="B98 B38" name="Ticker"/>
    <protectedRange sqref="C16" name="Sharesoutstanding"/>
    <protectedRange sqref="B132" name="Disclaimers_1"/>
    <protectedRange sqref="B133:B138" name="Disclaimers_2"/>
    <protectedRange sqref="AD100:IV100" name="Disclaimers_3"/>
    <protectedRange sqref="I12" name="Currentprice_1"/>
    <protectedRange sqref="B109" name="Disclaimers_4"/>
    <protectedRange sqref="C102" name="Disclaimers_10"/>
    <protectedRange sqref="B102" name="Disclaimers_5_1_1"/>
    <protectedRange sqref="B106" name="Disclaimers_8_1_1"/>
    <protectedRange sqref="C140:O140" name="Disclaimers_8"/>
    <protectedRange sqref="P132:P139" name="Disclaimers_5"/>
    <protectedRange sqref="H133:I138 F139:O139 C132:G132 M136:O138 J132:L138 H132:J137" name="Disclaimers_8_2_1"/>
    <protectedRange sqref="C132:I132 K132:L132" name="Disclaimers_1_1_1"/>
    <protectedRange sqref="M132:O132" name="Disclaimers_6_1_1"/>
    <protectedRange sqref="M133:O135" name="Disclaimers_7_1_1"/>
    <protectedRange sqref="C133:D138 F133:G138 E133 E135:E138" name="Disclaimers_9_1_1"/>
    <protectedRange sqref="E134" name="Disclaimers_5_2_1_1"/>
    <protectedRange sqref="B247" name="Disclaimers_6"/>
    <protectedRange sqref="B248 C247:C248" name="Disclaimers_5_1"/>
    <protectedRange sqref="B249:C251" name="Disclaimers_11"/>
    <protectedRange sqref="B272" name="Disclaimers_8_1"/>
    <protectedRange sqref="B245" name="Disclaimers_7"/>
    <protectedRange sqref="C245" name="Disclaimers_9"/>
    <protectedRange sqref="C272:V272" name="Disclaimers_12_1"/>
    <protectedRange sqref="C287:V288 C294:V295" name="Disclaimers_13_1"/>
  </protectedRanges>
  <mergeCells count="4">
    <mergeCell ref="I1:J1"/>
    <mergeCell ref="AA24:AE24"/>
    <mergeCell ref="B92:B93"/>
    <mergeCell ref="C92:C93"/>
  </mergeCells>
  <conditionalFormatting sqref="C55:R59 S55:IR58 C42:IR54">
    <cfRule type="expression" dxfId="5" priority="1" stopIfTrue="1">
      <formula>C$97&gt;$I$20</formula>
    </cfRule>
  </conditionalFormatting>
  <conditionalFormatting sqref="C277:V278 C280:V280 C282:V282 C293:V293 C298:V298">
    <cfRule type="expression" dxfId="4" priority="2" stopIfTrue="1">
      <formula>OR(C$273="T",C$273="S")</formula>
    </cfRule>
  </conditionalFormatting>
  <conditionalFormatting sqref="C284:V284 C286:V286 C300:V300 C302:V302">
    <cfRule type="expression" dxfId="3" priority="3" stopIfTrue="1">
      <formula>OR(C$273="T",C$273="S")</formula>
    </cfRule>
  </conditionalFormatting>
  <conditionalFormatting sqref="E155 E190 E215">
    <cfRule type="cellIs" dxfId="2" priority="4" stopIfTrue="1" operator="equal">
      <formula>0</formula>
    </cfRule>
  </conditionalFormatting>
  <conditionalFormatting sqref="M4">
    <cfRule type="expression" dxfId="1" priority="5" stopIfTrue="1">
      <formula>$B$335="English"</formula>
    </cfRule>
  </conditionalFormatting>
  <conditionalFormatting sqref="M5">
    <cfRule type="expression" dxfId="0" priority="6" stopIfTrue="1">
      <formula>$B$333="NJ"</formula>
    </cfRule>
  </conditionalFormatting>
  <dataValidations disablePrompts="1" count="2">
    <dataValidation type="list" allowBlank="1" showInputMessage="1" showErrorMessage="1" sqref="C21">
      <formula1>"0,1,2,3"</formula1>
    </dataValidation>
    <dataValidation type="list" allowBlank="1" showInputMessage="1" showErrorMessage="1" sqref="C19">
      <formula1>$Z$10:$Z$27</formula1>
    </dataValidation>
  </dataValidations>
  <hyperlinks>
    <hyperlink ref="B37" location="'MW Valuation'!A148" display="Option: Sum-Of-The-parts (SOTP) Valuation"/>
  </hyperlinks>
  <pageMargins left="0.34" right="0.27" top="0.44" bottom="0.27" header="0.3" footer="0.2"/>
  <pageSetup scale="58" orientation="landscape" r:id="rId1"/>
  <headerFooter alignWithMargins="0"/>
  <colBreaks count="2" manualBreakCount="2">
    <brk id="24" max="87" man="1"/>
    <brk id="241" max="87" man="1"/>
  </colBreaks>
  <drawing r:id="rId2"/>
  <legacyDrawing r:id="rId3"/>
  <controls>
    <mc:AlternateContent xmlns:mc="http://schemas.openxmlformats.org/markup-compatibility/2006">
      <mc:Choice Requires="x14">
        <control shapeId="1424385" r:id="rId4" name="cboTickers">
          <controlPr defaultSize="0" autoLine="0" autoPict="0" r:id="rId5">
            <anchor moveWithCells="1" sizeWithCells="1">
              <from>
                <xdr:col>0</xdr:col>
                <xdr:colOff>38100</xdr:colOff>
                <xdr:row>96</xdr:row>
                <xdr:rowOff>0</xdr:rowOff>
              </from>
              <to>
                <xdr:col>1</xdr:col>
                <xdr:colOff>2905125</xdr:colOff>
                <xdr:row>96</xdr:row>
                <xdr:rowOff>0</xdr:rowOff>
              </to>
            </anchor>
          </controlPr>
        </control>
      </mc:Choice>
      <mc:Fallback>
        <control shapeId="1424385" r:id="rId4" name="cboTickers"/>
      </mc:Fallback>
    </mc:AlternateContent>
    <mc:AlternateContent xmlns:mc="http://schemas.openxmlformats.org/markup-compatibility/2006">
      <mc:Choice Requires="x14">
        <control shapeId="1424386" r:id="rId6" name="cmbLanguage">
          <controlPr defaultSize="0" disabled="1" autoLine="0" listFillRange="BJ6:BJ7" r:id="rId7">
            <anchor moveWithCells="1">
              <from>
                <xdr:col>13</xdr:col>
                <xdr:colOff>295275</xdr:colOff>
                <xdr:row>4</xdr:row>
                <xdr:rowOff>114300</xdr:rowOff>
              </from>
              <to>
                <xdr:col>14</xdr:col>
                <xdr:colOff>581025</xdr:colOff>
                <xdr:row>4</xdr:row>
                <xdr:rowOff>352425</xdr:rowOff>
              </to>
            </anchor>
          </controlPr>
        </control>
      </mc:Choice>
      <mc:Fallback>
        <control shapeId="1424386" r:id="rId6" name="cmbLanguage"/>
      </mc:Fallback>
    </mc:AlternateContent>
    <mc:AlternateContent xmlns:mc="http://schemas.openxmlformats.org/markup-compatibility/2006">
      <mc:Choice Requires="x14">
        <control shapeId="1424387" r:id="rId8" name="ComboBox1">
          <controlPr defaultSize="0" autoLine="0" linkedCell="AB9" listFillRange="AB10:AB11" r:id="rId9">
            <anchor moveWithCells="1">
              <from>
                <xdr:col>13</xdr:col>
                <xdr:colOff>295275</xdr:colOff>
                <xdr:row>0</xdr:row>
                <xdr:rowOff>57150</xdr:rowOff>
              </from>
              <to>
                <xdr:col>14</xdr:col>
                <xdr:colOff>581025</xdr:colOff>
                <xdr:row>4</xdr:row>
                <xdr:rowOff>0</xdr:rowOff>
              </to>
            </anchor>
          </controlPr>
        </control>
      </mc:Choice>
      <mc:Fallback>
        <control shapeId="1424387" r:id="rId8" name="ComboBox1"/>
      </mc:Fallback>
    </mc:AlternateContent>
    <mc:AlternateContent xmlns:mc="http://schemas.openxmlformats.org/markup-compatibility/2006">
      <mc:Choice Requires="x14">
        <control shapeId="1424388" r:id="rId10" name="ComboBox2">
          <controlPr defaultSize="0" autoLine="0" linkedCell="BB9" listFillRange="Z9:Z12" r:id="rId11">
            <anchor moveWithCells="1">
              <from>
                <xdr:col>52</xdr:col>
                <xdr:colOff>295275</xdr:colOff>
                <xdr:row>7</xdr:row>
                <xdr:rowOff>2514600</xdr:rowOff>
              </from>
              <to>
                <xdr:col>53</xdr:col>
                <xdr:colOff>133350</xdr:colOff>
                <xdr:row>9</xdr:row>
                <xdr:rowOff>19050</xdr:rowOff>
              </to>
            </anchor>
          </controlPr>
        </control>
      </mc:Choice>
      <mc:Fallback>
        <control shapeId="1424388" r:id="rId10" name="ComboBox2"/>
      </mc:Fallback>
    </mc:AlternateContent>
    <mc:AlternateContent xmlns:mc="http://schemas.openxmlformats.org/markup-compatibility/2006">
      <mc:Choice Requires="x14">
        <control shapeId="1424389" r:id="rId12" name="ComboBox3">
          <controlPr defaultSize="0" autoLine="0" linkedCell="B6" listFillRange="R20:R21" r:id="rId13">
            <anchor moveWithCells="1">
              <from>
                <xdr:col>13</xdr:col>
                <xdr:colOff>295275</xdr:colOff>
                <xdr:row>4</xdr:row>
                <xdr:rowOff>457200</xdr:rowOff>
              </from>
              <to>
                <xdr:col>14</xdr:col>
                <xdr:colOff>619125</xdr:colOff>
                <xdr:row>5</xdr:row>
                <xdr:rowOff>200025</xdr:rowOff>
              </to>
            </anchor>
          </controlPr>
        </control>
      </mc:Choice>
      <mc:Fallback>
        <control shapeId="1424389" r:id="rId12" name="ComboBox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L2"/>
  <sheetViews>
    <sheetView workbookViewId="0"/>
  </sheetViews>
  <sheetFormatPr defaultRowHeight="12.75"/>
  <sheetData>
    <row r="1" spans="1:38">
      <c r="A1" t="s">
        <v>836</v>
      </c>
    </row>
    <row r="2" spans="1:38">
      <c r="A2" s="33" t="s">
        <v>588</v>
      </c>
      <c r="B2" s="33" t="s">
        <v>90</v>
      </c>
      <c r="C2" s="33" t="s">
        <v>479</v>
      </c>
      <c r="D2" s="33" t="s">
        <v>90</v>
      </c>
      <c r="E2" s="33" t="s">
        <v>587</v>
      </c>
      <c r="F2" s="33" t="s">
        <v>219</v>
      </c>
      <c r="G2" s="33" t="s">
        <v>582</v>
      </c>
      <c r="H2" s="33" t="s">
        <v>610</v>
      </c>
      <c r="I2" s="33" t="s">
        <v>228</v>
      </c>
      <c r="J2" s="33" t="s">
        <v>90</v>
      </c>
      <c r="K2" s="33" t="s">
        <v>835</v>
      </c>
      <c r="L2" s="33" t="s">
        <v>837</v>
      </c>
      <c r="M2" s="33" t="s">
        <v>583</v>
      </c>
      <c r="N2" s="33" t="s">
        <v>1098</v>
      </c>
      <c r="O2" s="33" t="s">
        <v>2</v>
      </c>
      <c r="P2" s="33" t="s">
        <v>219</v>
      </c>
      <c r="Q2" s="33" t="s">
        <v>229</v>
      </c>
      <c r="R2" s="33" t="s">
        <v>90</v>
      </c>
      <c r="S2" s="33" t="s">
        <v>480</v>
      </c>
      <c r="T2" s="33" t="s">
        <v>90</v>
      </c>
      <c r="U2" s="33" t="s">
        <v>478</v>
      </c>
      <c r="V2" s="33" t="s">
        <v>90</v>
      </c>
      <c r="W2" s="33" t="s">
        <v>584</v>
      </c>
      <c r="X2" s="33" t="s">
        <v>219</v>
      </c>
      <c r="Y2" s="33" t="s">
        <v>230</v>
      </c>
      <c r="Z2" s="33" t="s">
        <v>90</v>
      </c>
      <c r="AA2" s="33" t="s">
        <v>4</v>
      </c>
      <c r="AB2" s="33" t="s">
        <v>90</v>
      </c>
      <c r="AC2" s="33" t="s">
        <v>589</v>
      </c>
      <c r="AD2" s="33" t="s">
        <v>90</v>
      </c>
      <c r="AE2" s="33" t="s">
        <v>8</v>
      </c>
      <c r="AF2" s="33" t="s">
        <v>9</v>
      </c>
      <c r="AG2" s="33" t="s">
        <v>241</v>
      </c>
      <c r="AH2" s="33" t="s">
        <v>219</v>
      </c>
      <c r="AI2" s="33" t="s">
        <v>227</v>
      </c>
      <c r="AJ2" s="33" t="s">
        <v>90</v>
      </c>
      <c r="AK2" s="33" t="s">
        <v>3</v>
      </c>
      <c r="AL2" s="33" t="s">
        <v>5</v>
      </c>
    </row>
  </sheetData>
  <phoneticPr fontId="11"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1"/>
  <sheetViews>
    <sheetView workbookViewId="0"/>
  </sheetViews>
  <sheetFormatPr defaultRowHeight="12.75"/>
  <sheetData>
    <row r="1" spans="1:2">
      <c r="B1" t="s">
        <v>0</v>
      </c>
    </row>
  </sheetData>
  <phoneticPr fontId="11"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AK30"/>
  <sheetViews>
    <sheetView zoomScale="115" zoomScaleNormal="115" workbookViewId="0">
      <pane xSplit="1" topLeftCell="R1" activePane="topRight" state="frozen"/>
      <selection pane="topRight" activeCell="AH13" sqref="AH13"/>
    </sheetView>
  </sheetViews>
  <sheetFormatPr defaultRowHeight="12.75" outlineLevelCol="1"/>
  <cols>
    <col min="1" max="1" width="15.5703125" bestFit="1" customWidth="1"/>
    <col min="2" max="5" width="15.5703125" customWidth="1"/>
    <col min="6" max="9" width="15.5703125" customWidth="1" outlineLevel="1"/>
    <col min="28" max="28" width="8" customWidth="1"/>
    <col min="34" max="34" width="9.140625" customWidth="1"/>
  </cols>
  <sheetData>
    <row r="2" spans="1:37">
      <c r="B2" s="17" t="s">
        <v>971</v>
      </c>
      <c r="C2" s="17" t="s">
        <v>972</v>
      </c>
      <c r="D2" s="17" t="s">
        <v>973</v>
      </c>
      <c r="E2" s="17" t="s">
        <v>974</v>
      </c>
      <c r="F2" s="1627" t="s">
        <v>967</v>
      </c>
      <c r="G2" s="1627" t="s">
        <v>968</v>
      </c>
      <c r="H2" s="1627" t="s">
        <v>969</v>
      </c>
      <c r="I2" s="1627" t="s">
        <v>970</v>
      </c>
      <c r="J2" s="1627" t="s">
        <v>951</v>
      </c>
      <c r="K2" s="1627" t="s">
        <v>952</v>
      </c>
      <c r="L2" s="1627" t="s">
        <v>953</v>
      </c>
      <c r="M2" s="1627" t="s">
        <v>954</v>
      </c>
      <c r="N2" s="1627" t="s">
        <v>955</v>
      </c>
      <c r="O2" s="1627" t="s">
        <v>956</v>
      </c>
      <c r="P2" s="1627" t="s">
        <v>957</v>
      </c>
      <c r="Q2" s="1627" t="s">
        <v>958</v>
      </c>
      <c r="R2" s="1627" t="s">
        <v>619</v>
      </c>
      <c r="S2" s="1627" t="s">
        <v>620</v>
      </c>
      <c r="T2" s="1627" t="s">
        <v>621</v>
      </c>
      <c r="U2" s="1627" t="s">
        <v>622</v>
      </c>
      <c r="V2" s="1627" t="s">
        <v>959</v>
      </c>
      <c r="W2" s="1623" t="s">
        <v>960</v>
      </c>
      <c r="X2" s="1623" t="s">
        <v>961</v>
      </c>
      <c r="Y2" s="1623" t="s">
        <v>962</v>
      </c>
      <c r="Z2" s="1623" t="s">
        <v>963</v>
      </c>
      <c r="AA2" s="1623" t="s">
        <v>964</v>
      </c>
      <c r="AB2" s="1661" t="s">
        <v>965</v>
      </c>
      <c r="AC2" s="1623" t="s">
        <v>966</v>
      </c>
      <c r="AD2" s="2052" t="s">
        <v>991</v>
      </c>
      <c r="AE2" s="2137" t="s">
        <v>1033</v>
      </c>
      <c r="AF2" s="2202" t="s">
        <v>1081</v>
      </c>
      <c r="AG2" s="2254" t="s">
        <v>1101</v>
      </c>
      <c r="AI2">
        <v>2015</v>
      </c>
      <c r="AJ2">
        <v>2015</v>
      </c>
    </row>
    <row r="3" spans="1:37">
      <c r="A3" s="17" t="s">
        <v>98</v>
      </c>
      <c r="B3" s="17">
        <f>sumry_new!AB10</f>
        <v>894.678</v>
      </c>
      <c r="C3" s="17">
        <f>sumry_new!AC10</f>
        <v>728.75</v>
      </c>
      <c r="D3" s="17">
        <f>sumry_new!AD10</f>
        <v>858.18599999999992</v>
      </c>
      <c r="E3" s="17">
        <f>sumry_new!AE10</f>
        <v>1187.9880000000003</v>
      </c>
      <c r="F3" s="1628">
        <f>sumry_new!AG10</f>
        <v>929.08100000000002</v>
      </c>
      <c r="G3" s="1628">
        <f>sumry_new!AH10</f>
        <v>793.34899999999993</v>
      </c>
      <c r="H3" s="1628">
        <f>sumry_new!AI10</f>
        <v>898.66300000000001</v>
      </c>
      <c r="I3" s="1628">
        <f>sumry_new!AJ10</f>
        <v>1233.0410000000002</v>
      </c>
      <c r="J3" s="1628">
        <f>sumry_new!AL10</f>
        <v>982.42179069000099</v>
      </c>
      <c r="K3" s="1628">
        <f>sumry_new!AM10</f>
        <v>864.18122197000105</v>
      </c>
      <c r="L3" s="1628">
        <f>sumry_new!AN10</f>
        <v>967.89400000000001</v>
      </c>
      <c r="M3" s="1628">
        <f>sumry_new!AO10</f>
        <v>1262.537158410003</v>
      </c>
      <c r="N3" s="1628">
        <f>sumry_new!AQ10</f>
        <v>1065.0129999999999</v>
      </c>
      <c r="O3" s="1628">
        <f>sumry_new!AR10</f>
        <v>963.71100000000001</v>
      </c>
      <c r="P3" s="1628">
        <f>sumry_new!AS10</f>
        <v>1064.502</v>
      </c>
      <c r="Q3" s="1628">
        <f>sumry_new!AT10</f>
        <v>1334.277</v>
      </c>
      <c r="R3" s="1628">
        <f>sumry_new!AV10</f>
        <v>1128.269</v>
      </c>
      <c r="S3" s="1628">
        <f>sumry_new!AW10</f>
        <v>1043.5809999999999</v>
      </c>
      <c r="T3" s="1628">
        <f>sumry_new!AX10</f>
        <v>1157.2919999999999</v>
      </c>
      <c r="U3" s="1628">
        <f>sumry_new!AY10</f>
        <v>1485.3620000000001</v>
      </c>
      <c r="V3" s="1628">
        <f>sumry_new!BA10</f>
        <v>1183.059</v>
      </c>
      <c r="W3" s="1628">
        <f>sumry_new!BB10</f>
        <v>1144.2180000000001</v>
      </c>
      <c r="X3" s="1628">
        <f>sumry_new!BC10</f>
        <v>1230.886</v>
      </c>
      <c r="Y3" s="1628">
        <f>sumry_new!BD10</f>
        <v>1540.769</v>
      </c>
      <c r="Z3" s="1629">
        <f>sumry_new!BF$10</f>
        <v>1282.67</v>
      </c>
      <c r="AA3" s="1629">
        <f>sumry_new!BG$10</f>
        <v>1255.0530000000001</v>
      </c>
      <c r="AB3" s="1628">
        <f>sumry_new!BH$10</f>
        <v>1342.6</v>
      </c>
      <c r="AC3" s="1629">
        <f>sumry_new!BI$10</f>
        <v>1685.7149999999999</v>
      </c>
      <c r="AD3" s="1629">
        <f>sumry_new!BK$10</f>
        <v>1346.546</v>
      </c>
      <c r="AE3" s="2259">
        <f>sumry_new!BL$10</f>
        <v>1363.2239999999999</v>
      </c>
      <c r="AF3" s="2259">
        <f>sumry_new!BM$10</f>
        <v>1438.1669999999999</v>
      </c>
      <c r="AG3" s="1658">
        <f>sumry_new!BN$10</f>
        <v>1936.829</v>
      </c>
      <c r="AH3">
        <v>1657.8674440000002</v>
      </c>
      <c r="AI3">
        <f>sumry_new!CE$10</f>
        <v>4814.5039999999999</v>
      </c>
      <c r="AJ3">
        <f>sumry_new!CF$10</f>
        <v>5098.9319999999998</v>
      </c>
      <c r="AK3">
        <f>AJ3-AI3</f>
        <v>284.42799999999988</v>
      </c>
    </row>
    <row r="4" spans="1:37">
      <c r="A4" s="17" t="s">
        <v>340</v>
      </c>
      <c r="B4" s="17">
        <f>sumry_new!AB50</f>
        <v>74.057000000000016</v>
      </c>
      <c r="C4" s="17">
        <f>sumry_new!AC50</f>
        <v>-2.3239999999999696</v>
      </c>
      <c r="D4" s="17">
        <f>sumry_new!AD50</f>
        <v>57.565999999999875</v>
      </c>
      <c r="E4" s="17">
        <f>sumry_new!AE50</f>
        <v>175.88200000000009</v>
      </c>
      <c r="F4" s="1628">
        <f>sumry_new!AG50</f>
        <v>74.125000000000057</v>
      </c>
      <c r="G4" s="1628">
        <f>sumry_new!AH50</f>
        <v>14.810999999999947</v>
      </c>
      <c r="H4" s="1628">
        <f>sumry_new!AI50</f>
        <v>51.329999999999984</v>
      </c>
      <c r="I4" s="1628">
        <f>sumry_new!AJ50</f>
        <v>174.73400000000026</v>
      </c>
      <c r="J4" s="1628">
        <f>sumry_new!AL50</f>
        <v>64.299579560000055</v>
      </c>
      <c r="K4" s="1628">
        <f>sumry_new!AM50</f>
        <v>28.6287494</v>
      </c>
      <c r="L4" s="1628">
        <f>sumry_new!AN50</f>
        <v>48.681999999999974</v>
      </c>
      <c r="M4" s="1628">
        <f>sumry_new!AO50</f>
        <v>191.66691639699479</v>
      </c>
      <c r="N4" s="1628">
        <f>sumry_new!AQ50</f>
        <v>79.548999999999893</v>
      </c>
      <c r="O4" s="1628">
        <f>sumry_new!AR50</f>
        <v>46.920999999999957</v>
      </c>
      <c r="P4" s="1628">
        <f>sumry_new!AS50</f>
        <v>62.453000000000003</v>
      </c>
      <c r="Q4" s="1628">
        <f>sumry_new!AT50</f>
        <v>194.77300000000014</v>
      </c>
      <c r="R4" s="1628">
        <f>sumry_new!AV50</f>
        <v>92.325999999999979</v>
      </c>
      <c r="S4" s="1628">
        <f>sumry_new!AW50</f>
        <v>58.088999999999842</v>
      </c>
      <c r="T4" s="1628">
        <f>sumry_new!AX50</f>
        <v>72.529999999999873</v>
      </c>
      <c r="U4" s="1628">
        <f>sumry_new!AY50</f>
        <v>225.12100000000007</v>
      </c>
      <c r="V4" s="1628">
        <f>sumry_new!BA50</f>
        <v>101.44000000000005</v>
      </c>
      <c r="W4" s="1628">
        <f>sumry_new!BB50</f>
        <v>75.393000000000114</v>
      </c>
      <c r="X4" s="1628">
        <f>sumry_new!BC50</f>
        <v>82.545000000000044</v>
      </c>
      <c r="Y4" s="1628">
        <f>sumry_new!BD50</f>
        <v>224.57999999999998</v>
      </c>
      <c r="Z4" s="1629">
        <f>sumry_new!BF$50</f>
        <v>120.97300000000004</v>
      </c>
      <c r="AA4" s="1629">
        <f>sumry_new!BG$50</f>
        <v>99.095000000000169</v>
      </c>
      <c r="AB4" s="1628">
        <f>sumry_new!BH$50</f>
        <v>109.58999999999997</v>
      </c>
      <c r="AC4" s="1629">
        <f>sumry_new!BI$50</f>
        <v>254.94599999999991</v>
      </c>
      <c r="AD4" s="1629">
        <f>sumry_new!BK$50</f>
        <v>136.85900000000009</v>
      </c>
      <c r="AE4" s="2259">
        <f>sumry_new!BL$50</f>
        <v>127.30299999999993</v>
      </c>
      <c r="AF4" s="2259">
        <f>sumry_new!BM$50</f>
        <v>134.01199999999994</v>
      </c>
      <c r="AG4" s="1658">
        <f>sumry_new!BN$50</f>
        <v>298.04900000000004</v>
      </c>
      <c r="AH4" s="1622">
        <v>249</v>
      </c>
      <c r="AI4">
        <f>sumry_new!CE$50</f>
        <v>448.0643524782613</v>
      </c>
      <c r="AJ4">
        <f>sumry_new!CF$50</f>
        <v>483.9580000000002</v>
      </c>
      <c r="AK4">
        <f>AJ4-AI4</f>
        <v>35.893647521738899</v>
      </c>
    </row>
    <row r="5" spans="1:37">
      <c r="F5" s="1628"/>
      <c r="G5" s="1628"/>
      <c r="H5" s="1628"/>
      <c r="I5" s="1628"/>
      <c r="J5" s="1628"/>
      <c r="K5" s="1628"/>
      <c r="L5" s="1628"/>
      <c r="M5" s="1628"/>
      <c r="N5" s="1628"/>
      <c r="O5" s="1628"/>
      <c r="P5" s="1628"/>
      <c r="Q5" s="1628"/>
      <c r="R5" s="1628"/>
      <c r="S5" s="1628"/>
      <c r="T5" s="1628"/>
      <c r="U5" s="1628"/>
      <c r="V5" s="1628"/>
      <c r="W5" s="1628"/>
      <c r="X5" s="1628"/>
      <c r="Y5" s="1628"/>
      <c r="Z5" s="1629"/>
      <c r="AA5" s="1629"/>
      <c r="AB5" s="1628"/>
      <c r="AC5" s="1629"/>
      <c r="AD5" s="1629"/>
      <c r="AE5" s="2259"/>
      <c r="AF5" s="2259"/>
      <c r="AG5" s="1658"/>
      <c r="AJ5">
        <f>(AJ4-AI4)/(AJ3-AI3)</f>
        <v>0.12619590026909769</v>
      </c>
      <c r="AK5" s="1620"/>
    </row>
    <row r="6" spans="1:37">
      <c r="F6" s="1628">
        <f t="shared" ref="F6:I7" si="0">J6</f>
        <v>53.340790690000972</v>
      </c>
      <c r="G6" s="1628">
        <f t="shared" si="0"/>
        <v>70.832221970001115</v>
      </c>
      <c r="H6" s="1628">
        <f t="shared" si="0"/>
        <v>69.230999999999995</v>
      </c>
      <c r="I6" s="1628">
        <f t="shared" si="0"/>
        <v>29.496158410002863</v>
      </c>
      <c r="J6" s="1628">
        <f t="shared" ref="J6:N7" si="1">J3-F3</f>
        <v>53.340790690000972</v>
      </c>
      <c r="K6" s="1628">
        <f t="shared" si="1"/>
        <v>70.832221970001115</v>
      </c>
      <c r="L6" s="1628">
        <f t="shared" si="1"/>
        <v>69.230999999999995</v>
      </c>
      <c r="M6" s="1628">
        <f t="shared" si="1"/>
        <v>29.496158410002863</v>
      </c>
      <c r="N6" s="1628">
        <f t="shared" si="1"/>
        <v>82.591209309998931</v>
      </c>
      <c r="O6" s="1628">
        <f t="shared" ref="O6:Z6" si="2">O3-K3</f>
        <v>99.529778029998965</v>
      </c>
      <c r="P6" s="1628">
        <f t="shared" si="2"/>
        <v>96.607999999999947</v>
      </c>
      <c r="Q6" s="1628">
        <f t="shared" si="2"/>
        <v>71.739841589997013</v>
      </c>
      <c r="R6" s="1628">
        <f t="shared" si="2"/>
        <v>63.256000000000085</v>
      </c>
      <c r="S6" s="1628">
        <f t="shared" si="2"/>
        <v>79.869999999999891</v>
      </c>
      <c r="T6" s="1628">
        <f t="shared" si="2"/>
        <v>92.789999999999964</v>
      </c>
      <c r="U6" s="1628">
        <f t="shared" si="2"/>
        <v>151.08500000000004</v>
      </c>
      <c r="V6" s="1628">
        <f t="shared" si="2"/>
        <v>54.789999999999964</v>
      </c>
      <c r="W6" s="1628">
        <f t="shared" si="2"/>
        <v>100.63700000000017</v>
      </c>
      <c r="X6" s="1628">
        <f t="shared" si="2"/>
        <v>73.594000000000051</v>
      </c>
      <c r="Y6" s="1628">
        <f t="shared" si="2"/>
        <v>55.406999999999925</v>
      </c>
      <c r="Z6" s="1629">
        <f t="shared" si="2"/>
        <v>99.611000000000104</v>
      </c>
      <c r="AA6" s="1629">
        <f t="shared" ref="AA6:AG7" si="3">AA3-W3</f>
        <v>110.83500000000004</v>
      </c>
      <c r="AB6" s="1628">
        <f t="shared" si="3"/>
        <v>111.71399999999994</v>
      </c>
      <c r="AC6" s="1629">
        <f t="shared" si="3"/>
        <v>144.94599999999991</v>
      </c>
      <c r="AD6" s="1629">
        <f>AD3-Z3</f>
        <v>63.875999999999976</v>
      </c>
      <c r="AE6" s="2259">
        <f>AE3-AA3</f>
        <v>108.17099999999982</v>
      </c>
      <c r="AF6" s="2259">
        <f>AF3-AB3</f>
        <v>95.567000000000007</v>
      </c>
      <c r="AG6" s="1658">
        <f>AG3-AC3</f>
        <v>251.11400000000003</v>
      </c>
    </row>
    <row r="7" spans="1:37">
      <c r="F7" s="1628">
        <f t="shared" si="0"/>
        <v>-9.825420440000002</v>
      </c>
      <c r="G7" s="1628">
        <f t="shared" si="0"/>
        <v>13.817749400000054</v>
      </c>
      <c r="H7" s="1628">
        <f t="shared" si="0"/>
        <v>-2.6480000000000103</v>
      </c>
      <c r="I7" s="1628">
        <f t="shared" si="0"/>
        <v>16.932916396994528</v>
      </c>
      <c r="J7" s="1628">
        <f t="shared" si="1"/>
        <v>-9.825420440000002</v>
      </c>
      <c r="K7" s="1628">
        <f t="shared" si="1"/>
        <v>13.817749400000054</v>
      </c>
      <c r="L7" s="1628">
        <f t="shared" si="1"/>
        <v>-2.6480000000000103</v>
      </c>
      <c r="M7" s="1628">
        <f t="shared" si="1"/>
        <v>16.932916396994528</v>
      </c>
      <c r="N7" s="1628">
        <f t="shared" si="1"/>
        <v>15.249420439999838</v>
      </c>
      <c r="O7" s="1628">
        <f t="shared" ref="O7:Z7" si="4">O4-K4</f>
        <v>18.292250599999957</v>
      </c>
      <c r="P7" s="1628">
        <f t="shared" si="4"/>
        <v>13.771000000000029</v>
      </c>
      <c r="Q7" s="1628">
        <f t="shared" si="4"/>
        <v>3.1060836030053451</v>
      </c>
      <c r="R7" s="1628">
        <f t="shared" si="4"/>
        <v>12.777000000000086</v>
      </c>
      <c r="S7" s="1628">
        <f t="shared" si="4"/>
        <v>11.167999999999886</v>
      </c>
      <c r="T7" s="1628">
        <f t="shared" si="4"/>
        <v>10.07699999999987</v>
      </c>
      <c r="U7" s="1628">
        <f t="shared" si="4"/>
        <v>30.347999999999928</v>
      </c>
      <c r="V7" s="1628">
        <f t="shared" si="4"/>
        <v>9.1140000000000754</v>
      </c>
      <c r="W7" s="1628">
        <f t="shared" si="4"/>
        <v>17.304000000000272</v>
      </c>
      <c r="X7" s="1628">
        <f t="shared" si="4"/>
        <v>10.015000000000171</v>
      </c>
      <c r="Y7" s="1628">
        <f t="shared" si="4"/>
        <v>-0.54100000000008208</v>
      </c>
      <c r="Z7" s="1629">
        <f t="shared" si="4"/>
        <v>19.532999999999987</v>
      </c>
      <c r="AA7" s="1629">
        <f t="shared" si="3"/>
        <v>23.702000000000055</v>
      </c>
      <c r="AB7" s="1628">
        <f t="shared" si="3"/>
        <v>27.044999999999931</v>
      </c>
      <c r="AC7" s="1629">
        <f t="shared" si="3"/>
        <v>30.365999999999929</v>
      </c>
      <c r="AD7" s="1629">
        <f t="shared" si="3"/>
        <v>15.886000000000053</v>
      </c>
      <c r="AE7" s="2259">
        <f t="shared" si="3"/>
        <v>28.207999999999757</v>
      </c>
      <c r="AF7" s="2259">
        <f t="shared" si="3"/>
        <v>24.421999999999969</v>
      </c>
      <c r="AG7" s="1658">
        <f t="shared" si="3"/>
        <v>43.103000000000122</v>
      </c>
    </row>
    <row r="8" spans="1:37">
      <c r="F8" s="1606"/>
      <c r="G8" s="1606"/>
      <c r="H8" s="1606"/>
      <c r="I8" s="1606"/>
      <c r="J8" s="1606"/>
      <c r="K8" s="1606"/>
      <c r="L8" s="1606"/>
      <c r="M8" s="1606"/>
      <c r="N8" s="1606"/>
      <c r="O8" s="1606"/>
      <c r="P8" s="1606"/>
      <c r="Q8" s="1606"/>
      <c r="R8" s="1606"/>
      <c r="S8" s="1606"/>
      <c r="T8" s="1606"/>
      <c r="U8" s="1606"/>
      <c r="V8" s="1606"/>
      <c r="W8" s="1606"/>
      <c r="X8" s="1606"/>
      <c r="Y8" s="1606"/>
      <c r="Z8" s="1608"/>
      <c r="AA8" s="1608"/>
      <c r="AB8" s="1606"/>
      <c r="AC8" s="1608"/>
      <c r="AD8" s="1608"/>
      <c r="AE8" s="2153"/>
      <c r="AF8" s="2153"/>
      <c r="AG8" s="1609"/>
    </row>
    <row r="9" spans="1:37">
      <c r="F9" s="1630">
        <f t="shared" ref="F9:M9" si="5">J9</f>
        <v>0.18463733086607878</v>
      </c>
      <c r="G9" s="1630">
        <f t="shared" si="5"/>
        <v>0.18378671149539333</v>
      </c>
      <c r="H9" s="1630">
        <f t="shared" si="5"/>
        <v>0.14254513083802622</v>
      </c>
      <c r="I9" s="1630">
        <f t="shared" si="5"/>
        <v>4.3296493749694027E-2</v>
      </c>
      <c r="J9" s="1630">
        <f t="shared" si="5"/>
        <v>0.18463733086607878</v>
      </c>
      <c r="K9" s="1630">
        <f t="shared" si="5"/>
        <v>0.18378671149539333</v>
      </c>
      <c r="L9" s="1630">
        <f t="shared" si="5"/>
        <v>0.14254513083802622</v>
      </c>
      <c r="M9" s="1630">
        <f t="shared" si="5"/>
        <v>4.3296493749694027E-2</v>
      </c>
      <c r="N9" s="1630">
        <f t="shared" ref="N9:AB9" si="6">N7/N6</f>
        <v>0.18463733086607878</v>
      </c>
      <c r="O9" s="1630">
        <f t="shared" si="6"/>
        <v>0.18378671149539333</v>
      </c>
      <c r="P9" s="1630">
        <f t="shared" si="6"/>
        <v>0.14254513083802622</v>
      </c>
      <c r="Q9" s="1630">
        <f t="shared" si="6"/>
        <v>4.3296493749694027E-2</v>
      </c>
      <c r="R9" s="1630">
        <f t="shared" si="6"/>
        <v>0.2019887441507536</v>
      </c>
      <c r="S9" s="1630">
        <f t="shared" si="6"/>
        <v>0.13982721923124955</v>
      </c>
      <c r="T9" s="1630">
        <f t="shared" si="6"/>
        <v>0.10860006466213896</v>
      </c>
      <c r="U9" s="1630">
        <f t="shared" si="6"/>
        <v>0.20086706158784737</v>
      </c>
      <c r="V9" s="1630">
        <f t="shared" si="6"/>
        <v>0.16634422339843186</v>
      </c>
      <c r="W9" s="1630">
        <f t="shared" si="6"/>
        <v>0.17194471218339422</v>
      </c>
      <c r="X9" s="1630">
        <f t="shared" si="6"/>
        <v>0.13608446340734523</v>
      </c>
      <c r="Y9" s="1630">
        <f t="shared" si="6"/>
        <v>-9.7641092280773695E-3</v>
      </c>
      <c r="Z9" s="1631">
        <f t="shared" si="6"/>
        <v>0.19609280099587362</v>
      </c>
      <c r="AA9" s="1631">
        <f t="shared" si="6"/>
        <v>0.21384941579825911</v>
      </c>
      <c r="AB9" s="1630">
        <f t="shared" si="6"/>
        <v>0.24209141199849565</v>
      </c>
      <c r="AC9" s="1631">
        <f>AC7/AC6</f>
        <v>0.20949870986436292</v>
      </c>
      <c r="AD9" s="1631">
        <f>AD7/AD6</f>
        <v>0.24870060742689051</v>
      </c>
      <c r="AE9" s="2260">
        <f>AE7/AE6</f>
        <v>0.26077229571696486</v>
      </c>
      <c r="AF9" s="2260">
        <f>AF7/AF6</f>
        <v>0.25554846338171089</v>
      </c>
      <c r="AG9" s="1659">
        <f>AG7/AG6</f>
        <v>0.1716471403426337</v>
      </c>
    </row>
    <row r="11" spans="1:37">
      <c r="W11" s="1622">
        <f>(W3+V3)-(R3+S3)</f>
        <v>155.42700000000013</v>
      </c>
      <c r="AA11" s="1622">
        <f>(AA3+Z3)-(V3+W3)</f>
        <v>210.44599999999991</v>
      </c>
      <c r="AC11" s="1622">
        <f>(AC3+AB3)-(X3+Y3)</f>
        <v>256.65999999999985</v>
      </c>
      <c r="AD11" s="1620">
        <f>AD3/Z3-1</f>
        <v>4.9799246883454051E-2</v>
      </c>
      <c r="AE11" s="1620"/>
      <c r="AF11" s="1620"/>
      <c r="AG11" s="1620"/>
      <c r="AH11" s="1622">
        <f>AH3-Y3</f>
        <v>117.0984440000002</v>
      </c>
    </row>
    <row r="12" spans="1:37">
      <c r="W12" s="1622">
        <f>(W4+V4)-(R4+S4)</f>
        <v>26.418000000000347</v>
      </c>
      <c r="AA12" s="1622">
        <f>(AA4+Z4)-(V4+W4)</f>
        <v>43.235000000000042</v>
      </c>
      <c r="AC12" s="1622">
        <f>(AC4+AB4)-(X4+Y4)</f>
        <v>57.410999999999888</v>
      </c>
      <c r="AD12" s="1620">
        <f>AD4/Z4-1</f>
        <v>0.13131855868664943</v>
      </c>
      <c r="AE12" s="1620"/>
      <c r="AF12" s="1620"/>
      <c r="AG12" s="1620"/>
      <c r="AH12" s="1622">
        <f>AH4-Y4</f>
        <v>24.420000000000016</v>
      </c>
    </row>
    <row r="13" spans="1:37">
      <c r="AH13">
        <f>AH12/AH11</f>
        <v>0.20854248071818934</v>
      </c>
    </row>
    <row r="14" spans="1:37">
      <c r="W14" s="1625">
        <f>W12/W11</f>
        <v>0.16997046845142944</v>
      </c>
      <c r="X14" s="1626"/>
      <c r="Y14" s="1626"/>
      <c r="Z14" s="1626"/>
      <c r="AA14" s="1625">
        <f>AA12/AA11</f>
        <v>0.20544462712524858</v>
      </c>
      <c r="AC14" s="1621">
        <f>AC12/AC11</f>
        <v>0.22368503078001994</v>
      </c>
      <c r="AD14" s="1621"/>
      <c r="AE14" s="1621"/>
      <c r="AF14" s="1621"/>
      <c r="AG14" s="1621"/>
    </row>
    <row r="16" spans="1:37">
      <c r="P16">
        <v>5098.93</v>
      </c>
      <c r="Q16">
        <v>5448.61</v>
      </c>
      <c r="Z16" s="1622">
        <f>Z4-V4</f>
        <v>19.532999999999987</v>
      </c>
      <c r="AA16" s="1622">
        <f>AA4-W4</f>
        <v>23.702000000000055</v>
      </c>
      <c r="AB16" s="1622">
        <f>AB4-X4</f>
        <v>27.044999999999931</v>
      </c>
      <c r="AC16">
        <f>AC4-Y4</f>
        <v>30.365999999999929</v>
      </c>
    </row>
    <row r="17" spans="16:33">
      <c r="P17">
        <v>483.78</v>
      </c>
      <c r="Q17">
        <f>535.33</f>
        <v>535.33000000000004</v>
      </c>
    </row>
    <row r="18" spans="16:33">
      <c r="V18" s="1621">
        <f t="shared" ref="V18:AA18" si="7">V4/R4-1</f>
        <v>9.8715421441414986E-2</v>
      </c>
      <c r="W18" s="1621">
        <f t="shared" si="7"/>
        <v>0.29788772400971464</v>
      </c>
      <c r="X18" s="1621">
        <f t="shared" si="7"/>
        <v>0.13808079415414576</v>
      </c>
      <c r="Y18" s="1621">
        <f t="shared" si="7"/>
        <v>-2.4031520826581776E-3</v>
      </c>
      <c r="Z18" s="1621">
        <f t="shared" si="7"/>
        <v>0.19255717665615113</v>
      </c>
      <c r="AA18" s="1621">
        <f t="shared" si="7"/>
        <v>0.314379319034924</v>
      </c>
    </row>
    <row r="22" spans="16:33">
      <c r="AA22" s="78">
        <f>AVERAGE(AA9,W9,S9)</f>
        <v>0.17520711573763428</v>
      </c>
      <c r="AB22" s="78"/>
      <c r="AC22" s="78"/>
      <c r="AD22" s="78"/>
      <c r="AE22" s="78"/>
      <c r="AF22" s="78"/>
      <c r="AG22" s="78"/>
    </row>
    <row r="24" spans="16:33">
      <c r="T24" s="1621">
        <f>3.65/3.15-1</f>
        <v>0.15873015873015883</v>
      </c>
    </row>
    <row r="25" spans="16:33">
      <c r="AB25" s="1622">
        <f>SUM(Z3:AB3)-SUM(V3:X3)</f>
        <v>322.15999999999985</v>
      </c>
    </row>
    <row r="26" spans="16:33">
      <c r="AB26" s="1622">
        <f>SUM(Z4:AB4)-SUM(V4:X4)</f>
        <v>70.279999999999973</v>
      </c>
    </row>
    <row r="27" spans="16:33">
      <c r="AB27">
        <f>AB26/AB25</f>
        <v>0.21815247082195183</v>
      </c>
    </row>
    <row r="30" spans="16:33">
      <c r="Q30">
        <f>81/3.5</f>
        <v>23.142857142857142</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4:A5"/>
  <sheetViews>
    <sheetView workbookViewId="0">
      <selection activeCell="B3" sqref="B3"/>
    </sheetView>
  </sheetViews>
  <sheetFormatPr defaultRowHeight="12.75"/>
  <sheetData>
    <row r="4" spans="1:1">
      <c r="A4" s="17" t="s">
        <v>842</v>
      </c>
    </row>
    <row r="5" spans="1:1">
      <c r="A5" s="17" t="s">
        <v>843</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E18:H36"/>
  <sheetViews>
    <sheetView workbookViewId="0">
      <selection activeCell="H37" sqref="H37"/>
    </sheetView>
  </sheetViews>
  <sheetFormatPr defaultRowHeight="12.75"/>
  <sheetData>
    <row r="18" spans="5:5">
      <c r="E18">
        <f>20*2.95</f>
        <v>59</v>
      </c>
    </row>
    <row r="19" spans="5:5">
      <c r="E19">
        <f>20*3.15</f>
        <v>63</v>
      </c>
    </row>
    <row r="34" spans="8:8">
      <c r="H34">
        <v>1230.886</v>
      </c>
    </row>
    <row r="35" spans="8:8">
      <c r="H35">
        <v>7.7830000000000004</v>
      </c>
    </row>
    <row r="36" spans="8:8">
      <c r="H36">
        <f>H34+H35</f>
        <v>1238.6689999999999</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workbookViewId="0"/>
  </sheetViews>
  <sheetFormatPr defaultRowHeight="12.75"/>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2.75"/>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K31:K32"/>
  <sheetViews>
    <sheetView workbookViewId="0">
      <selection activeCell="N40" sqref="N40"/>
    </sheetView>
  </sheetViews>
  <sheetFormatPr defaultRowHeight="12.75"/>
  <sheetData>
    <row r="31" spans="11:11">
      <c r="K31">
        <f>51-32</f>
        <v>19</v>
      </c>
    </row>
    <row r="32" spans="11:11">
      <c r="K32">
        <f>2.96+0.19</f>
        <v>3.15</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K25"/>
  <sheetViews>
    <sheetView workbookViewId="0">
      <selection activeCell="R29" sqref="R29"/>
    </sheetView>
  </sheetViews>
  <sheetFormatPr defaultRowHeight="12.75"/>
  <sheetData>
    <row r="25" spans="11:11">
      <c r="K25" s="17"/>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L55"/>
  <sheetViews>
    <sheetView workbookViewId="0">
      <selection activeCell="S30" sqref="S30"/>
    </sheetView>
  </sheetViews>
  <sheetFormatPr defaultRowHeight="12.75"/>
  <cols>
    <col min="1" max="1" width="2" style="2063" customWidth="1"/>
    <col min="2" max="2" width="32.140625" style="2063" customWidth="1"/>
    <col min="3" max="3" width="10.5703125" style="2063" customWidth="1"/>
    <col min="4" max="10" width="10.28515625" style="2063" bestFit="1" customWidth="1"/>
    <col min="11" max="11" width="11.28515625" style="2063" bestFit="1" customWidth="1"/>
    <col min="12" max="16384" width="9.140625" style="2063"/>
  </cols>
  <sheetData>
    <row r="1" spans="1:12">
      <c r="A1" s="2061"/>
      <c r="B1" s="2062"/>
      <c r="C1" s="2277" t="s">
        <v>997</v>
      </c>
      <c r="D1" s="2277"/>
      <c r="E1" s="2277"/>
      <c r="F1" s="2277"/>
      <c r="G1" s="2277"/>
      <c r="H1" s="2278" t="s">
        <v>998</v>
      </c>
      <c r="I1" s="2278"/>
      <c r="J1" s="2278"/>
      <c r="K1" s="2061"/>
      <c r="L1" s="2061"/>
    </row>
    <row r="2" spans="1:12">
      <c r="A2" s="2064"/>
      <c r="B2" s="2065" t="s">
        <v>934</v>
      </c>
      <c r="C2" s="2066">
        <v>2017</v>
      </c>
      <c r="D2" s="2066">
        <v>2018</v>
      </c>
      <c r="E2" s="2066">
        <v>2019</v>
      </c>
      <c r="F2" s="2066">
        <v>2020</v>
      </c>
      <c r="G2" s="2066">
        <v>2021</v>
      </c>
      <c r="H2" s="2067">
        <v>2022</v>
      </c>
      <c r="I2" s="2067">
        <v>2023</v>
      </c>
      <c r="J2" s="2067">
        <v>2024</v>
      </c>
      <c r="K2" s="2064"/>
      <c r="L2" s="2068"/>
    </row>
    <row r="3" spans="1:12">
      <c r="A3" s="2064"/>
      <c r="B3" s="2069"/>
      <c r="C3" s="2068"/>
      <c r="D3" s="2068"/>
      <c r="E3" s="2068"/>
      <c r="F3" s="2068"/>
      <c r="G3" s="2068"/>
      <c r="H3" s="2070"/>
      <c r="I3" s="2070"/>
      <c r="J3" s="2070"/>
      <c r="K3" s="2064"/>
      <c r="L3" s="2068"/>
    </row>
    <row r="4" spans="1:12">
      <c r="A4" s="2061"/>
      <c r="B4" s="2062" t="s">
        <v>256</v>
      </c>
      <c r="C4" s="2071">
        <f>'yrP&amp;L_new'!J8</f>
        <v>6084.7659999999996</v>
      </c>
      <c r="D4" s="2071">
        <f>'yrP&amp;L_new'!K8</f>
        <v>6587.3821933692661</v>
      </c>
      <c r="E4" s="2071">
        <f>'yrP&amp;L_new'!L8</f>
        <v>7272.2060401899489</v>
      </c>
      <c r="F4" s="2071">
        <f>'yrP&amp;L_new'!M8</f>
        <v>7996.9990572869638</v>
      </c>
      <c r="G4" s="2071">
        <f>'yrP&amp;L_new'!N8</f>
        <v>8763.46040726315</v>
      </c>
      <c r="H4" s="2072">
        <f>G4*(1+H5)</f>
        <v>9245.4507296626234</v>
      </c>
      <c r="I4" s="2072">
        <f>H4*(1+I5)</f>
        <v>9753.9505197940671</v>
      </c>
      <c r="J4" s="2072">
        <f>I4*(1+J5)</f>
        <v>10290.417798382739</v>
      </c>
      <c r="K4" s="2061"/>
      <c r="L4" s="2061"/>
    </row>
    <row r="5" spans="1:12">
      <c r="A5" s="2061"/>
      <c r="B5" s="2062" t="s">
        <v>999</v>
      </c>
      <c r="C5" s="2073">
        <v>4.6255243498919E-3</v>
      </c>
      <c r="D5" s="2073">
        <f>D4/C4-1</f>
        <v>8.2602386578097819E-2</v>
      </c>
      <c r="E5" s="2073">
        <f>E4/D4-1</f>
        <v>0.1039599383667178</v>
      </c>
      <c r="F5" s="2073">
        <f>F4/E4-1</f>
        <v>9.9666182873729969E-2</v>
      </c>
      <c r="G5" s="2073">
        <f>G4/F4-1</f>
        <v>9.5843621399176904E-2</v>
      </c>
      <c r="H5" s="2074">
        <v>5.5E-2</v>
      </c>
      <c r="I5" s="2074">
        <v>5.5E-2</v>
      </c>
      <c r="J5" s="2074">
        <v>5.5E-2</v>
      </c>
      <c r="K5" s="2061"/>
      <c r="L5" s="2061"/>
    </row>
    <row r="6" spans="1:12">
      <c r="A6" s="2061"/>
      <c r="B6" s="2062" t="s">
        <v>1000</v>
      </c>
      <c r="C6" s="2071">
        <f>'yrP&amp;L_new'!J40</f>
        <v>487.75699999999966</v>
      </c>
      <c r="D6" s="2071">
        <f>'yrP&amp;L_new'!K40</f>
        <v>556.653087561029</v>
      </c>
      <c r="E6" s="2071">
        <f>'yrP&amp;L_new'!L40</f>
        <v>608.08181661176241</v>
      </c>
      <c r="F6" s="2071">
        <f>'yrP&amp;L_new'!M40</f>
        <v>664.27634443176203</v>
      </c>
      <c r="G6" s="2071">
        <f>'yrP&amp;L_new'!N40</f>
        <v>729.72859902902542</v>
      </c>
      <c r="H6" s="2072">
        <f>H4*H7</f>
        <v>711.89970618402197</v>
      </c>
      <c r="I6" s="2072">
        <f>I4*I7</f>
        <v>760.80814054393727</v>
      </c>
      <c r="J6" s="2072">
        <f>J4*J7</f>
        <v>812.94300607223647</v>
      </c>
      <c r="K6" s="2061"/>
      <c r="L6" s="2061"/>
    </row>
    <row r="7" spans="1:12">
      <c r="A7" s="2061"/>
      <c r="B7" s="2062" t="s">
        <v>1001</v>
      </c>
      <c r="C7" s="2073">
        <f>C6/C4</f>
        <v>8.0160354564168895E-2</v>
      </c>
      <c r="D7" s="2073">
        <f>D6/D4</f>
        <v>8.4502928662822302E-2</v>
      </c>
      <c r="E7" s="2073">
        <f>E6/E4</f>
        <v>8.3617242587901069E-2</v>
      </c>
      <c r="F7" s="2073">
        <f>F6/F4</f>
        <v>8.3065702480790621E-2</v>
      </c>
      <c r="G7" s="2073">
        <f>G6/G4</f>
        <v>8.326945808121948E-2</v>
      </c>
      <c r="H7" s="2074">
        <v>7.6999999999999999E-2</v>
      </c>
      <c r="I7" s="2074">
        <v>7.8E-2</v>
      </c>
      <c r="J7" s="2074">
        <v>7.9000000000000001E-2</v>
      </c>
      <c r="K7" s="2061"/>
      <c r="L7" s="2061"/>
    </row>
    <row r="8" spans="1:12">
      <c r="A8" s="2075"/>
      <c r="B8" s="2076" t="s">
        <v>208</v>
      </c>
      <c r="C8" s="2131">
        <f>'yrP&amp;L_new'!J50</f>
        <v>0.3200977994312092</v>
      </c>
      <c r="D8" s="2131">
        <f>'yrP&amp;L_new'!K50</f>
        <v>0.23519523691257235</v>
      </c>
      <c r="E8" s="2131">
        <f>'yrP&amp;L_new'!L50</f>
        <v>0.23519523691257235</v>
      </c>
      <c r="F8" s="2131">
        <f>'yrP&amp;L_new'!M50</f>
        <v>0.23519523691257235</v>
      </c>
      <c r="G8" s="2131">
        <f>'yrP&amp;L_new'!N50</f>
        <v>0.23519523691257235</v>
      </c>
      <c r="H8" s="2077">
        <f>G8</f>
        <v>0.23519523691257235</v>
      </c>
      <c r="I8" s="2077">
        <f>H8</f>
        <v>0.23519523691257235</v>
      </c>
      <c r="J8" s="2077">
        <f>I8</f>
        <v>0.23519523691257235</v>
      </c>
      <c r="K8" s="2075"/>
      <c r="L8" s="2075"/>
    </row>
    <row r="9" spans="1:12">
      <c r="A9" s="2061"/>
      <c r="B9" s="2062" t="s">
        <v>1002</v>
      </c>
      <c r="C9" s="2078">
        <f t="shared" ref="C9:J9" si="0">-C6*C8</f>
        <v>-156.1299423571682</v>
      </c>
      <c r="D9" s="2078">
        <f t="shared" si="0"/>
        <v>-130.92215480703109</v>
      </c>
      <c r="E9" s="2078">
        <f t="shared" si="0"/>
        <v>-143.01794692023083</v>
      </c>
      <c r="F9" s="2078">
        <f t="shared" si="0"/>
        <v>-156.23463220404579</v>
      </c>
      <c r="G9" s="2078">
        <f t="shared" si="0"/>
        <v>-171.62869073051115</v>
      </c>
      <c r="H9" s="2079">
        <f t="shared" si="0"/>
        <v>-167.4354200539417</v>
      </c>
      <c r="I9" s="2079">
        <f t="shared" si="0"/>
        <v>-178.93845086024496</v>
      </c>
      <c r="J9" s="2079">
        <f t="shared" si="0"/>
        <v>-191.2003229095784</v>
      </c>
      <c r="K9" s="2061"/>
      <c r="L9" s="2061"/>
    </row>
    <row r="10" spans="1:12">
      <c r="A10" s="2061"/>
      <c r="B10" s="2062" t="s">
        <v>696</v>
      </c>
      <c r="C10" s="2080">
        <f>C6+C9</f>
        <v>331.62705764283146</v>
      </c>
      <c r="D10" s="2080">
        <f t="shared" ref="D10:J10" si="1">D6+D9</f>
        <v>425.73093275399788</v>
      </c>
      <c r="E10" s="2080">
        <f t="shared" si="1"/>
        <v>465.06386969153158</v>
      </c>
      <c r="F10" s="2080">
        <f t="shared" si="1"/>
        <v>508.04171222771623</v>
      </c>
      <c r="G10" s="2080">
        <f>G6+G9</f>
        <v>558.09990829851426</v>
      </c>
      <c r="H10" s="2081">
        <f t="shared" si="1"/>
        <v>544.46428613008027</v>
      </c>
      <c r="I10" s="2081">
        <f t="shared" si="1"/>
        <v>581.86968968369229</v>
      </c>
      <c r="J10" s="2081">
        <f t="shared" si="1"/>
        <v>621.74268316265807</v>
      </c>
      <c r="K10" s="2061"/>
      <c r="L10" s="2061"/>
    </row>
    <row r="11" spans="1:12">
      <c r="A11" s="2082"/>
      <c r="B11" s="2083" t="s">
        <v>1003</v>
      </c>
      <c r="C11" s="2084">
        <f t="shared" ref="C11:J11" si="2">C10/C4</f>
        <v>5.4501201466552941E-2</v>
      </c>
      <c r="D11" s="2084">
        <f t="shared" si="2"/>
        <v>6.4628242336163599E-2</v>
      </c>
      <c r="E11" s="2084">
        <f t="shared" si="2"/>
        <v>6.3950865407463642E-2</v>
      </c>
      <c r="F11" s="2084">
        <f t="shared" si="2"/>
        <v>6.3529044906511817E-2</v>
      </c>
      <c r="G11" s="2084">
        <f t="shared" si="2"/>
        <v>6.3684878160225541E-2</v>
      </c>
      <c r="H11" s="2085">
        <f t="shared" si="2"/>
        <v>5.8889966757731928E-2</v>
      </c>
      <c r="I11" s="2085">
        <f t="shared" si="2"/>
        <v>5.9654771520819355E-2</v>
      </c>
      <c r="J11" s="2085">
        <f t="shared" si="2"/>
        <v>6.041957628390679E-2</v>
      </c>
      <c r="K11" s="2082"/>
      <c r="L11" s="2082"/>
    </row>
    <row r="12" spans="1:12">
      <c r="A12" s="2061"/>
      <c r="B12" s="2062"/>
      <c r="C12" s="2061"/>
      <c r="D12" s="2061"/>
      <c r="E12" s="2061"/>
      <c r="F12" s="2061"/>
      <c r="G12" s="2061"/>
      <c r="H12" s="2086"/>
      <c r="I12" s="2086"/>
      <c r="J12" s="2086"/>
      <c r="K12" s="2061"/>
      <c r="L12" s="2061"/>
    </row>
    <row r="13" spans="1:12">
      <c r="A13" s="2061"/>
      <c r="B13" s="2087" t="s">
        <v>873</v>
      </c>
      <c r="C13" s="2078">
        <f>'yrP&amp;L_new'!J33</f>
        <v>201.10300000000001</v>
      </c>
      <c r="D13" s="2078">
        <f>'yrP&amp;L_new'!K33</f>
        <v>225.71548000000001</v>
      </c>
      <c r="E13" s="2078">
        <f>'yrP&amp;L_new'!L33</f>
        <v>249.18084738921414</v>
      </c>
      <c r="F13" s="2078">
        <f>'yrP&amp;L_new'!M33</f>
        <v>274.01575129373856</v>
      </c>
      <c r="G13" s="2078">
        <f>'yrP&amp;L_new'!N33</f>
        <v>300.27841321814662</v>
      </c>
      <c r="H13" s="2079">
        <f>H14*H4</f>
        <v>305.09987407886661</v>
      </c>
      <c r="I13" s="2079">
        <f>I14*I4</f>
        <v>321.88036715320425</v>
      </c>
      <c r="J13" s="2079">
        <f>J14*J4</f>
        <v>339.5837873466304</v>
      </c>
      <c r="K13" s="2061"/>
      <c r="L13" s="2061"/>
    </row>
    <row r="14" spans="1:12">
      <c r="A14" s="2061"/>
      <c r="B14" s="2062"/>
      <c r="C14" s="2073">
        <f>C13/C4</f>
        <v>3.3050243838464784E-2</v>
      </c>
      <c r="D14" s="2073">
        <f>D13/D4</f>
        <v>3.4264822257800823E-2</v>
      </c>
      <c r="E14" s="2073">
        <f>E13/E4</f>
        <v>3.4264822257800823E-2</v>
      </c>
      <c r="F14" s="2073">
        <f>F13/F4</f>
        <v>3.4264822257800823E-2</v>
      </c>
      <c r="G14" s="2073">
        <f>G13/G4</f>
        <v>3.4264822257800823E-2</v>
      </c>
      <c r="H14" s="2074">
        <v>3.3000000000000002E-2</v>
      </c>
      <c r="I14" s="2074">
        <v>3.3000000000000002E-2</v>
      </c>
      <c r="J14" s="2074">
        <v>3.3000000000000002E-2</v>
      </c>
      <c r="K14" s="2061"/>
      <c r="L14" s="2061"/>
    </row>
    <row r="15" spans="1:12">
      <c r="A15" s="2061"/>
      <c r="B15" s="2087" t="s">
        <v>168</v>
      </c>
      <c r="C15" s="2071">
        <f>flow!AM31</f>
        <v>-268.19400000000002</v>
      </c>
      <c r="D15" s="2071">
        <f>flow!AO31</f>
        <v>-250</v>
      </c>
      <c r="E15" s="2071">
        <f>flow!AQ31</f>
        <v>-250</v>
      </c>
      <c r="F15" s="2071">
        <f>flow!AS31</f>
        <v>-250</v>
      </c>
      <c r="G15" s="2071">
        <f>flow!AU31</f>
        <v>-250</v>
      </c>
      <c r="H15" s="2072">
        <f>G15</f>
        <v>-250</v>
      </c>
      <c r="I15" s="2072">
        <f>H15</f>
        <v>-250</v>
      </c>
      <c r="J15" s="2072">
        <f>I15</f>
        <v>-250</v>
      </c>
      <c r="K15" s="2061"/>
      <c r="L15" s="2061"/>
    </row>
    <row r="16" spans="1:12">
      <c r="A16" s="2061"/>
      <c r="B16" s="2087"/>
      <c r="C16" s="2071"/>
      <c r="D16" s="2071"/>
      <c r="E16" s="2071"/>
      <c r="F16" s="2071"/>
      <c r="G16" s="2071"/>
      <c r="H16" s="2088"/>
      <c r="I16" s="2088"/>
      <c r="J16" s="2088"/>
      <c r="K16" s="2061"/>
      <c r="L16" s="2061"/>
    </row>
    <row r="17" spans="1:12">
      <c r="A17" s="2061"/>
      <c r="B17" s="2087" t="s">
        <v>1004</v>
      </c>
      <c r="C17" s="2078">
        <f>flow!AM46</f>
        <v>-2.0379999999999967</v>
      </c>
      <c r="D17" s="2078">
        <f>flow!AO46</f>
        <v>57.5091372619314</v>
      </c>
      <c r="E17" s="2078">
        <f>flow!AQ46</f>
        <v>-15.135097317315001</v>
      </c>
      <c r="F17" s="2078">
        <f>flow!AS46</f>
        <v>-16.018444596521306</v>
      </c>
      <c r="G17" s="2078">
        <f>flow!AU46</f>
        <v>-16.939344585773185</v>
      </c>
      <c r="H17" s="2079">
        <f>G17</f>
        <v>-16.939344585773185</v>
      </c>
      <c r="I17" s="2079">
        <f>H17</f>
        <v>-16.939344585773185</v>
      </c>
      <c r="J17" s="2079">
        <f>I17</f>
        <v>-16.939344585773185</v>
      </c>
      <c r="K17" s="2061"/>
      <c r="L17" s="2061"/>
    </row>
    <row r="18" spans="1:12">
      <c r="A18" s="2061"/>
      <c r="B18" s="2062" t="s">
        <v>1005</v>
      </c>
      <c r="C18" s="2080">
        <f t="shared" ref="C18:J18" si="3">SUM(C15:C17)</f>
        <v>-270.23200000000003</v>
      </c>
      <c r="D18" s="2080">
        <f t="shared" si="3"/>
        <v>-192.49086273806859</v>
      </c>
      <c r="E18" s="2080">
        <f t="shared" si="3"/>
        <v>-265.135097317315</v>
      </c>
      <c r="F18" s="2080">
        <f t="shared" si="3"/>
        <v>-266.01844459652131</v>
      </c>
      <c r="G18" s="2080">
        <f t="shared" si="3"/>
        <v>-266.9393445857732</v>
      </c>
      <c r="H18" s="2081">
        <f t="shared" si="3"/>
        <v>-266.9393445857732</v>
      </c>
      <c r="I18" s="2081">
        <f t="shared" si="3"/>
        <v>-266.9393445857732</v>
      </c>
      <c r="J18" s="2081">
        <f t="shared" si="3"/>
        <v>-266.9393445857732</v>
      </c>
      <c r="K18" s="2061"/>
      <c r="L18" s="2061"/>
    </row>
    <row r="19" spans="1:12">
      <c r="A19" s="2082"/>
      <c r="B19" s="2082" t="s">
        <v>1006</v>
      </c>
      <c r="C19" s="2089"/>
      <c r="D19" s="2089"/>
      <c r="E19" s="2089"/>
      <c r="F19" s="2089"/>
      <c r="G19" s="2089"/>
      <c r="H19" s="2090"/>
      <c r="I19" s="2090"/>
      <c r="J19" s="2090"/>
      <c r="K19" s="2082"/>
      <c r="L19" s="2082"/>
    </row>
    <row r="20" spans="1:12">
      <c r="A20" s="2061"/>
      <c r="B20" s="2062"/>
      <c r="C20" s="2091"/>
      <c r="D20" s="2091"/>
      <c r="E20" s="2091"/>
      <c r="F20" s="2091"/>
      <c r="G20" s="2091"/>
      <c r="H20" s="2092"/>
      <c r="I20" s="2092"/>
      <c r="J20" s="2092"/>
      <c r="K20" s="2061"/>
      <c r="L20" s="2061"/>
    </row>
    <row r="21" spans="1:12">
      <c r="A21" s="2061"/>
      <c r="B21" s="2069" t="s">
        <v>1007</v>
      </c>
      <c r="C21" s="2093">
        <f t="shared" ref="C21:J21" si="4">C10+C13+C18</f>
        <v>262.4980576428315</v>
      </c>
      <c r="D21" s="2093">
        <f t="shared" si="4"/>
        <v>458.95555001592936</v>
      </c>
      <c r="E21" s="2093">
        <f t="shared" si="4"/>
        <v>449.10961976343066</v>
      </c>
      <c r="F21" s="2093">
        <f t="shared" si="4"/>
        <v>516.03901892493354</v>
      </c>
      <c r="G21" s="2093">
        <f t="shared" si="4"/>
        <v>591.43897693088775</v>
      </c>
      <c r="H21" s="2094">
        <f t="shared" si="4"/>
        <v>582.62481562317362</v>
      </c>
      <c r="I21" s="2094">
        <f t="shared" si="4"/>
        <v>636.81071225112328</v>
      </c>
      <c r="J21" s="2094">
        <f t="shared" si="4"/>
        <v>694.38712592351521</v>
      </c>
      <c r="K21" s="2061"/>
      <c r="L21" s="2061"/>
    </row>
    <row r="22" spans="1:12">
      <c r="A22" s="2095"/>
      <c r="B22" s="2089"/>
      <c r="C22" s="2089"/>
      <c r="D22" s="2089"/>
      <c r="E22" s="2089"/>
      <c r="F22" s="2089"/>
      <c r="G22" s="2089"/>
      <c r="H22" s="2090"/>
      <c r="I22" s="2090"/>
      <c r="J22" s="2090"/>
      <c r="K22" s="2095"/>
      <c r="L22" s="2095"/>
    </row>
    <row r="23" spans="1:12">
      <c r="A23" s="2096"/>
      <c r="B23" s="2097"/>
      <c r="C23" s="2098">
        <v>0</v>
      </c>
      <c r="D23" s="2098">
        <v>1</v>
      </c>
      <c r="E23" s="2098">
        <f t="shared" ref="E23:J23" si="5">D23+1</f>
        <v>2</v>
      </c>
      <c r="F23" s="2098">
        <f t="shared" si="5"/>
        <v>3</v>
      </c>
      <c r="G23" s="2098">
        <f t="shared" si="5"/>
        <v>4</v>
      </c>
      <c r="H23" s="2098">
        <f t="shared" si="5"/>
        <v>5</v>
      </c>
      <c r="I23" s="2098">
        <f t="shared" si="5"/>
        <v>6</v>
      </c>
      <c r="J23" s="2098">
        <f t="shared" si="5"/>
        <v>7</v>
      </c>
      <c r="K23" s="2096"/>
      <c r="L23" s="2096"/>
    </row>
    <row r="24" spans="1:12">
      <c r="A24" s="2061"/>
      <c r="B24" s="2099" t="s">
        <v>1008</v>
      </c>
      <c r="C24" s="2100">
        <f>1/(1+$H$39)^C23</f>
        <v>1</v>
      </c>
      <c r="D24" s="2100">
        <f t="shared" ref="D24:J24" si="6">1/(1+$H$39)^D23</f>
        <v>0.92559739250110207</v>
      </c>
      <c r="E24" s="2100">
        <f t="shared" si="6"/>
        <v>0.85673053300483926</v>
      </c>
      <c r="F24" s="2100">
        <f t="shared" si="6"/>
        <v>0.7929875474253586</v>
      </c>
      <c r="G24" s="2100">
        <f t="shared" si="6"/>
        <v>0.73398720618275592</v>
      </c>
      <c r="H24" s="2100">
        <f t="shared" si="6"/>
        <v>0.67937664417192767</v>
      </c>
      <c r="I24" s="2100">
        <f>1/(1+$H$39)^I23</f>
        <v>0.62882925037168536</v>
      </c>
      <c r="J24" s="2100">
        <f t="shared" si="6"/>
        <v>0.5820427144724547</v>
      </c>
      <c r="K24" s="2061"/>
      <c r="L24" s="2061"/>
    </row>
    <row r="25" spans="1:12">
      <c r="A25" s="2101"/>
      <c r="B25" s="2102" t="s">
        <v>1009</v>
      </c>
      <c r="C25" s="2103">
        <f t="shared" ref="C25:J25" si="7">C21*C24</f>
        <v>262.4980576428315</v>
      </c>
      <c r="D25" s="2103">
        <f t="shared" si="7"/>
        <v>424.80806036865334</v>
      </c>
      <c r="E25" s="2103">
        <f t="shared" si="7"/>
        <v>384.76592391752462</v>
      </c>
      <c r="F25" s="2103">
        <f t="shared" si="7"/>
        <v>409.21251599307124</v>
      </c>
      <c r="G25" s="2103">
        <f t="shared" si="7"/>
        <v>434.10864230508975</v>
      </c>
      <c r="H25" s="2103">
        <f t="shared" si="7"/>
        <v>395.8216920493598</v>
      </c>
      <c r="I25" s="2103">
        <f t="shared" si="7"/>
        <v>400.44520281353289</v>
      </c>
      <c r="J25" s="2104">
        <f t="shared" si="7"/>
        <v>404.16296766724901</v>
      </c>
      <c r="K25" s="2061"/>
      <c r="L25" s="2061"/>
    </row>
    <row r="26" spans="1:12">
      <c r="A26" s="2061"/>
      <c r="B26" s="2099" t="s">
        <v>435</v>
      </c>
      <c r="C26" s="2061"/>
      <c r="D26" s="2061"/>
      <c r="E26" s="2061"/>
      <c r="F26" s="2061"/>
      <c r="G26" s="2061"/>
      <c r="H26" s="2061"/>
      <c r="I26" s="2061"/>
      <c r="J26" s="2099">
        <f>(J21*(1+C28))/(H39-C28)</f>
        <v>9964.4464596364669</v>
      </c>
      <c r="K26" s="2061"/>
      <c r="L26" s="2061"/>
    </row>
    <row r="27" spans="1:12">
      <c r="A27" s="2101"/>
      <c r="B27" s="2105" t="s">
        <v>1010</v>
      </c>
      <c r="C27" s="2106"/>
      <c r="D27" s="2106"/>
      <c r="E27" s="2106"/>
      <c r="F27" s="2106"/>
      <c r="G27" s="2106"/>
      <c r="H27" s="2106"/>
      <c r="I27" s="2106"/>
      <c r="J27" s="2104">
        <f>J26*J24</f>
        <v>5799.7334655822506</v>
      </c>
      <c r="K27" s="2061"/>
      <c r="L27" s="2061"/>
    </row>
    <row r="28" spans="1:12">
      <c r="A28" s="2061"/>
      <c r="B28" s="2099" t="s">
        <v>1011</v>
      </c>
      <c r="C28" s="2132">
        <v>0.01</v>
      </c>
      <c r="D28" s="2061"/>
      <c r="E28" s="2061"/>
      <c r="F28" s="2061"/>
      <c r="G28" s="2061"/>
      <c r="H28" s="2061"/>
      <c r="I28" s="2061"/>
      <c r="J28" s="2061"/>
      <c r="K28" s="2061"/>
      <c r="L28" s="2061"/>
    </row>
    <row r="29" spans="1:12">
      <c r="A29" s="2061"/>
      <c r="B29" s="2099"/>
      <c r="C29" s="2061"/>
      <c r="D29" s="2061"/>
      <c r="E29" s="2061"/>
      <c r="F29" s="2061"/>
      <c r="G29" s="2061"/>
      <c r="H29" s="2073"/>
      <c r="I29" s="2107" t="s">
        <v>1012</v>
      </c>
      <c r="J29" s="2061"/>
      <c r="K29" s="2061"/>
      <c r="L29" s="2061"/>
    </row>
    <row r="30" spans="1:12">
      <c r="A30" s="2061"/>
      <c r="B30" s="2099" t="s">
        <v>1013</v>
      </c>
      <c r="C30" s="2099">
        <f>bal!AO32</f>
        <v>879.03099999999995</v>
      </c>
      <c r="D30" s="2099"/>
      <c r="E30" s="2099" t="s">
        <v>1014</v>
      </c>
      <c r="F30" s="2099"/>
      <c r="G30" s="2061"/>
      <c r="H30" s="2136">
        <f>I30/100</f>
        <v>2.8999999999999998E-2</v>
      </c>
      <c r="I30" s="2108">
        <f>_xll.ThomsonONEAddinShim.SpreadsheetFormulas.TF("FRTCM10"," ","sdate=LATEST VALUE;;;DataDir=true;DispSeriesDescription=true;DispDatatypeDescription=true;source=ds;EntityType=Interest Rates")</f>
        <v>2.9</v>
      </c>
      <c r="J30" s="2061"/>
      <c r="K30" s="2061"/>
      <c r="L30" s="2061"/>
    </row>
    <row r="31" spans="1:12">
      <c r="A31" s="2061"/>
      <c r="B31" s="2099" t="s">
        <v>1015</v>
      </c>
      <c r="C31" s="2109">
        <f>bal!AO9</f>
        <v>111.57599999999999</v>
      </c>
      <c r="D31" s="2099"/>
      <c r="E31" s="2099" t="s">
        <v>1016</v>
      </c>
      <c r="F31" s="2099"/>
      <c r="G31" s="2061"/>
      <c r="H31" s="2136">
        <v>5.1299999999999998E-2</v>
      </c>
      <c r="I31" s="2110"/>
      <c r="J31" s="2061"/>
      <c r="K31" s="2061"/>
      <c r="L31" s="2061"/>
    </row>
    <row r="32" spans="1:12">
      <c r="A32" s="2061"/>
      <c r="B32" s="2111" t="s">
        <v>459</v>
      </c>
      <c r="C32" s="2111">
        <f>C30-C31</f>
        <v>767.45499999999993</v>
      </c>
      <c r="D32" s="2111"/>
      <c r="E32" s="2099" t="s">
        <v>1017</v>
      </c>
      <c r="F32" s="2111"/>
      <c r="G32" s="2061"/>
      <c r="H32" s="2135">
        <v>1.1000000000000001</v>
      </c>
      <c r="I32" s="2148"/>
      <c r="J32" s="2061"/>
      <c r="K32" s="2061"/>
      <c r="L32" s="2061"/>
    </row>
    <row r="33" spans="1:12">
      <c r="A33" s="2061"/>
      <c r="B33" s="2112" t="s">
        <v>1018</v>
      </c>
      <c r="C33" s="2133">
        <v>0.05</v>
      </c>
      <c r="D33" s="2099"/>
      <c r="E33" s="2099" t="s">
        <v>428</v>
      </c>
      <c r="F33" s="2099"/>
      <c r="G33" s="2061"/>
      <c r="H33" s="2113">
        <f>H30+H32*(H31)</f>
        <v>8.5430000000000006E-2</v>
      </c>
      <c r="I33" s="2061"/>
      <c r="J33" s="2061"/>
      <c r="K33" s="2061"/>
      <c r="L33" s="2061"/>
    </row>
    <row r="34" spans="1:12">
      <c r="A34" s="2061"/>
      <c r="B34" s="2112" t="s">
        <v>1019</v>
      </c>
      <c r="C34" s="2114">
        <f>C33*(1-0.35)</f>
        <v>3.2500000000000001E-2</v>
      </c>
      <c r="D34" s="2099"/>
      <c r="E34" s="2099"/>
      <c r="F34" s="2099"/>
      <c r="G34" s="2099"/>
      <c r="H34" s="2099"/>
      <c r="I34" s="2061"/>
      <c r="J34" s="2061"/>
      <c r="K34" s="2061"/>
      <c r="L34" s="2061"/>
    </row>
    <row r="35" spans="1:12">
      <c r="A35" s="2061"/>
      <c r="B35" s="2099"/>
      <c r="C35" s="2099"/>
      <c r="D35" s="2099"/>
      <c r="E35" s="2099"/>
      <c r="F35" s="2099"/>
      <c r="G35" s="2099"/>
      <c r="H35" s="2099"/>
      <c r="I35" s="2061"/>
      <c r="J35" s="2061"/>
      <c r="K35" s="2061"/>
      <c r="L35" s="2061"/>
    </row>
    <row r="36" spans="1:12">
      <c r="A36" s="2061"/>
      <c r="B36" s="2099" t="s">
        <v>1020</v>
      </c>
      <c r="C36" s="2099">
        <f>'yrP&amp;L_new'!K58</f>
        <v>67.884999999999991</v>
      </c>
      <c r="D36" s="2115" t="s">
        <v>1012</v>
      </c>
      <c r="E36" s="2116"/>
      <c r="F36" s="2117"/>
      <c r="G36" s="2118"/>
      <c r="H36" s="2118"/>
      <c r="I36" s="2061"/>
      <c r="J36" s="2061"/>
      <c r="K36" s="2061"/>
      <c r="L36" s="2061"/>
    </row>
    <row r="37" spans="1:12">
      <c r="A37" s="2061"/>
      <c r="B37" s="2099" t="s">
        <v>1021</v>
      </c>
      <c r="C37" s="2134" t="str">
        <f>D37</f>
        <v xml:space="preserve">   $   122.86   </v>
      </c>
      <c r="D37" s="2119" t="str">
        <f>_xll.ThomsonONEAddinShim.SpreadsheetFormulas.TF("BURL-US","TF.PR.PriceClose()","")</f>
        <v xml:space="preserve">   $   122.86   </v>
      </c>
      <c r="E37" s="2120"/>
      <c r="F37" s="2121"/>
      <c r="G37" s="2118"/>
      <c r="H37" s="2118"/>
      <c r="I37" s="2061"/>
      <c r="J37" s="2061"/>
      <c r="K37" s="2061"/>
      <c r="L37" s="2061"/>
    </row>
    <row r="38" spans="1:12">
      <c r="A38" s="2061"/>
      <c r="B38" s="2111" t="s">
        <v>1022</v>
      </c>
      <c r="C38" s="2111">
        <f>C36*D37</f>
        <v>8340.351099999998</v>
      </c>
      <c r="D38" s="2116"/>
      <c r="E38" s="2118"/>
      <c r="F38" s="2121"/>
      <c r="G38" s="2118"/>
      <c r="H38" s="2118"/>
      <c r="I38" s="2061"/>
      <c r="J38" s="2061"/>
      <c r="K38" s="2061"/>
      <c r="L38" s="2061"/>
    </row>
    <row r="39" spans="1:12">
      <c r="A39" s="2061"/>
      <c r="B39" s="2111" t="s">
        <v>1023</v>
      </c>
      <c r="C39" s="2111">
        <f>C32+C38</f>
        <v>9107.806099999998</v>
      </c>
      <c r="D39" s="2099"/>
      <c r="E39" s="2102" t="s">
        <v>430</v>
      </c>
      <c r="F39" s="2122"/>
      <c r="G39" s="2122"/>
      <c r="H39" s="2123">
        <f>(C30/(C30+C38))*C34 + (C38/(C30+C38))*H33</f>
        <v>8.038333740099568E-2</v>
      </c>
      <c r="I39" s="2061"/>
      <c r="J39" s="2061"/>
      <c r="K39" s="2061"/>
      <c r="L39" s="2061"/>
    </row>
    <row r="40" spans="1:12">
      <c r="A40" s="2061"/>
      <c r="B40" s="2099"/>
      <c r="C40" s="2099"/>
      <c r="D40" s="2099"/>
      <c r="E40" s="2099"/>
      <c r="F40" s="2099"/>
      <c r="G40" s="2099"/>
      <c r="H40" s="2099"/>
      <c r="I40" s="2061"/>
      <c r="J40" s="2061"/>
      <c r="K40" s="2061"/>
      <c r="L40" s="2061"/>
    </row>
    <row r="41" spans="1:12">
      <c r="A41" s="2061"/>
      <c r="B41" s="2099" t="s">
        <v>1024</v>
      </c>
      <c r="C41" s="2099">
        <f>SUM(C25:J25)</f>
        <v>3115.8230627573121</v>
      </c>
      <c r="D41" s="2099"/>
      <c r="E41" s="2099"/>
      <c r="F41" s="2099"/>
      <c r="G41" s="2099"/>
      <c r="H41" s="2099"/>
      <c r="I41" s="2061"/>
      <c r="J41" s="2061"/>
      <c r="K41" s="2061"/>
      <c r="L41" s="2061"/>
    </row>
    <row r="42" spans="1:12">
      <c r="A42" s="2061"/>
      <c r="B42" s="2099" t="s">
        <v>1010</v>
      </c>
      <c r="C42" s="2109">
        <f>J27</f>
        <v>5799.7334655822506</v>
      </c>
      <c r="D42" s="2099"/>
      <c r="E42" s="2099"/>
      <c r="F42" s="2099"/>
      <c r="G42" s="2099"/>
      <c r="H42" s="2099"/>
      <c r="I42" s="2061"/>
      <c r="J42" s="2061"/>
      <c r="K42" s="2061"/>
      <c r="L42" s="2061"/>
    </row>
    <row r="43" spans="1:12">
      <c r="A43" s="2061"/>
      <c r="B43" s="2111" t="s">
        <v>1025</v>
      </c>
      <c r="C43" s="2111">
        <f>SUM(C41:C42)</f>
        <v>8915.5565283395626</v>
      </c>
      <c r="D43" s="2099"/>
      <c r="E43" s="2099"/>
      <c r="F43" s="2099"/>
      <c r="G43" s="2099"/>
      <c r="H43" s="2099"/>
      <c r="I43" s="2061"/>
      <c r="J43" s="2061"/>
      <c r="K43" s="2061"/>
      <c r="L43" s="2061"/>
    </row>
    <row r="44" spans="1:12">
      <c r="A44" s="2061"/>
      <c r="B44" s="2099" t="s">
        <v>1026</v>
      </c>
      <c r="C44" s="2099">
        <f>-C30</f>
        <v>-879.03099999999995</v>
      </c>
      <c r="D44" s="2120"/>
      <c r="E44" s="2120"/>
      <c r="F44" s="2120"/>
      <c r="G44" s="2120"/>
      <c r="H44" s="2120"/>
      <c r="I44" s="2120"/>
      <c r="J44" s="2120"/>
      <c r="K44" s="2120"/>
      <c r="L44" s="2061"/>
    </row>
    <row r="45" spans="1:12">
      <c r="A45" s="2061"/>
      <c r="B45" s="2099" t="s">
        <v>1027</v>
      </c>
      <c r="C45" s="2116">
        <f>+C31</f>
        <v>111.57599999999999</v>
      </c>
      <c r="D45" s="2099"/>
      <c r="E45" s="2099"/>
      <c r="F45" s="2099"/>
      <c r="G45" s="2099"/>
      <c r="H45" s="2099"/>
      <c r="I45" s="2061"/>
      <c r="J45" s="2061"/>
      <c r="K45" s="2061"/>
      <c r="L45" s="2061"/>
    </row>
    <row r="46" spans="1:12">
      <c r="A46" s="2061"/>
      <c r="B46" s="2099" t="s">
        <v>1028</v>
      </c>
      <c r="C46" s="2116">
        <v>0</v>
      </c>
      <c r="D46" s="2099"/>
      <c r="E46" s="2099"/>
      <c r="F46" s="2099"/>
      <c r="G46" s="2099"/>
      <c r="H46" s="2099"/>
      <c r="I46" s="2061"/>
      <c r="J46" s="2061"/>
      <c r="K46" s="2061"/>
      <c r="L46" s="2061"/>
    </row>
    <row r="47" spans="1:12">
      <c r="A47" s="2061"/>
      <c r="B47" s="2099" t="s">
        <v>1029</v>
      </c>
      <c r="C47" s="2124" t="s">
        <v>90</v>
      </c>
      <c r="D47" s="2099"/>
      <c r="E47" s="2099"/>
      <c r="F47" s="2099"/>
      <c r="G47" s="2099"/>
      <c r="H47" s="2099"/>
      <c r="I47" s="2061"/>
      <c r="J47" s="2061"/>
      <c r="K47" s="2061"/>
      <c r="L47" s="2061"/>
    </row>
    <row r="48" spans="1:12">
      <c r="A48" s="2061"/>
      <c r="B48" s="2111" t="s">
        <v>1030</v>
      </c>
      <c r="C48" s="2111">
        <f>SUM(C43:C47)</f>
        <v>8148.1015283395627</v>
      </c>
      <c r="D48" s="2099"/>
      <c r="E48" s="2099"/>
      <c r="F48" s="2099"/>
      <c r="G48" s="2099"/>
      <c r="H48" s="2099"/>
      <c r="I48" s="2061"/>
      <c r="J48" s="2061"/>
      <c r="K48" s="2061"/>
      <c r="L48" s="2061"/>
    </row>
    <row r="49" spans="1:12">
      <c r="A49" s="2061"/>
      <c r="B49" s="2102" t="s">
        <v>1031</v>
      </c>
      <c r="C49" s="2125">
        <f>C48/C36</f>
        <v>120.02801102363649</v>
      </c>
      <c r="D49" s="2126"/>
      <c r="E49" s="2099"/>
      <c r="F49" s="2099"/>
      <c r="G49" s="2099"/>
      <c r="H49" s="2099"/>
      <c r="I49" s="2061"/>
      <c r="J49" s="2061"/>
      <c r="K49" s="2061"/>
      <c r="L49" s="2061"/>
    </row>
    <row r="50" spans="1:12">
      <c r="A50" s="2061"/>
      <c r="B50" s="2099"/>
      <c r="C50" s="2127"/>
      <c r="D50" s="2061"/>
      <c r="E50" s="2061"/>
      <c r="F50" s="2061"/>
      <c r="G50" s="2061"/>
      <c r="H50" s="2061"/>
      <c r="I50" s="2061"/>
      <c r="J50" s="2061"/>
      <c r="K50" s="2061"/>
      <c r="L50" s="2061"/>
    </row>
    <row r="51" spans="1:12">
      <c r="A51" s="2061"/>
      <c r="B51" s="2099"/>
      <c r="C51" s="2061"/>
      <c r="D51" s="2061"/>
      <c r="E51" s="2061"/>
      <c r="F51" s="2061"/>
      <c r="G51" s="2061"/>
      <c r="H51" s="2061"/>
      <c r="I51" s="2061"/>
      <c r="J51" s="2061"/>
      <c r="K51" s="2061"/>
      <c r="L51" s="2061"/>
    </row>
    <row r="52" spans="1:12">
      <c r="A52" s="2061"/>
      <c r="B52" s="2099"/>
      <c r="C52" s="2061"/>
      <c r="D52" s="2061"/>
      <c r="E52" s="2061"/>
      <c r="F52" s="2061"/>
      <c r="G52" s="2061"/>
      <c r="H52" s="2061"/>
      <c r="I52" s="2061"/>
      <c r="J52" s="2061"/>
      <c r="K52" s="2061"/>
      <c r="L52" s="2061"/>
    </row>
    <row r="53" spans="1:12">
      <c r="A53" s="2061"/>
      <c r="B53" s="2099"/>
      <c r="C53" s="2073"/>
      <c r="D53" s="2073"/>
      <c r="E53" s="2073"/>
      <c r="F53" s="2073"/>
      <c r="G53" s="2073"/>
      <c r="H53" s="2073"/>
      <c r="I53" s="2073"/>
      <c r="J53" s="2073"/>
      <c r="K53" s="2073"/>
      <c r="L53" s="2061"/>
    </row>
    <row r="54" spans="1:12">
      <c r="A54" s="2061"/>
      <c r="B54" s="2099"/>
      <c r="C54" s="2061"/>
      <c r="D54" s="2061"/>
      <c r="E54" s="2061"/>
      <c r="F54" s="2061"/>
      <c r="G54" s="2061"/>
      <c r="H54" s="2061"/>
      <c r="I54" s="2061"/>
      <c r="J54" s="2061"/>
      <c r="K54" s="2061"/>
      <c r="L54" s="2061"/>
    </row>
    <row r="55" spans="1:12" s="2130" customFormat="1">
      <c r="A55" s="2128"/>
      <c r="B55" s="2129"/>
      <c r="C55" s="2128"/>
      <c r="D55" s="2128"/>
      <c r="E55" s="2128"/>
      <c r="F55" s="2128"/>
      <c r="G55" s="2128"/>
      <c r="H55" s="2128"/>
      <c r="I55" s="2128"/>
      <c r="J55" s="2128"/>
      <c r="K55" s="2128"/>
      <c r="L55" s="2128"/>
    </row>
  </sheetData>
  <mergeCells count="2">
    <mergeCell ref="C1:G1"/>
    <mergeCell ref="H1:J1"/>
  </mergeCell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3:F5"/>
  <sheetViews>
    <sheetView workbookViewId="0">
      <selection activeCell="V48" sqref="V48"/>
    </sheetView>
  </sheetViews>
  <sheetFormatPr defaultRowHeight="12.75"/>
  <sheetData>
    <row r="3" spans="1:6" ht="15.75">
      <c r="A3" s="2059"/>
      <c r="B3" s="2059" t="s">
        <v>947</v>
      </c>
      <c r="C3" s="2059" t="s">
        <v>948</v>
      </c>
      <c r="D3" s="2059" t="s">
        <v>949</v>
      </c>
      <c r="E3" s="2059" t="s">
        <v>995</v>
      </c>
      <c r="F3" s="2059" t="s">
        <v>996</v>
      </c>
    </row>
    <row r="4" spans="1:6" ht="15.75">
      <c r="A4" s="2059" t="s">
        <v>993</v>
      </c>
      <c r="B4" s="2060">
        <f>'yrP&amp;L_new'!J69</f>
        <v>4.4457012007739527</v>
      </c>
      <c r="C4" s="2060">
        <f>'yrP&amp;L_new'!K69</f>
        <v>5.8292560502136297</v>
      </c>
      <c r="D4" s="2060">
        <f>'yrP&amp;L_new'!L69</f>
        <v>6.6030690697229266</v>
      </c>
      <c r="E4" s="2060">
        <f>'yrP&amp;L_new'!M69</f>
        <v>7.4531811455119907</v>
      </c>
      <c r="F4" s="2060">
        <f>'yrP&amp;L_new'!N69</f>
        <v>8.4499842343328595</v>
      </c>
    </row>
    <row r="5" spans="1:6" ht="15.75">
      <c r="A5" s="2059" t="s">
        <v>994</v>
      </c>
      <c r="B5" s="2060">
        <v>3.96</v>
      </c>
      <c r="C5" s="2060">
        <v>4.3</v>
      </c>
      <c r="D5" s="2060">
        <v>4.8499999999999996</v>
      </c>
      <c r="E5" s="2060">
        <v>5.4</v>
      </c>
      <c r="F5" s="2060">
        <v>6.1</v>
      </c>
    </row>
  </sheetData>
  <pageMargins left="0" right="0" top="0" bottom="0" header="0" footer="0"/>
  <pageSetup paperSize="5" orientation="landscape"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D5"/>
  <sheetViews>
    <sheetView workbookViewId="0">
      <selection activeCell="Q41" sqref="Q41"/>
    </sheetView>
  </sheetViews>
  <sheetFormatPr defaultRowHeight="12.75"/>
  <sheetData>
    <row r="1" spans="1:4">
      <c r="A1" s="17" t="s">
        <v>1032</v>
      </c>
      <c r="B1" s="1620">
        <v>1.72E-2</v>
      </c>
    </row>
    <row r="3" spans="1:4">
      <c r="A3" s="50">
        <f>+B1+0.0275</f>
        <v>4.4700000000000004E-2</v>
      </c>
      <c r="B3">
        <v>1112.0440000000001</v>
      </c>
      <c r="C3">
        <f>B3*A3</f>
        <v>49.708366800000007</v>
      </c>
    </row>
    <row r="4" spans="1:4">
      <c r="C4">
        <v>5.2060000000000004</v>
      </c>
    </row>
    <row r="5" spans="1:4">
      <c r="C5">
        <f>SUM(C3:C4)</f>
        <v>54.91436680000001</v>
      </c>
      <c r="D5">
        <f>C5/B3</f>
        <v>4.9381469438259641E-2</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P82"/>
  <sheetViews>
    <sheetView workbookViewId="0">
      <selection activeCell="S24" sqref="S24"/>
    </sheetView>
  </sheetViews>
  <sheetFormatPr defaultRowHeight="12.75"/>
  <sheetData>
    <row r="1" spans="1:16">
      <c r="A1" s="2142"/>
      <c r="B1" s="2279">
        <v>15</v>
      </c>
      <c r="C1" s="2279"/>
      <c r="D1" s="2279"/>
      <c r="E1" s="2279"/>
      <c r="F1" s="2279">
        <v>16</v>
      </c>
      <c r="G1" s="2279"/>
      <c r="H1" s="2279"/>
      <c r="I1" s="2279"/>
      <c r="J1" s="2279">
        <v>17</v>
      </c>
      <c r="K1" s="2279"/>
      <c r="L1" s="2279"/>
      <c r="M1" s="2279"/>
      <c r="N1" s="2142"/>
      <c r="O1" s="2142"/>
      <c r="P1" s="2142"/>
    </row>
    <row r="2" spans="1:16">
      <c r="A2" s="2142"/>
      <c r="B2" s="2101" t="s">
        <v>105</v>
      </c>
      <c r="C2" s="2101" t="s">
        <v>106</v>
      </c>
      <c r="D2" s="2101" t="s">
        <v>107</v>
      </c>
      <c r="E2" s="2101" t="s">
        <v>108</v>
      </c>
      <c r="F2" s="2101" t="s">
        <v>105</v>
      </c>
      <c r="G2" s="2101" t="s">
        <v>106</v>
      </c>
      <c r="H2" s="2101" t="s">
        <v>107</v>
      </c>
      <c r="I2" s="2101" t="s">
        <v>108</v>
      </c>
      <c r="J2" s="2101" t="s">
        <v>105</v>
      </c>
      <c r="K2" s="2101" t="s">
        <v>106</v>
      </c>
      <c r="L2" s="2101" t="s">
        <v>107</v>
      </c>
      <c r="M2" s="2101" t="s">
        <v>108</v>
      </c>
      <c r="N2" s="2142"/>
      <c r="O2" s="2142"/>
      <c r="P2" s="2142"/>
    </row>
    <row r="3" spans="1:16">
      <c r="A3" s="2142"/>
      <c r="B3" s="2101" t="str">
        <f>CONCATENATE(B2,$B$1)</f>
        <v>1Q15</v>
      </c>
      <c r="C3" s="2101" t="str">
        <f t="shared" ref="C3:E3" si="0">CONCATENATE(C2,$B$1)</f>
        <v>2Q15</v>
      </c>
      <c r="D3" s="2101" t="str">
        <f t="shared" si="0"/>
        <v>3Q15</v>
      </c>
      <c r="E3" s="2101" t="str">
        <f t="shared" si="0"/>
        <v>4Q15</v>
      </c>
      <c r="F3" s="2101" t="str">
        <f>CONCATENATE(F2,$F$1)</f>
        <v>1Q16</v>
      </c>
      <c r="G3" s="2101" t="str">
        <f t="shared" ref="G3:I3" si="1">CONCATENATE(G2,$F$1)</f>
        <v>2Q16</v>
      </c>
      <c r="H3" s="2101" t="str">
        <f t="shared" si="1"/>
        <v>3Q16</v>
      </c>
      <c r="I3" s="2101" t="str">
        <f t="shared" si="1"/>
        <v>4Q16</v>
      </c>
      <c r="J3" s="2101" t="str">
        <f>CONCATENATE(J2,$J$1)</f>
        <v>1Q17</v>
      </c>
      <c r="K3" s="2101" t="str">
        <f t="shared" ref="K3:M3" si="2">CONCATENATE(K2,$J$1)</f>
        <v>2Q17</v>
      </c>
      <c r="L3" s="2101" t="str">
        <f t="shared" si="2"/>
        <v>3Q17</v>
      </c>
      <c r="M3" s="2101" t="str">
        <f t="shared" si="2"/>
        <v>4Q17</v>
      </c>
      <c r="N3" s="2142"/>
      <c r="O3" s="2142"/>
      <c r="P3" s="2142"/>
    </row>
    <row r="4" spans="1:16">
      <c r="A4" s="2142"/>
      <c r="B4" s="2143">
        <f t="array" ref="B4:E4">TRANSPOSE(work!BE10:BE13)</f>
        <v>16.207126070655864</v>
      </c>
      <c r="C4" s="2143">
        <v>12.765948475776877</v>
      </c>
      <c r="D4" s="2143">
        <v>3.7928390452060201</v>
      </c>
      <c r="E4" s="2143">
        <v>-0.65677031296752508</v>
      </c>
      <c r="F4" s="2142">
        <f t="array" ref="F4:I4">TRANSPOSE(work!BI10:BI13)</f>
        <v>-2.1426147950962759</v>
      </c>
      <c r="G4" s="2142">
        <v>-7.1510741692123343</v>
      </c>
      <c r="H4" s="2142">
        <v>-11.942257639363984</v>
      </c>
      <c r="I4" s="2142">
        <v>-10.419155409889635</v>
      </c>
      <c r="J4" s="2142">
        <f t="array" ref="J4:M4">TRANSPOSE(work!BM10:BM13)</f>
        <v>-9.84150496959092</v>
      </c>
      <c r="K4" s="2142">
        <v>-2.4135362063989585</v>
      </c>
      <c r="L4" s="2142">
        <v>9.8719830169890841</v>
      </c>
      <c r="M4" s="2142">
        <v>7.2192120998844533</v>
      </c>
      <c r="N4" s="2142"/>
      <c r="O4" s="2142"/>
      <c r="P4" s="2142"/>
    </row>
    <row r="5" spans="1:16">
      <c r="A5" s="2101" t="s">
        <v>124</v>
      </c>
      <c r="B5" s="2144">
        <f>B4/100</f>
        <v>0.16207126070655864</v>
      </c>
      <c r="C5" s="2144">
        <f t="shared" ref="C5:M5" si="3">C4/100</f>
        <v>0.12765948475776878</v>
      </c>
      <c r="D5" s="2144">
        <f t="shared" si="3"/>
        <v>3.7928390452060201E-2</v>
      </c>
      <c r="E5" s="2144">
        <f t="shared" si="3"/>
        <v>-6.5677031296752508E-3</v>
      </c>
      <c r="F5" s="2144">
        <f t="shared" si="3"/>
        <v>-2.1426147950962759E-2</v>
      </c>
      <c r="G5" s="2144">
        <f t="shared" si="3"/>
        <v>-7.1510741692123347E-2</v>
      </c>
      <c r="H5" s="2144">
        <f t="shared" si="3"/>
        <v>-0.11942257639363983</v>
      </c>
      <c r="I5" s="2144">
        <f t="shared" si="3"/>
        <v>-0.10419155409889636</v>
      </c>
      <c r="J5" s="2144">
        <f t="shared" si="3"/>
        <v>-9.8415049695909196E-2</v>
      </c>
      <c r="K5" s="2144">
        <f t="shared" si="3"/>
        <v>-2.4135362063989585E-2</v>
      </c>
      <c r="L5" s="2144">
        <f t="shared" si="3"/>
        <v>9.8719830169890846E-2</v>
      </c>
      <c r="M5" s="2144">
        <f t="shared" si="3"/>
        <v>7.2192120998844533E-2</v>
      </c>
      <c r="N5" s="2142"/>
      <c r="O5" s="2142"/>
      <c r="P5" s="2142"/>
    </row>
    <row r="6" spans="1:16">
      <c r="A6" s="2142"/>
      <c r="B6" s="2142"/>
      <c r="C6" s="2142"/>
      <c r="D6" s="2142"/>
      <c r="E6" s="2142"/>
      <c r="F6" s="2142"/>
      <c r="G6" s="2142"/>
      <c r="H6" s="2142"/>
      <c r="I6" s="2142"/>
      <c r="J6" s="2142"/>
      <c r="K6" s="2142"/>
      <c r="L6" s="2142"/>
      <c r="M6" s="2142"/>
      <c r="N6" s="2142"/>
      <c r="O6" s="2142"/>
      <c r="P6" s="2142"/>
    </row>
    <row r="7" spans="1:16">
      <c r="A7" s="2142"/>
      <c r="B7" s="2142">
        <f t="array" ref="B7:D7">TRANSPOSE(work!BF11:BF13)</f>
        <v>9.6434296906517289</v>
      </c>
      <c r="C7" s="2142">
        <v>6.3591556841315899</v>
      </c>
      <c r="D7" s="2142">
        <v>3.7302017959258471</v>
      </c>
      <c r="E7" s="2142">
        <f>work!BJ10</f>
        <v>8.4197829524985668</v>
      </c>
      <c r="F7" s="2142">
        <f t="array" ref="F7:H7">TRANSPOSE(work!BJ11:BJ13)</f>
        <v>9.6865282664666985</v>
      </c>
      <c r="G7" s="2142">
        <v>9.075901423852418</v>
      </c>
      <c r="H7" s="2142">
        <v>9.4073803405961609</v>
      </c>
      <c r="I7" s="2142">
        <f>work!BN10</f>
        <v>4.9799246883454051</v>
      </c>
      <c r="J7" s="2142">
        <f t="array" ref="J7:L7">TRANSPOSE(work!BN11:BN13)</f>
        <v>8.6188392044001194</v>
      </c>
      <c r="K7" s="2142">
        <v>7.1180545210784985</v>
      </c>
      <c r="L7" s="2142">
        <v>14.896586908225885</v>
      </c>
      <c r="M7" s="2142">
        <f>work!BR10</f>
        <v>10.356902356902363</v>
      </c>
      <c r="N7" s="2142"/>
      <c r="O7" s="2142"/>
      <c r="P7" s="2142"/>
    </row>
    <row r="8" spans="1:16">
      <c r="A8" s="2101" t="s">
        <v>1034</v>
      </c>
      <c r="B8" s="2144">
        <f>B7/100</f>
        <v>9.6434296906517294E-2</v>
      </c>
      <c r="C8" s="2144">
        <f t="shared" ref="C8:M8" si="4">C7/100</f>
        <v>6.3591556841315899E-2</v>
      </c>
      <c r="D8" s="2144">
        <f t="shared" si="4"/>
        <v>3.7302017959258471E-2</v>
      </c>
      <c r="E8" s="2144">
        <f t="shared" si="4"/>
        <v>8.4197829524985668E-2</v>
      </c>
      <c r="F8" s="2144">
        <f t="shared" si="4"/>
        <v>9.6865282664666985E-2</v>
      </c>
      <c r="G8" s="2144">
        <f t="shared" si="4"/>
        <v>9.0759014238524185E-2</v>
      </c>
      <c r="H8" s="2144">
        <f t="shared" si="4"/>
        <v>9.4073803405961609E-2</v>
      </c>
      <c r="I8" s="2144">
        <f t="shared" si="4"/>
        <v>4.9799246883454051E-2</v>
      </c>
      <c r="J8" s="2144">
        <f t="shared" si="4"/>
        <v>8.6188392044001194E-2</v>
      </c>
      <c r="K8" s="2144">
        <f t="shared" si="4"/>
        <v>7.1180545210784985E-2</v>
      </c>
      <c r="L8" s="2144">
        <f t="shared" si="4"/>
        <v>0.14896586908225884</v>
      </c>
      <c r="M8" s="2144">
        <f t="shared" si="4"/>
        <v>0.10356902356902363</v>
      </c>
      <c r="N8" s="2142"/>
      <c r="O8" s="2142"/>
      <c r="P8" s="2142"/>
    </row>
    <row r="9" spans="1:16">
      <c r="A9" s="2142"/>
      <c r="B9" s="2142"/>
      <c r="C9" s="2142"/>
      <c r="D9" s="2142"/>
      <c r="E9" s="2142"/>
      <c r="F9" s="2142"/>
      <c r="G9" s="2142"/>
      <c r="H9" s="2142"/>
      <c r="I9" s="2142"/>
      <c r="J9" s="2142"/>
      <c r="K9" s="2142"/>
      <c r="L9" s="2142"/>
      <c r="M9" s="2142"/>
      <c r="N9" s="2142"/>
      <c r="O9" s="2142"/>
      <c r="P9" s="2142"/>
    </row>
    <row r="10" spans="1:16">
      <c r="A10" s="2142"/>
      <c r="B10" s="2142"/>
      <c r="C10" s="2142"/>
      <c r="D10" s="2142"/>
      <c r="E10" s="2142"/>
      <c r="F10" s="2142"/>
      <c r="G10" s="2142"/>
      <c r="H10" s="2142"/>
      <c r="I10" s="2142"/>
      <c r="J10" s="2142"/>
      <c r="K10" s="2142"/>
      <c r="L10" s="2142"/>
      <c r="M10" s="2142"/>
      <c r="N10" s="2142"/>
      <c r="O10" s="2142"/>
      <c r="P10" s="2142"/>
    </row>
    <row r="11" spans="1:16">
      <c r="A11" s="2101" t="s">
        <v>59</v>
      </c>
      <c r="B11" s="2145">
        <f>B5-B8</f>
        <v>6.5636963800041345E-2</v>
      </c>
      <c r="C11" s="2145">
        <f t="shared" ref="C11:M11" si="5">C5-C8</f>
        <v>6.4067927916452883E-2</v>
      </c>
      <c r="D11" s="2145">
        <f t="shared" si="5"/>
        <v>6.2637249280173002E-4</v>
      </c>
      <c r="E11" s="2145">
        <f t="shared" si="5"/>
        <v>-9.0765532654660919E-2</v>
      </c>
      <c r="F11" s="2145">
        <f t="shared" si="5"/>
        <v>-0.11829143061562974</v>
      </c>
      <c r="G11" s="2145">
        <f t="shared" si="5"/>
        <v>-0.16226975593064752</v>
      </c>
      <c r="H11" s="2145">
        <f t="shared" si="5"/>
        <v>-0.21349637979960145</v>
      </c>
      <c r="I11" s="2145">
        <f t="shared" si="5"/>
        <v>-0.15399080098235041</v>
      </c>
      <c r="J11" s="2145">
        <f t="shared" si="5"/>
        <v>-0.18460344173991039</v>
      </c>
      <c r="K11" s="2145">
        <f t="shared" si="5"/>
        <v>-9.5315907274774569E-2</v>
      </c>
      <c r="L11" s="2145">
        <f t="shared" si="5"/>
        <v>-5.0246038912367993E-2</v>
      </c>
      <c r="M11" s="2145">
        <f t="shared" si="5"/>
        <v>-3.1376902570179097E-2</v>
      </c>
      <c r="N11" s="2142"/>
      <c r="O11" s="2142"/>
      <c r="P11" s="2142"/>
    </row>
    <row r="12" spans="1:16">
      <c r="A12" s="2142"/>
      <c r="B12" s="2142"/>
      <c r="C12" s="2142"/>
      <c r="D12" s="2142"/>
      <c r="E12" s="2142"/>
      <c r="F12" s="2142"/>
      <c r="G12" s="2142"/>
      <c r="H12" s="2142"/>
      <c r="I12" s="2142"/>
      <c r="J12" s="2142"/>
      <c r="K12" s="2142"/>
      <c r="L12" s="2142"/>
      <c r="M12" s="2142"/>
      <c r="N12" s="2142"/>
      <c r="O12" s="2142"/>
      <c r="P12" s="2142"/>
    </row>
    <row r="13" spans="1:16">
      <c r="A13" s="2142"/>
      <c r="B13" s="2145">
        <f>-B11</f>
        <v>-6.5636963800041345E-2</v>
      </c>
      <c r="C13" s="2145">
        <f t="shared" ref="C13:M13" si="6">-C11</f>
        <v>-6.4067927916452883E-2</v>
      </c>
      <c r="D13" s="2145">
        <f t="shared" si="6"/>
        <v>-6.2637249280173002E-4</v>
      </c>
      <c r="E13" s="2145">
        <f t="shared" si="6"/>
        <v>9.0765532654660919E-2</v>
      </c>
      <c r="F13" s="2145">
        <f t="shared" si="6"/>
        <v>0.11829143061562974</v>
      </c>
      <c r="G13" s="2145">
        <f t="shared" si="6"/>
        <v>0.16226975593064752</v>
      </c>
      <c r="H13" s="2145">
        <f t="shared" si="6"/>
        <v>0.21349637979960145</v>
      </c>
      <c r="I13" s="2145">
        <f t="shared" si="6"/>
        <v>0.15399080098235041</v>
      </c>
      <c r="J13" s="2145">
        <f t="shared" si="6"/>
        <v>0.18460344173991039</v>
      </c>
      <c r="K13" s="2145">
        <f t="shared" si="6"/>
        <v>9.5315907274774569E-2</v>
      </c>
      <c r="L13" s="2145">
        <f t="shared" si="6"/>
        <v>5.0246038912367993E-2</v>
      </c>
      <c r="M13" s="2145">
        <f t="shared" si="6"/>
        <v>3.1376902570179097E-2</v>
      </c>
      <c r="N13" s="2142"/>
      <c r="O13" s="2142"/>
      <c r="P13" s="2142"/>
    </row>
    <row r="14" spans="1:16">
      <c r="A14" s="2142"/>
      <c r="B14" s="2142"/>
      <c r="C14" s="2142"/>
      <c r="D14" s="2142"/>
      <c r="E14" s="2142"/>
      <c r="F14" s="2142"/>
      <c r="G14" s="2142"/>
      <c r="H14" s="2142"/>
      <c r="I14" s="2142"/>
      <c r="J14" s="2142"/>
      <c r="K14" s="2142"/>
      <c r="L14" s="2142"/>
      <c r="M14" s="2142"/>
      <c r="N14" s="2142"/>
      <c r="O14" s="2142"/>
      <c r="P14" s="2142"/>
    </row>
    <row r="15" spans="1:16">
      <c r="A15" s="2142"/>
      <c r="B15" s="2142"/>
      <c r="C15" s="2142"/>
      <c r="D15" s="2142"/>
      <c r="E15" s="2142"/>
      <c r="F15" s="2142"/>
      <c r="G15" s="2142"/>
      <c r="H15" s="2142"/>
      <c r="I15" s="2142"/>
      <c r="J15" s="2142"/>
      <c r="K15" s="2142"/>
      <c r="L15" s="2142"/>
      <c r="M15" s="2142"/>
      <c r="N15" s="2142"/>
      <c r="O15" s="2142"/>
      <c r="P15" s="2142"/>
    </row>
    <row r="16" spans="1:16">
      <c r="A16" s="2142"/>
      <c r="B16" s="2142"/>
      <c r="C16" s="2142"/>
      <c r="D16" s="2142"/>
      <c r="E16" s="2142"/>
      <c r="F16" s="2142"/>
      <c r="G16" s="2142"/>
      <c r="H16" s="2142"/>
      <c r="I16" s="2142"/>
      <c r="J16" s="2142"/>
      <c r="K16" s="2142"/>
      <c r="L16" s="2142"/>
      <c r="M16" s="2142"/>
      <c r="N16" s="2142"/>
      <c r="O16" s="2142"/>
      <c r="P16" s="2142"/>
    </row>
    <row r="17" spans="1:16">
      <c r="A17" s="2142"/>
      <c r="B17" s="2142"/>
      <c r="C17" s="2142"/>
      <c r="D17" s="2142"/>
      <c r="E17" s="2142"/>
      <c r="F17" s="2142"/>
      <c r="G17" s="2142"/>
      <c r="H17" s="2142"/>
      <c r="I17" s="2142"/>
      <c r="J17" s="2142"/>
      <c r="K17" s="2142"/>
      <c r="L17" s="2142"/>
      <c r="M17" s="2142"/>
      <c r="N17" s="2142"/>
      <c r="O17" s="2142"/>
      <c r="P17" s="2142"/>
    </row>
    <row r="18" spans="1:16">
      <c r="A18" s="2142"/>
      <c r="B18" s="2142"/>
      <c r="C18" s="2142"/>
      <c r="D18" s="2142"/>
      <c r="E18" s="2142"/>
      <c r="F18" s="2142"/>
      <c r="G18" s="2142"/>
      <c r="H18" s="2142"/>
      <c r="I18" s="2142"/>
      <c r="J18" s="2142"/>
      <c r="K18" s="2142"/>
      <c r="L18" s="2142"/>
      <c r="M18" s="2142"/>
      <c r="N18" s="2142"/>
      <c r="O18" s="2142"/>
      <c r="P18" s="2142"/>
    </row>
    <row r="19" spans="1:16">
      <c r="A19" s="2142"/>
      <c r="B19" s="2142"/>
      <c r="C19" s="2142"/>
      <c r="D19" s="2142"/>
      <c r="E19" s="2142"/>
      <c r="F19" s="2142"/>
      <c r="G19" s="2142"/>
      <c r="H19" s="2142"/>
      <c r="I19" s="2142"/>
      <c r="J19" s="2142"/>
      <c r="K19" s="2142"/>
      <c r="L19" s="2142"/>
      <c r="M19" s="2142"/>
      <c r="N19" s="2142"/>
      <c r="O19" s="2142"/>
      <c r="P19" s="2142"/>
    </row>
    <row r="20" spans="1:16">
      <c r="A20" s="2142"/>
      <c r="B20" s="2142"/>
      <c r="C20" s="2142"/>
      <c r="D20" s="2142"/>
      <c r="E20" s="2142"/>
      <c r="F20" s="2142"/>
      <c r="G20" s="2142"/>
      <c r="H20" s="2142"/>
      <c r="I20" s="2142"/>
      <c r="J20" s="2142"/>
      <c r="K20" s="2142"/>
      <c r="L20" s="2142"/>
      <c r="M20" s="2142"/>
      <c r="N20" s="2142"/>
      <c r="O20" s="2142"/>
      <c r="P20" s="2142"/>
    </row>
    <row r="21" spans="1:16">
      <c r="A21" s="2142"/>
      <c r="B21" s="2142"/>
      <c r="C21" s="2142"/>
      <c r="D21" s="2142"/>
      <c r="E21" s="2142"/>
      <c r="F21" s="2142"/>
      <c r="G21" s="2142"/>
      <c r="H21" s="2142"/>
      <c r="I21" s="2142"/>
      <c r="J21" s="2142"/>
      <c r="K21" s="2142"/>
      <c r="L21" s="2142"/>
      <c r="M21" s="2142"/>
      <c r="N21" s="2142"/>
      <c r="O21" s="2142"/>
      <c r="P21" s="2142"/>
    </row>
    <row r="22" spans="1:16">
      <c r="A22" s="2142"/>
      <c r="B22" s="2142"/>
      <c r="C22" s="2142"/>
      <c r="D22" s="2142"/>
      <c r="E22" s="2142"/>
      <c r="F22" s="2142"/>
      <c r="G22" s="2142"/>
      <c r="H22" s="2142"/>
      <c r="I22" s="2142"/>
      <c r="J22" s="2142"/>
      <c r="K22" s="2142"/>
      <c r="L22" s="2142"/>
      <c r="M22" s="2142"/>
      <c r="N22" s="2142"/>
      <c r="O22" s="2142"/>
      <c r="P22" s="2142"/>
    </row>
    <row r="23" spans="1:16">
      <c r="A23" s="2142"/>
      <c r="B23" s="2142"/>
      <c r="C23" s="2142"/>
      <c r="D23" s="2142"/>
      <c r="E23" s="2142"/>
      <c r="F23" s="2142"/>
      <c r="G23" s="2142"/>
      <c r="H23" s="2142"/>
      <c r="I23" s="2142"/>
      <c r="J23" s="2142"/>
      <c r="K23" s="2142"/>
      <c r="L23" s="2142"/>
      <c r="M23" s="2142"/>
      <c r="N23" s="2142"/>
      <c r="O23" s="2142"/>
      <c r="P23" s="2142"/>
    </row>
    <row r="24" spans="1:16">
      <c r="A24" s="2142"/>
      <c r="B24" s="2142"/>
      <c r="C24" s="2142"/>
      <c r="D24" s="2142"/>
      <c r="E24" s="2142"/>
      <c r="F24" s="2142"/>
      <c r="G24" s="2142"/>
      <c r="H24" s="2142"/>
      <c r="I24" s="2142"/>
      <c r="J24" s="2142"/>
      <c r="K24" s="2142"/>
      <c r="L24" s="2142"/>
      <c r="M24" s="2142"/>
      <c r="N24" s="2142"/>
      <c r="O24" s="2142"/>
      <c r="P24" s="2142"/>
    </row>
    <row r="25" spans="1:16">
      <c r="A25" s="2142"/>
      <c r="B25" s="2142"/>
      <c r="C25" s="2142"/>
      <c r="D25" s="2142"/>
      <c r="E25" s="2142"/>
      <c r="F25" s="2142"/>
      <c r="G25" s="2142"/>
      <c r="H25" s="2142"/>
      <c r="I25" s="2142"/>
      <c r="J25" s="2142"/>
      <c r="K25" s="2142"/>
      <c r="L25" s="2142"/>
      <c r="M25" s="2142"/>
      <c r="N25" s="2142"/>
      <c r="O25" s="2142"/>
      <c r="P25" s="2142"/>
    </row>
    <row r="26" spans="1:16">
      <c r="A26" s="2142"/>
      <c r="B26" s="2142"/>
      <c r="C26" s="2142"/>
      <c r="D26" s="2142"/>
      <c r="E26" s="2142"/>
      <c r="F26" s="2142"/>
      <c r="G26" s="2142"/>
      <c r="H26" s="2142"/>
      <c r="I26" s="2142"/>
      <c r="J26" s="2142"/>
      <c r="K26" s="2142"/>
      <c r="L26" s="2142"/>
      <c r="M26" s="2142"/>
      <c r="N26" s="2142"/>
      <c r="O26" s="2142"/>
      <c r="P26" s="2142"/>
    </row>
    <row r="27" spans="1:16">
      <c r="A27" s="2142"/>
      <c r="B27" s="2142"/>
      <c r="C27" s="2142"/>
      <c r="D27" s="2142"/>
      <c r="E27" s="2142"/>
      <c r="F27" s="2142"/>
      <c r="G27" s="2142"/>
      <c r="H27" s="2142"/>
      <c r="I27" s="2142"/>
      <c r="J27" s="2142"/>
      <c r="K27" s="2142"/>
      <c r="L27" s="2142"/>
      <c r="M27" s="2142"/>
      <c r="N27" s="2142"/>
      <c r="O27" s="2142"/>
      <c r="P27" s="2142"/>
    </row>
    <row r="28" spans="1:16">
      <c r="A28" s="2142"/>
      <c r="B28" s="2142"/>
      <c r="C28" s="2142"/>
      <c r="D28" s="2142"/>
      <c r="E28" s="2142"/>
      <c r="F28" s="2142"/>
      <c r="G28" s="2142"/>
      <c r="H28" s="2142"/>
      <c r="I28" s="2142"/>
      <c r="J28" s="2142"/>
      <c r="K28" s="2142"/>
      <c r="L28" s="2142"/>
      <c r="M28" s="2142"/>
      <c r="N28" s="2142"/>
      <c r="O28" s="2142"/>
      <c r="P28" s="2142"/>
    </row>
    <row r="29" spans="1:16">
      <c r="A29" s="2142"/>
      <c r="B29" s="2142"/>
      <c r="C29" s="2142"/>
      <c r="D29" s="2142"/>
      <c r="E29" s="2142"/>
      <c r="F29" s="2142"/>
      <c r="G29" s="2142"/>
      <c r="H29" s="2142"/>
      <c r="I29" s="2142"/>
      <c r="J29" s="2142"/>
      <c r="K29" s="2142"/>
      <c r="L29" s="2142"/>
      <c r="M29" s="2142"/>
      <c r="N29" s="2142"/>
      <c r="O29" s="2142"/>
      <c r="P29" s="2142"/>
    </row>
    <row r="30" spans="1:16">
      <c r="A30" s="2142"/>
      <c r="B30" s="2142"/>
      <c r="C30" s="2142"/>
      <c r="D30" s="2142"/>
      <c r="E30" s="2142"/>
      <c r="F30" s="2142"/>
      <c r="G30" s="2142"/>
      <c r="H30" s="2142"/>
      <c r="I30" s="2142"/>
      <c r="J30" s="2142"/>
      <c r="K30" s="2142"/>
      <c r="L30" s="2142"/>
      <c r="M30" s="2142"/>
      <c r="N30" s="2142"/>
      <c r="O30" s="2142"/>
      <c r="P30" s="2142"/>
    </row>
    <row r="31" spans="1:16">
      <c r="A31" s="2142"/>
      <c r="B31" s="2142"/>
      <c r="C31" s="2142"/>
      <c r="D31" s="2142"/>
      <c r="E31" s="2142"/>
      <c r="F31" s="2142"/>
      <c r="G31" s="2142"/>
      <c r="H31" s="2142"/>
      <c r="I31" s="2142"/>
      <c r="J31" s="2142"/>
      <c r="K31" s="2142"/>
      <c r="L31" s="2142"/>
      <c r="M31" s="2142"/>
      <c r="N31" s="2142"/>
      <c r="O31" s="2142"/>
      <c r="P31" s="2142"/>
    </row>
    <row r="32" spans="1:16">
      <c r="A32" s="2142"/>
      <c r="B32" s="2142"/>
      <c r="C32" s="2142"/>
      <c r="D32" s="2142"/>
      <c r="E32" s="2142"/>
      <c r="F32" s="2142"/>
      <c r="G32" s="2142"/>
      <c r="H32" s="2142"/>
      <c r="I32" s="2142"/>
      <c r="J32" s="2142"/>
      <c r="K32" s="2142"/>
      <c r="L32" s="2142"/>
      <c r="M32" s="2142"/>
      <c r="N32" s="2142"/>
      <c r="O32" s="2142"/>
      <c r="P32" s="2142"/>
    </row>
    <row r="33" spans="1:16">
      <c r="A33" s="2142"/>
      <c r="B33" s="2142"/>
      <c r="C33" s="2142"/>
      <c r="D33" s="2142"/>
      <c r="E33" s="2142"/>
      <c r="F33" s="2142"/>
      <c r="G33" s="2142"/>
      <c r="H33" s="2142"/>
      <c r="I33" s="2142"/>
      <c r="J33" s="2142"/>
      <c r="K33" s="2142"/>
      <c r="L33" s="2142"/>
      <c r="M33" s="2142"/>
      <c r="N33" s="2142"/>
      <c r="O33" s="2142"/>
      <c r="P33" s="2142"/>
    </row>
    <row r="34" spans="1:16">
      <c r="A34" s="2142"/>
      <c r="B34" s="2142"/>
      <c r="C34" s="2142"/>
      <c r="D34" s="2142"/>
      <c r="E34" s="2142"/>
      <c r="F34" s="2142"/>
      <c r="G34" s="2142"/>
      <c r="H34" s="2142"/>
      <c r="I34" s="2142"/>
      <c r="J34" s="2142"/>
      <c r="K34" s="2142"/>
      <c r="L34" s="2142"/>
      <c r="M34" s="2142"/>
      <c r="N34" s="2142"/>
      <c r="O34" s="2142"/>
      <c r="P34" s="2142"/>
    </row>
    <row r="35" spans="1:16">
      <c r="A35" s="2142"/>
      <c r="B35" s="2142"/>
      <c r="C35" s="2142"/>
      <c r="D35" s="2142"/>
      <c r="E35" s="2142"/>
      <c r="F35" s="2142"/>
      <c r="G35" s="2142"/>
      <c r="H35" s="2142"/>
      <c r="I35" s="2142"/>
      <c r="J35" s="2142"/>
      <c r="K35" s="2142"/>
      <c r="L35" s="2142"/>
      <c r="M35" s="2142"/>
      <c r="N35" s="2142"/>
      <c r="O35" s="2142"/>
      <c r="P35" s="2142"/>
    </row>
    <row r="36" spans="1:16">
      <c r="A36" s="2142"/>
      <c r="B36" s="2142"/>
      <c r="C36" s="2142"/>
      <c r="D36" s="2142"/>
      <c r="E36" s="2142"/>
      <c r="F36" s="2142"/>
      <c r="G36" s="2142"/>
      <c r="H36" s="2142"/>
      <c r="I36" s="2142"/>
      <c r="J36" s="2142"/>
      <c r="K36" s="2142"/>
      <c r="L36" s="2142"/>
      <c r="M36" s="2142"/>
      <c r="N36" s="2142"/>
      <c r="O36" s="2142"/>
      <c r="P36" s="2142"/>
    </row>
    <row r="37" spans="1:16">
      <c r="A37" s="2142"/>
      <c r="B37" s="2142"/>
      <c r="C37" s="2142"/>
      <c r="D37" s="2142"/>
      <c r="E37" s="2142"/>
      <c r="F37" s="2142"/>
      <c r="G37" s="2142"/>
      <c r="H37" s="2142"/>
      <c r="I37" s="2142"/>
      <c r="J37" s="2142"/>
      <c r="K37" s="2142"/>
      <c r="L37" s="2142"/>
      <c r="M37" s="2142"/>
      <c r="N37" s="2142"/>
      <c r="O37" s="2142"/>
      <c r="P37" s="2142"/>
    </row>
    <row r="38" spans="1:16">
      <c r="A38" s="2142"/>
      <c r="B38" s="2142"/>
      <c r="C38" s="2142"/>
      <c r="D38" s="2142"/>
      <c r="E38" s="2142"/>
      <c r="F38" s="2142"/>
      <c r="G38" s="2142"/>
      <c r="H38" s="2142"/>
      <c r="I38" s="2142"/>
      <c r="J38" s="2142"/>
      <c r="K38" s="2142"/>
      <c r="L38" s="2142"/>
      <c r="M38" s="2142"/>
      <c r="N38" s="2142"/>
      <c r="O38" s="2142"/>
      <c r="P38" s="2142"/>
    </row>
    <row r="39" spans="1:16">
      <c r="A39" s="2142"/>
      <c r="B39" s="2142"/>
      <c r="C39" s="2142"/>
      <c r="D39" s="2142"/>
      <c r="E39" s="2142"/>
      <c r="F39" s="2142"/>
      <c r="G39" s="2142"/>
      <c r="H39" s="2142"/>
      <c r="I39" s="2142"/>
      <c r="J39" s="2142"/>
      <c r="K39" s="2142"/>
      <c r="L39" s="2142"/>
      <c r="M39" s="2142"/>
      <c r="N39" s="2142"/>
      <c r="O39" s="2142"/>
      <c r="P39" s="2142"/>
    </row>
    <row r="40" spans="1:16">
      <c r="A40" s="2142"/>
      <c r="B40" s="2142"/>
      <c r="C40" s="2142"/>
      <c r="D40" s="2142"/>
      <c r="E40" s="2142"/>
      <c r="F40" s="2142"/>
      <c r="G40" s="2142"/>
      <c r="H40" s="2142"/>
      <c r="I40" s="2142"/>
      <c r="J40" s="2142"/>
      <c r="K40" s="2142"/>
      <c r="L40" s="2142"/>
      <c r="M40" s="2142"/>
      <c r="N40" s="2142"/>
      <c r="O40" s="2142"/>
      <c r="P40" s="2142"/>
    </row>
    <row r="41" spans="1:16">
      <c r="A41" s="2142"/>
      <c r="B41" s="2142"/>
      <c r="C41" s="2142"/>
      <c r="D41" s="2142"/>
      <c r="E41" s="2142"/>
      <c r="F41" s="2142"/>
      <c r="G41" s="2142"/>
      <c r="H41" s="2142"/>
      <c r="I41" s="2142"/>
      <c r="J41" s="2142"/>
      <c r="K41" s="2142"/>
      <c r="L41" s="2142"/>
      <c r="M41" s="2142"/>
      <c r="N41" s="2142"/>
      <c r="O41" s="2142"/>
      <c r="P41" s="2142"/>
    </row>
    <row r="42" spans="1:16">
      <c r="A42" s="2142"/>
      <c r="B42" s="2142"/>
      <c r="C42" s="2142"/>
      <c r="D42" s="2142"/>
      <c r="E42" s="2142"/>
      <c r="F42" s="2142"/>
      <c r="G42" s="2142"/>
      <c r="H42" s="2142"/>
      <c r="I42" s="2142"/>
      <c r="J42" s="2142"/>
      <c r="K42" s="2142"/>
      <c r="L42" s="2142"/>
      <c r="M42" s="2142"/>
      <c r="N42" s="2142"/>
      <c r="O42" s="2142"/>
      <c r="P42" s="2142"/>
    </row>
    <row r="43" spans="1:16">
      <c r="A43" s="2142"/>
      <c r="B43" s="2142"/>
      <c r="C43" s="2142"/>
      <c r="D43" s="2142"/>
      <c r="E43" s="2142"/>
      <c r="F43" s="2142"/>
      <c r="G43" s="2142"/>
      <c r="H43" s="2142"/>
      <c r="I43" s="2142"/>
      <c r="J43" s="2142"/>
      <c r="K43" s="2142"/>
      <c r="L43" s="2142"/>
      <c r="M43" s="2142"/>
      <c r="N43" s="2142"/>
      <c r="O43" s="2142"/>
      <c r="P43" s="2142"/>
    </row>
    <row r="44" spans="1:16">
      <c r="A44" s="2142"/>
      <c r="B44" s="2142"/>
      <c r="C44" s="2142"/>
      <c r="D44" s="2142"/>
      <c r="E44" s="2142"/>
      <c r="F44" s="2142"/>
      <c r="G44" s="2142"/>
      <c r="H44" s="2142"/>
      <c r="I44" s="2142"/>
      <c r="J44" s="2142"/>
      <c r="K44" s="2142"/>
      <c r="L44" s="2142"/>
      <c r="M44" s="2142"/>
      <c r="N44" s="2142"/>
      <c r="O44" s="2142"/>
      <c r="P44" s="2142"/>
    </row>
    <row r="45" spans="1:16">
      <c r="A45" s="2142"/>
      <c r="B45" s="2142"/>
      <c r="C45" s="2142"/>
      <c r="D45" s="2142"/>
      <c r="E45" s="2142"/>
      <c r="F45" s="2142"/>
      <c r="G45" s="2142"/>
      <c r="H45" s="2142"/>
      <c r="I45" s="2142"/>
      <c r="J45" s="2142"/>
      <c r="K45" s="2142"/>
      <c r="L45" s="2142"/>
      <c r="M45" s="2142"/>
      <c r="N45" s="2142"/>
      <c r="O45" s="2142"/>
      <c r="P45" s="2142"/>
    </row>
    <row r="46" spans="1:16">
      <c r="A46" s="2142"/>
      <c r="B46" s="2142"/>
      <c r="C46" s="2142"/>
      <c r="D46" s="2142"/>
      <c r="E46" s="2142"/>
      <c r="F46" s="2142"/>
      <c r="G46" s="2142"/>
      <c r="H46" s="2142"/>
      <c r="I46" s="2142"/>
      <c r="J46" s="2142"/>
      <c r="K46" s="2142"/>
      <c r="L46" s="2142"/>
      <c r="M46" s="2142"/>
      <c r="N46" s="2142"/>
      <c r="O46" s="2142"/>
      <c r="P46" s="2142"/>
    </row>
    <row r="47" spans="1:16">
      <c r="A47" s="2142"/>
      <c r="B47" s="2142"/>
      <c r="C47" s="2142"/>
      <c r="D47" s="2142"/>
      <c r="E47" s="2142"/>
      <c r="F47" s="2142"/>
      <c r="G47" s="2142"/>
      <c r="H47" s="2142"/>
      <c r="I47" s="2142"/>
      <c r="J47" s="2142"/>
      <c r="K47" s="2142"/>
      <c r="L47" s="2142"/>
      <c r="M47" s="2142"/>
      <c r="N47" s="2142"/>
      <c r="O47" s="2142"/>
      <c r="P47" s="2142"/>
    </row>
    <row r="48" spans="1:16">
      <c r="A48" s="2142"/>
      <c r="B48" s="2142"/>
      <c r="C48" s="2142"/>
      <c r="D48" s="2142"/>
      <c r="E48" s="2142"/>
      <c r="F48" s="2142"/>
      <c r="G48" s="2142"/>
      <c r="H48" s="2142"/>
      <c r="I48" s="2142"/>
      <c r="J48" s="2142"/>
      <c r="K48" s="2142"/>
      <c r="L48" s="2142"/>
      <c r="M48" s="2142"/>
      <c r="N48" s="2142"/>
      <c r="O48" s="2142"/>
      <c r="P48" s="2142"/>
    </row>
    <row r="49" spans="1:16">
      <c r="A49" s="2142"/>
      <c r="B49" s="2142"/>
      <c r="C49" s="2142"/>
      <c r="D49" s="2142"/>
      <c r="E49" s="2142"/>
      <c r="F49" s="2142"/>
      <c r="G49" s="2142"/>
      <c r="H49" s="2142"/>
      <c r="I49" s="2142"/>
      <c r="J49" s="2142"/>
      <c r="K49" s="2142"/>
      <c r="L49" s="2142"/>
      <c r="M49" s="2142"/>
      <c r="N49" s="2142"/>
      <c r="O49" s="2142"/>
      <c r="P49" s="2142"/>
    </row>
    <row r="50" spans="1:16">
      <c r="A50" s="2142"/>
      <c r="B50" s="2142"/>
      <c r="C50" s="2142"/>
      <c r="D50" s="2142"/>
      <c r="E50" s="2142"/>
      <c r="F50" s="2142"/>
      <c r="G50" s="2142"/>
      <c r="H50" s="2142"/>
      <c r="I50" s="2142"/>
      <c r="J50" s="2142"/>
      <c r="K50" s="2142"/>
      <c r="L50" s="2142"/>
      <c r="M50" s="2142"/>
      <c r="N50" s="2142"/>
      <c r="O50" s="2142"/>
      <c r="P50" s="2142"/>
    </row>
    <row r="51" spans="1:16">
      <c r="A51" s="2142"/>
      <c r="B51" s="2142"/>
      <c r="C51" s="2142"/>
      <c r="D51" s="2142"/>
      <c r="E51" s="2142"/>
      <c r="F51" s="2142"/>
      <c r="G51" s="2142"/>
      <c r="H51" s="2142"/>
      <c r="I51" s="2142"/>
      <c r="J51" s="2142"/>
      <c r="K51" s="2142"/>
      <c r="L51" s="2142"/>
      <c r="M51" s="2142"/>
      <c r="N51" s="2142"/>
      <c r="O51" s="2142"/>
      <c r="P51" s="2142"/>
    </row>
    <row r="52" spans="1:16">
      <c r="A52" s="2142"/>
      <c r="B52" s="2142"/>
      <c r="C52" s="2142"/>
      <c r="D52" s="2142"/>
      <c r="E52" s="2142"/>
      <c r="F52" s="2142"/>
      <c r="G52" s="2142"/>
      <c r="H52" s="2142"/>
      <c r="I52" s="2142"/>
      <c r="J52" s="2142"/>
      <c r="K52" s="2142"/>
      <c r="L52" s="2142"/>
      <c r="M52" s="2142"/>
      <c r="N52" s="2142"/>
      <c r="O52" s="2142"/>
      <c r="P52" s="2142"/>
    </row>
    <row r="53" spans="1:16">
      <c r="A53" s="2142"/>
      <c r="B53" s="2142"/>
      <c r="C53" s="2142"/>
      <c r="D53" s="2142"/>
      <c r="E53" s="2142"/>
      <c r="F53" s="2142"/>
      <c r="G53" s="2142"/>
      <c r="H53" s="2142"/>
      <c r="I53" s="2142"/>
      <c r="J53" s="2142"/>
      <c r="K53" s="2142"/>
      <c r="L53" s="2142"/>
      <c r="M53" s="2142"/>
      <c r="N53" s="2142"/>
      <c r="O53" s="2142"/>
      <c r="P53" s="2142"/>
    </row>
    <row r="54" spans="1:16">
      <c r="A54" s="2142"/>
      <c r="B54" s="2142"/>
      <c r="C54" s="2142"/>
      <c r="D54" s="2142"/>
      <c r="E54" s="2142"/>
      <c r="F54" s="2142"/>
      <c r="G54" s="2142"/>
      <c r="H54" s="2142"/>
      <c r="I54" s="2142"/>
      <c r="J54" s="2142"/>
      <c r="K54" s="2142"/>
      <c r="L54" s="2142"/>
      <c r="M54" s="2142"/>
      <c r="N54" s="2142"/>
      <c r="O54" s="2142"/>
      <c r="P54" s="2142"/>
    </row>
    <row r="55" spans="1:16">
      <c r="A55" s="2142"/>
      <c r="B55" s="2142"/>
      <c r="C55" s="2142"/>
      <c r="D55" s="2142"/>
      <c r="E55" s="2142"/>
      <c r="F55" s="2142"/>
      <c r="G55" s="2142"/>
      <c r="H55" s="2142"/>
      <c r="I55" s="2142"/>
      <c r="J55" s="2142"/>
      <c r="K55" s="2142"/>
      <c r="L55" s="2142"/>
      <c r="M55" s="2142"/>
      <c r="N55" s="2142"/>
      <c r="O55" s="2142"/>
      <c r="P55" s="2142"/>
    </row>
    <row r="56" spans="1:16">
      <c r="A56" s="2142"/>
      <c r="B56" s="2142"/>
      <c r="C56" s="2142"/>
      <c r="D56" s="2142"/>
      <c r="E56" s="2142"/>
      <c r="F56" s="2142"/>
      <c r="G56" s="2142"/>
      <c r="H56" s="2142"/>
      <c r="I56" s="2142"/>
      <c r="J56" s="2142"/>
      <c r="K56" s="2142"/>
      <c r="L56" s="2142"/>
      <c r="M56" s="2142"/>
      <c r="N56" s="2142"/>
      <c r="O56" s="2142"/>
      <c r="P56" s="2142"/>
    </row>
    <row r="57" spans="1:16">
      <c r="A57" s="2142"/>
      <c r="B57" s="2142"/>
      <c r="C57" s="2142"/>
      <c r="D57" s="2142"/>
      <c r="E57" s="2142"/>
      <c r="F57" s="2142"/>
      <c r="G57" s="2142"/>
      <c r="H57" s="2142"/>
      <c r="I57" s="2142"/>
      <c r="J57" s="2142"/>
      <c r="K57" s="2142"/>
      <c r="L57" s="2142"/>
      <c r="M57" s="2142"/>
      <c r="N57" s="2142"/>
      <c r="O57" s="2142"/>
      <c r="P57" s="2142"/>
    </row>
    <row r="58" spans="1:16">
      <c r="A58" s="2142"/>
      <c r="B58" s="2142"/>
      <c r="C58" s="2142"/>
      <c r="D58" s="2142"/>
      <c r="E58" s="2142"/>
      <c r="F58" s="2142"/>
      <c r="G58" s="2142"/>
      <c r="H58" s="2142"/>
      <c r="I58" s="2142"/>
      <c r="J58" s="2142"/>
      <c r="K58" s="2142"/>
      <c r="L58" s="2142"/>
      <c r="M58" s="2142"/>
      <c r="N58" s="2142"/>
      <c r="O58" s="2142"/>
      <c r="P58" s="2142"/>
    </row>
    <row r="59" spans="1:16">
      <c r="A59" s="2142"/>
      <c r="B59" s="2142"/>
      <c r="C59" s="2142"/>
      <c r="D59" s="2142"/>
      <c r="E59" s="2142"/>
      <c r="F59" s="2142"/>
      <c r="G59" s="2142"/>
      <c r="H59" s="2142"/>
      <c r="I59" s="2142"/>
      <c r="J59" s="2142"/>
      <c r="K59" s="2142"/>
      <c r="L59" s="2142"/>
      <c r="M59" s="2142"/>
      <c r="N59" s="2142"/>
      <c r="O59" s="2142"/>
      <c r="P59" s="2142"/>
    </row>
    <row r="60" spans="1:16">
      <c r="A60" s="2142"/>
      <c r="B60" s="2142"/>
      <c r="C60" s="2142"/>
      <c r="D60" s="2142"/>
      <c r="E60" s="2142"/>
      <c r="F60" s="2142"/>
      <c r="G60" s="2142"/>
      <c r="H60" s="2142"/>
      <c r="I60" s="2142"/>
      <c r="J60" s="2142"/>
      <c r="K60" s="2142"/>
      <c r="L60" s="2142"/>
      <c r="M60" s="2142"/>
      <c r="N60" s="2142"/>
      <c r="O60" s="2142"/>
      <c r="P60" s="2142"/>
    </row>
    <row r="61" spans="1:16">
      <c r="A61" s="2142"/>
      <c r="B61" s="2142"/>
      <c r="C61" s="2142"/>
      <c r="D61" s="2142"/>
      <c r="E61" s="2142"/>
      <c r="F61" s="2142"/>
      <c r="G61" s="2142"/>
      <c r="H61" s="2142"/>
      <c r="I61" s="2142"/>
      <c r="J61" s="2142"/>
      <c r="K61" s="2142"/>
      <c r="L61" s="2142"/>
      <c r="M61" s="2142"/>
      <c r="N61" s="2142"/>
      <c r="O61" s="2142"/>
      <c r="P61" s="2142"/>
    </row>
    <row r="62" spans="1:16">
      <c r="A62" s="2142"/>
      <c r="B62" s="2142"/>
      <c r="C62" s="2142"/>
      <c r="D62" s="2142"/>
      <c r="E62" s="2142"/>
      <c r="F62" s="2142"/>
      <c r="G62" s="2142"/>
      <c r="H62" s="2142"/>
      <c r="I62" s="2142"/>
      <c r="J62" s="2142"/>
      <c r="K62" s="2142"/>
      <c r="L62" s="2142"/>
      <c r="M62" s="2142"/>
      <c r="N62" s="2142"/>
      <c r="O62" s="2142"/>
      <c r="P62" s="2142"/>
    </row>
    <row r="63" spans="1:16">
      <c r="A63" s="2142"/>
      <c r="B63" s="2142"/>
      <c r="C63" s="2142"/>
      <c r="D63" s="2142"/>
      <c r="E63" s="2142"/>
      <c r="F63" s="2142"/>
      <c r="G63" s="2142"/>
      <c r="H63" s="2142"/>
      <c r="I63" s="2142"/>
      <c r="J63" s="2142"/>
      <c r="K63" s="2142"/>
      <c r="L63" s="2142"/>
      <c r="M63" s="2142"/>
      <c r="N63" s="2142"/>
      <c r="O63" s="2142"/>
      <c r="P63" s="2142"/>
    </row>
    <row r="64" spans="1:16">
      <c r="A64" s="2142"/>
      <c r="B64" s="2142"/>
      <c r="C64" s="2142"/>
      <c r="D64" s="2142"/>
      <c r="E64" s="2142"/>
      <c r="F64" s="2142"/>
      <c r="G64" s="2142"/>
      <c r="H64" s="2142"/>
      <c r="I64" s="2142"/>
      <c r="J64" s="2142"/>
      <c r="K64" s="2142"/>
      <c r="L64" s="2142"/>
      <c r="M64" s="2142"/>
      <c r="N64" s="2142"/>
      <c r="O64" s="2142"/>
      <c r="P64" s="2142"/>
    </row>
    <row r="65" spans="1:16">
      <c r="A65" s="2142"/>
      <c r="B65" s="2142"/>
      <c r="C65" s="2142"/>
      <c r="D65" s="2142"/>
      <c r="E65" s="2142"/>
      <c r="F65" s="2142"/>
      <c r="G65" s="2142"/>
      <c r="H65" s="2142"/>
      <c r="I65" s="2142"/>
      <c r="J65" s="2142"/>
      <c r="K65" s="2142"/>
      <c r="L65" s="2142"/>
      <c r="M65" s="2142"/>
      <c r="N65" s="2142"/>
      <c r="O65" s="2142"/>
      <c r="P65" s="2142"/>
    </row>
    <row r="66" spans="1:16">
      <c r="A66" s="2142"/>
      <c r="B66" s="2142"/>
      <c r="C66" s="2142"/>
      <c r="D66" s="2142"/>
      <c r="E66" s="2142"/>
      <c r="F66" s="2142"/>
      <c r="G66" s="2142"/>
      <c r="H66" s="2142"/>
      <c r="I66" s="2142"/>
      <c r="J66" s="2142"/>
      <c r="K66" s="2142"/>
      <c r="L66" s="2142"/>
      <c r="M66" s="2142"/>
      <c r="N66" s="2142"/>
      <c r="O66" s="2142"/>
      <c r="P66" s="2142"/>
    </row>
    <row r="67" spans="1:16">
      <c r="A67" s="2142"/>
      <c r="B67" s="2142"/>
      <c r="C67" s="2142"/>
      <c r="D67" s="2142"/>
      <c r="E67" s="2142"/>
      <c r="F67" s="2142"/>
      <c r="G67" s="2142"/>
      <c r="H67" s="2142"/>
      <c r="I67" s="2142"/>
      <c r="J67" s="2142"/>
      <c r="K67" s="2142"/>
      <c r="L67" s="2142"/>
      <c r="M67" s="2142"/>
      <c r="N67" s="2142"/>
      <c r="O67" s="2142"/>
      <c r="P67" s="2142"/>
    </row>
    <row r="68" spans="1:16">
      <c r="A68" s="2142"/>
      <c r="B68" s="2142"/>
      <c r="C68" s="2142"/>
      <c r="D68" s="2142"/>
      <c r="E68" s="2142"/>
      <c r="F68" s="2142"/>
      <c r="G68" s="2142"/>
      <c r="H68" s="2142"/>
      <c r="I68" s="2142"/>
      <c r="J68" s="2142"/>
      <c r="K68" s="2142"/>
      <c r="L68" s="2142"/>
      <c r="M68" s="2142"/>
      <c r="N68" s="2142"/>
      <c r="O68" s="2142"/>
      <c r="P68" s="2142"/>
    </row>
    <row r="69" spans="1:16">
      <c r="A69" s="2142"/>
      <c r="B69" s="2142"/>
      <c r="C69" s="2142"/>
      <c r="D69" s="2142"/>
      <c r="E69" s="2142"/>
      <c r="F69" s="2142"/>
      <c r="G69" s="2142"/>
      <c r="H69" s="2142"/>
      <c r="I69" s="2142"/>
      <c r="J69" s="2142"/>
      <c r="K69" s="2142"/>
      <c r="L69" s="2142"/>
      <c r="M69" s="2142"/>
      <c r="N69" s="2142"/>
      <c r="O69" s="2142"/>
      <c r="P69" s="2142"/>
    </row>
    <row r="70" spans="1:16">
      <c r="A70" s="2142"/>
      <c r="B70" s="2142"/>
      <c r="C70" s="2142"/>
      <c r="D70" s="2142"/>
      <c r="E70" s="2142"/>
      <c r="F70" s="2142"/>
      <c r="G70" s="2142"/>
      <c r="H70" s="2142"/>
      <c r="I70" s="2142"/>
      <c r="J70" s="2142"/>
      <c r="K70" s="2142"/>
      <c r="L70" s="2142"/>
      <c r="M70" s="2142"/>
      <c r="N70" s="2142"/>
      <c r="O70" s="2142"/>
      <c r="P70" s="2142"/>
    </row>
    <row r="71" spans="1:16">
      <c r="A71" s="2142"/>
      <c r="B71" s="2142"/>
      <c r="C71" s="2142"/>
      <c r="D71" s="2142"/>
      <c r="E71" s="2142"/>
      <c r="F71" s="2142"/>
      <c r="G71" s="2142"/>
      <c r="H71" s="2142"/>
      <c r="I71" s="2142"/>
      <c r="J71" s="2142"/>
      <c r="K71" s="2142"/>
      <c r="L71" s="2142"/>
      <c r="M71" s="2142"/>
      <c r="N71" s="2142"/>
      <c r="O71" s="2142"/>
      <c r="P71" s="2142"/>
    </row>
    <row r="72" spans="1:16">
      <c r="A72" s="2142"/>
      <c r="B72" s="2142"/>
      <c r="C72" s="2142"/>
      <c r="D72" s="2142"/>
      <c r="E72" s="2142"/>
      <c r="F72" s="2142"/>
      <c r="G72" s="2142"/>
      <c r="H72" s="2142"/>
      <c r="I72" s="2142"/>
      <c r="J72" s="2142"/>
      <c r="K72" s="2142"/>
      <c r="L72" s="2142"/>
      <c r="M72" s="2142"/>
      <c r="N72" s="2142"/>
      <c r="O72" s="2142"/>
      <c r="P72" s="2142"/>
    </row>
    <row r="73" spans="1:16">
      <c r="A73" s="2142"/>
      <c r="B73" s="2142"/>
      <c r="C73" s="2142"/>
      <c r="D73" s="2142"/>
      <c r="E73" s="2142"/>
      <c r="F73" s="2142"/>
      <c r="G73" s="2142"/>
      <c r="H73" s="2142"/>
      <c r="I73" s="2142"/>
      <c r="J73" s="2142"/>
      <c r="K73" s="2142"/>
      <c r="L73" s="2142"/>
      <c r="M73" s="2142"/>
      <c r="N73" s="2142"/>
      <c r="O73" s="2142"/>
      <c r="P73" s="2142"/>
    </row>
    <row r="74" spans="1:16">
      <c r="A74" s="2142"/>
      <c r="B74" s="2142"/>
      <c r="C74" s="2142"/>
      <c r="D74" s="2142"/>
      <c r="E74" s="2142"/>
      <c r="F74" s="2142"/>
      <c r="G74" s="2142"/>
      <c r="H74" s="2142"/>
      <c r="I74" s="2142"/>
      <c r="J74" s="2142"/>
      <c r="K74" s="2142"/>
      <c r="L74" s="2142"/>
      <c r="M74" s="2142"/>
      <c r="N74" s="2142"/>
      <c r="O74" s="2142"/>
      <c r="P74" s="2142"/>
    </row>
    <row r="75" spans="1:16">
      <c r="A75" s="2142"/>
      <c r="B75" s="2142"/>
      <c r="C75" s="2142"/>
      <c r="D75" s="2142"/>
      <c r="E75" s="2142"/>
      <c r="F75" s="2142"/>
      <c r="G75" s="2142"/>
      <c r="H75" s="2142"/>
      <c r="I75" s="2142"/>
      <c r="J75" s="2142"/>
      <c r="K75" s="2142"/>
      <c r="L75" s="2142"/>
      <c r="M75" s="2142"/>
      <c r="N75" s="2142"/>
      <c r="O75" s="2142"/>
      <c r="P75" s="2142"/>
    </row>
    <row r="76" spans="1:16">
      <c r="A76" s="2142"/>
      <c r="B76" s="2142"/>
      <c r="C76" s="2142"/>
      <c r="D76" s="2142"/>
      <c r="E76" s="2142"/>
      <c r="F76" s="2142"/>
      <c r="G76" s="2142"/>
      <c r="H76" s="2142"/>
      <c r="I76" s="2142"/>
      <c r="J76" s="2142"/>
      <c r="K76" s="2142"/>
      <c r="L76" s="2142"/>
      <c r="M76" s="2142"/>
      <c r="N76" s="2142"/>
      <c r="O76" s="2142"/>
      <c r="P76" s="2142"/>
    </row>
    <row r="77" spans="1:16">
      <c r="A77" s="2142"/>
      <c r="B77" s="2142"/>
      <c r="C77" s="2142"/>
      <c r="D77" s="2142"/>
      <c r="E77" s="2142"/>
      <c r="F77" s="2142"/>
      <c r="G77" s="2142"/>
      <c r="H77" s="2142"/>
      <c r="I77" s="2142"/>
      <c r="J77" s="2142"/>
      <c r="K77" s="2142"/>
      <c r="L77" s="2142"/>
      <c r="M77" s="2142"/>
      <c r="N77" s="2142"/>
      <c r="O77" s="2142"/>
      <c r="P77" s="2142"/>
    </row>
    <row r="78" spans="1:16">
      <c r="A78" s="2142"/>
      <c r="B78" s="2142"/>
      <c r="C78" s="2142"/>
      <c r="D78" s="2142"/>
      <c r="E78" s="2142"/>
      <c r="F78" s="2142"/>
      <c r="G78" s="2142"/>
      <c r="H78" s="2142"/>
      <c r="I78" s="2142"/>
      <c r="J78" s="2142"/>
      <c r="K78" s="2142"/>
      <c r="L78" s="2142"/>
      <c r="M78" s="2142"/>
      <c r="N78" s="2142"/>
      <c r="O78" s="2142"/>
      <c r="P78" s="2142"/>
    </row>
    <row r="79" spans="1:16">
      <c r="A79" s="2142"/>
      <c r="B79" s="2142"/>
      <c r="C79" s="2142"/>
      <c r="D79" s="2142"/>
      <c r="E79" s="2142"/>
      <c r="F79" s="2142"/>
      <c r="G79" s="2142"/>
      <c r="H79" s="2142"/>
      <c r="I79" s="2142"/>
      <c r="J79" s="2142"/>
      <c r="K79" s="2142"/>
      <c r="L79" s="2142"/>
      <c r="M79" s="2142"/>
      <c r="N79" s="2142"/>
      <c r="O79" s="2142"/>
      <c r="P79" s="2142"/>
    </row>
    <row r="80" spans="1:16">
      <c r="A80" s="2142"/>
      <c r="B80" s="2142"/>
      <c r="C80" s="2142"/>
      <c r="D80" s="2142"/>
      <c r="E80" s="2142"/>
      <c r="F80" s="2142"/>
      <c r="G80" s="2142"/>
      <c r="H80" s="2142"/>
      <c r="I80" s="2142"/>
      <c r="J80" s="2142"/>
      <c r="K80" s="2142"/>
      <c r="L80" s="2142"/>
      <c r="M80" s="2142"/>
      <c r="N80" s="2142"/>
      <c r="O80" s="2142"/>
      <c r="P80" s="2142"/>
    </row>
    <row r="81" spans="1:16">
      <c r="A81" s="2142"/>
      <c r="B81" s="2142"/>
      <c r="C81" s="2142"/>
      <c r="D81" s="2142"/>
      <c r="E81" s="2142"/>
      <c r="F81" s="2142"/>
      <c r="G81" s="2142"/>
      <c r="H81" s="2142"/>
      <c r="I81" s="2142"/>
      <c r="J81" s="2142"/>
      <c r="K81" s="2142"/>
      <c r="L81" s="2142"/>
      <c r="M81" s="2142"/>
      <c r="N81" s="2142"/>
      <c r="O81" s="2142"/>
      <c r="P81" s="2142"/>
    </row>
    <row r="82" spans="1:16">
      <c r="A82" s="2142"/>
      <c r="B82" s="2142"/>
      <c r="C82" s="2142"/>
      <c r="D82" s="2142"/>
      <c r="E82" s="2142"/>
      <c r="F82" s="2142"/>
      <c r="G82" s="2142"/>
      <c r="H82" s="2142"/>
      <c r="I82" s="2142"/>
      <c r="J82" s="2142"/>
      <c r="K82" s="2142"/>
      <c r="L82" s="2142"/>
      <c r="M82" s="2142"/>
      <c r="N82" s="2142"/>
      <c r="O82" s="2142"/>
      <c r="P82" s="2142"/>
    </row>
  </sheetData>
  <mergeCells count="3">
    <mergeCell ref="B1:E1"/>
    <mergeCell ref="F1:I1"/>
    <mergeCell ref="J1:M1"/>
  </mergeCell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K13"/>
  <sheetViews>
    <sheetView workbookViewId="0">
      <selection activeCell="M23" sqref="M23"/>
    </sheetView>
  </sheetViews>
  <sheetFormatPr defaultRowHeight="12.75"/>
  <cols>
    <col min="1" max="1" width="16.28515625" bestFit="1" customWidth="1"/>
    <col min="4" max="4" width="12.28515625" customWidth="1"/>
    <col min="7" max="7" width="11.140625" customWidth="1"/>
    <col min="8" max="8" width="12.140625" customWidth="1"/>
  </cols>
  <sheetData>
    <row r="1" spans="1:11">
      <c r="B1" s="2161"/>
    </row>
    <row r="2" spans="1:11">
      <c r="A2" s="2161" t="s">
        <v>1057</v>
      </c>
      <c r="B2" s="2162"/>
      <c r="C2" s="2168">
        <v>0.06</v>
      </c>
    </row>
    <row r="3" spans="1:11">
      <c r="A3" s="2161" t="s">
        <v>1058</v>
      </c>
      <c r="B3" s="2162"/>
      <c r="C3" s="2163">
        <v>0.09</v>
      </c>
    </row>
    <row r="4" spans="1:11" ht="38.25">
      <c r="D4" s="2161"/>
      <c r="E4" s="1" t="s">
        <v>1059</v>
      </c>
      <c r="G4" s="2164" t="s">
        <v>1060</v>
      </c>
      <c r="H4" s="2164" t="s">
        <v>1061</v>
      </c>
      <c r="I4" s="2164" t="s">
        <v>1062</v>
      </c>
      <c r="J4" s="2164" t="s">
        <v>1063</v>
      </c>
      <c r="K4" s="2164" t="s">
        <v>1064</v>
      </c>
    </row>
    <row r="5" spans="1:11">
      <c r="B5" s="2161"/>
      <c r="D5" s="2161" t="s">
        <v>98</v>
      </c>
      <c r="E5">
        <f>qtrSales!S127</f>
        <v>1438.1669999999999</v>
      </c>
      <c r="G5" s="1622">
        <f>E5*(1+0.06)</f>
        <v>1524.4570200000001</v>
      </c>
      <c r="H5" s="1622">
        <f>H9-(E5*C3)</f>
        <v>-20.200697999999988</v>
      </c>
      <c r="I5" s="2165">
        <f>G5+H5</f>
        <v>1504.2563220000002</v>
      </c>
      <c r="J5" s="2162">
        <f>I5/E5-1</f>
        <v>4.5953857931658959E-2</v>
      </c>
      <c r="K5" s="78">
        <f>J5-G6</f>
        <v>-1.4046142068341039E-2</v>
      </c>
    </row>
    <row r="6" spans="1:11">
      <c r="G6" s="2166">
        <v>0.06</v>
      </c>
      <c r="H6" s="1622"/>
    </row>
    <row r="7" spans="1:11">
      <c r="H7" s="1622">
        <f>C3*E5</f>
        <v>129.43502999999998</v>
      </c>
    </row>
    <row r="8" spans="1:11" ht="38.25">
      <c r="B8" s="1" t="s">
        <v>966</v>
      </c>
      <c r="C8" s="2164" t="s">
        <v>1065</v>
      </c>
      <c r="D8" s="2164" t="s">
        <v>1066</v>
      </c>
      <c r="E8" s="2164" t="s">
        <v>1067</v>
      </c>
      <c r="G8" s="2164" t="s">
        <v>1068</v>
      </c>
      <c r="H8" s="2164" t="s">
        <v>1061</v>
      </c>
      <c r="I8" s="2164" t="s">
        <v>1069</v>
      </c>
      <c r="J8" s="2164" t="s">
        <v>1063</v>
      </c>
      <c r="K8" s="2164" t="s">
        <v>1064</v>
      </c>
    </row>
    <row r="9" spans="1:11">
      <c r="A9" s="2161" t="s">
        <v>98</v>
      </c>
      <c r="B9" s="1622">
        <f>qtrSales!S121</f>
        <v>1685.7149999999999</v>
      </c>
      <c r="C9" s="1622">
        <f>B9*(1+0.08)</f>
        <v>1820.5722000000001</v>
      </c>
      <c r="D9" s="2167">
        <f>E9-C9</f>
        <v>116.25679999999988</v>
      </c>
      <c r="E9" s="1622">
        <f>qtrSales!S128</f>
        <v>1936.829</v>
      </c>
      <c r="F9" s="1622"/>
      <c r="G9" s="1622">
        <f>E9*(1+0.08)</f>
        <v>2091.7753200000002</v>
      </c>
      <c r="H9" s="1622">
        <f>C2*C9</f>
        <v>109.23433199999999</v>
      </c>
      <c r="I9" s="1622">
        <f>G9-H9</f>
        <v>1982.5409880000002</v>
      </c>
      <c r="J9" s="2162">
        <f>I9/E9-1</f>
        <v>2.3601457846820884E-2</v>
      </c>
      <c r="K9" s="78">
        <f>J9-G10</f>
        <v>-5.6398542153179118E-2</v>
      </c>
    </row>
    <row r="10" spans="1:11">
      <c r="D10" s="1621">
        <f>D9/B9</f>
        <v>6.8965869082258796E-2</v>
      </c>
      <c r="G10" s="1620">
        <v>0.08</v>
      </c>
    </row>
    <row r="12" spans="1:11">
      <c r="C12" s="2167"/>
    </row>
    <row r="13" spans="1:11">
      <c r="D13" s="1622">
        <f>H9-D9</f>
        <v>-7.0224679999998898</v>
      </c>
    </row>
  </sheetData>
  <pageMargins left="0.7" right="0.7" top="0.75" bottom="0.75" header="0.3" footer="0.3"/>
  <pageSetup orientation="portrait"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D31"/>
  <sheetViews>
    <sheetView workbookViewId="0">
      <selection activeCell="S42" sqref="S42"/>
    </sheetView>
  </sheetViews>
  <sheetFormatPr defaultRowHeight="12.75"/>
  <cols>
    <col min="1" max="1" width="34.85546875" bestFit="1" customWidth="1"/>
  </cols>
  <sheetData>
    <row r="1" spans="1:4" ht="14.25">
      <c r="A1" s="30"/>
      <c r="B1" s="30"/>
      <c r="C1" s="30"/>
      <c r="D1" s="30"/>
    </row>
    <row r="2" spans="1:4" ht="15">
      <c r="A2" s="2280">
        <v>2017</v>
      </c>
      <c r="B2" s="2280"/>
      <c r="C2" s="30"/>
      <c r="D2" s="30"/>
    </row>
    <row r="3" spans="1:4" ht="14.25">
      <c r="A3" s="2241" t="s">
        <v>1091</v>
      </c>
      <c r="B3" s="2242">
        <v>5.73</v>
      </c>
      <c r="C3" s="30"/>
      <c r="D3" s="30"/>
    </row>
    <row r="4" spans="1:4" ht="14.25">
      <c r="A4" s="2241" t="s">
        <v>1082</v>
      </c>
      <c r="B4" s="2243">
        <v>0.04</v>
      </c>
      <c r="C4" s="30"/>
      <c r="D4" s="30"/>
    </row>
    <row r="5" spans="1:4" ht="14.25">
      <c r="A5" s="2241" t="s">
        <v>1090</v>
      </c>
      <c r="B5" s="2241">
        <f>B3+B4</f>
        <v>5.7700000000000005</v>
      </c>
      <c r="C5" s="30"/>
      <c r="D5" s="30"/>
    </row>
    <row r="6" spans="1:4" ht="14.25">
      <c r="A6" s="2241" t="s">
        <v>1083</v>
      </c>
      <c r="B6" s="2243">
        <v>-1.32</v>
      </c>
      <c r="C6" s="30"/>
      <c r="D6" s="30"/>
    </row>
    <row r="7" spans="1:4" ht="14.25">
      <c r="A7" s="2241" t="s">
        <v>1088</v>
      </c>
      <c r="B7" s="2242">
        <f>B5+B6</f>
        <v>4.45</v>
      </c>
      <c r="C7" s="30"/>
      <c r="D7" s="30"/>
    </row>
    <row r="8" spans="1:4" ht="14.25">
      <c r="A8" s="2241"/>
      <c r="B8" s="2241"/>
      <c r="C8" s="30"/>
      <c r="D8" s="30"/>
    </row>
    <row r="9" spans="1:4" ht="14.25">
      <c r="A9" s="2241" t="s">
        <v>1088</v>
      </c>
      <c r="B9" s="2242">
        <f>B7</f>
        <v>4.45</v>
      </c>
      <c r="C9" s="30"/>
      <c r="D9" s="30"/>
    </row>
    <row r="10" spans="1:4" ht="14.25">
      <c r="A10" s="2241" t="s">
        <v>1082</v>
      </c>
      <c r="B10" s="2241">
        <v>-0.04</v>
      </c>
      <c r="C10" s="30"/>
      <c r="D10" s="30"/>
    </row>
    <row r="11" spans="1:4" ht="14.25">
      <c r="A11" s="2241" t="s">
        <v>1089</v>
      </c>
      <c r="B11" s="2243">
        <v>-0.04</v>
      </c>
      <c r="C11" s="30"/>
      <c r="D11" s="30"/>
    </row>
    <row r="12" spans="1:4" ht="14.25">
      <c r="A12" s="2241" t="s">
        <v>1086</v>
      </c>
      <c r="B12" s="2242">
        <f>SUM(B9:B11)</f>
        <v>4.37</v>
      </c>
      <c r="C12" s="30"/>
      <c r="D12" s="30"/>
    </row>
    <row r="13" spans="1:4" ht="14.25">
      <c r="A13" s="2241" t="s">
        <v>1087</v>
      </c>
      <c r="B13" s="2243">
        <v>-0.23</v>
      </c>
      <c r="C13" s="30"/>
      <c r="D13" s="30"/>
    </row>
    <row r="14" spans="1:4" ht="14.25">
      <c r="A14" s="2241" t="s">
        <v>1085</v>
      </c>
      <c r="B14" s="2242">
        <f>SUM(B12:B13)</f>
        <v>4.1399999999999997</v>
      </c>
      <c r="C14" s="30"/>
      <c r="D14" s="30"/>
    </row>
    <row r="15" spans="1:4" ht="14.25">
      <c r="A15" s="2241"/>
      <c r="B15" s="2242"/>
      <c r="C15" s="30"/>
      <c r="D15" s="30"/>
    </row>
    <row r="16" spans="1:4" ht="15">
      <c r="A16" s="2280" t="s">
        <v>108</v>
      </c>
      <c r="B16" s="2280"/>
      <c r="C16" s="30"/>
      <c r="D16" s="30"/>
    </row>
    <row r="17" spans="1:4" ht="14.25">
      <c r="A17" s="2241" t="s">
        <v>1092</v>
      </c>
      <c r="B17" s="2242">
        <v>3.55</v>
      </c>
      <c r="C17" s="30"/>
      <c r="D17" s="30"/>
    </row>
    <row r="18" spans="1:4" ht="14.25">
      <c r="A18" s="2241" t="s">
        <v>1082</v>
      </c>
      <c r="B18" s="2243">
        <v>0.04</v>
      </c>
      <c r="C18" s="30"/>
      <c r="D18" s="30"/>
    </row>
    <row r="19" spans="1:4" ht="14.25">
      <c r="A19" s="2241" t="s">
        <v>1093</v>
      </c>
      <c r="B19" s="2241">
        <f>B17+B18</f>
        <v>3.59</v>
      </c>
      <c r="C19" s="30"/>
      <c r="D19" s="30"/>
    </row>
    <row r="20" spans="1:4" ht="14.25">
      <c r="A20" s="2241" t="s">
        <v>1084</v>
      </c>
      <c r="B20" s="2243">
        <v>-1.34</v>
      </c>
      <c r="C20" s="30"/>
      <c r="D20" s="30"/>
    </row>
    <row r="21" spans="1:4" ht="14.25">
      <c r="A21" s="2241" t="s">
        <v>1094</v>
      </c>
      <c r="B21" s="2242">
        <f>B19+B20</f>
        <v>2.25</v>
      </c>
      <c r="C21" s="30"/>
      <c r="D21" s="30"/>
    </row>
    <row r="22" spans="1:4" ht="14.25">
      <c r="A22" s="2241" t="s">
        <v>1082</v>
      </c>
      <c r="B22" s="2243">
        <v>-0.04</v>
      </c>
      <c r="C22" s="30"/>
      <c r="D22" s="30"/>
    </row>
    <row r="23" spans="1:4" ht="14.25">
      <c r="A23" s="2241" t="s">
        <v>1095</v>
      </c>
      <c r="B23" s="2242">
        <f>B21-0.04</f>
        <v>2.21</v>
      </c>
      <c r="C23" s="30"/>
      <c r="D23" s="30"/>
    </row>
    <row r="24" spans="1:4" ht="14.25">
      <c r="A24" s="2241" t="s">
        <v>1089</v>
      </c>
      <c r="B24" s="2243">
        <v>-0.04</v>
      </c>
      <c r="C24" s="30"/>
      <c r="D24" s="30"/>
    </row>
    <row r="25" spans="1:4" ht="14.25">
      <c r="A25" s="2241" t="s">
        <v>1096</v>
      </c>
      <c r="B25" s="2242">
        <f>B23-0.04</f>
        <v>2.17</v>
      </c>
      <c r="C25" s="30"/>
      <c r="D25" s="30"/>
    </row>
    <row r="26" spans="1:4" ht="14.25">
      <c r="A26" s="30"/>
      <c r="B26" s="30"/>
      <c r="C26" s="30"/>
      <c r="D26" s="30"/>
    </row>
    <row r="27" spans="1:4" ht="14.25">
      <c r="A27" s="30"/>
      <c r="B27" s="30"/>
      <c r="C27" s="30"/>
      <c r="D27" s="30"/>
    </row>
    <row r="28" spans="1:4" ht="14.25">
      <c r="A28" s="30"/>
      <c r="B28" s="30"/>
      <c r="C28" s="30"/>
      <c r="D28" s="30"/>
    </row>
    <row r="29" spans="1:4" ht="14.25">
      <c r="A29" s="30"/>
      <c r="B29" s="30"/>
      <c r="C29" s="30"/>
      <c r="D29" s="30"/>
    </row>
    <row r="30" spans="1:4" ht="14.25">
      <c r="A30" s="30"/>
      <c r="B30" s="30"/>
      <c r="C30" s="30"/>
      <c r="D30" s="30"/>
    </row>
    <row r="31" spans="1:4" ht="14.25">
      <c r="A31" s="30"/>
      <c r="B31" s="30"/>
      <c r="C31" s="30"/>
      <c r="D31" s="30"/>
    </row>
  </sheetData>
  <mergeCells count="2">
    <mergeCell ref="A2:B2"/>
    <mergeCell ref="A16:B16"/>
  </mergeCell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cols>
    <col min="1" max="1" width="29.5703125" style="2213" bestFit="1" customWidth="1"/>
    <col min="2" max="2" width="19.85546875" style="2302" customWidth="1"/>
    <col min="3" max="3" width="12" style="2213" bestFit="1" customWidth="1"/>
    <col min="4" max="256" width="9.140625" style="2213"/>
    <col min="257" max="257" width="29.5703125" style="2213" bestFit="1" customWidth="1"/>
    <col min="258" max="258" width="19.85546875" style="2213" customWidth="1"/>
    <col min="259" max="259" width="12" style="2213" bestFit="1" customWidth="1"/>
    <col min="260" max="512" width="9.140625" style="2213"/>
    <col min="513" max="513" width="29.5703125" style="2213" bestFit="1" customWidth="1"/>
    <col min="514" max="514" width="19.85546875" style="2213" customWidth="1"/>
    <col min="515" max="515" width="12" style="2213" bestFit="1" customWidth="1"/>
    <col min="516" max="768" width="9.140625" style="2213"/>
    <col min="769" max="769" width="29.5703125" style="2213" bestFit="1" customWidth="1"/>
    <col min="770" max="770" width="19.85546875" style="2213" customWidth="1"/>
    <col min="771" max="771" width="12" style="2213" bestFit="1" customWidth="1"/>
    <col min="772" max="1024" width="9.140625" style="2213"/>
    <col min="1025" max="1025" width="29.5703125" style="2213" bestFit="1" customWidth="1"/>
    <col min="1026" max="1026" width="19.85546875" style="2213" customWidth="1"/>
    <col min="1027" max="1027" width="12" style="2213" bestFit="1" customWidth="1"/>
    <col min="1028" max="1280" width="9.140625" style="2213"/>
    <col min="1281" max="1281" width="29.5703125" style="2213" bestFit="1" customWidth="1"/>
    <col min="1282" max="1282" width="19.85546875" style="2213" customWidth="1"/>
    <col min="1283" max="1283" width="12" style="2213" bestFit="1" customWidth="1"/>
    <col min="1284" max="1536" width="9.140625" style="2213"/>
    <col min="1537" max="1537" width="29.5703125" style="2213" bestFit="1" customWidth="1"/>
    <col min="1538" max="1538" width="19.85546875" style="2213" customWidth="1"/>
    <col min="1539" max="1539" width="12" style="2213" bestFit="1" customWidth="1"/>
    <col min="1540" max="1792" width="9.140625" style="2213"/>
    <col min="1793" max="1793" width="29.5703125" style="2213" bestFit="1" customWidth="1"/>
    <col min="1794" max="1794" width="19.85546875" style="2213" customWidth="1"/>
    <col min="1795" max="1795" width="12" style="2213" bestFit="1" customWidth="1"/>
    <col min="1796" max="2048" width="9.140625" style="2213"/>
    <col min="2049" max="2049" width="29.5703125" style="2213" bestFit="1" customWidth="1"/>
    <col min="2050" max="2050" width="19.85546875" style="2213" customWidth="1"/>
    <col min="2051" max="2051" width="12" style="2213" bestFit="1" customWidth="1"/>
    <col min="2052" max="2304" width="9.140625" style="2213"/>
    <col min="2305" max="2305" width="29.5703125" style="2213" bestFit="1" customWidth="1"/>
    <col min="2306" max="2306" width="19.85546875" style="2213" customWidth="1"/>
    <col min="2307" max="2307" width="12" style="2213" bestFit="1" customWidth="1"/>
    <col min="2308" max="2560" width="9.140625" style="2213"/>
    <col min="2561" max="2561" width="29.5703125" style="2213" bestFit="1" customWidth="1"/>
    <col min="2562" max="2562" width="19.85546875" style="2213" customWidth="1"/>
    <col min="2563" max="2563" width="12" style="2213" bestFit="1" customWidth="1"/>
    <col min="2564" max="2816" width="9.140625" style="2213"/>
    <col min="2817" max="2817" width="29.5703125" style="2213" bestFit="1" customWidth="1"/>
    <col min="2818" max="2818" width="19.85546875" style="2213" customWidth="1"/>
    <col min="2819" max="2819" width="12" style="2213" bestFit="1" customWidth="1"/>
    <col min="2820" max="3072" width="9.140625" style="2213"/>
    <col min="3073" max="3073" width="29.5703125" style="2213" bestFit="1" customWidth="1"/>
    <col min="3074" max="3074" width="19.85546875" style="2213" customWidth="1"/>
    <col min="3075" max="3075" width="12" style="2213" bestFit="1" customWidth="1"/>
    <col min="3076" max="3328" width="9.140625" style="2213"/>
    <col min="3329" max="3329" width="29.5703125" style="2213" bestFit="1" customWidth="1"/>
    <col min="3330" max="3330" width="19.85546875" style="2213" customWidth="1"/>
    <col min="3331" max="3331" width="12" style="2213" bestFit="1" customWidth="1"/>
    <col min="3332" max="3584" width="9.140625" style="2213"/>
    <col min="3585" max="3585" width="29.5703125" style="2213" bestFit="1" customWidth="1"/>
    <col min="3586" max="3586" width="19.85546875" style="2213" customWidth="1"/>
    <col min="3587" max="3587" width="12" style="2213" bestFit="1" customWidth="1"/>
    <col min="3588" max="3840" width="9.140625" style="2213"/>
    <col min="3841" max="3841" width="29.5703125" style="2213" bestFit="1" customWidth="1"/>
    <col min="3842" max="3842" width="19.85546875" style="2213" customWidth="1"/>
    <col min="3843" max="3843" width="12" style="2213" bestFit="1" customWidth="1"/>
    <col min="3844" max="4096" width="9.140625" style="2213"/>
    <col min="4097" max="4097" width="29.5703125" style="2213" bestFit="1" customWidth="1"/>
    <col min="4098" max="4098" width="19.85546875" style="2213" customWidth="1"/>
    <col min="4099" max="4099" width="12" style="2213" bestFit="1" customWidth="1"/>
    <col min="4100" max="4352" width="9.140625" style="2213"/>
    <col min="4353" max="4353" width="29.5703125" style="2213" bestFit="1" customWidth="1"/>
    <col min="4354" max="4354" width="19.85546875" style="2213" customWidth="1"/>
    <col min="4355" max="4355" width="12" style="2213" bestFit="1" customWidth="1"/>
    <col min="4356" max="4608" width="9.140625" style="2213"/>
    <col min="4609" max="4609" width="29.5703125" style="2213" bestFit="1" customWidth="1"/>
    <col min="4610" max="4610" width="19.85546875" style="2213" customWidth="1"/>
    <col min="4611" max="4611" width="12" style="2213" bestFit="1" customWidth="1"/>
    <col min="4612" max="4864" width="9.140625" style="2213"/>
    <col min="4865" max="4865" width="29.5703125" style="2213" bestFit="1" customWidth="1"/>
    <col min="4866" max="4866" width="19.85546875" style="2213" customWidth="1"/>
    <col min="4867" max="4867" width="12" style="2213" bestFit="1" customWidth="1"/>
    <col min="4868" max="5120" width="9.140625" style="2213"/>
    <col min="5121" max="5121" width="29.5703125" style="2213" bestFit="1" customWidth="1"/>
    <col min="5122" max="5122" width="19.85546875" style="2213" customWidth="1"/>
    <col min="5123" max="5123" width="12" style="2213" bestFit="1" customWidth="1"/>
    <col min="5124" max="5376" width="9.140625" style="2213"/>
    <col min="5377" max="5377" width="29.5703125" style="2213" bestFit="1" customWidth="1"/>
    <col min="5378" max="5378" width="19.85546875" style="2213" customWidth="1"/>
    <col min="5379" max="5379" width="12" style="2213" bestFit="1" customWidth="1"/>
    <col min="5380" max="5632" width="9.140625" style="2213"/>
    <col min="5633" max="5633" width="29.5703125" style="2213" bestFit="1" customWidth="1"/>
    <col min="5634" max="5634" width="19.85546875" style="2213" customWidth="1"/>
    <col min="5635" max="5635" width="12" style="2213" bestFit="1" customWidth="1"/>
    <col min="5636" max="5888" width="9.140625" style="2213"/>
    <col min="5889" max="5889" width="29.5703125" style="2213" bestFit="1" customWidth="1"/>
    <col min="5890" max="5890" width="19.85546875" style="2213" customWidth="1"/>
    <col min="5891" max="5891" width="12" style="2213" bestFit="1" customWidth="1"/>
    <col min="5892" max="6144" width="9.140625" style="2213"/>
    <col min="6145" max="6145" width="29.5703125" style="2213" bestFit="1" customWidth="1"/>
    <col min="6146" max="6146" width="19.85546875" style="2213" customWidth="1"/>
    <col min="6147" max="6147" width="12" style="2213" bestFit="1" customWidth="1"/>
    <col min="6148" max="6400" width="9.140625" style="2213"/>
    <col min="6401" max="6401" width="29.5703125" style="2213" bestFit="1" customWidth="1"/>
    <col min="6402" max="6402" width="19.85546875" style="2213" customWidth="1"/>
    <col min="6403" max="6403" width="12" style="2213" bestFit="1" customWidth="1"/>
    <col min="6404" max="6656" width="9.140625" style="2213"/>
    <col min="6657" max="6657" width="29.5703125" style="2213" bestFit="1" customWidth="1"/>
    <col min="6658" max="6658" width="19.85546875" style="2213" customWidth="1"/>
    <col min="6659" max="6659" width="12" style="2213" bestFit="1" customWidth="1"/>
    <col min="6660" max="6912" width="9.140625" style="2213"/>
    <col min="6913" max="6913" width="29.5703125" style="2213" bestFit="1" customWidth="1"/>
    <col min="6914" max="6914" width="19.85546875" style="2213" customWidth="1"/>
    <col min="6915" max="6915" width="12" style="2213" bestFit="1" customWidth="1"/>
    <col min="6916" max="7168" width="9.140625" style="2213"/>
    <col min="7169" max="7169" width="29.5703125" style="2213" bestFit="1" customWidth="1"/>
    <col min="7170" max="7170" width="19.85546875" style="2213" customWidth="1"/>
    <col min="7171" max="7171" width="12" style="2213" bestFit="1" customWidth="1"/>
    <col min="7172" max="7424" width="9.140625" style="2213"/>
    <col min="7425" max="7425" width="29.5703125" style="2213" bestFit="1" customWidth="1"/>
    <col min="7426" max="7426" width="19.85546875" style="2213" customWidth="1"/>
    <col min="7427" max="7427" width="12" style="2213" bestFit="1" customWidth="1"/>
    <col min="7428" max="7680" width="9.140625" style="2213"/>
    <col min="7681" max="7681" width="29.5703125" style="2213" bestFit="1" customWidth="1"/>
    <col min="7682" max="7682" width="19.85546875" style="2213" customWidth="1"/>
    <col min="7683" max="7683" width="12" style="2213" bestFit="1" customWidth="1"/>
    <col min="7684" max="7936" width="9.140625" style="2213"/>
    <col min="7937" max="7937" width="29.5703125" style="2213" bestFit="1" customWidth="1"/>
    <col min="7938" max="7938" width="19.85546875" style="2213" customWidth="1"/>
    <col min="7939" max="7939" width="12" style="2213" bestFit="1" customWidth="1"/>
    <col min="7940" max="8192" width="9.140625" style="2213"/>
    <col min="8193" max="8193" width="29.5703125" style="2213" bestFit="1" customWidth="1"/>
    <col min="8194" max="8194" width="19.85546875" style="2213" customWidth="1"/>
    <col min="8195" max="8195" width="12" style="2213" bestFit="1" customWidth="1"/>
    <col min="8196" max="8448" width="9.140625" style="2213"/>
    <col min="8449" max="8449" width="29.5703125" style="2213" bestFit="1" customWidth="1"/>
    <col min="8450" max="8450" width="19.85546875" style="2213" customWidth="1"/>
    <col min="8451" max="8451" width="12" style="2213" bestFit="1" customWidth="1"/>
    <col min="8452" max="8704" width="9.140625" style="2213"/>
    <col min="8705" max="8705" width="29.5703125" style="2213" bestFit="1" customWidth="1"/>
    <col min="8706" max="8706" width="19.85546875" style="2213" customWidth="1"/>
    <col min="8707" max="8707" width="12" style="2213" bestFit="1" customWidth="1"/>
    <col min="8708" max="8960" width="9.140625" style="2213"/>
    <col min="8961" max="8961" width="29.5703125" style="2213" bestFit="1" customWidth="1"/>
    <col min="8962" max="8962" width="19.85546875" style="2213" customWidth="1"/>
    <col min="8963" max="8963" width="12" style="2213" bestFit="1" customWidth="1"/>
    <col min="8964" max="9216" width="9.140625" style="2213"/>
    <col min="9217" max="9217" width="29.5703125" style="2213" bestFit="1" customWidth="1"/>
    <col min="9218" max="9218" width="19.85546875" style="2213" customWidth="1"/>
    <col min="9219" max="9219" width="12" style="2213" bestFit="1" customWidth="1"/>
    <col min="9220" max="9472" width="9.140625" style="2213"/>
    <col min="9473" max="9473" width="29.5703125" style="2213" bestFit="1" customWidth="1"/>
    <col min="9474" max="9474" width="19.85546875" style="2213" customWidth="1"/>
    <col min="9475" max="9475" width="12" style="2213" bestFit="1" customWidth="1"/>
    <col min="9476" max="9728" width="9.140625" style="2213"/>
    <col min="9729" max="9729" width="29.5703125" style="2213" bestFit="1" customWidth="1"/>
    <col min="9730" max="9730" width="19.85546875" style="2213" customWidth="1"/>
    <col min="9731" max="9731" width="12" style="2213" bestFit="1" customWidth="1"/>
    <col min="9732" max="9984" width="9.140625" style="2213"/>
    <col min="9985" max="9985" width="29.5703125" style="2213" bestFit="1" customWidth="1"/>
    <col min="9986" max="9986" width="19.85546875" style="2213" customWidth="1"/>
    <col min="9987" max="9987" width="12" style="2213" bestFit="1" customWidth="1"/>
    <col min="9988" max="10240" width="9.140625" style="2213"/>
    <col min="10241" max="10241" width="29.5703125" style="2213" bestFit="1" customWidth="1"/>
    <col min="10242" max="10242" width="19.85546875" style="2213" customWidth="1"/>
    <col min="10243" max="10243" width="12" style="2213" bestFit="1" customWidth="1"/>
    <col min="10244" max="10496" width="9.140625" style="2213"/>
    <col min="10497" max="10497" width="29.5703125" style="2213" bestFit="1" customWidth="1"/>
    <col min="10498" max="10498" width="19.85546875" style="2213" customWidth="1"/>
    <col min="10499" max="10499" width="12" style="2213" bestFit="1" customWidth="1"/>
    <col min="10500" max="10752" width="9.140625" style="2213"/>
    <col min="10753" max="10753" width="29.5703125" style="2213" bestFit="1" customWidth="1"/>
    <col min="10754" max="10754" width="19.85546875" style="2213" customWidth="1"/>
    <col min="10755" max="10755" width="12" style="2213" bestFit="1" customWidth="1"/>
    <col min="10756" max="11008" width="9.140625" style="2213"/>
    <col min="11009" max="11009" width="29.5703125" style="2213" bestFit="1" customWidth="1"/>
    <col min="11010" max="11010" width="19.85546875" style="2213" customWidth="1"/>
    <col min="11011" max="11011" width="12" style="2213" bestFit="1" customWidth="1"/>
    <col min="11012" max="11264" width="9.140625" style="2213"/>
    <col min="11265" max="11265" width="29.5703125" style="2213" bestFit="1" customWidth="1"/>
    <col min="11266" max="11266" width="19.85546875" style="2213" customWidth="1"/>
    <col min="11267" max="11267" width="12" style="2213" bestFit="1" customWidth="1"/>
    <col min="11268" max="11520" width="9.140625" style="2213"/>
    <col min="11521" max="11521" width="29.5703125" style="2213" bestFit="1" customWidth="1"/>
    <col min="11522" max="11522" width="19.85546875" style="2213" customWidth="1"/>
    <col min="11523" max="11523" width="12" style="2213" bestFit="1" customWidth="1"/>
    <col min="11524" max="11776" width="9.140625" style="2213"/>
    <col min="11777" max="11777" width="29.5703125" style="2213" bestFit="1" customWidth="1"/>
    <col min="11778" max="11778" width="19.85546875" style="2213" customWidth="1"/>
    <col min="11779" max="11779" width="12" style="2213" bestFit="1" customWidth="1"/>
    <col min="11780" max="12032" width="9.140625" style="2213"/>
    <col min="12033" max="12033" width="29.5703125" style="2213" bestFit="1" customWidth="1"/>
    <col min="12034" max="12034" width="19.85546875" style="2213" customWidth="1"/>
    <col min="12035" max="12035" width="12" style="2213" bestFit="1" customWidth="1"/>
    <col min="12036" max="12288" width="9.140625" style="2213"/>
    <col min="12289" max="12289" width="29.5703125" style="2213" bestFit="1" customWidth="1"/>
    <col min="12290" max="12290" width="19.85546875" style="2213" customWidth="1"/>
    <col min="12291" max="12291" width="12" style="2213" bestFit="1" customWidth="1"/>
    <col min="12292" max="12544" width="9.140625" style="2213"/>
    <col min="12545" max="12545" width="29.5703125" style="2213" bestFit="1" customWidth="1"/>
    <col min="12546" max="12546" width="19.85546875" style="2213" customWidth="1"/>
    <col min="12547" max="12547" width="12" style="2213" bestFit="1" customWidth="1"/>
    <col min="12548" max="12800" width="9.140625" style="2213"/>
    <col min="12801" max="12801" width="29.5703125" style="2213" bestFit="1" customWidth="1"/>
    <col min="12802" max="12802" width="19.85546875" style="2213" customWidth="1"/>
    <col min="12803" max="12803" width="12" style="2213" bestFit="1" customWidth="1"/>
    <col min="12804" max="13056" width="9.140625" style="2213"/>
    <col min="13057" max="13057" width="29.5703125" style="2213" bestFit="1" customWidth="1"/>
    <col min="13058" max="13058" width="19.85546875" style="2213" customWidth="1"/>
    <col min="13059" max="13059" width="12" style="2213" bestFit="1" customWidth="1"/>
    <col min="13060" max="13312" width="9.140625" style="2213"/>
    <col min="13313" max="13313" width="29.5703125" style="2213" bestFit="1" customWidth="1"/>
    <col min="13314" max="13314" width="19.85546875" style="2213" customWidth="1"/>
    <col min="13315" max="13315" width="12" style="2213" bestFit="1" customWidth="1"/>
    <col min="13316" max="13568" width="9.140625" style="2213"/>
    <col min="13569" max="13569" width="29.5703125" style="2213" bestFit="1" customWidth="1"/>
    <col min="13570" max="13570" width="19.85546875" style="2213" customWidth="1"/>
    <col min="13571" max="13571" width="12" style="2213" bestFit="1" customWidth="1"/>
    <col min="13572" max="13824" width="9.140625" style="2213"/>
    <col min="13825" max="13825" width="29.5703125" style="2213" bestFit="1" customWidth="1"/>
    <col min="13826" max="13826" width="19.85546875" style="2213" customWidth="1"/>
    <col min="13827" max="13827" width="12" style="2213" bestFit="1" customWidth="1"/>
    <col min="13828" max="14080" width="9.140625" style="2213"/>
    <col min="14081" max="14081" width="29.5703125" style="2213" bestFit="1" customWidth="1"/>
    <col min="14082" max="14082" width="19.85546875" style="2213" customWidth="1"/>
    <col min="14083" max="14083" width="12" style="2213" bestFit="1" customWidth="1"/>
    <col min="14084" max="14336" width="9.140625" style="2213"/>
    <col min="14337" max="14337" width="29.5703125" style="2213" bestFit="1" customWidth="1"/>
    <col min="14338" max="14338" width="19.85546875" style="2213" customWidth="1"/>
    <col min="14339" max="14339" width="12" style="2213" bestFit="1" customWidth="1"/>
    <col min="14340" max="14592" width="9.140625" style="2213"/>
    <col min="14593" max="14593" width="29.5703125" style="2213" bestFit="1" customWidth="1"/>
    <col min="14594" max="14594" width="19.85546875" style="2213" customWidth="1"/>
    <col min="14595" max="14595" width="12" style="2213" bestFit="1" customWidth="1"/>
    <col min="14596" max="14848" width="9.140625" style="2213"/>
    <col min="14849" max="14849" width="29.5703125" style="2213" bestFit="1" customWidth="1"/>
    <col min="14850" max="14850" width="19.85546875" style="2213" customWidth="1"/>
    <col min="14851" max="14851" width="12" style="2213" bestFit="1" customWidth="1"/>
    <col min="14852" max="15104" width="9.140625" style="2213"/>
    <col min="15105" max="15105" width="29.5703125" style="2213" bestFit="1" customWidth="1"/>
    <col min="15106" max="15106" width="19.85546875" style="2213" customWidth="1"/>
    <col min="15107" max="15107" width="12" style="2213" bestFit="1" customWidth="1"/>
    <col min="15108" max="15360" width="9.140625" style="2213"/>
    <col min="15361" max="15361" width="29.5703125" style="2213" bestFit="1" customWidth="1"/>
    <col min="15362" max="15362" width="19.85546875" style="2213" customWidth="1"/>
    <col min="15363" max="15363" width="12" style="2213" bestFit="1" customWidth="1"/>
    <col min="15364" max="15616" width="9.140625" style="2213"/>
    <col min="15617" max="15617" width="29.5703125" style="2213" bestFit="1" customWidth="1"/>
    <col min="15618" max="15618" width="19.85546875" style="2213" customWidth="1"/>
    <col min="15619" max="15619" width="12" style="2213" bestFit="1" customWidth="1"/>
    <col min="15620" max="15872" width="9.140625" style="2213"/>
    <col min="15873" max="15873" width="29.5703125" style="2213" bestFit="1" customWidth="1"/>
    <col min="15874" max="15874" width="19.85546875" style="2213" customWidth="1"/>
    <col min="15875" max="15875" width="12" style="2213" bestFit="1" customWidth="1"/>
    <col min="15876" max="16128" width="9.140625" style="2213"/>
    <col min="16129" max="16129" width="29.5703125" style="2213" bestFit="1" customWidth="1"/>
    <col min="16130" max="16130" width="19.85546875" style="2213" customWidth="1"/>
    <col min="16131" max="16131" width="12" style="2213" bestFit="1" customWidth="1"/>
    <col min="16132" max="16384" width="9.140625" style="2213"/>
  </cols>
  <sheetData>
    <row r="1" spans="1:2">
      <c r="A1" s="2213" t="s">
        <v>1402</v>
      </c>
      <c r="B1" s="2301">
        <v>6.1</v>
      </c>
    </row>
    <row r="2" spans="1:2">
      <c r="A2" s="2213" t="s">
        <v>1403</v>
      </c>
      <c r="B2" s="2305">
        <v>43202.359965277778</v>
      </c>
    </row>
    <row r="3" spans="1:2">
      <c r="A3" s="2213" t="s">
        <v>1404</v>
      </c>
      <c r="B3" s="2302" t="s">
        <v>1103</v>
      </c>
    </row>
    <row r="4" spans="1:2">
      <c r="A4" s="2213" t="s">
        <v>1405</v>
      </c>
      <c r="B4" s="2302" t="s">
        <v>1406</v>
      </c>
    </row>
    <row r="5" spans="1:2">
      <c r="A5" s="2213" t="s">
        <v>1407</v>
      </c>
      <c r="B5" s="2302" t="s">
        <v>997</v>
      </c>
    </row>
    <row r="6" spans="1:2">
      <c r="A6" s="2213" t="s">
        <v>1408</v>
      </c>
    </row>
    <row r="7" spans="1:2">
      <c r="A7" s="2213" t="s">
        <v>1409</v>
      </c>
      <c r="B7" s="2302" t="s">
        <v>580</v>
      </c>
    </row>
    <row r="8" spans="1:2">
      <c r="A8" s="2213" t="s">
        <v>1410</v>
      </c>
      <c r="B8" s="2302" t="s">
        <v>1411</v>
      </c>
    </row>
    <row r="9" spans="1:2">
      <c r="A9" s="2213" t="s">
        <v>1412</v>
      </c>
      <c r="B9" s="2302" t="s">
        <v>1449</v>
      </c>
    </row>
    <row r="10" spans="1:2">
      <c r="A10" s="2213" t="s">
        <v>1413</v>
      </c>
    </row>
    <row r="11" spans="1:2">
      <c r="A11" s="2213" t="s">
        <v>1414</v>
      </c>
    </row>
    <row r="12" spans="1:2">
      <c r="A12" s="2213" t="s">
        <v>1415</v>
      </c>
    </row>
    <row r="13" spans="1:2">
      <c r="A13" s="2213" t="s">
        <v>1416</v>
      </c>
    </row>
    <row r="14" spans="1:2">
      <c r="A14" s="2213" t="s">
        <v>1417</v>
      </c>
    </row>
    <row r="15" spans="1:2">
      <c r="A15" s="2213" t="s">
        <v>1418</v>
      </c>
    </row>
    <row r="16" spans="1:2">
      <c r="A16" s="2213" t="s">
        <v>1419</v>
      </c>
    </row>
    <row r="17" spans="1:4">
      <c r="A17" s="2213" t="s">
        <v>1420</v>
      </c>
      <c r="B17" s="2302" t="s">
        <v>1450</v>
      </c>
    </row>
    <row r="18" spans="1:4">
      <c r="A18" s="2213" t="s">
        <v>1421</v>
      </c>
      <c r="B18" s="2302" t="s">
        <v>1102</v>
      </c>
    </row>
    <row r="19" spans="1:4">
      <c r="A19" s="2213" t="s">
        <v>1422</v>
      </c>
      <c r="B19" s="2302" t="s">
        <v>579</v>
      </c>
    </row>
    <row r="20" spans="1:4">
      <c r="A20" s="2213" t="s">
        <v>1423</v>
      </c>
      <c r="B20" s="2303">
        <v>122017106</v>
      </c>
    </row>
    <row r="21" spans="1:4">
      <c r="A21" s="2213" t="s">
        <v>1424</v>
      </c>
      <c r="B21" s="2302" t="s">
        <v>579</v>
      </c>
    </row>
    <row r="22" spans="1:4">
      <c r="A22" s="2213" t="s">
        <v>1425</v>
      </c>
      <c r="B22" s="2303" t="s">
        <v>610</v>
      </c>
    </row>
    <row r="23" spans="1:4">
      <c r="A23" s="2213" t="s">
        <v>476</v>
      </c>
      <c r="B23" s="2301">
        <v>136.15</v>
      </c>
    </row>
    <row r="24" spans="1:4">
      <c r="A24" s="2213" t="s">
        <v>475</v>
      </c>
      <c r="B24" s="2302" t="s">
        <v>219</v>
      </c>
      <c r="D24" s="2213" t="s">
        <v>264</v>
      </c>
    </row>
    <row r="25" spans="1:4">
      <c r="A25" s="2213" t="s">
        <v>1426</v>
      </c>
      <c r="B25" s="2302" t="s">
        <v>1453</v>
      </c>
    </row>
    <row r="26" spans="1:4">
      <c r="A26" s="2213" t="s">
        <v>1427</v>
      </c>
      <c r="B26" s="2302">
        <v>0</v>
      </c>
    </row>
    <row r="27" spans="1:4">
      <c r="A27" s="2213" t="s">
        <v>1428</v>
      </c>
      <c r="B27" s="2302" t="s">
        <v>1429</v>
      </c>
    </row>
    <row r="28" spans="1:4">
      <c r="A28" s="2213" t="s">
        <v>1430</v>
      </c>
      <c r="B28" s="2302" t="s">
        <v>1431</v>
      </c>
    </row>
    <row r="29" spans="1:4">
      <c r="A29" s="2213" t="s">
        <v>1432</v>
      </c>
    </row>
    <row r="30" spans="1:4">
      <c r="A30" s="2213" t="s">
        <v>1433</v>
      </c>
    </row>
    <row r="31" spans="1:4">
      <c r="A31" s="2213" t="s">
        <v>1434</v>
      </c>
    </row>
    <row r="32" spans="1:4">
      <c r="A32" s="2213" t="s">
        <v>1435</v>
      </c>
      <c r="B32" s="2301"/>
    </row>
    <row r="33" spans="1:2">
      <c r="A33" s="2213" t="s">
        <v>1436</v>
      </c>
      <c r="B33" s="2301"/>
    </row>
    <row r="34" spans="1:2">
      <c r="A34" s="2213" t="s">
        <v>1437</v>
      </c>
      <c r="B34" s="2301"/>
    </row>
    <row r="35" spans="1:2">
      <c r="A35" s="2213" t="s">
        <v>1438</v>
      </c>
      <c r="B35" s="2302">
        <v>1000000</v>
      </c>
    </row>
    <row r="36" spans="1:2">
      <c r="A36" s="2213" t="s">
        <v>1439</v>
      </c>
      <c r="B36" s="2302" t="s">
        <v>1451</v>
      </c>
    </row>
    <row r="37" spans="1:2">
      <c r="A37" s="2213" t="s">
        <v>1440</v>
      </c>
      <c r="B37" s="2302" t="s">
        <v>1441</v>
      </c>
    </row>
    <row r="38" spans="1:2">
      <c r="A38" s="2213" t="s">
        <v>1442</v>
      </c>
      <c r="B38" s="2302" t="s">
        <v>1443</v>
      </c>
    </row>
    <row r="39" spans="1:2">
      <c r="A39" s="2213" t="s">
        <v>1444</v>
      </c>
      <c r="B39" s="2302" t="s">
        <v>1452</v>
      </c>
    </row>
    <row r="40" spans="1:2">
      <c r="A40" s="2213" t="s">
        <v>1445</v>
      </c>
      <c r="B40" s="2302">
        <v>1900000911</v>
      </c>
    </row>
    <row r="41" spans="1:2">
      <c r="A41" s="2213" t="s">
        <v>1446</v>
      </c>
      <c r="B41" s="2302">
        <v>1</v>
      </c>
    </row>
    <row r="42" spans="1:2">
      <c r="A42" s="2304" t="s">
        <v>1447</v>
      </c>
    </row>
    <row r="43" spans="1:2">
      <c r="A43" s="2213" t="s">
        <v>1448</v>
      </c>
    </row>
  </sheetData>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13"/>
  <sheetViews>
    <sheetView workbookViewId="0">
      <selection activeCell="E11" sqref="E11"/>
    </sheetView>
  </sheetViews>
  <sheetFormatPr defaultRowHeight="12.75"/>
  <cols>
    <col min="1" max="1" width="28.5703125" style="2213" bestFit="1" customWidth="1"/>
    <col min="2" max="256" width="9.140625" style="2213"/>
    <col min="257" max="257" width="28.5703125" style="2213" bestFit="1" customWidth="1"/>
    <col min="258" max="512" width="9.140625" style="2213"/>
    <col min="513" max="513" width="28.5703125" style="2213" bestFit="1" customWidth="1"/>
    <col min="514" max="768" width="9.140625" style="2213"/>
    <col min="769" max="769" width="28.5703125" style="2213" bestFit="1" customWidth="1"/>
    <col min="770" max="1024" width="9.140625" style="2213"/>
    <col min="1025" max="1025" width="28.5703125" style="2213" bestFit="1" customWidth="1"/>
    <col min="1026" max="1280" width="9.140625" style="2213"/>
    <col min="1281" max="1281" width="28.5703125" style="2213" bestFit="1" customWidth="1"/>
    <col min="1282" max="1536" width="9.140625" style="2213"/>
    <col min="1537" max="1537" width="28.5703125" style="2213" bestFit="1" customWidth="1"/>
    <col min="1538" max="1792" width="9.140625" style="2213"/>
    <col min="1793" max="1793" width="28.5703125" style="2213" bestFit="1" customWidth="1"/>
    <col min="1794" max="2048" width="9.140625" style="2213"/>
    <col min="2049" max="2049" width="28.5703125" style="2213" bestFit="1" customWidth="1"/>
    <col min="2050" max="2304" width="9.140625" style="2213"/>
    <col min="2305" max="2305" width="28.5703125" style="2213" bestFit="1" customWidth="1"/>
    <col min="2306" max="2560" width="9.140625" style="2213"/>
    <col min="2561" max="2561" width="28.5703125" style="2213" bestFit="1" customWidth="1"/>
    <col min="2562" max="2816" width="9.140625" style="2213"/>
    <col min="2817" max="2817" width="28.5703125" style="2213" bestFit="1" customWidth="1"/>
    <col min="2818" max="3072" width="9.140625" style="2213"/>
    <col min="3073" max="3073" width="28.5703125" style="2213" bestFit="1" customWidth="1"/>
    <col min="3074" max="3328" width="9.140625" style="2213"/>
    <col min="3329" max="3329" width="28.5703125" style="2213" bestFit="1" customWidth="1"/>
    <col min="3330" max="3584" width="9.140625" style="2213"/>
    <col min="3585" max="3585" width="28.5703125" style="2213" bestFit="1" customWidth="1"/>
    <col min="3586" max="3840" width="9.140625" style="2213"/>
    <col min="3841" max="3841" width="28.5703125" style="2213" bestFit="1" customWidth="1"/>
    <col min="3842" max="4096" width="9.140625" style="2213"/>
    <col min="4097" max="4097" width="28.5703125" style="2213" bestFit="1" customWidth="1"/>
    <col min="4098" max="4352" width="9.140625" style="2213"/>
    <col min="4353" max="4353" width="28.5703125" style="2213" bestFit="1" customWidth="1"/>
    <col min="4354" max="4608" width="9.140625" style="2213"/>
    <col min="4609" max="4609" width="28.5703125" style="2213" bestFit="1" customWidth="1"/>
    <col min="4610" max="4864" width="9.140625" style="2213"/>
    <col min="4865" max="4865" width="28.5703125" style="2213" bestFit="1" customWidth="1"/>
    <col min="4866" max="5120" width="9.140625" style="2213"/>
    <col min="5121" max="5121" width="28.5703125" style="2213" bestFit="1" customWidth="1"/>
    <col min="5122" max="5376" width="9.140625" style="2213"/>
    <col min="5377" max="5377" width="28.5703125" style="2213" bestFit="1" customWidth="1"/>
    <col min="5378" max="5632" width="9.140625" style="2213"/>
    <col min="5633" max="5633" width="28.5703125" style="2213" bestFit="1" customWidth="1"/>
    <col min="5634" max="5888" width="9.140625" style="2213"/>
    <col min="5889" max="5889" width="28.5703125" style="2213" bestFit="1" customWidth="1"/>
    <col min="5890" max="6144" width="9.140625" style="2213"/>
    <col min="6145" max="6145" width="28.5703125" style="2213" bestFit="1" customWidth="1"/>
    <col min="6146" max="6400" width="9.140625" style="2213"/>
    <col min="6401" max="6401" width="28.5703125" style="2213" bestFit="1" customWidth="1"/>
    <col min="6402" max="6656" width="9.140625" style="2213"/>
    <col min="6657" max="6657" width="28.5703125" style="2213" bestFit="1" customWidth="1"/>
    <col min="6658" max="6912" width="9.140625" style="2213"/>
    <col min="6913" max="6913" width="28.5703125" style="2213" bestFit="1" customWidth="1"/>
    <col min="6914" max="7168" width="9.140625" style="2213"/>
    <col min="7169" max="7169" width="28.5703125" style="2213" bestFit="1" customWidth="1"/>
    <col min="7170" max="7424" width="9.140625" style="2213"/>
    <col min="7425" max="7425" width="28.5703125" style="2213" bestFit="1" customWidth="1"/>
    <col min="7426" max="7680" width="9.140625" style="2213"/>
    <col min="7681" max="7681" width="28.5703125" style="2213" bestFit="1" customWidth="1"/>
    <col min="7682" max="7936" width="9.140625" style="2213"/>
    <col min="7937" max="7937" width="28.5703125" style="2213" bestFit="1" customWidth="1"/>
    <col min="7938" max="8192" width="9.140625" style="2213"/>
    <col min="8193" max="8193" width="28.5703125" style="2213" bestFit="1" customWidth="1"/>
    <col min="8194" max="8448" width="9.140625" style="2213"/>
    <col min="8449" max="8449" width="28.5703125" style="2213" bestFit="1" customWidth="1"/>
    <col min="8450" max="8704" width="9.140625" style="2213"/>
    <col min="8705" max="8705" width="28.5703125" style="2213" bestFit="1" customWidth="1"/>
    <col min="8706" max="8960" width="9.140625" style="2213"/>
    <col min="8961" max="8961" width="28.5703125" style="2213" bestFit="1" customWidth="1"/>
    <col min="8962" max="9216" width="9.140625" style="2213"/>
    <col min="9217" max="9217" width="28.5703125" style="2213" bestFit="1" customWidth="1"/>
    <col min="9218" max="9472" width="9.140625" style="2213"/>
    <col min="9473" max="9473" width="28.5703125" style="2213" bestFit="1" customWidth="1"/>
    <col min="9474" max="9728" width="9.140625" style="2213"/>
    <col min="9729" max="9729" width="28.5703125" style="2213" bestFit="1" customWidth="1"/>
    <col min="9730" max="9984" width="9.140625" style="2213"/>
    <col min="9985" max="9985" width="28.5703125" style="2213" bestFit="1" customWidth="1"/>
    <col min="9986" max="10240" width="9.140625" style="2213"/>
    <col min="10241" max="10241" width="28.5703125" style="2213" bestFit="1" customWidth="1"/>
    <col min="10242" max="10496" width="9.140625" style="2213"/>
    <col min="10497" max="10497" width="28.5703125" style="2213" bestFit="1" customWidth="1"/>
    <col min="10498" max="10752" width="9.140625" style="2213"/>
    <col min="10753" max="10753" width="28.5703125" style="2213" bestFit="1" customWidth="1"/>
    <col min="10754" max="11008" width="9.140625" style="2213"/>
    <col min="11009" max="11009" width="28.5703125" style="2213" bestFit="1" customWidth="1"/>
    <col min="11010" max="11264" width="9.140625" style="2213"/>
    <col min="11265" max="11265" width="28.5703125" style="2213" bestFit="1" customWidth="1"/>
    <col min="11266" max="11520" width="9.140625" style="2213"/>
    <col min="11521" max="11521" width="28.5703125" style="2213" bestFit="1" customWidth="1"/>
    <col min="11522" max="11776" width="9.140625" style="2213"/>
    <col min="11777" max="11777" width="28.5703125" style="2213" bestFit="1" customWidth="1"/>
    <col min="11778" max="12032" width="9.140625" style="2213"/>
    <col min="12033" max="12033" width="28.5703125" style="2213" bestFit="1" customWidth="1"/>
    <col min="12034" max="12288" width="9.140625" style="2213"/>
    <col min="12289" max="12289" width="28.5703125" style="2213" bestFit="1" customWidth="1"/>
    <col min="12290" max="12544" width="9.140625" style="2213"/>
    <col min="12545" max="12545" width="28.5703125" style="2213" bestFit="1" customWidth="1"/>
    <col min="12546" max="12800" width="9.140625" style="2213"/>
    <col min="12801" max="12801" width="28.5703125" style="2213" bestFit="1" customWidth="1"/>
    <col min="12802" max="13056" width="9.140625" style="2213"/>
    <col min="13057" max="13057" width="28.5703125" style="2213" bestFit="1" customWidth="1"/>
    <col min="13058" max="13312" width="9.140625" style="2213"/>
    <col min="13313" max="13313" width="28.5703125" style="2213" bestFit="1" customWidth="1"/>
    <col min="13314" max="13568" width="9.140625" style="2213"/>
    <col min="13569" max="13569" width="28.5703125" style="2213" bestFit="1" customWidth="1"/>
    <col min="13570" max="13824" width="9.140625" style="2213"/>
    <col min="13825" max="13825" width="28.5703125" style="2213" bestFit="1" customWidth="1"/>
    <col min="13826" max="14080" width="9.140625" style="2213"/>
    <col min="14081" max="14081" width="28.5703125" style="2213" bestFit="1" customWidth="1"/>
    <col min="14082" max="14336" width="9.140625" style="2213"/>
    <col min="14337" max="14337" width="28.5703125" style="2213" bestFit="1" customWidth="1"/>
    <col min="14338" max="14592" width="9.140625" style="2213"/>
    <col min="14593" max="14593" width="28.5703125" style="2213" bestFit="1" customWidth="1"/>
    <col min="14594" max="14848" width="9.140625" style="2213"/>
    <col min="14849" max="14849" width="28.5703125" style="2213" bestFit="1" customWidth="1"/>
    <col min="14850" max="15104" width="9.140625" style="2213"/>
    <col min="15105" max="15105" width="28.5703125" style="2213" bestFit="1" customWidth="1"/>
    <col min="15106" max="15360" width="9.140625" style="2213"/>
    <col min="15361" max="15361" width="28.5703125" style="2213" bestFit="1" customWidth="1"/>
    <col min="15362" max="15616" width="9.140625" style="2213"/>
    <col min="15617" max="15617" width="28.5703125" style="2213" bestFit="1" customWidth="1"/>
    <col min="15618" max="15872" width="9.140625" style="2213"/>
    <col min="15873" max="15873" width="28.5703125" style="2213" bestFit="1" customWidth="1"/>
    <col min="15874" max="16128" width="9.140625" style="2213"/>
    <col min="16129" max="16129" width="28.5703125" style="2213" bestFit="1" customWidth="1"/>
    <col min="16130" max="16384" width="9.140625" style="2213"/>
  </cols>
  <sheetData>
    <row r="1" spans="1:1">
      <c r="A1" s="2306" t="s">
        <v>1454</v>
      </c>
    </row>
    <row r="2" spans="1:1">
      <c r="A2" s="2306" t="s">
        <v>1459</v>
      </c>
    </row>
    <row r="3" spans="1:1">
      <c r="A3" s="2306" t="s">
        <v>1460</v>
      </c>
    </row>
    <row r="4" spans="1:1">
      <c r="A4" s="2306" t="s">
        <v>1461</v>
      </c>
    </row>
    <row r="5" spans="1:1">
      <c r="A5" s="2306" t="s">
        <v>1462</v>
      </c>
    </row>
    <row r="6" spans="1:1">
      <c r="A6" s="2306" t="s">
        <v>1455</v>
      </c>
    </row>
    <row r="7" spans="1:1">
      <c r="A7" s="2306" t="s">
        <v>1463</v>
      </c>
    </row>
    <row r="8" spans="1:1">
      <c r="A8" s="2306" t="s">
        <v>1464</v>
      </c>
    </row>
    <row r="9" spans="1:1">
      <c r="A9" s="2306" t="s">
        <v>1465</v>
      </c>
    </row>
    <row r="10" spans="1:1">
      <c r="A10" s="2306" t="s">
        <v>1456</v>
      </c>
    </row>
    <row r="11" spans="1:1">
      <c r="A11" s="2306" t="s">
        <v>1466</v>
      </c>
    </row>
    <row r="12" spans="1:1">
      <c r="A12" s="2306" t="s">
        <v>1457</v>
      </c>
    </row>
    <row r="13" spans="1:1">
      <c r="A13" s="2306" t="s">
        <v>1458</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67132548-166f-498c-ad43-f730039957ce</GUID>
    <SOURCE_ALTADDRESS>$A$5:$AO$69</SOURCE_ALTADDRESS>
    <SOURCETYPE>Table</SOURCETYPE>
    <SOURCE_OBJECTNAME>Linking_Range_21</SOURCE_OBJECTNAME>
    <OBJECTTYPE>Native</OBJECTTYPE>
    <SOURCE_SHEETCODE>Sheet10</SOURCE_SHEETCODE>
    <SOURCE_SHEETNAME>flow</SOURCE_SHEETNAME>
    <SOURCEAPPLICATION>EXCEL_SOURCE</SOURCEAPPLICATION>
    <UPDATEDAT>9/9/2014 12:07:54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/MSResearch/Content/ExternalAssets/2014-09/Images/7aT-RXWf2UCHhCRgpPmM2w--.png</TARGET_BINARYFULLNAME>
    <TARGET_STORYFULLNAME>/MSResearch/Content/ExternalAssets/2014-09/Sections/Linking_Range_21-010.xml</TARGET_STORYFULLNAME>
    <TARGET_UUID>c5f74d4e-33a6-11e4-bdd8-3ff9506af4dc</TARGET_UUID>
    <LINKSTATUS>Unknown</LINKSTATUS>
  </Link>
  <Link>
    <GUID>57d5d790-c71e-448b-aff2-363793a7cc04</GUID>
    <SOURCE_ALTADDRESS>$A$7:$BP$59</SOURCE_ALTADDRESS>
    <SOURCETYPE>Table</SOURCETYPE>
    <SOURCE_OBJECTNAME>Linking_Range_14</SOURCE_OBJECTNAME>
    <OBJECTTYPE>Native</OBJECTTYPE>
    <SOURCE_SHEETCODE>Sheet1</SOURCE_SHEETCODE>
    <SOURCE_SHEETNAME>sumry</SOURCE_SHEETNAME>
    <SOURCEAPPLICATION>EXCEL_SOURCE</SOURCEAPPLICATION>
    <UPDATEDAT>9/9/2014 12:07:56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/MSResearch/Content/ExternalAssets/2014-09/Images/ZEfIqnJcEqMDdvuXNvOeQ--.png</TARGET_BINARYFULLNAME>
    <TARGET_STORYFULLNAME>/MSResearch/Content/ExternalAssets/2014-09/Sections/Linking_Range_14-037.xml</TARGET_STORYFULLNAME>
    <TARGET_UUID>dd09682e-384b-11e4-a124-19abbf9868ab</TARGET_UUID>
    <LINKSTATUS>Unknown</LINKSTATUS>
  </Link>
  <Link>
    <GUID>02c4c715-481c-41a9-bb5f-86a821d2c9ac</GUID>
    <SOURCE_ALTADDRESS>$A$6:$AO$47</SOURCE_ALTADDRESS>
    <SOURCETYPE>Table</SOURCETYPE>
    <SOURCE_OBJECTNAME>Linking_Range_15</SOURCE_OBJECTNAME>
    <OBJECTTYPE>Native</OBJECTTYPE>
    <SOURCE_SHEETCODE>Sheet9</SOURCE_SHEETCODE>
    <SOURCE_SHEETNAME>bal</SOURCE_SHEETNAME>
    <SOURCEAPPLICATION>EXCEL_SOURCE</SOURCEAPPLICATION>
    <UPDATEDAT>9/9/2014 12:07:58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/MSResearch/Content/ExternalAssets/2014-09/Images/jdzXOp7THkORU76aiNWs-w--.png</TARGET_BINARYFULLNAME>
    <TARGET_STORYFULLNAME>/MSResearch/Content/ExternalAssets/2014-09/Sections/Linking_Range_15-016.xml</TARGET_STORYFULLNAME>
    <TARGET_UUID>e1bebb02-33a6-11e4-bdd8-3ff9506af4dc</TARGET_UUID>
    <TRANSPARENTBACKGROUND>False</TRANSPARENTBACKGROUND>
    <TRANSPARENTPLOTAREA>False</TRANSPARENTPLOTAREA>
    <LINKSTATUS>Unknown</LINKSTATUS>
  </Link>
  <Link>
    <GUID>3ae48912-ed04-4d8e-a832-41d32712c5fc</GUID>
    <SOURCE_ALTADDRESS>$A$7:$AO$71</SOURCE_ALTADDRESS>
    <SOURCETYPE>Table</SOURCETYPE>
    <SOURCE_OBJECTNAME>Linking_Range_16</SOURCE_OBJECTNAME>
    <OBJECTTYPE>Native</OBJECTTYPE>
    <SOURCE_SHEETCODE>Sheet10</SOURCE_SHEETCODE>
    <SOURCE_SHEETNAME>flow</SOURCE_SHEETNAME>
    <SOURCEAPPLICATION>EXCEL_SOURCE</SOURCEAPPLICATION>
    <UPDATEDAT>9/9/2014 12:07:59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/MSResearch/Content/ExternalAssets/2014-09/Images/16-wArl69kyEuzzcjZnsw--.png</TARGET_BINARYFULLNAME>
    <TARGET_STORYFULLNAME>/MSResearch/Content/ExternalAssets/2014-09/Sections/Linking_Range_16-036.xml</TARGET_STORYFULLNAME>
    <TARGET_UUID>1c405322-384c-11e4-a124-19abbf9868ab</TARGET_UUID>
    <LINKSTATUS>Unknown</LINKSTATUS>
  </Link>
  <Link>
    <GUID>a601a64f-8796-4a00-ac23-c30272c4589a</GUID>
    <SOURCE_ALTADDRESS>$A$5:$AO$49</SOURCE_ALTADDRESS>
    <SOURCETYPE>Table</SOURCETYPE>
    <SOURCE_OBJECTNAME>Linking_Range_22</SOURCE_OBJECTNAME>
    <OBJECTTYPE>Native</OBJECTTYPE>
    <SOURCE_SHEETCODE>Sheet9</SOURCE_SHEETCODE>
    <SOURCE_SHEETNAME>bal</SOURCE_SHEETNAME>
    <SOURCEAPPLICATION>EXCEL_SOURCE</SOURCEAPPLICATION>
    <UPDATEDAT>12/9/2014 1:49:30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/MSResearch/Content/ExternalAssets/2014-12/Images/wpS9UlNjQO816h9B4Tdxw--.png</TARGET_BINARYFULLNAME>
    <TARGET_STORYFULLNAME>/MSResearch/Content/ExternalAssets/2014-12/Sections/20141209_044927_Linking_Range_22.xml</TARGET_STORYFULLNAME>
    <TARGET_UUID>3f916184-7fed-11e4-b436-bce11cc013d8</TARGET_UUID>
  </Link>
  <Link>
    <GUID>d5eed18a-66e3-4833-be25-aea9e68ddec5</GUID>
    <SOURCE_ALTADDRESS>$A$5:$AO$74</SOURCE_ALTADDRESS>
    <SOURCETYPE>Table</SOURCETYPE>
    <SOURCE_OBJECTNAME>Linking_Range_23</SOURCE_OBJECTNAME>
    <OBJECTTYPE>Native</OBJECTTYPE>
    <SOURCE_SHEETCODE>Sheet10</SOURCE_SHEETCODE>
    <SOURCE_SHEETNAME>flow</SOURCE_SHEETNAME>
    <SOURCEAPPLICATION>EXCEL_SOURCE</SOURCEAPPLICATION>
    <UPDATEDAT>12/9/2014 1:50:40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/MSResearch/Content/ExternalAssets/2014-12/Images/hw_jdVqvvEWZpo6LJ1ZlUg--.png</TARGET_BINARYFULLNAME>
    <TARGET_STORYFULLNAME>/MSResearch/Content/ExternalAssets/2014-12/Sections/20141209_045037_Linking_Range_23.xml</TARGET_STORYFULLNAME>
    <TARGET_UUID>6907d1f6-7fed-11e4-b436-bce11cc013d8</TARGET_UUID>
  </Link>
  <Link>
    <GUID>8c64fb43-acd8-4dd4-8c46-f666b0748bdf</GUID>
    <SOURCE_ALTADDRESS>$A$6:$BP$59</SOURCE_ALTADDRESS>
    <SOURCETYPE>Table</SOURCETYPE>
    <SOURCE_OBJECTNAME>Linking_Range_20</SOURCE_OBJECTNAME>
    <OBJECTTYPE>Native</OBJECTTYPE>
    <SOURCE_SHEETCODE>Sheet1</SOURCE_SHEETCODE>
    <SOURCE_SHEETNAME>sumry</SOURCE_SHEETNAME>
    <SOURCEAPPLICATION>EXCEL_SOURCE</SOURCEAPPLICATION>
    <UPDATEDAT>3/17/2015 3:05:00 PM</UPDATEDAT>
    <SOURCE_ISOUTOFDATE>False</SOURCE_ISOUTOFDATE>
    <SOURCE_WORKBOOKNAME>BURL_model.xls</SOURCE_WORKBOOKNAME>
    <SOURCE_WORKBOOKPATH>\\MSAD\ROOT\NA\NY\LIB\ER\RETAIL\Greenberger\Companies\BURL\Model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/MSResearch/Content/ExternalAssets/2014-09/Images/lp6pcx4uvEGlc1szTci2Ug--.png</TARGET_BINARYFULLNAME>
    <TARGET_STORYFULLNAME>/MSResearch/Content/ExternalAssets/2014-09/Sections/Linking_Range_2-052.xml</TARGET_STORYFULLNAME>
    <TARGET_UUID>9c8da9da-33a6-11e4-bdd8-3ff9506af4dc</TARGET_UUID>
    <LINKSTATUS>Unknown</LINKSTATUS>
    <TRANSPARENTBACKGROUND>False</TRANSPARENTBACKGROUND>
    <TRANSPARENTPLOTAREA>False</TRANSPARENTPLOTAREA>
    <EXTRACTSOURCEMODE>CopyToClipboard</EXTRACTSOURCEMODE>
  </Link>
  <Link>
    <GUID>374b60b6-5517-4410-8e09-e0a78fceee7b</GUID>
    <SOURCETYPE>Chart</SOURCETYPE>
    <SOURCE_OBJECTNAME>MWA_Risk_Reward</SOURCE_OBJECTNAME>
    <SOURCE_SHEETCODE>MWRSSData</SOURCE_SHEETCODE>
    <SOURCE_SHEETNAME>MWA RR</SOURCE_SHEETNAME>
    <OBJECTTYPE>Native</OBJECTTYPE>
    <SOURCEAPPLICATION>EXCEL_SOURCE</SOURCEAPPLICATION>
    <UPDATEDAT>3/17/2015 4:07:46 PM</UPDATEDAT>
    <SOURCE_ISOUTOFDATE>False</SOURCE_ISOUTOFDATE>
    <SOURCE_WORKBOOKNAME>BURL_model.xls</SOURCE_WORKBOOKNAME>
    <SOURCE_WORKBOOKPATH>\\MSAD\ROOT\NA\NY\LIB\ER\RETAIL\Greenberger\Companies\BURL\Model</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/MSResearch/Content/ExternalAssets/2014-07/Images/374b60b6-5517-4410-8e09-e0a78fceee7b.png</TARGET_BINARYFULLNAME>
    <TARGET_UUID>2e520598-175d-11e4-bb65-3f247dd8f27a</TARGET_UUID>
    <TARGET_STORYFULLNAME>/MSResearch/Content/ExternalAssets/2014-07/Sections/MWA_Risk_Reward-14075.xml</TARGET_STORYFULLNAME>
    <TARGET_LOID>4.0.1966336970</TARGET_LOID>
    <HIDEGRIDLINES>False</HIDEGRIDLINES>
    <LINKSTATUS>Unknown</LINKSTATUS>
  </Link>
</lk:Links>
</file>

<file path=customXml/itemProps1.xml><?xml version="1.0" encoding="utf-8"?>
<ds:datastoreItem xmlns:ds="http://schemas.openxmlformats.org/officeDocument/2006/customXml" ds:itemID="{BDC12A14-46D0-4EE0-9356-4BDF79F7D9C2}">
  <ds:schemaRefs>
    <ds:schemaRef ds:uri="thomsonreuters.linking.metadatachange"/>
  </ds:schemaRefs>
</ds:datastoreItem>
</file>

<file path=customXml/itemProps2.xml><?xml version="1.0" encoding="utf-8"?>
<ds:datastoreItem xmlns:ds="http://schemas.openxmlformats.org/officeDocument/2006/customXml" ds:itemID="{170727C0-BD4B-41FA-85CE-EB240208EE61}">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173</vt:i4>
      </vt:variant>
    </vt:vector>
  </HeadingPairs>
  <TitlesOfParts>
    <vt:vector size="211" baseType="lpstr">
      <vt:lpstr>ImportantDisclosures</vt:lpstr>
      <vt:lpstr>BullBaseBear</vt:lpstr>
      <vt:lpstr>earnings</vt:lpstr>
      <vt:lpstr>sumry</vt:lpstr>
      <vt:lpstr>yrP&amp;L</vt:lpstr>
      <vt:lpstr>qtrP&amp;L</vt:lpstr>
      <vt:lpstr>sumry_new</vt:lpstr>
      <vt:lpstr>Estimate Changes</vt:lpstr>
      <vt:lpstr>qtrP&amp;L_new</vt:lpstr>
      <vt:lpstr>sumry (2)</vt:lpstr>
      <vt:lpstr>qtrSales</vt:lpstr>
      <vt:lpstr>turn</vt:lpstr>
      <vt:lpstr>bal</vt:lpstr>
      <vt:lpstr>flow</vt:lpstr>
      <vt:lpstr>work</vt:lpstr>
      <vt:lpstr>yrP&amp;L_new</vt:lpstr>
      <vt:lpstr>yrSales</vt:lpstr>
      <vt:lpstr>DCF (old)</vt:lpstr>
      <vt:lpstr>DCF_2 (old)</vt:lpstr>
      <vt:lpstr>dtc</vt:lpstr>
      <vt:lpstr>MWA Lease</vt:lpstr>
      <vt:lpstr>DebtSchedule</vt:lpstr>
      <vt:lpstr>MW Valuation</vt:lpstr>
      <vt:lpstr>Flowthrough</vt:lpstr>
      <vt:lpstr>Sheet1</vt:lpstr>
      <vt:lpstr>Sheet2</vt:lpstr>
      <vt:lpstr>Sheet3</vt:lpstr>
      <vt:lpstr>Sheet4</vt:lpstr>
      <vt:lpstr>Sheet5</vt:lpstr>
      <vt:lpstr>Sheet6</vt:lpstr>
      <vt:lpstr>DCF</vt:lpstr>
      <vt:lpstr>New vs. Old</vt:lpstr>
      <vt:lpstr>Sheet10</vt:lpstr>
      <vt:lpstr>inv vs. fwd sales</vt:lpstr>
      <vt:lpstr>53rd week calcs</vt:lpstr>
      <vt:lpstr>4Q17 &amp; 2017 EPS adj</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Linking_2</vt:lpstr>
      <vt:lpstr>Linking_3</vt:lpstr>
      <vt:lpstr>Linking_4</vt:lpstr>
      <vt:lpstr>Linking_5</vt:lpstr>
      <vt:lpstr>Linking_6</vt:lpstr>
      <vt:lpstr>Linking_7</vt:lpstr>
      <vt:lpstr>Linking_8</vt:lpstr>
      <vt:lpstr>Linking_9</vt:lpstr>
      <vt:lpstr>'sumry (2)'!Linking_Range_1</vt:lpstr>
      <vt:lpstr>sumry_new!Linking_Range_1</vt:lpstr>
      <vt:lpstr>Linking_Range_1</vt:lpstr>
      <vt:lpstr>Linking_Range_10</vt:lpstr>
      <vt:lpstr>'yrP&amp;L_new'!Linking_Range_11</vt:lpstr>
      <vt:lpstr>Linking_Range_11</vt:lpstr>
      <vt:lpstr>'yrP&amp;L_new'!Linking_Range_12</vt:lpstr>
      <vt:lpstr>Linking_Range_12</vt:lpstr>
      <vt:lpstr>Linking_Range_13</vt:lpstr>
      <vt:lpstr>'sumry (2)'!Linking_Range_14</vt:lpstr>
      <vt:lpstr>sumry_new!Linking_Range_14</vt:lpstr>
      <vt:lpstr>Linking_Range_14</vt:lpstr>
      <vt:lpstr>Linking_Range_15</vt:lpstr>
      <vt:lpstr>Linking_Range_16</vt:lpstr>
      <vt:lpstr>'qtrP&amp;L_new'!Linking_Range_17</vt:lpstr>
      <vt:lpstr>Linking_Range_17</vt:lpstr>
      <vt:lpstr>'qtrP&amp;L_new'!Linking_Range_18</vt:lpstr>
      <vt:lpstr>Linking_Range_18</vt:lpstr>
      <vt:lpstr>'qtrP&amp;L_new'!Linking_Range_19</vt:lpstr>
      <vt:lpstr>Linking_Range_19</vt:lpstr>
      <vt:lpstr>Linking_Range_2</vt:lpstr>
      <vt:lpstr>'sumry (2)'!Linking_Range_20</vt:lpstr>
      <vt:lpstr>sumry_new!Linking_Range_20</vt:lpstr>
      <vt:lpstr>Linking_Range_20</vt:lpstr>
      <vt:lpstr>Linking_Range_21</vt:lpstr>
      <vt:lpstr>Linking_Range_22</vt:lpstr>
      <vt:lpstr>Linking_Range_23</vt:lpstr>
      <vt:lpstr>'sumry (2)'!Linking_Range_24</vt:lpstr>
      <vt:lpstr>sumry_new!Linking_Range_24</vt:lpstr>
      <vt:lpstr>Linking_Range_24</vt:lpstr>
      <vt:lpstr>Linking_Range_25</vt:lpstr>
      <vt:lpstr>Linking_Range_26</vt:lpstr>
      <vt:lpstr>Linking_Range_27</vt:lpstr>
      <vt:lpstr>Linking_Range_3</vt:lpstr>
      <vt:lpstr>Linking_Range_4</vt:lpstr>
      <vt:lpstr>Linking_Range_5</vt:lpstr>
      <vt:lpstr>Linking_Range_6</vt:lpstr>
      <vt:lpstr>'yrP&amp;L_new'!Linking_Range_7</vt:lpstr>
      <vt:lpstr>Linking_Range_7</vt:lpstr>
      <vt:lpstr>'sumry (2)'!Linking_Range_8</vt:lpstr>
      <vt:lpstr>sumry_new!Linking_Range_8</vt:lpstr>
      <vt:lpstr>Linking_Range_8</vt:lpstr>
      <vt:lpstr>Linking_Range_9</vt:lpstr>
      <vt:lpstr>IndexInformation!MacroVersion</vt:lpstr>
      <vt:lpstr>'MW Valuation'!MExbrlDates</vt:lpstr>
      <vt:lpstr>ImportantDisclosures!ModelPrice</vt:lpstr>
      <vt:lpstr>IndexInformation!Multiplier</vt:lpstr>
      <vt:lpstr>'MW Valuation'!MWxbrlDates</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BullBaseBear!Print_Area</vt:lpstr>
      <vt:lpstr>DebtSchedule!Print_Area</vt:lpstr>
      <vt:lpstr>dtc!Print_Area</vt:lpstr>
      <vt:lpstr>flow!Print_Area</vt:lpstr>
      <vt:lpstr>'MW Valuation'!Print_Area</vt:lpstr>
      <vt:lpstr>'qtrP&amp;L'!Print_Area</vt:lpstr>
      <vt:lpstr>'qtrP&amp;L_new'!Print_Area</vt:lpstr>
      <vt:lpstr>qtrSales!Print_Area</vt:lpstr>
      <vt:lpstr>sumry!Print_Area</vt:lpstr>
      <vt:lpstr>'sumry (2)'!Print_Area</vt:lpstr>
      <vt:lpstr>sumry_new!Print_Area</vt:lpstr>
      <vt:lpstr>turn!Print_Area</vt:lpstr>
      <vt:lpstr>work!Print_Area</vt:lpstr>
      <vt:lpstr>'yrP&amp;L'!Print_Area</vt:lpstr>
      <vt:lpstr>'yrP&amp;L_new'!Print_Area</vt:lpstr>
      <vt:lpstr>yrSales!Print_Area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 Valuation'!rng_IVStockPrice</vt:lpstr>
      <vt:lpstr>'MW Valuation'!rng_XaxisDataSource</vt:lpstr>
      <vt:lpstr>'MW Valuation'!rng_XaxisRowIndex</vt:lpstr>
      <vt:lpstr>'MW Valuation'!rng_YaxisDataSource</vt:lpstr>
      <vt:lpstr>'MW Valuation'!rng_YaxisRowIndex</vt:lpstr>
      <vt:lpstr>'MW Valuation'!rng_YearIndex</vt:lpstr>
      <vt:lpstr>'MW Valuation'!rngAppName</vt:lpstr>
      <vt:lpstr>'MWA Lease'!rngAppName</vt:lpstr>
      <vt:lpstr>'MW Valuation'!rngBalanceSheet</vt:lpstr>
      <vt:lpstr>'MW Valuation'!rngCompany</vt:lpstr>
      <vt:lpstr>'MWA Lease'!rngCompany</vt:lpstr>
      <vt:lpstr>'MW Valuation'!rngForecastYears</vt:lpstr>
      <vt:lpstr>'MW Valuation'!rngFXInput</vt:lpstr>
      <vt:lpstr>'MW Valuation'!rngIncomeStatement</vt:lpstr>
      <vt:lpstr>'MW Valuation'!rngInput1</vt:lpstr>
      <vt:lpstr>'MW Valuation'!rngInput2</vt:lpstr>
      <vt:lpstr>'MW Valuation'!rngInput4</vt:lpstr>
      <vt:lpstr>'MW Valuation'!rngInput5</vt:lpstr>
      <vt:lpstr>'MW Valuation'!rngInput6</vt:lpstr>
      <vt:lpstr>'MW Valuation'!rngInput7</vt:lpstr>
      <vt:lpstr>'MW Valuation'!rngInput9</vt:lpstr>
      <vt:lpstr>'MW Valuation'!rngStartYear</vt:lpstr>
      <vt:lpstr>'MW Valuation'!rngTicker</vt:lpstr>
      <vt:lpstr>'MWA Lease'!rngTicker</vt:lpstr>
      <vt:lpstr>'MW Valuation'!rngWACC</vt:lpstr>
      <vt:lpstr>'MW Valuation'!rngXaxis</vt:lpstr>
      <vt:lpstr>'MW Valuation'!rngYaxis</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TRSLTicker</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2011-05-09T22:38:47Z</dcterms:created>
  <dc:creator>sancfa</dc:creator>
  <cp:lastModifiedBy>Roberts, Cynthia (Research)</cp:lastModifiedBy>
  <cp:lastPrinted>2018-04-12T02:27:15Z</cp:lastPrinted>
  <dcterms:modified xsi:type="dcterms:W3CDTF">2018-04-12T12:38:25Z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761248</vt:lpwstr>
  </property>
  <property fmtid="{D5CDD505-2E9C-101B-9397-08002B2CF9AE}" name="ERModPubCompanyName" pid="6">
    <vt:lpwstr>Burlington Stores Inc</vt:lpwstr>
  </property>
  <property fmtid="{D5CDD505-2E9C-101B-9397-08002B2CF9AE}" name="MSDH34TAG" pid="7">
    <vt:lpwstr>.TEZUF76X5TAHATHESADREYAK-00-INB160+*94600-06=67fbe1ee/-3e4e/-11e8/-b3f7/-7a79cfe26848,MD=20180412084021/-0400,ZZ=000Z-e91e.</vt:lpwstr>
  </property>
</Properties>
</file>